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Y:\FP-Archiv\FA\380 Allgemeines\Medien\Homepage\2026\Zahlen\Dateien\Tabellen\"/>
    </mc:Choice>
  </mc:AlternateContent>
  <xr:revisionPtr revIDLastSave="0" documentId="14_{180C81B2-D74F-4D82-9C8D-439D88A5362F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INTRO" sheetId="3" r:id="rId1"/>
    <sheet name="HA" sheetId="1" r:id="rId2"/>
    <sheet name="EB" sheetId="8" r:id="rId3"/>
    <sheet name="DFIE" sheetId="4" state="veryHidden" r:id="rId4"/>
  </sheets>
  <definedNames>
    <definedName name="_xlnm.Print_Area" localSheetId="2">EB!$B$1:$L$36</definedName>
    <definedName name="_xlnm.Print_Area" localSheetId="1">HA!$B$1:$K$32</definedName>
    <definedName name="_xlnm.Print_Area">HA!$A$1:$K$32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8" i="4" l="1"/>
  <c r="E73" i="4"/>
  <c r="F67" i="4"/>
  <c r="E60" i="4"/>
  <c r="E52" i="4"/>
  <c r="G3" i="4"/>
  <c r="D73" i="4" s="1"/>
  <c r="C32" i="8"/>
  <c r="F31" i="8"/>
  <c r="L30" i="8"/>
  <c r="J30" i="8"/>
  <c r="G30" i="8" a="1"/>
  <c r="G30" i="8"/>
  <c r="H30" i="8" s="1"/>
  <c r="I30" i="8" s="1"/>
  <c r="K30" i="8" s="1"/>
  <c r="F30" i="8"/>
  <c r="F29" i="8"/>
  <c r="F28" i="8"/>
  <c r="F27" i="8"/>
  <c r="F26" i="8"/>
  <c r="F25" i="8"/>
  <c r="G25" i="8" s="1" a="1"/>
  <c r="G25" i="8" s="1"/>
  <c r="H25" i="8" s="1"/>
  <c r="I25" i="8" s="1"/>
  <c r="F24" i="8"/>
  <c r="F23" i="8"/>
  <c r="F22" i="8"/>
  <c r="L21" i="8"/>
  <c r="J21" i="8"/>
  <c r="G21" i="8" a="1"/>
  <c r="G21" i="8" s="1"/>
  <c r="H21" i="8" s="1"/>
  <c r="I21" i="8" s="1"/>
  <c r="K21" i="8" s="1"/>
  <c r="F21" i="8"/>
  <c r="F20" i="8"/>
  <c r="L19" i="8"/>
  <c r="J19" i="8"/>
  <c r="G19" i="8" a="1"/>
  <c r="G19" i="8" s="1"/>
  <c r="H19" i="8" s="1"/>
  <c r="I19" i="8" s="1"/>
  <c r="K19" i="8" s="1"/>
  <c r="F19" i="8"/>
  <c r="F18" i="8"/>
  <c r="L17" i="8"/>
  <c r="J17" i="8"/>
  <c r="H17" i="8"/>
  <c r="I17" i="8" s="1"/>
  <c r="K17" i="8" s="1"/>
  <c r="G17" i="8" a="1"/>
  <c r="G17" i="8"/>
  <c r="F17" i="8"/>
  <c r="F16" i="8"/>
  <c r="F15" i="8"/>
  <c r="L14" i="8"/>
  <c r="J14" i="8"/>
  <c r="G14" i="8" a="1"/>
  <c r="G14" i="8"/>
  <c r="H14" i="8" s="1"/>
  <c r="I14" i="8" s="1"/>
  <c r="K14" i="8" s="1"/>
  <c r="F14" i="8"/>
  <c r="F13" i="8"/>
  <c r="L12" i="8"/>
  <c r="J12" i="8"/>
  <c r="G12" i="8" a="1"/>
  <c r="G12" i="8" s="1"/>
  <c r="H12" i="8" s="1"/>
  <c r="I12" i="8" s="1"/>
  <c r="K12" i="8" s="1"/>
  <c r="F12" i="8"/>
  <c r="L11" i="8"/>
  <c r="J11" i="8"/>
  <c r="G11" i="8" a="1"/>
  <c r="G11" i="8"/>
  <c r="H11" i="8" s="1"/>
  <c r="I11" i="8" s="1"/>
  <c r="K11" i="8" s="1"/>
  <c r="F11" i="8"/>
  <c r="L10" i="8"/>
  <c r="J10" i="8"/>
  <c r="G10" i="8" a="1"/>
  <c r="G10" i="8" s="1"/>
  <c r="H10" i="8" s="1"/>
  <c r="I10" i="8" s="1"/>
  <c r="K10" i="8" s="1"/>
  <c r="F10" i="8"/>
  <c r="F9" i="8"/>
  <c r="G9" i="8" s="1" a="1"/>
  <c r="G9" i="8" s="1"/>
  <c r="H9" i="8" s="1"/>
  <c r="I9" i="8" s="1"/>
  <c r="F8" i="8"/>
  <c r="F7" i="8"/>
  <c r="L6" i="8"/>
  <c r="J6" i="8"/>
  <c r="G6" i="8" a="1"/>
  <c r="G6" i="8"/>
  <c r="H6" i="8" s="1"/>
  <c r="F6" i="8"/>
  <c r="G28" i="8" s="1" a="1"/>
  <c r="G28" i="8" s="1"/>
  <c r="H28" i="8" s="1"/>
  <c r="I28" i="8" s="1"/>
  <c r="D32" i="1"/>
  <c r="C32" i="1"/>
  <c r="G31" i="1"/>
  <c r="H30" i="1"/>
  <c r="G30" i="1"/>
  <c r="I30" i="1" s="1"/>
  <c r="H29" i="1"/>
  <c r="I29" i="1" s="1"/>
  <c r="G29" i="1"/>
  <c r="I28" i="1"/>
  <c r="H28" i="1"/>
  <c r="G28" i="1"/>
  <c r="G27" i="1"/>
  <c r="H26" i="1"/>
  <c r="G26" i="1"/>
  <c r="I26" i="1" s="1"/>
  <c r="H25" i="1"/>
  <c r="I25" i="1" s="1"/>
  <c r="G25" i="1"/>
  <c r="I24" i="1"/>
  <c r="H24" i="1"/>
  <c r="G24" i="1"/>
  <c r="G23" i="1"/>
  <c r="H22" i="1"/>
  <c r="G22" i="1"/>
  <c r="I22" i="1" s="1"/>
  <c r="H21" i="1"/>
  <c r="I21" i="1" s="1"/>
  <c r="G21" i="1"/>
  <c r="I20" i="1"/>
  <c r="H20" i="1"/>
  <c r="G20" i="1"/>
  <c r="G19" i="1"/>
  <c r="H18" i="1"/>
  <c r="G18" i="1"/>
  <c r="I18" i="1" s="1"/>
  <c r="H17" i="1"/>
  <c r="I17" i="1" s="1"/>
  <c r="G17" i="1"/>
  <c r="I16" i="1"/>
  <c r="H16" i="1"/>
  <c r="G16" i="1"/>
  <c r="G15" i="1"/>
  <c r="H14" i="1"/>
  <c r="G14" i="1"/>
  <c r="I14" i="1" s="1"/>
  <c r="H13" i="1"/>
  <c r="I13" i="1" s="1"/>
  <c r="G13" i="1"/>
  <c r="I12" i="1"/>
  <c r="H12" i="1"/>
  <c r="G12" i="1"/>
  <c r="G11" i="1"/>
  <c r="H10" i="1"/>
  <c r="G10" i="1"/>
  <c r="I10" i="1" s="1"/>
  <c r="H9" i="1"/>
  <c r="I9" i="1" s="1"/>
  <c r="G9" i="1"/>
  <c r="I8" i="1"/>
  <c r="H8" i="1"/>
  <c r="G8" i="1"/>
  <c r="G7" i="1"/>
  <c r="H6" i="1"/>
  <c r="G6" i="1"/>
  <c r="I6" i="1" s="1"/>
  <c r="B28" i="4"/>
  <c r="B81" i="4"/>
  <c r="B38" i="4"/>
  <c r="B21" i="4"/>
  <c r="B49" i="4"/>
  <c r="B55" i="4"/>
  <c r="B76" i="4"/>
  <c r="B71" i="4"/>
  <c r="B30" i="4"/>
  <c r="B34" i="4"/>
  <c r="B83" i="4"/>
  <c r="B17" i="4"/>
  <c r="B24" i="4"/>
  <c r="B43" i="4"/>
  <c r="B26" i="4"/>
  <c r="B44" i="4"/>
  <c r="B18" i="4"/>
  <c r="B32" i="4"/>
  <c r="B25" i="4"/>
  <c r="B20" i="4"/>
  <c r="B54" i="4"/>
  <c r="B15" i="4"/>
  <c r="B36" i="4"/>
  <c r="B9" i="4"/>
  <c r="B51" i="4"/>
  <c r="B37" i="4"/>
  <c r="B48" i="4"/>
  <c r="B40" i="4"/>
  <c r="B29" i="4"/>
  <c r="B74" i="4"/>
  <c r="B78" i="4"/>
  <c r="B45" i="4"/>
  <c r="B82" i="4"/>
  <c r="B68" i="4"/>
  <c r="B19" i="4"/>
  <c r="B57" i="4"/>
  <c r="B46" i="4"/>
  <c r="B39" i="4"/>
  <c r="B35" i="4"/>
  <c r="B22" i="4"/>
  <c r="B50" i="4"/>
  <c r="B53" i="4"/>
  <c r="B42" i="4"/>
  <c r="B27" i="4"/>
  <c r="B61" i="4"/>
  <c r="B41" i="4"/>
  <c r="B63" i="4"/>
  <c r="B33" i="4"/>
  <c r="B64" i="4"/>
  <c r="B75" i="4"/>
  <c r="B72" i="4"/>
  <c r="B12" i="4"/>
  <c r="B47" i="4"/>
  <c r="B62" i="4"/>
  <c r="B65" i="4"/>
  <c r="B79" i="4"/>
  <c r="B77" i="4"/>
  <c r="B16" i="4"/>
  <c r="B56" i="4"/>
  <c r="B14" i="4"/>
  <c r="B80" i="4"/>
  <c r="B31" i="4"/>
  <c r="B73" i="4"/>
  <c r="B10" i="4"/>
  <c r="B11" i="4"/>
  <c r="B58" i="4"/>
  <c r="B23" i="4"/>
  <c r="C17" i="3" l="1"/>
  <c r="B11" i="1"/>
  <c r="B11" i="8"/>
  <c r="B27" i="1"/>
  <c r="B27" i="8"/>
  <c r="E2" i="3"/>
  <c r="C18" i="3"/>
  <c r="C5" i="8"/>
  <c r="I5" i="8"/>
  <c r="B12" i="1"/>
  <c r="B12" i="8"/>
  <c r="B20" i="1"/>
  <c r="B20" i="8"/>
  <c r="B28" i="1"/>
  <c r="B28" i="8"/>
  <c r="E1" i="3"/>
  <c r="H5" i="1"/>
  <c r="B19" i="1"/>
  <c r="B19" i="8"/>
  <c r="E4" i="1"/>
  <c r="B13" i="3"/>
  <c r="C41" i="3"/>
  <c r="G5" i="1"/>
  <c r="E5" i="1"/>
  <c r="H5" i="8"/>
  <c r="B13" i="8"/>
  <c r="B13" i="1"/>
  <c r="B21" i="8"/>
  <c r="B21" i="1"/>
  <c r="B29" i="8"/>
  <c r="B29" i="1"/>
  <c r="D3" i="8"/>
  <c r="C42" i="3"/>
  <c r="B6" i="8"/>
  <c r="B6" i="1"/>
  <c r="B14" i="8"/>
  <c r="B14" i="1"/>
  <c r="B22" i="8"/>
  <c r="B22" i="1"/>
  <c r="B30" i="8"/>
  <c r="B30" i="1"/>
  <c r="B2" i="1"/>
  <c r="H4" i="1"/>
  <c r="I4" i="8"/>
  <c r="G34" i="8"/>
  <c r="C43" i="3"/>
  <c r="B7" i="8"/>
  <c r="B7" i="1"/>
  <c r="B15" i="8"/>
  <c r="B15" i="1"/>
  <c r="B23" i="8"/>
  <c r="B23" i="1"/>
  <c r="B31" i="8"/>
  <c r="B31" i="1"/>
  <c r="C3" i="1"/>
  <c r="I3" i="1"/>
  <c r="G3" i="8"/>
  <c r="J3" i="8"/>
  <c r="G35" i="8"/>
  <c r="B5" i="1"/>
  <c r="B5" i="8"/>
  <c r="B8" i="1"/>
  <c r="B8" i="8"/>
  <c r="B16" i="1"/>
  <c r="B16" i="8"/>
  <c r="B24" i="1"/>
  <c r="B24" i="8"/>
  <c r="B32" i="1"/>
  <c r="B32" i="8"/>
  <c r="C4" i="1"/>
  <c r="I4" i="1"/>
  <c r="G4" i="8"/>
  <c r="J4" i="8"/>
  <c r="G36" i="8"/>
  <c r="F5" i="8"/>
  <c r="J5" i="1"/>
  <c r="E5" i="8"/>
  <c r="I5" i="1"/>
  <c r="D5" i="8"/>
  <c r="K5" i="8"/>
  <c r="K5" i="1"/>
  <c r="J5" i="8"/>
  <c r="C5" i="1"/>
  <c r="D5" i="1"/>
  <c r="G5" i="8"/>
  <c r="B9" i="1"/>
  <c r="B9" i="8"/>
  <c r="B17" i="1"/>
  <c r="B17" i="8"/>
  <c r="B25" i="1"/>
  <c r="B25" i="8"/>
  <c r="D4" i="1"/>
  <c r="J4" i="1"/>
  <c r="H4" i="8"/>
  <c r="K3" i="8"/>
  <c r="K4" i="8"/>
  <c r="I34" i="8"/>
  <c r="I36" i="8"/>
  <c r="L5" i="8"/>
  <c r="F5" i="1"/>
  <c r="B10" i="8"/>
  <c r="B10" i="1"/>
  <c r="B18" i="8"/>
  <c r="B18" i="1"/>
  <c r="B26" i="8"/>
  <c r="B26" i="1"/>
  <c r="E3" i="1"/>
  <c r="K4" i="1"/>
  <c r="L3" i="8"/>
  <c r="K36" i="8"/>
  <c r="I7" i="1"/>
  <c r="I19" i="1"/>
  <c r="I27" i="1"/>
  <c r="I6" i="8"/>
  <c r="G29" i="8" a="1"/>
  <c r="G29" i="8" s="1"/>
  <c r="H29" i="8" s="1"/>
  <c r="I29" i="8" s="1"/>
  <c r="H7" i="1"/>
  <c r="H11" i="1"/>
  <c r="I11" i="1" s="1"/>
  <c r="H15" i="1"/>
  <c r="I15" i="1" s="1"/>
  <c r="H19" i="1"/>
  <c r="H23" i="1"/>
  <c r="I23" i="1" s="1"/>
  <c r="H27" i="1"/>
  <c r="H31" i="1"/>
  <c r="I31" i="1" s="1"/>
  <c r="G22" i="8" a="1"/>
  <c r="G22" i="8" s="1"/>
  <c r="H22" i="8" s="1"/>
  <c r="I22" i="8" s="1"/>
  <c r="F52" i="4"/>
  <c r="F60" i="4"/>
  <c r="D66" i="4"/>
  <c r="G67" i="4"/>
  <c r="D70" i="4"/>
  <c r="F73" i="4"/>
  <c r="F78" i="4"/>
  <c r="G13" i="8" a="1"/>
  <c r="G13" i="8" s="1"/>
  <c r="H13" i="8" s="1"/>
  <c r="I13" i="8" s="1"/>
  <c r="G7" i="8" a="1"/>
  <c r="G7" i="8" s="1"/>
  <c r="H7" i="8" s="1"/>
  <c r="I7" i="8" s="1"/>
  <c r="G15" i="8" a="1"/>
  <c r="G15" i="8" s="1"/>
  <c r="H15" i="8" s="1"/>
  <c r="I15" i="8" s="1"/>
  <c r="G23" i="8" a="1"/>
  <c r="G23" i="8" s="1"/>
  <c r="H23" i="8" s="1"/>
  <c r="I23" i="8" s="1"/>
  <c r="G31" i="8" a="1"/>
  <c r="G31" i="8" s="1"/>
  <c r="H31" i="8" s="1"/>
  <c r="I31" i="8" s="1"/>
  <c r="G52" i="4"/>
  <c r="D59" i="4"/>
  <c r="G60" i="4"/>
  <c r="E66" i="4"/>
  <c r="F70" i="4"/>
  <c r="G73" i="4"/>
  <c r="G78" i="4"/>
  <c r="G16" i="8" a="1"/>
  <c r="G16" i="8" s="1"/>
  <c r="H16" i="8" s="1"/>
  <c r="I16" i="8" s="1"/>
  <c r="G24" i="8" a="1"/>
  <c r="G24" i="8" s="1"/>
  <c r="H24" i="8" s="1"/>
  <c r="I24" i="8" s="1"/>
  <c r="E59" i="4"/>
  <c r="F66" i="4"/>
  <c r="G70" i="4"/>
  <c r="G8" i="8" a="1"/>
  <c r="G8" i="8" s="1"/>
  <c r="H8" i="8" s="1"/>
  <c r="I8" i="8" s="1"/>
  <c r="D13" i="4"/>
  <c r="F59" i="4"/>
  <c r="G66" i="4"/>
  <c r="D69" i="4"/>
  <c r="G18" i="8" a="1"/>
  <c r="G18" i="8" s="1"/>
  <c r="H18" i="8" s="1"/>
  <c r="I18" i="8" s="1"/>
  <c r="G26" i="8" a="1"/>
  <c r="G26" i="8" s="1"/>
  <c r="H26" i="8" s="1"/>
  <c r="I26" i="8" s="1"/>
  <c r="E13" i="4"/>
  <c r="G59" i="4"/>
  <c r="E69" i="4"/>
  <c r="G27" i="8" a="1"/>
  <c r="G27" i="8" s="1"/>
  <c r="H27" i="8" s="1"/>
  <c r="I27" i="8" s="1"/>
  <c r="F13" i="4"/>
  <c r="D67" i="4"/>
  <c r="F69" i="4"/>
  <c r="G20" i="8" a="1"/>
  <c r="G20" i="8" s="1"/>
  <c r="H20" i="8" s="1"/>
  <c r="I20" i="8" s="1"/>
  <c r="G13" i="4"/>
  <c r="D52" i="4"/>
  <c r="D60" i="4"/>
  <c r="E67" i="4"/>
  <c r="G69" i="4"/>
  <c r="B52" i="4"/>
  <c r="B70" i="4"/>
  <c r="B66" i="4"/>
  <c r="B67" i="4"/>
  <c r="B69" i="4"/>
  <c r="B13" i="4"/>
  <c r="B59" i="4"/>
  <c r="B60" i="4"/>
  <c r="F4" i="1" l="1"/>
  <c r="C3" i="8"/>
  <c r="E3" i="8"/>
  <c r="F3" i="8"/>
  <c r="I3" i="8"/>
  <c r="H3" i="8"/>
  <c r="B1" i="8"/>
  <c r="G4" i="1"/>
  <c r="B14" i="3"/>
  <c r="B1" i="1"/>
  <c r="K6" i="8"/>
  <c r="I32" i="8"/>
  <c r="J34" i="8" a="1"/>
  <c r="J34" i="8" s="1"/>
  <c r="I32" i="1"/>
  <c r="J35" i="8" l="1"/>
  <c r="J36" i="8" s="1"/>
  <c r="J29" i="1"/>
  <c r="K29" i="1" s="1"/>
  <c r="J25" i="1"/>
  <c r="K25" i="1" s="1"/>
  <c r="J21" i="1"/>
  <c r="K21" i="1" s="1"/>
  <c r="J17" i="1"/>
  <c r="K17" i="1" s="1"/>
  <c r="J13" i="1"/>
  <c r="K13" i="1" s="1"/>
  <c r="J9" i="1"/>
  <c r="K9" i="1" s="1"/>
  <c r="J30" i="1"/>
  <c r="K30" i="1" s="1"/>
  <c r="J26" i="1"/>
  <c r="K26" i="1" s="1"/>
  <c r="J22" i="1"/>
  <c r="K22" i="1" s="1"/>
  <c r="J18" i="1"/>
  <c r="K18" i="1" s="1"/>
  <c r="J14" i="1"/>
  <c r="K14" i="1" s="1"/>
  <c r="J10" i="1"/>
  <c r="K10" i="1" s="1"/>
  <c r="J6" i="1"/>
  <c r="J11" i="1"/>
  <c r="K11" i="1" s="1"/>
  <c r="J7" i="1"/>
  <c r="K7" i="1" s="1"/>
  <c r="J31" i="1"/>
  <c r="K31" i="1" s="1"/>
  <c r="J27" i="1"/>
  <c r="K27" i="1" s="1"/>
  <c r="J23" i="1"/>
  <c r="K23" i="1" s="1"/>
  <c r="J19" i="1"/>
  <c r="K19" i="1" s="1"/>
  <c r="J15" i="1"/>
  <c r="K15" i="1" s="1"/>
  <c r="J28" i="1"/>
  <c r="K28" i="1" s="1"/>
  <c r="J24" i="1"/>
  <c r="K24" i="1" s="1"/>
  <c r="J20" i="1"/>
  <c r="K20" i="1" s="1"/>
  <c r="J16" i="1"/>
  <c r="K16" i="1" s="1"/>
  <c r="J12" i="1"/>
  <c r="K12" i="1" s="1"/>
  <c r="J8" i="1"/>
  <c r="K8" i="1" s="1"/>
  <c r="J25" i="8" l="1"/>
  <c r="J9" i="8"/>
  <c r="J24" i="8"/>
  <c r="J16" i="8"/>
  <c r="J8" i="8"/>
  <c r="L36" i="8"/>
  <c r="J31" i="8"/>
  <c r="J23" i="8"/>
  <c r="J15" i="8"/>
  <c r="J7" i="8"/>
  <c r="J22" i="8"/>
  <c r="J13" i="8"/>
  <c r="J29" i="8"/>
  <c r="J28" i="8"/>
  <c r="J20" i="8"/>
  <c r="J26" i="8"/>
  <c r="J18" i="8"/>
  <c r="J27" i="8"/>
  <c r="J32" i="1"/>
  <c r="K6" i="1"/>
  <c r="K32" i="1" s="1"/>
  <c r="L8" i="8" l="1"/>
  <c r="K8" i="8"/>
  <c r="L23" i="8"/>
  <c r="K23" i="8"/>
  <c r="L16" i="8"/>
  <c r="K16" i="8"/>
  <c r="L31" i="8"/>
  <c r="K31" i="8"/>
  <c r="L22" i="8"/>
  <c r="K22" i="8"/>
  <c r="L24" i="8"/>
  <c r="K24" i="8"/>
  <c r="L26" i="8"/>
  <c r="K26" i="8"/>
  <c r="L29" i="8"/>
  <c r="K29" i="8"/>
  <c r="L13" i="8"/>
  <c r="K13" i="8"/>
  <c r="L27" i="8"/>
  <c r="K27" i="8"/>
  <c r="L7" i="8"/>
  <c r="K7" i="8"/>
  <c r="K9" i="8"/>
  <c r="L9" i="8"/>
  <c r="L20" i="8"/>
  <c r="K20" i="8"/>
  <c r="L28" i="8"/>
  <c r="K28" i="8"/>
  <c r="L18" i="8"/>
  <c r="K18" i="8"/>
  <c r="L15" i="8"/>
  <c r="K15" i="8"/>
  <c r="K25" i="8"/>
  <c r="L25" i="8"/>
</calcChain>
</file>

<file path=xl/sharedStrings.xml><?xml version="1.0" encoding="utf-8"?>
<sst xmlns="http://schemas.openxmlformats.org/spreadsheetml/2006/main" count="429" uniqueCount="234">
  <si>
    <t>Härteausgleich</t>
  </si>
  <si>
    <t>Total</t>
  </si>
  <si>
    <t>Einzahlung</t>
  </si>
  <si>
    <t>Auszahlung</t>
  </si>
  <si>
    <t>Schweiz</t>
  </si>
  <si>
    <t>Referenzjahr</t>
  </si>
  <si>
    <t>Berechnungsdatum</t>
  </si>
  <si>
    <t>Berechnungs-ID</t>
  </si>
  <si>
    <t>Beschriftung der Tabellen</t>
  </si>
  <si>
    <t>Compensation des cas de rigueur</t>
  </si>
  <si>
    <t>Suisse</t>
  </si>
  <si>
    <t>Wählen Sie Ihre Sprache</t>
  </si>
  <si>
    <t>Choisissez votre langue</t>
  </si>
  <si>
    <t>Selezionare la vostra lingua</t>
  </si>
  <si>
    <t>Choose your language</t>
  </si>
  <si>
    <t>Deutsch</t>
  </si>
  <si>
    <t>Français</t>
  </si>
  <si>
    <t>Italiano</t>
  </si>
  <si>
    <t>English</t>
  </si>
  <si>
    <t>Sprache</t>
  </si>
  <si>
    <t>Finanzausgleich zwischen Bund und Kantonen</t>
  </si>
  <si>
    <t>Péréquation financière entre la Confédération et les cantons</t>
  </si>
  <si>
    <t>Eidgenössisches Finanzdepartement EFD</t>
  </si>
  <si>
    <t>Eidgenössische Finanzverwaltung EFV</t>
  </si>
  <si>
    <t>Département fédéral des finances DFF</t>
  </si>
  <si>
    <t>Administration fédérale des finances AFF</t>
  </si>
  <si>
    <t xml:space="preserve"> </t>
  </si>
  <si>
    <t xml:space="preserve">Die Sprache wird über das Steuerelement auf dem </t>
  </si>
  <si>
    <t>Tabellenblatt "INTRO" ausgewählt.</t>
  </si>
  <si>
    <t>Auswahl der Sprache</t>
  </si>
  <si>
    <t>Federal Department of Finance FDF</t>
  </si>
  <si>
    <t>Inpayment</t>
  </si>
  <si>
    <t>Outpayment</t>
  </si>
  <si>
    <t>Switzerland</t>
  </si>
  <si>
    <t>Federal Finance Administration FFA</t>
  </si>
  <si>
    <t>Fiscal equalization between the Confederation and the cantons</t>
  </si>
  <si>
    <t>Dipartimento federale delle finanze DFF</t>
  </si>
  <si>
    <t>Amministrazione federale delle finanze AFF</t>
  </si>
  <si>
    <t>Perequazione finanziaria tra Confederazione e Cantoni</t>
  </si>
  <si>
    <t>Totale</t>
  </si>
  <si>
    <t>Contributo</t>
  </si>
  <si>
    <t>Versamento</t>
  </si>
  <si>
    <t>Svizzera</t>
  </si>
  <si>
    <t>Montant
versé</t>
  </si>
  <si>
    <t>Montant
reçu</t>
  </si>
  <si>
    <t>Année de référence</t>
  </si>
  <si>
    <t>Anno di riferimento</t>
  </si>
  <si>
    <t>Reference year</t>
  </si>
  <si>
    <t>Date de calcul</t>
  </si>
  <si>
    <t>Calculation date</t>
  </si>
  <si>
    <t>Code de calcul</t>
  </si>
  <si>
    <t>Calculation ID</t>
  </si>
  <si>
    <t>Calcolato il</t>
  </si>
  <si>
    <t>Codice calcolo</t>
  </si>
  <si>
    <t>HA</t>
  </si>
  <si>
    <t>Basisdaten</t>
  </si>
  <si>
    <t>Einheit</t>
  </si>
  <si>
    <t>Unité</t>
  </si>
  <si>
    <t>Unità</t>
  </si>
  <si>
    <t>Unit</t>
  </si>
  <si>
    <t>CHF</t>
  </si>
  <si>
    <t>Anzahl</t>
  </si>
  <si>
    <t>Nombre</t>
  </si>
  <si>
    <t>Numero</t>
  </si>
  <si>
    <t>Number</t>
  </si>
  <si>
    <t>Punkte</t>
  </si>
  <si>
    <t>Points</t>
  </si>
  <si>
    <t>Punti</t>
  </si>
  <si>
    <t>Prozent</t>
  </si>
  <si>
    <t>%</t>
  </si>
  <si>
    <t>Percento</t>
  </si>
  <si>
    <t>Percent</t>
  </si>
  <si>
    <t>Anspruch auf Härteausgleich</t>
  </si>
  <si>
    <t>Reduktion
5% pro Jahr
ab 2016</t>
  </si>
  <si>
    <t>Wohn-
bevölkerung
berechtigt</t>
  </si>
  <si>
    <t>(+) Belastung Kanton; (-) Entlastung Kanton</t>
  </si>
  <si>
    <t>Compensazione dei casi di rigore</t>
  </si>
  <si>
    <t xml:space="preserve">Cohesion fund </t>
  </si>
  <si>
    <t>(+) charge pour le canton; (-) allégement pour le canton</t>
  </si>
  <si>
    <t>(+) Aggravio per il Cantone ; (-) Sgravio per il Cantone</t>
  </si>
  <si>
    <t>(+) cantonal burden; (-) cantonal relief</t>
  </si>
  <si>
    <t>Berechtigung
Vorjahr</t>
  </si>
  <si>
    <t>0 / 1</t>
  </si>
  <si>
    <t>Zürich</t>
  </si>
  <si>
    <t>Zurich</t>
  </si>
  <si>
    <t>Zurigo</t>
  </si>
  <si>
    <t>Bern</t>
  </si>
  <si>
    <t>Berne</t>
  </si>
  <si>
    <t>Berna</t>
  </si>
  <si>
    <t>Luzern</t>
  </si>
  <si>
    <t>Lucerne</t>
  </si>
  <si>
    <t>Lucerna</t>
  </si>
  <si>
    <t>Uri</t>
  </si>
  <si>
    <t>Schwyz</t>
  </si>
  <si>
    <t>Svitto</t>
  </si>
  <si>
    <t>Obwalden</t>
  </si>
  <si>
    <t>Obwald</t>
  </si>
  <si>
    <t>Obvaldo</t>
  </si>
  <si>
    <t>Nidwalden</t>
  </si>
  <si>
    <t>Nidwald</t>
  </si>
  <si>
    <t>Nidvaldo</t>
  </si>
  <si>
    <t>Glarus</t>
  </si>
  <si>
    <t>Glaris</t>
  </si>
  <si>
    <t>Glarona</t>
  </si>
  <si>
    <t>Zug</t>
  </si>
  <si>
    <t>Zoug</t>
  </si>
  <si>
    <t>Zugo</t>
  </si>
  <si>
    <t>Freiburg</t>
  </si>
  <si>
    <t>Fribourg</t>
  </si>
  <si>
    <t>Friburgo</t>
  </si>
  <si>
    <t>Solothurn</t>
  </si>
  <si>
    <t>Soleure</t>
  </si>
  <si>
    <t>Soletta</t>
  </si>
  <si>
    <t>Basel-Stadt</t>
  </si>
  <si>
    <t>Bâle-Ville</t>
  </si>
  <si>
    <t>Basilea Città</t>
  </si>
  <si>
    <t>Basel Stadt</t>
  </si>
  <si>
    <t>Basel-Landschaft</t>
  </si>
  <si>
    <t>Bâle-Campagne</t>
  </si>
  <si>
    <t>Basilea Campagna</t>
  </si>
  <si>
    <t>Basel Landschaft</t>
  </si>
  <si>
    <t>Schaffhausen</t>
  </si>
  <si>
    <t>Schaffhouse</t>
  </si>
  <si>
    <t>Sciaffusa</t>
  </si>
  <si>
    <t>Appenzell A.Rh.</t>
  </si>
  <si>
    <t>Appenzell Rh.-Ext.</t>
  </si>
  <si>
    <t>Appenzello Esterno</t>
  </si>
  <si>
    <t>Appenzell I.Rh.</t>
  </si>
  <si>
    <t>Appenzell Rh.-Int.</t>
  </si>
  <si>
    <t>Appenzello Interno</t>
  </si>
  <si>
    <t>St. Gallen</t>
  </si>
  <si>
    <t>St-Gall</t>
  </si>
  <si>
    <t>San Gallo</t>
  </si>
  <si>
    <t>Graubünden</t>
  </si>
  <si>
    <t>Grisons</t>
  </si>
  <si>
    <t>Grigioni</t>
  </si>
  <si>
    <t>Aargau</t>
  </si>
  <si>
    <t>Argovie</t>
  </si>
  <si>
    <t>Argovia</t>
  </si>
  <si>
    <t>Thurgau</t>
  </si>
  <si>
    <t>Thurgovie</t>
  </si>
  <si>
    <t>Turgovia</t>
  </si>
  <si>
    <t>Tessin</t>
  </si>
  <si>
    <t>Ticino</t>
  </si>
  <si>
    <t>Waadt</t>
  </si>
  <si>
    <t>Vaud</t>
  </si>
  <si>
    <t>Wallis</t>
  </si>
  <si>
    <t>Valais</t>
  </si>
  <si>
    <t>Vallese</t>
  </si>
  <si>
    <t>Neuenburg</t>
  </si>
  <si>
    <t>Neuchâtel</t>
  </si>
  <si>
    <t>Genf</t>
  </si>
  <si>
    <t>Genève</t>
  </si>
  <si>
    <t>Ginevra</t>
  </si>
  <si>
    <t>Geneva</t>
  </si>
  <si>
    <t>Jura</t>
  </si>
  <si>
    <t>Giura</t>
  </si>
  <si>
    <t>Basisbetrag
Einzahlung</t>
  </si>
  <si>
    <t>Basisbetrag
Auszahlung</t>
  </si>
  <si>
    <t>Resident
population
entitled</t>
  </si>
  <si>
    <t>Basic data</t>
  </si>
  <si>
    <t>Basic amount
inpayment</t>
  </si>
  <si>
    <t>Basic amount
outpayment</t>
  </si>
  <si>
    <t>Entitlement to cohesion fund</t>
  </si>
  <si>
    <t>Entitlement
previous year</t>
  </si>
  <si>
    <t>Reduction
5% p.a.
from 2016</t>
  </si>
  <si>
    <t>Cohesion fund payments</t>
  </si>
  <si>
    <t>Données de base</t>
  </si>
  <si>
    <t>Montant de base
montant versé</t>
  </si>
  <si>
    <t>Montant de base
montant reçu</t>
  </si>
  <si>
    <t>Droit à la compensation des cas de rigueur</t>
  </si>
  <si>
    <t>Canton
ayant droit  
exercice
précédent</t>
  </si>
  <si>
    <t>Diminution
de 5 % par an
à partir de
2016</t>
  </si>
  <si>
    <t>Dati di base</t>
  </si>
  <si>
    <t>Diritto alla compensazione dei casi di rigore</t>
  </si>
  <si>
    <t xml:space="preserve">Importo
di base
contributo </t>
  </si>
  <si>
    <t>Importo
di base
versamento</t>
  </si>
  <si>
    <t>Diritto anno
precedente</t>
  </si>
  <si>
    <t>Diminuzione
annua
del 5 %
dal 2016</t>
  </si>
  <si>
    <t>Popolazione
residente
avente diritto</t>
  </si>
  <si>
    <t>EB</t>
  </si>
  <si>
    <t>Standardisierter
Steuerertrag SSE
pro Einwohner
vor Ausgleich
2023</t>
  </si>
  <si>
    <t>Recettes fiscales
standardisées
RFS par habitant, 
avant péréquation
2023</t>
  </si>
  <si>
    <t>Gettito fiscale
standardizzato
GFS per abitante
prima della com-
pensazione 2023</t>
  </si>
  <si>
    <t>Standardized tax
revenue STR per
capita before
equalization
2023</t>
  </si>
  <si>
    <t>Beitrag total
falls Schwelle =
SSE Kanton
(RI &lt;= 100)</t>
  </si>
  <si>
    <t>Contribution
totale si seuil =
RFS du canton
(IR &lt;= 100)</t>
  </si>
  <si>
    <t>Contributo totale
in caso di soglia =
GFS Cantone
(IR &lt;= 100)</t>
  </si>
  <si>
    <t>Total contribution
if threshold =
STR canton
(RI &lt;= 100)</t>
  </si>
  <si>
    <t>Population
résidante
ayant droit</t>
  </si>
  <si>
    <t>Contribution
complémentaire 
par habitant</t>
  </si>
  <si>
    <t>Contributo
complementare
pro capite</t>
  </si>
  <si>
    <t>Supplementary 
contribution
per capita</t>
  </si>
  <si>
    <t>Schwelle</t>
  </si>
  <si>
    <t>Seuil</t>
  </si>
  <si>
    <t>Soglia</t>
  </si>
  <si>
    <t xml:space="preserve">Threshold </t>
  </si>
  <si>
    <t>SSE pro Kopf</t>
  </si>
  <si>
    <t>RFS par hab.</t>
  </si>
  <si>
    <t>GFS pro capite</t>
  </si>
  <si>
    <t>STR per capita</t>
  </si>
  <si>
    <t>Index SSE</t>
  </si>
  <si>
    <t>Indice RFS</t>
  </si>
  <si>
    <t>Indice GFS</t>
  </si>
  <si>
    <t>STR index</t>
  </si>
  <si>
    <t>Ergänzungsbeitrag</t>
  </si>
  <si>
    <t>Contribution complémentaire</t>
  </si>
  <si>
    <t>Contributo complementare</t>
  </si>
  <si>
    <t>Supplementary contribution</t>
  </si>
  <si>
    <t>Contribution
complémentaire 
totale</t>
  </si>
  <si>
    <t>Contributo
complementare
totale</t>
  </si>
  <si>
    <t>Supplementary 
contribution
total</t>
  </si>
  <si>
    <t>Ergänzungs-
beitrag
total</t>
  </si>
  <si>
    <t>Montant reçu</t>
  </si>
  <si>
    <t>Letzter berechtigter Kanton</t>
  </si>
  <si>
    <t>Verteilung Rest</t>
  </si>
  <si>
    <t>Anspruch auf Ergänzungsbeitrag (EB)</t>
  </si>
  <si>
    <t>Droit à la contribution complémentaire (CC)</t>
  </si>
  <si>
    <t>Diritto al contributo complementare (CC)</t>
  </si>
  <si>
    <t>Entitlement to supplementary contribution (SC)</t>
  </si>
  <si>
    <t>Ergänzungs-
beitrag pro
Einwohner</t>
  </si>
  <si>
    <t>Last entitled canton</t>
  </si>
  <si>
    <t>Distribution of remainder</t>
  </si>
  <si>
    <t>Ultimo Cantone avente diritto</t>
  </si>
  <si>
    <t>Distribuzione rimanenza</t>
  </si>
  <si>
    <t>RFS 2023
par habitant
y compris
PR 0</t>
  </si>
  <si>
    <t>Indice RFS 2023
y compris PR
et CC 0</t>
  </si>
  <si>
    <t>Dernier canton ayant-droit</t>
  </si>
  <si>
    <t>Répartition du reste</t>
  </si>
  <si>
    <t>Version</t>
  </si>
  <si>
    <t>Datum</t>
  </si>
  <si>
    <t>26.0</t>
  </si>
  <si>
    <t>05.05.2026</t>
  </si>
  <si>
    <t>FA-2027-260505085936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</si>
</sst>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%_ ;\-0%_ ;&quot;-&quot;??_ ;@_ "/>
    <numFmt numFmtId="165" formatCode="#,##0_ ;\-#,##0_ ;0_ ;@_ "/>
    <numFmt numFmtId="166" formatCode="0_ ;\-0_ ;0_ ;@_ "/>
    <numFmt numFmtId="167" formatCode="0.0_ ;\-0.0_ ;0.0_ ;@_ "/>
    <numFmt numFmtId="168" formatCode="0%_ ;\-0%_ ;0%_ ;@_ "/>
    <numFmt numFmtId="169" formatCode="_ @"/>
    <numFmt numFmtId="170" formatCode="_ * #,##0_ ;_ * \-#,##0_ ;_ * &quot;-&quot;??_ ;_ @_ "/>
    <numFmt numFmtId="171" formatCode="0.0_ ;\-0.0_ ;0.0_ ;\-_ "/>
    <numFmt numFmtId="172" formatCode="#,##0_ ;\-#,##0_ ;0_ ;\-_ "/>
  </numFmts>
  <fonts count="25" x14ac:knownFonts="1">
    <font>
      <sz val="10"/>
      <name val="Arial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8.5"/>
      <color rgb="FF000000"/>
      <name val="Arial"/>
      <family val="2"/>
    </font>
    <font>
      <sz val="10"/>
      <color rgb="FF0070C0"/>
      <name val="Arial"/>
      <family val="2"/>
    </font>
    <font>
      <sz val="8"/>
      <color rgb="FF0000FF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8"/>
      <color indexed="8"/>
      <name val="Arial"/>
      <family val="2"/>
    </font>
    <font>
      <i/>
      <sz val="8"/>
      <color rgb="FF000000"/>
      <name val="Arial"/>
      <family val="2"/>
    </font>
    <font>
      <i/>
      <sz val="8"/>
      <color indexed="8"/>
      <name val="Arial"/>
      <family val="2"/>
    </font>
    <font>
      <sz val="10"/>
      <color rgb="FF0000FF"/>
      <name val="Arial"/>
      <family val="2"/>
    </font>
    <font>
      <i/>
      <sz val="10"/>
      <color rgb="FF000000"/>
      <name val="Arial"/>
      <family val="2"/>
    </font>
    <font>
      <b/>
      <sz val="10"/>
      <color rgb="FF0000FF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theme="0"/>
      <name val="Arial"/>
      <family val="2"/>
    </font>
    <font>
      <sz val="8"/>
      <color theme="0" tint="-0.499984740745262"/>
      <name val="Arial"/>
      <family val="2"/>
    </font>
    <font>
      <sz val="8"/>
      <color rgb="FFC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E0ED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/>
    <xf numFmtId="0" fontId="3" fillId="0" borderId="1" xfId="0" applyFont="1" applyBorder="1"/>
    <xf numFmtId="0" fontId="4" fillId="0" borderId="0" xfId="0" applyFont="1"/>
    <xf numFmtId="0" fontId="5" fillId="0" borderId="2" xfId="0" applyFont="1" applyBorder="1" applyAlignment="1">
      <alignment horizontal="left" vertical="center" indent="1"/>
    </xf>
    <xf numFmtId="0" fontId="6" fillId="0" borderId="0" xfId="0" applyFont="1" applyAlignment="1" applyProtection="1">
      <alignment horizontal="left"/>
      <protection locked="0"/>
    </xf>
    <xf numFmtId="14" fontId="6" fillId="0" borderId="0" xfId="0" applyNumberFormat="1" applyFont="1" applyAlignment="1" applyProtection="1">
      <alignment horizontal="left"/>
      <protection locked="0"/>
    </xf>
    <xf numFmtId="49" fontId="6" fillId="0" borderId="0" xfId="0" applyNumberFormat="1" applyFont="1" applyAlignment="1" applyProtection="1">
      <alignment horizontal="left"/>
      <protection locked="0"/>
    </xf>
    <xf numFmtId="0" fontId="5" fillId="2" borderId="2" xfId="0" applyFont="1" applyFill="1" applyBorder="1" applyAlignment="1">
      <alignment horizontal="left" vertical="center" indent="1"/>
    </xf>
    <xf numFmtId="0" fontId="8" fillId="0" borderId="0" xfId="0" applyFont="1"/>
    <xf numFmtId="0" fontId="9" fillId="0" borderId="0" xfId="0" applyFont="1" applyAlignment="1">
      <alignment wrapText="1"/>
    </xf>
    <xf numFmtId="0" fontId="10" fillId="0" borderId="3" xfId="0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10" fillId="0" borderId="5" xfId="0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vertical="center"/>
    </xf>
    <xf numFmtId="164" fontId="3" fillId="3" borderId="7" xfId="0" applyNumberFormat="1" applyFont="1" applyFill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164" fontId="3" fillId="3" borderId="8" xfId="0" applyNumberFormat="1" applyFont="1" applyFill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12" fillId="0" borderId="12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165" fontId="15" fillId="0" borderId="10" xfId="0" applyNumberFormat="1" applyFont="1" applyBorder="1" applyAlignment="1">
      <alignment vertical="center"/>
    </xf>
    <xf numFmtId="165" fontId="3" fillId="0" borderId="11" xfId="0" applyNumberFormat="1" applyFont="1" applyBorder="1" applyAlignment="1">
      <alignment vertical="center"/>
    </xf>
    <xf numFmtId="165" fontId="15" fillId="3" borderId="13" xfId="0" applyNumberFormat="1" applyFont="1" applyFill="1" applyBorder="1" applyAlignment="1">
      <alignment vertical="center"/>
    </xf>
    <xf numFmtId="165" fontId="3" fillId="3" borderId="0" xfId="0" applyNumberFormat="1" applyFont="1" applyFill="1" applyAlignment="1">
      <alignment vertical="center"/>
    </xf>
    <xf numFmtId="165" fontId="15" fillId="0" borderId="13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165" fontId="15" fillId="0" borderId="11" xfId="0" applyNumberFormat="1" applyFont="1" applyBorder="1" applyAlignment="1">
      <alignment vertical="center"/>
    </xf>
    <xf numFmtId="165" fontId="15" fillId="3" borderId="0" xfId="0" applyNumberFormat="1" applyFont="1" applyFill="1" applyAlignment="1">
      <alignment vertical="center"/>
    </xf>
    <xf numFmtId="165" fontId="15" fillId="0" borderId="0" xfId="0" applyNumberFormat="1" applyFont="1" applyAlignment="1">
      <alignment vertical="center"/>
    </xf>
    <xf numFmtId="165" fontId="9" fillId="0" borderId="3" xfId="0" applyNumberFormat="1" applyFont="1" applyBorder="1" applyAlignment="1">
      <alignment vertical="center"/>
    </xf>
    <xf numFmtId="165" fontId="9" fillId="0" borderId="5" xfId="0" applyNumberFormat="1" applyFont="1" applyBorder="1" applyAlignment="1">
      <alignment vertical="center"/>
    </xf>
    <xf numFmtId="166" fontId="15" fillId="0" borderId="10" xfId="0" applyNumberFormat="1" applyFont="1" applyBorder="1" applyAlignment="1">
      <alignment vertical="center"/>
    </xf>
    <xf numFmtId="166" fontId="15" fillId="3" borderId="13" xfId="0" applyNumberFormat="1" applyFont="1" applyFill="1" applyBorder="1" applyAlignment="1">
      <alignment vertical="center"/>
    </xf>
    <xf numFmtId="166" fontId="15" fillId="0" borderId="13" xfId="0" applyNumberFormat="1" applyFont="1" applyBorder="1" applyAlignment="1">
      <alignment vertical="center"/>
    </xf>
    <xf numFmtId="0" fontId="16" fillId="0" borderId="0" xfId="0" applyFont="1"/>
    <xf numFmtId="166" fontId="15" fillId="3" borderId="14" xfId="0" applyNumberFormat="1" applyFont="1" applyFill="1" applyBorder="1" applyAlignment="1">
      <alignment vertical="center"/>
    </xf>
    <xf numFmtId="166" fontId="9" fillId="0" borderId="3" xfId="0" applyNumberFormat="1" applyFont="1" applyBorder="1" applyAlignment="1">
      <alignment vertical="center"/>
    </xf>
    <xf numFmtId="167" fontId="15" fillId="0" borderId="11" xfId="0" applyNumberFormat="1" applyFont="1" applyBorder="1" applyAlignment="1">
      <alignment vertical="center"/>
    </xf>
    <xf numFmtId="167" fontId="15" fillId="3" borderId="0" xfId="0" applyNumberFormat="1" applyFont="1" applyFill="1" applyAlignment="1">
      <alignment vertical="center"/>
    </xf>
    <xf numFmtId="167" fontId="15" fillId="0" borderId="0" xfId="0" applyNumberFormat="1" applyFont="1" applyAlignment="1">
      <alignment vertical="center"/>
    </xf>
    <xf numFmtId="167" fontId="15" fillId="3" borderId="1" xfId="0" applyNumberFormat="1" applyFont="1" applyFill="1" applyBorder="1" applyAlignment="1">
      <alignment vertical="center"/>
    </xf>
    <xf numFmtId="167" fontId="9" fillId="0" borderId="5" xfId="0" applyNumberFormat="1" applyFont="1" applyBorder="1" applyAlignment="1">
      <alignment vertical="center"/>
    </xf>
    <xf numFmtId="166" fontId="7" fillId="0" borderId="11" xfId="0" applyNumberFormat="1" applyFont="1" applyBorder="1" applyAlignment="1">
      <alignment vertical="center"/>
    </xf>
    <xf numFmtId="166" fontId="7" fillId="3" borderId="0" xfId="0" applyNumberFormat="1" applyFont="1" applyFill="1" applyAlignment="1">
      <alignment vertical="center"/>
    </xf>
    <xf numFmtId="166" fontId="7" fillId="0" borderId="0" xfId="0" applyNumberFormat="1" applyFont="1" applyAlignment="1">
      <alignment vertical="center"/>
    </xf>
    <xf numFmtId="166" fontId="7" fillId="3" borderId="1" xfId="0" applyNumberFormat="1" applyFont="1" applyFill="1" applyBorder="1" applyAlignment="1">
      <alignment vertical="center"/>
    </xf>
    <xf numFmtId="166" fontId="9" fillId="0" borderId="5" xfId="0" applyNumberFormat="1" applyFont="1" applyBorder="1" applyAlignment="1">
      <alignment vertical="center"/>
    </xf>
    <xf numFmtId="168" fontId="9" fillId="0" borderId="4" xfId="0" applyNumberFormat="1" applyFont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165" fontId="3" fillId="3" borderId="13" xfId="0" applyNumberFormat="1" applyFont="1" applyFill="1" applyBorder="1" applyAlignment="1">
      <alignment vertical="center"/>
    </xf>
    <xf numFmtId="165" fontId="3" fillId="0" borderId="13" xfId="0" applyNumberFormat="1" applyFont="1" applyBorder="1" applyAlignment="1">
      <alignment vertical="center"/>
    </xf>
    <xf numFmtId="165" fontId="9" fillId="0" borderId="6" xfId="0" applyNumberFormat="1" applyFont="1" applyBorder="1" applyAlignment="1">
      <alignment vertical="center"/>
    </xf>
    <xf numFmtId="165" fontId="9" fillId="3" borderId="7" xfId="0" applyNumberFormat="1" applyFont="1" applyFill="1" applyBorder="1" applyAlignment="1">
      <alignment vertical="center"/>
    </xf>
    <xf numFmtId="165" fontId="9" fillId="0" borderId="7" xfId="0" applyNumberFormat="1" applyFont="1" applyBorder="1" applyAlignment="1">
      <alignment vertical="center"/>
    </xf>
    <xf numFmtId="0" fontId="9" fillId="0" borderId="9" xfId="0" applyFont="1" applyBorder="1" applyAlignment="1">
      <alignment wrapText="1"/>
    </xf>
    <xf numFmtId="0" fontId="3" fillId="0" borderId="15" xfId="0" applyFont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3" fillId="0" borderId="16" xfId="0" applyFont="1" applyBorder="1" applyAlignment="1">
      <alignment wrapText="1"/>
    </xf>
    <xf numFmtId="165" fontId="9" fillId="0" borderId="4" xfId="0" applyNumberFormat="1" applyFont="1" applyBorder="1" applyAlignment="1">
      <alignment vertical="center"/>
    </xf>
    <xf numFmtId="165" fontId="7" fillId="3" borderId="8" xfId="0" applyNumberFormat="1" applyFont="1" applyFill="1" applyBorder="1" applyAlignment="1">
      <alignment vertical="center"/>
    </xf>
    <xf numFmtId="165" fontId="7" fillId="3" borderId="1" xfId="0" applyNumberFormat="1" applyFont="1" applyFill="1" applyBorder="1" applyAlignment="1">
      <alignment horizontal="right" vertical="center"/>
    </xf>
    <xf numFmtId="165" fontId="7" fillId="3" borderId="1" xfId="0" applyNumberFormat="1" applyFont="1" applyFill="1" applyBorder="1" applyAlignment="1">
      <alignment vertical="center"/>
    </xf>
    <xf numFmtId="165" fontId="17" fillId="0" borderId="5" xfId="0" applyNumberFormat="1" applyFont="1" applyBorder="1" applyAlignment="1">
      <alignment vertical="center"/>
    </xf>
    <xf numFmtId="165" fontId="9" fillId="0" borderId="12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165" fontId="7" fillId="0" borderId="0" xfId="0" applyNumberFormat="1" applyFont="1"/>
    <xf numFmtId="165" fontId="17" fillId="0" borderId="4" xfId="0" applyNumberFormat="1" applyFont="1" applyBorder="1" applyAlignment="1">
      <alignment vertical="center"/>
    </xf>
    <xf numFmtId="165" fontId="7" fillId="0" borderId="10" xfId="0" applyNumberFormat="1" applyFont="1" applyBorder="1" applyAlignment="1">
      <alignment vertical="center"/>
    </xf>
    <xf numFmtId="165" fontId="7" fillId="3" borderId="13" xfId="0" applyNumberFormat="1" applyFont="1" applyFill="1" applyBorder="1" applyAlignment="1">
      <alignment vertical="center"/>
    </xf>
    <xf numFmtId="165" fontId="7" fillId="0" borderId="13" xfId="0" applyNumberFormat="1" applyFont="1" applyBorder="1" applyAlignment="1">
      <alignment vertical="center"/>
    </xf>
    <xf numFmtId="165" fontId="7" fillId="3" borderId="14" xfId="0" applyNumberFormat="1" applyFont="1" applyFill="1" applyBorder="1" applyAlignment="1">
      <alignment vertical="center"/>
    </xf>
    <xf numFmtId="0" fontId="10" fillId="0" borderId="14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169" fontId="10" fillId="0" borderId="10" xfId="0" applyNumberFormat="1" applyFont="1" applyBorder="1" applyAlignment="1">
      <alignment horizontal="left"/>
    </xf>
    <xf numFmtId="0" fontId="7" fillId="0" borderId="6" xfId="0" applyFont="1" applyBorder="1"/>
    <xf numFmtId="0" fontId="18" fillId="0" borderId="10" xfId="0" applyFont="1" applyBorder="1" applyAlignment="1">
      <alignment horizontal="right"/>
    </xf>
    <xf numFmtId="170" fontId="19" fillId="0" borderId="6" xfId="0" applyNumberFormat="1" applyFont="1" applyBorder="1"/>
    <xf numFmtId="0" fontId="18" fillId="0" borderId="13" xfId="0" applyFont="1" applyBorder="1" applyAlignment="1">
      <alignment horizontal="right" vertical="center"/>
    </xf>
    <xf numFmtId="167" fontId="19" fillId="0" borderId="0" xfId="0" applyNumberFormat="1" applyFont="1" applyAlignment="1">
      <alignment vertical="center"/>
    </xf>
    <xf numFmtId="169" fontId="11" fillId="0" borderId="3" xfId="0" applyNumberFormat="1" applyFont="1" applyBorder="1" applyAlignment="1">
      <alignment horizontal="left" vertical="center"/>
    </xf>
    <xf numFmtId="0" fontId="9" fillId="0" borderId="4" xfId="0" applyFont="1" applyBorder="1"/>
    <xf numFmtId="0" fontId="20" fillId="0" borderId="5" xfId="0" applyFont="1" applyBorder="1" applyAlignment="1">
      <alignment horizontal="right" vertical="center"/>
    </xf>
    <xf numFmtId="170" fontId="21" fillId="0" borderId="4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0" fontId="11" fillId="0" borderId="8" xfId="0" applyFont="1" applyBorder="1" applyAlignment="1">
      <alignment horizontal="right" wrapText="1"/>
    </xf>
    <xf numFmtId="0" fontId="7" fillId="0" borderId="0" xfId="0" applyFont="1" applyAlignment="1">
      <alignment horizontal="center" vertical="top"/>
    </xf>
    <xf numFmtId="169" fontId="10" fillId="0" borderId="14" xfId="0" applyNumberFormat="1" applyFont="1" applyBorder="1" applyAlignment="1">
      <alignment horizontal="left" vertical="top"/>
    </xf>
    <xf numFmtId="0" fontId="7" fillId="0" borderId="8" xfId="0" applyFont="1" applyBorder="1" applyAlignment="1">
      <alignment vertical="top"/>
    </xf>
    <xf numFmtId="0" fontId="18" fillId="0" borderId="14" xfId="0" applyFont="1" applyBorder="1" applyAlignment="1">
      <alignment horizontal="right" vertical="top"/>
    </xf>
    <xf numFmtId="170" fontId="19" fillId="0" borderId="8" xfId="0" applyNumberFormat="1" applyFont="1" applyBorder="1" applyAlignment="1">
      <alignment vertical="top"/>
    </xf>
    <xf numFmtId="167" fontId="19" fillId="0" borderId="1" xfId="0" applyNumberFormat="1" applyFont="1" applyBorder="1" applyAlignment="1">
      <alignment vertical="top"/>
    </xf>
    <xf numFmtId="171" fontId="7" fillId="0" borderId="9" xfId="0" applyNumberFormat="1" applyFont="1" applyBorder="1" applyAlignment="1">
      <alignment horizontal="right" vertical="center"/>
    </xf>
    <xf numFmtId="171" fontId="7" fillId="3" borderId="15" xfId="0" applyNumberFormat="1" applyFont="1" applyFill="1" applyBorder="1" applyAlignment="1">
      <alignment horizontal="right" vertical="center"/>
    </xf>
    <xf numFmtId="171" fontId="7" fillId="0" borderId="15" xfId="0" applyNumberFormat="1" applyFont="1" applyBorder="1" applyAlignment="1">
      <alignment horizontal="right" vertical="center"/>
    </xf>
    <xf numFmtId="172" fontId="7" fillId="0" borderId="11" xfId="0" applyNumberFormat="1" applyFont="1" applyBorder="1" applyAlignment="1">
      <alignment horizontal="right" vertical="center"/>
    </xf>
    <xf numFmtId="172" fontId="7" fillId="3" borderId="0" xfId="0" applyNumberFormat="1" applyFont="1" applyFill="1" applyAlignment="1">
      <alignment horizontal="right" vertical="center"/>
    </xf>
    <xf numFmtId="172" fontId="7" fillId="0" borderId="0" xfId="0" applyNumberFormat="1" applyFont="1" applyAlignment="1">
      <alignment horizontal="right" vertical="center"/>
    </xf>
    <xf numFmtId="172" fontId="7" fillId="3" borderId="1" xfId="0" applyNumberFormat="1" applyFont="1" applyFill="1" applyBorder="1" applyAlignment="1">
      <alignment horizontal="right" vertical="center"/>
    </xf>
    <xf numFmtId="0" fontId="7" fillId="0" borderId="9" xfId="0" applyFont="1" applyBorder="1" applyAlignment="1">
      <alignment horizontal="left" vertical="center"/>
    </xf>
    <xf numFmtId="0" fontId="14" fillId="0" borderId="12" xfId="0" applyFont="1" applyBorder="1" applyAlignment="1">
      <alignment horizontal="right" vertical="center"/>
    </xf>
    <xf numFmtId="0" fontId="7" fillId="0" borderId="0" xfId="0" applyFont="1" applyAlignment="1">
      <alignment wrapText="1"/>
    </xf>
    <xf numFmtId="0" fontId="7" fillId="0" borderId="16" xfId="0" applyFont="1" applyBorder="1" applyAlignment="1">
      <alignment wrapText="1"/>
    </xf>
    <xf numFmtId="0" fontId="13" fillId="0" borderId="5" xfId="0" applyFont="1" applyBorder="1" applyAlignment="1">
      <alignment horizontal="right" vertical="center"/>
    </xf>
    <xf numFmtId="0" fontId="7" fillId="0" borderId="15" xfId="0" applyFont="1" applyBorder="1" applyAlignment="1">
      <alignment horizontal="left" vertical="center"/>
    </xf>
    <xf numFmtId="165" fontId="7" fillId="0" borderId="6" xfId="0" applyNumberFormat="1" applyFont="1" applyBorder="1" applyAlignment="1">
      <alignment vertical="center"/>
    </xf>
    <xf numFmtId="165" fontId="7" fillId="0" borderId="11" xfId="0" applyNumberFormat="1" applyFont="1" applyBorder="1" applyAlignment="1">
      <alignment horizontal="right" vertical="center"/>
    </xf>
    <xf numFmtId="165" fontId="7" fillId="0" borderId="11" xfId="0" applyNumberFormat="1" applyFont="1" applyBorder="1" applyAlignment="1">
      <alignment vertical="center"/>
    </xf>
    <xf numFmtId="0" fontId="7" fillId="3" borderId="15" xfId="0" applyFont="1" applyFill="1" applyBorder="1" applyAlignment="1">
      <alignment horizontal="left" vertical="center"/>
    </xf>
    <xf numFmtId="165" fontId="7" fillId="3" borderId="7" xfId="0" applyNumberFormat="1" applyFont="1" applyFill="1" applyBorder="1" applyAlignment="1">
      <alignment vertical="center"/>
    </xf>
    <xf numFmtId="165" fontId="7" fillId="3" borderId="0" xfId="0" applyNumberFormat="1" applyFont="1" applyFill="1" applyAlignment="1">
      <alignment horizontal="right" vertical="center"/>
    </xf>
    <xf numFmtId="165" fontId="7" fillId="3" borderId="0" xfId="0" applyNumberFormat="1" applyFont="1" applyFill="1" applyAlignment="1">
      <alignment vertical="center"/>
    </xf>
    <xf numFmtId="165" fontId="7" fillId="0" borderId="7" xfId="0" applyNumberFormat="1" applyFont="1" applyBorder="1" applyAlignment="1">
      <alignment vertical="center"/>
    </xf>
    <xf numFmtId="165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vertical="center"/>
    </xf>
    <xf numFmtId="0" fontId="9" fillId="0" borderId="0" xfId="0" applyFont="1"/>
    <xf numFmtId="0" fontId="1" fillId="4" borderId="9" xfId="0" applyFont="1" applyFill="1" applyBorder="1"/>
    <xf numFmtId="0" fontId="1" fillId="4" borderId="15" xfId="0" applyFont="1" applyFill="1" applyBorder="1"/>
    <xf numFmtId="0" fontId="1" fillId="4" borderId="16" xfId="0" applyFont="1" applyFill="1" applyBorder="1"/>
    <xf numFmtId="0" fontId="2" fillId="5" borderId="12" xfId="0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1" fontId="1" fillId="6" borderId="12" xfId="0" applyNumberFormat="1" applyFont="1" applyFill="1" applyBorder="1" applyAlignment="1">
      <alignment horizontal="left" vertical="center"/>
    </xf>
    <xf numFmtId="0" fontId="1" fillId="7" borderId="12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/>
    </xf>
    <xf numFmtId="0" fontId="1" fillId="6" borderId="15" xfId="0" applyFont="1" applyFill="1" applyBorder="1" applyAlignment="1">
      <alignment horizontal="left"/>
    </xf>
    <xf numFmtId="0" fontId="1" fillId="6" borderId="16" xfId="0" applyFont="1" applyFill="1" applyBorder="1" applyAlignment="1">
      <alignment horizontal="left"/>
    </xf>
    <xf numFmtId="0" fontId="2" fillId="6" borderId="9" xfId="0" applyFont="1" applyFill="1" applyBorder="1" applyAlignment="1">
      <alignment horizontal="left"/>
    </xf>
    <xf numFmtId="0" fontId="22" fillId="8" borderId="0" xfId="0" applyFont="1" applyFill="1"/>
    <xf numFmtId="0" fontId="2" fillId="0" borderId="0" xfId="0" applyFont="1"/>
    <xf numFmtId="0" fontId="1" fillId="0" borderId="0" xfId="0" applyFont="1" applyAlignment="1">
      <alignment horizontal="left"/>
    </xf>
    <xf numFmtId="14" fontId="1" fillId="9" borderId="12" xfId="0" applyNumberFormat="1" applyFont="1" applyFill="1" applyBorder="1" applyAlignment="1">
      <alignment vertical="center"/>
    </xf>
    <xf numFmtId="0" fontId="23" fillId="0" borderId="0" xfId="0" applyFont="1"/>
    <xf numFmtId="49" fontId="1" fillId="9" borderId="12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left"/>
    </xf>
    <xf numFmtId="0" fontId="7" fillId="2" borderId="2" xfId="0" applyFont="1" applyFill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inden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right" wrapText="1"/>
    </xf>
    <xf numFmtId="0" fontId="10" fillId="0" borderId="16" xfId="0" applyFont="1" applyBorder="1" applyAlignment="1">
      <alignment horizontal="right" wrapText="1"/>
    </xf>
    <xf numFmtId="0" fontId="10" fillId="0" borderId="10" xfId="0" applyFont="1" applyBorder="1" applyAlignment="1">
      <alignment horizontal="right" wrapText="1"/>
    </xf>
    <xf numFmtId="0" fontId="10" fillId="0" borderId="14" xfId="0" applyFont="1" applyBorder="1" applyAlignment="1">
      <alignment horizontal="right" wrapText="1"/>
    </xf>
    <xf numFmtId="0" fontId="10" fillId="0" borderId="11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0" fontId="10" fillId="0" borderId="8" xfId="0" applyFont="1" applyBorder="1" applyAlignment="1">
      <alignment horizontal="right" wrapText="1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1">
    <cellStyle name="Standard" xfId="0" builtinId="0"/>
  </cellStyles>
  <dxfs count="5">
    <dxf>
      <fill>
        <patternFill patternType="lightUp">
          <fgColor indexed="39"/>
        </patternFill>
      </fill>
    </dxf>
    <dxf>
      <fill>
        <patternFill patternType="lightUp">
          <fgColor indexed="39"/>
        </patternFill>
      </fill>
    </dxf>
    <dxf>
      <fill>
        <patternFill patternType="lightUp">
          <fgColor indexed="39"/>
        </patternFill>
      </fill>
    </dxf>
    <dxf>
      <fill>
        <patternFill patternType="lightUp">
          <fgColor indexed="39"/>
        </patternFill>
      </fill>
    </dxf>
    <dxf>
      <fill>
        <patternFill patternType="lightUp">
          <fgColor indexed="3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Drop" dropLines="4" dropStyle="combo" dx="26" fmlaLink="DFIE!$D$7" fmlaRange="DFIE!$D$3:$D$6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628650</xdr:colOff>
      <xdr:row>6</xdr:row>
      <xdr:rowOff>38100</xdr:rowOff>
    </xdr:from>
    <xdr:to>
      <xdr:col>3</xdr:col>
      <xdr:colOff>857250</xdr:colOff>
      <xdr:row>7</xdr:row>
      <xdr:rowOff>114300</xdr:rowOff>
    </xdr:to>
    <xdr:sp macro="" textlink="">
      <xdr:nvSpPr>
        <xdr:cNvPr id="1029" name="Drop Down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0</xdr:row>
      <xdr:rowOff>123825</xdr:rowOff>
    </xdr:from>
    <xdr:to>
      <xdr:col>2</xdr:col>
      <xdr:colOff>977900</xdr:colOff>
      <xdr:row>3</xdr:row>
      <xdr:rowOff>79375</xdr:rowOff>
    </xdr:to>
    <xdr:pic>
      <xdr:nvPicPr>
        <xdr:cNvPr id="7" name="Picture 37" descr="Logo_CMYK_po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123825"/>
          <a:ext cx="1997075" cy="50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502920</xdr:colOff>
          <xdr:row>6</xdr:row>
          <xdr:rowOff>30480</xdr:rowOff>
        </xdr:from>
        <xdr:to>
          <xdr:col>3</xdr:col>
          <xdr:colOff>685800</xdr:colOff>
          <xdr:row>7</xdr:row>
          <xdr:rowOff>91440</xdr:rowOff>
        </xdr:to>
        <xdr:sp macro="" textlink="">
          <xdr:nvSpPr>
            <xdr:cNvPr id="2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1:E43"/>
  <sheetViews>
    <sheetView showGridLines="0" showRowColHeaders="0" tabSelected="1" zoomScaleNormal="100" workbookViewId="0">
      <selection activeCell="A50" sqref="A50"/>
    </sheetView>
  </sheetViews>
  <sheetFormatPr baseColWidth="10" defaultRowHeight="13.2" x14ac:dyDescent="0.25"/>
  <cols>
    <col min="1" max="1" width="2.6640625" customWidth="1"/>
    <col min="2" max="3" width="15.6640625" customWidth="1"/>
    <col min="4" max="4" width="23.6640625" customWidth="1"/>
    <col min="5" max="5" width="31.6640625" customWidth="1"/>
  </cols>
  <sheetData>
    <row r="1" spans="2:5" ht="18" customHeight="1" x14ac:dyDescent="0.25">
      <c r="E1" s="1" t="str">
        <f ca="1">DFIE!$B$10</f>
        <v>Eidgenössisches Finanzdepartement EFD</v>
      </c>
    </row>
    <row r="2" spans="2:5" x14ac:dyDescent="0.25">
      <c r="E2" s="2" t="str">
        <f ca="1">DFIE!$B$11</f>
        <v>Eidgenössische Finanzverwaltung EFV</v>
      </c>
    </row>
    <row r="7" spans="2:5" x14ac:dyDescent="0.25">
      <c r="B7" s="5" t="s">
        <v>11</v>
      </c>
    </row>
    <row r="8" spans="2:5" x14ac:dyDescent="0.25">
      <c r="B8" s="5" t="s">
        <v>12</v>
      </c>
    </row>
    <row r="9" spans="2:5" x14ac:dyDescent="0.25">
      <c r="B9" s="5" t="s">
        <v>13</v>
      </c>
    </row>
    <row r="10" spans="2:5" x14ac:dyDescent="0.25">
      <c r="B10" s="5" t="s">
        <v>14</v>
      </c>
    </row>
    <row r="13" spans="2:5" ht="21" customHeight="1" x14ac:dyDescent="0.3">
      <c r="B13" s="11" t="str">
        <f ca="1">DFIE!$B$12</f>
        <v>Finanzausgleich zwischen Bund und Kantonen</v>
      </c>
    </row>
    <row r="14" spans="2:5" ht="21" customHeight="1" x14ac:dyDescent="0.3">
      <c r="B14" s="11" t="str">
        <f ca="1">DFIE!$B$13</f>
        <v>Temporäre Massnahmen 2027</v>
      </c>
    </row>
    <row r="15" spans="2:5" ht="15" customHeight="1" x14ac:dyDescent="0.25"/>
    <row r="16" spans="2:5" ht="15" customHeight="1" x14ac:dyDescent="0.25"/>
    <row r="17" spans="2:5" ht="20.25" customHeight="1" x14ac:dyDescent="0.25">
      <c r="B17" s="10" t="s">
        <v>54</v>
      </c>
      <c r="C17" s="145" t="str">
        <f ca="1">DFIE!$B$14</f>
        <v>Härteausgleich</v>
      </c>
      <c r="D17" s="145"/>
      <c r="E17" s="145"/>
    </row>
    <row r="18" spans="2:5" ht="20.25" customHeight="1" x14ac:dyDescent="0.25">
      <c r="B18" s="10" t="s">
        <v>180</v>
      </c>
      <c r="C18" s="145" t="str">
        <f ca="1">DFIE!$B$15</f>
        <v>Ergänzungsbeitrag</v>
      </c>
      <c r="D18" s="145"/>
      <c r="E18" s="145"/>
    </row>
    <row r="19" spans="2:5" ht="16.5" customHeight="1" x14ac:dyDescent="0.25">
      <c r="B19" s="6"/>
      <c r="C19" s="146"/>
      <c r="D19" s="146"/>
      <c r="E19" s="146"/>
    </row>
    <row r="20" spans="2:5" ht="20.25" customHeight="1" x14ac:dyDescent="0.25"/>
    <row r="21" spans="2:5" ht="20.25" customHeight="1" x14ac:dyDescent="0.25"/>
    <row r="22" spans="2:5" ht="20.25" customHeight="1" x14ac:dyDescent="0.25"/>
    <row r="23" spans="2:5" ht="20.25" customHeight="1" x14ac:dyDescent="0.25"/>
    <row r="24" spans="2:5" ht="20.25" customHeight="1" x14ac:dyDescent="0.25"/>
    <row r="25" spans="2:5" ht="20.25" customHeight="1" x14ac:dyDescent="0.25"/>
    <row r="26" spans="2:5" ht="20.25" customHeight="1" x14ac:dyDescent="0.25"/>
    <row r="27" spans="2:5" ht="20.25" customHeight="1" x14ac:dyDescent="0.25"/>
    <row r="28" spans="2:5" ht="20.25" customHeight="1" x14ac:dyDescent="0.25"/>
    <row r="29" spans="2:5" ht="20.25" customHeight="1" x14ac:dyDescent="0.25"/>
    <row r="30" spans="2:5" ht="20.25" customHeight="1" x14ac:dyDescent="0.25"/>
    <row r="31" spans="2:5" ht="20.25" customHeight="1" x14ac:dyDescent="0.25"/>
    <row r="32" spans="2:5" ht="20.25" customHeight="1" x14ac:dyDescent="0.25"/>
    <row r="33" spans="2:5" ht="20.25" customHeight="1" x14ac:dyDescent="0.25"/>
    <row r="34" spans="2:5" ht="20.25" customHeight="1" x14ac:dyDescent="0.25"/>
    <row r="35" spans="2:5" ht="20.25" customHeight="1" x14ac:dyDescent="0.25"/>
    <row r="36" spans="2:5" ht="20.25" customHeight="1" x14ac:dyDescent="0.25"/>
    <row r="37" spans="2:5" ht="20.25" customHeight="1" x14ac:dyDescent="0.25"/>
    <row r="38" spans="2:5" ht="20.25" customHeight="1" x14ac:dyDescent="0.25"/>
    <row r="39" spans="2:5" ht="20.25" customHeight="1" x14ac:dyDescent="0.25">
      <c r="B39" s="4"/>
      <c r="C39" s="4"/>
      <c r="D39" s="4"/>
      <c r="E39" s="4"/>
    </row>
    <row r="41" spans="2:5" x14ac:dyDescent="0.25">
      <c r="B41" s="3"/>
      <c r="C41" s="3" t="str">
        <f ca="1">DFIE!$B$16</f>
        <v>Referenzjahr</v>
      </c>
      <c r="D41" s="7">
        <v>2027</v>
      </c>
    </row>
    <row r="42" spans="2:5" x14ac:dyDescent="0.25">
      <c r="B42" s="3"/>
      <c r="C42" s="3" t="str">
        <f ca="1">DFIE!$B$17</f>
        <v>Berechnungsdatum</v>
      </c>
      <c r="D42" s="8" t="s">
        <v>232</v>
      </c>
    </row>
    <row r="43" spans="2:5" x14ac:dyDescent="0.25">
      <c r="B43" s="3"/>
      <c r="C43" s="3" t="str">
        <f ca="1">DFIE!$B$18</f>
        <v>Berechnungs-ID</v>
      </c>
      <c r="D43" s="9" t="s">
        <v>233</v>
      </c>
    </row>
  </sheetData>
  <mergeCells count="3">
    <mergeCell ref="C17:E17"/>
    <mergeCell ref="C18:E18"/>
    <mergeCell ref="C19:E19"/>
  </mergeCells>
  <conditionalFormatting sqref="D41:D43">
    <cfRule type="expression" dxfId="4" priority="1" stopIfTrue="1">
      <formula>ISBLANK(D41)</formula>
    </cfRule>
  </conditionalFormatting>
  <hyperlinks>
    <hyperlink ref="B17" location="HA!A1" display="HA" xr:uid="{00000000-0004-0000-0000-000000000000}"/>
    <hyperlink ref="B18" location="EB!A1" display="EB" xr:uid="{00000000-0004-0000-0000-000001000000}"/>
  </hyperlinks>
  <pageMargins left="0.7" right="0.54" top="0.78740157499999996" bottom="0.78740157499999996" header="0.3" footer="0.3"/>
  <pageSetup paperSize="9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3" name="Drop Down 5">
              <controlPr defaultSize="0" autoLine="0" autoPict="0">
                <anchor moveWithCells="1">
                  <from>
                    <xdr:col>2</xdr:col>
                    <xdr:colOff>502920</xdr:colOff>
                    <xdr:row>6</xdr:row>
                    <xdr:rowOff>30480</xdr:rowOff>
                  </from>
                  <to>
                    <xdr:col>3</xdr:col>
                    <xdr:colOff>685800</xdr:colOff>
                    <xdr:row>7</xdr:row>
                    <xdr:rowOff>91440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L32"/>
  <sheetViews>
    <sheetView showGridLines="0" workbookViewId="0">
      <selection activeCell="A50" sqref="A50"/>
    </sheetView>
  </sheetViews>
  <sheetFormatPr baseColWidth="10" defaultRowHeight="13.2" x14ac:dyDescent="0.25"/>
  <cols>
    <col min="1" max="1" width="1.6640625" customWidth="1"/>
    <col min="2" max="2" width="16.6640625" customWidth="1"/>
    <col min="3" max="11" width="12.6640625" customWidth="1"/>
  </cols>
  <sheetData>
    <row r="1" spans="1:12" ht="22.5" customHeight="1" x14ac:dyDescent="0.3">
      <c r="B1" s="23" t="str">
        <f ca="1">DFIE!$B$52</f>
        <v>Härteausgleich 2027</v>
      </c>
      <c r="C1" s="23"/>
      <c r="D1" s="23"/>
      <c r="E1" s="23"/>
      <c r="F1" s="23"/>
      <c r="G1" s="23"/>
      <c r="H1" s="23"/>
      <c r="I1" s="23"/>
      <c r="J1" s="23"/>
      <c r="K1" s="23"/>
      <c r="L1" s="11"/>
    </row>
    <row r="2" spans="1:12" ht="22.5" customHeight="1" x14ac:dyDescent="0.25">
      <c r="B2" s="43" t="str">
        <f ca="1">DFIE!$B$53</f>
        <v>(+) Belastung Kanton; (-) Entlastung Kanton</v>
      </c>
    </row>
    <row r="3" spans="1:12" ht="16.5" customHeight="1" x14ac:dyDescent="0.25">
      <c r="A3" s="12"/>
      <c r="B3" s="63"/>
      <c r="C3" s="147" t="str">
        <f ca="1">DFIE!$B$54</f>
        <v>Basisdaten</v>
      </c>
      <c r="D3" s="148"/>
      <c r="E3" s="147" t="str">
        <f ca="1">DFIE!$B$57</f>
        <v>Anspruch auf Härteausgleich</v>
      </c>
      <c r="F3" s="148"/>
      <c r="G3" s="148"/>
      <c r="H3" s="149"/>
      <c r="I3" s="150" t="str">
        <f ca="1">DFIE!$B$62</f>
        <v>Härteausgleich</v>
      </c>
      <c r="J3" s="151"/>
      <c r="K3" s="152"/>
    </row>
    <row r="4" spans="1:12" ht="51" customHeight="1" x14ac:dyDescent="0.25">
      <c r="A4" s="22"/>
      <c r="B4" s="67"/>
      <c r="C4" s="13" t="str">
        <f ca="1">DFIE!$B$55</f>
        <v>Basisbetrag
Auszahlung</v>
      </c>
      <c r="D4" s="14" t="str">
        <f ca="1">DFIE!$B$56</f>
        <v>Basisbetrag
Einzahlung</v>
      </c>
      <c r="E4" s="13" t="str">
        <f ca="1">DFIE!$B$58</f>
        <v>Berechtigung
Vorjahr</v>
      </c>
      <c r="F4" s="15" t="str">
        <f ca="1">DFIE!$B$59</f>
        <v>Ressourcen-
index 
2027</v>
      </c>
      <c r="G4" s="15" t="str">
        <f ca="1">DFIE!$B$60</f>
        <v>Berechtigung 
2027</v>
      </c>
      <c r="H4" s="14" t="str">
        <f ca="1">DFIE!$B$61</f>
        <v>Reduktion
5% pro Jahr
ab 2016</v>
      </c>
      <c r="I4" s="13" t="str">
        <f ca="1">DFIE!$B$63</f>
        <v>Auszahlung</v>
      </c>
      <c r="J4" s="15" t="str">
        <f ca="1">DFIE!$B$64</f>
        <v>Einzahlung</v>
      </c>
      <c r="K4" s="16" t="str">
        <f ca="1">DFIE!$B$65</f>
        <v>Total</v>
      </c>
    </row>
    <row r="5" spans="1:12" x14ac:dyDescent="0.25">
      <c r="B5" s="24" t="str">
        <f ca="1">DFIE!$B$19</f>
        <v>Einheit</v>
      </c>
      <c r="C5" s="25" t="str">
        <f ca="1">DFIE!$B$20</f>
        <v>CHF</v>
      </c>
      <c r="D5" s="26" t="str">
        <f ca="1">DFIE!$B$20</f>
        <v>CHF</v>
      </c>
      <c r="E5" s="27" t="str">
        <f ca="1">DFIE!$B$24</f>
        <v>0 / 1</v>
      </c>
      <c r="F5" s="26" t="str">
        <f ca="1">DFIE!$B$21</f>
        <v>Punkte</v>
      </c>
      <c r="G5" s="26" t="str">
        <f ca="1">DFIE!$B$24</f>
        <v>0 / 1</v>
      </c>
      <c r="H5" s="28" t="str">
        <f ca="1">DFIE!$B$22</f>
        <v>Prozent</v>
      </c>
      <c r="I5" s="27" t="str">
        <f ca="1">DFIE!$B$20</f>
        <v>CHF</v>
      </c>
      <c r="J5" s="26" t="str">
        <f ca="1">DFIE!$B$20</f>
        <v>CHF</v>
      </c>
      <c r="K5" s="28" t="str">
        <f ca="1">DFIE!$B$20</f>
        <v>CHF</v>
      </c>
    </row>
    <row r="6" spans="1:12" ht="15" customHeight="1" x14ac:dyDescent="0.25">
      <c r="B6" s="21" t="str">
        <f ca="1">DFIE!$B$25</f>
        <v>Zürich</v>
      </c>
      <c r="C6" s="29">
        <v>0</v>
      </c>
      <c r="D6" s="35">
        <v>24286085.4130513</v>
      </c>
      <c r="E6" s="40">
        <v>0</v>
      </c>
      <c r="F6" s="46">
        <v>115.010379393446</v>
      </c>
      <c r="G6" s="51">
        <f>IF(AND($E6=1,$F6&gt;100),0,$E6)</f>
        <v>0</v>
      </c>
      <c r="H6" s="17">
        <f>$G6 * MAX(0,DFIE!$G$3-2015)*0.05</f>
        <v>0</v>
      </c>
      <c r="I6" s="57">
        <f t="shared" ref="I6:I31" si="0">$C6*$G6*(1-$H6)</f>
        <v>0</v>
      </c>
      <c r="J6" s="30">
        <f t="shared" ref="J6:J31" si="1">-$I$32/3*$D6/$D$32</f>
        <v>7887373.9314759821</v>
      </c>
      <c r="K6" s="60">
        <f t="shared" ref="K6:K31" si="2">SUM(I6:J6)</f>
        <v>7887373.9314759821</v>
      </c>
    </row>
    <row r="7" spans="1:12" ht="15" customHeight="1" x14ac:dyDescent="0.25">
      <c r="B7" s="65" t="str">
        <f ca="1">DFIE!$B$26</f>
        <v>Bern</v>
      </c>
      <c r="C7" s="31">
        <v>-52134660.474797197</v>
      </c>
      <c r="D7" s="36">
        <v>18949264.042131498</v>
      </c>
      <c r="E7" s="41">
        <v>1</v>
      </c>
      <c r="F7" s="47">
        <v>71.383318389922295</v>
      </c>
      <c r="G7" s="52">
        <f t="shared" ref="G7:G31" si="3">IF(AND($E7=1,$F7&gt;100),0,$E7)</f>
        <v>1</v>
      </c>
      <c r="H7" s="18">
        <f>$G7 * MAX(0,DFIE!$G$3-2015)*0.05</f>
        <v>0.60000000000000009</v>
      </c>
      <c r="I7" s="58">
        <f t="shared" si="0"/>
        <v>-20853864.189918876</v>
      </c>
      <c r="J7" s="32">
        <f t="shared" si="1"/>
        <v>6154138.4164878074</v>
      </c>
      <c r="K7" s="61">
        <f t="shared" si="2"/>
        <v>-14699725.773431068</v>
      </c>
    </row>
    <row r="8" spans="1:12" ht="15" customHeight="1" x14ac:dyDescent="0.25">
      <c r="B8" s="64" t="str">
        <f ca="1">DFIE!$B$27</f>
        <v>Luzern</v>
      </c>
      <c r="C8" s="33">
        <v>-23692068.720164701</v>
      </c>
      <c r="D8" s="37">
        <v>6870563.7981272899</v>
      </c>
      <c r="E8" s="42">
        <v>1</v>
      </c>
      <c r="F8" s="48">
        <v>95.208839557677805</v>
      </c>
      <c r="G8" s="53">
        <f t="shared" si="3"/>
        <v>1</v>
      </c>
      <c r="H8" s="19">
        <f>$G8 * MAX(0,DFIE!$G$3-2015)*0.05</f>
        <v>0.60000000000000009</v>
      </c>
      <c r="I8" s="59">
        <f t="shared" si="0"/>
        <v>-9476827.4880658779</v>
      </c>
      <c r="J8" s="34">
        <f t="shared" si="1"/>
        <v>2231347.9045400131</v>
      </c>
      <c r="K8" s="62">
        <f t="shared" si="2"/>
        <v>-7245479.5835258644</v>
      </c>
    </row>
    <row r="9" spans="1:12" ht="15" customHeight="1" x14ac:dyDescent="0.25">
      <c r="B9" s="65" t="str">
        <f ca="1">DFIE!$B$28</f>
        <v>Uri</v>
      </c>
      <c r="C9" s="31">
        <v>0</v>
      </c>
      <c r="D9" s="36">
        <v>688721.61246709595</v>
      </c>
      <c r="E9" s="41">
        <v>0</v>
      </c>
      <c r="F9" s="47">
        <v>68.651718975230807</v>
      </c>
      <c r="G9" s="52">
        <f t="shared" si="3"/>
        <v>0</v>
      </c>
      <c r="H9" s="18">
        <f>$G9 * MAX(0,DFIE!$G$3-2015)*0.05</f>
        <v>0</v>
      </c>
      <c r="I9" s="58">
        <f t="shared" si="0"/>
        <v>0</v>
      </c>
      <c r="J9" s="32">
        <f t="shared" si="1"/>
        <v>223675.60682701951</v>
      </c>
      <c r="K9" s="61">
        <f t="shared" si="2"/>
        <v>223675.60682701951</v>
      </c>
    </row>
    <row r="10" spans="1:12" ht="15" customHeight="1" x14ac:dyDescent="0.25">
      <c r="B10" s="64" t="str">
        <f ca="1">DFIE!$B$29</f>
        <v>Schwyz</v>
      </c>
      <c r="C10" s="33">
        <v>0</v>
      </c>
      <c r="D10" s="37">
        <v>2542570.9483454698</v>
      </c>
      <c r="E10" s="42">
        <v>0</v>
      </c>
      <c r="F10" s="48">
        <v>186.31665061586801</v>
      </c>
      <c r="G10" s="53">
        <f t="shared" si="3"/>
        <v>0</v>
      </c>
      <c r="H10" s="19">
        <f>$G10 * MAX(0,DFIE!$G$3-2015)*0.05</f>
        <v>0</v>
      </c>
      <c r="I10" s="59">
        <f t="shared" si="0"/>
        <v>0</v>
      </c>
      <c r="J10" s="34">
        <f t="shared" si="1"/>
        <v>825748.87948516919</v>
      </c>
      <c r="K10" s="62">
        <f t="shared" si="2"/>
        <v>825748.87948516919</v>
      </c>
    </row>
    <row r="11" spans="1:12" ht="15" customHeight="1" x14ac:dyDescent="0.25">
      <c r="B11" s="65" t="str">
        <f ca="1">DFIE!$B$30</f>
        <v>Obwalden</v>
      </c>
      <c r="C11" s="31">
        <v>-9441566.0601810291</v>
      </c>
      <c r="D11" s="36">
        <v>639854.84503296704</v>
      </c>
      <c r="E11" s="41">
        <v>0</v>
      </c>
      <c r="F11" s="47">
        <v>105.74461534675</v>
      </c>
      <c r="G11" s="52">
        <f t="shared" si="3"/>
        <v>0</v>
      </c>
      <c r="H11" s="18">
        <f>$G11 * MAX(0,DFIE!$G$3-2015)*0.05</f>
        <v>0</v>
      </c>
      <c r="I11" s="58">
        <f t="shared" si="0"/>
        <v>0</v>
      </c>
      <c r="J11" s="32">
        <f t="shared" si="1"/>
        <v>207805.18304236469</v>
      </c>
      <c r="K11" s="61">
        <f t="shared" si="2"/>
        <v>207805.18304236469</v>
      </c>
    </row>
    <row r="12" spans="1:12" ht="15" customHeight="1" x14ac:dyDescent="0.25">
      <c r="B12" s="64" t="str">
        <f ca="1">DFIE!$B$31</f>
        <v>Nidwalden</v>
      </c>
      <c r="C12" s="33">
        <v>0</v>
      </c>
      <c r="D12" s="37">
        <v>733888.97083074704</v>
      </c>
      <c r="E12" s="42">
        <v>0</v>
      </c>
      <c r="F12" s="48">
        <v>158.57033225760699</v>
      </c>
      <c r="G12" s="53">
        <f t="shared" si="3"/>
        <v>0</v>
      </c>
      <c r="H12" s="19">
        <f>$G12 * MAX(0,DFIE!$G$3-2015)*0.05</f>
        <v>0</v>
      </c>
      <c r="I12" s="59">
        <f t="shared" si="0"/>
        <v>0</v>
      </c>
      <c r="J12" s="34">
        <f t="shared" si="1"/>
        <v>238344.57627401184</v>
      </c>
      <c r="K12" s="62">
        <f t="shared" si="2"/>
        <v>238344.57627401184</v>
      </c>
    </row>
    <row r="13" spans="1:12" ht="15" customHeight="1" x14ac:dyDescent="0.25">
      <c r="B13" s="65" t="str">
        <f ca="1">DFIE!$B$32</f>
        <v>Glarus</v>
      </c>
      <c r="C13" s="31">
        <v>-8168756.9818985704</v>
      </c>
      <c r="D13" s="36">
        <v>762360.79302097706</v>
      </c>
      <c r="E13" s="41">
        <v>1</v>
      </c>
      <c r="F13" s="47">
        <v>70.156241284437399</v>
      </c>
      <c r="G13" s="52">
        <f t="shared" si="3"/>
        <v>1</v>
      </c>
      <c r="H13" s="18">
        <f>$G13 * MAX(0,DFIE!$G$3-2015)*0.05</f>
        <v>0.60000000000000009</v>
      </c>
      <c r="I13" s="58">
        <f t="shared" si="0"/>
        <v>-3267502.7927594273</v>
      </c>
      <c r="J13" s="32">
        <f t="shared" si="1"/>
        <v>247591.34883144329</v>
      </c>
      <c r="K13" s="61">
        <f t="shared" si="2"/>
        <v>-3019911.4439279842</v>
      </c>
    </row>
    <row r="14" spans="1:12" ht="15" customHeight="1" x14ac:dyDescent="0.25">
      <c r="B14" s="64" t="str">
        <f ca="1">DFIE!$B$33</f>
        <v>Zug</v>
      </c>
      <c r="C14" s="33">
        <v>0</v>
      </c>
      <c r="D14" s="37">
        <v>1952284.1962757199</v>
      </c>
      <c r="E14" s="42">
        <v>0</v>
      </c>
      <c r="F14" s="48">
        <v>299.81681711596201</v>
      </c>
      <c r="G14" s="53">
        <f t="shared" si="3"/>
        <v>0</v>
      </c>
      <c r="H14" s="19">
        <f>$G14 * MAX(0,DFIE!$G$3-2015)*0.05</f>
        <v>0</v>
      </c>
      <c r="I14" s="59">
        <f t="shared" si="0"/>
        <v>0</v>
      </c>
      <c r="J14" s="34">
        <f t="shared" si="1"/>
        <v>634041.88919893117</v>
      </c>
      <c r="K14" s="62">
        <f t="shared" si="2"/>
        <v>634041.88919893117</v>
      </c>
    </row>
    <row r="15" spans="1:12" ht="15" customHeight="1" x14ac:dyDescent="0.25">
      <c r="B15" s="65" t="str">
        <f ca="1">DFIE!$B$34</f>
        <v>Freiburg</v>
      </c>
      <c r="C15" s="31">
        <v>-137280029.77121201</v>
      </c>
      <c r="D15" s="36">
        <v>4717624.0527269002</v>
      </c>
      <c r="E15" s="41">
        <v>1</v>
      </c>
      <c r="F15" s="47">
        <v>71.601372651943606</v>
      </c>
      <c r="G15" s="52">
        <f t="shared" si="3"/>
        <v>1</v>
      </c>
      <c r="H15" s="18">
        <f>$G15 * MAX(0,DFIE!$G$3-2015)*0.05</f>
        <v>0.60000000000000009</v>
      </c>
      <c r="I15" s="58">
        <f t="shared" si="0"/>
        <v>-54912011.908484794</v>
      </c>
      <c r="J15" s="32">
        <f t="shared" si="1"/>
        <v>1532139.2616030995</v>
      </c>
      <c r="K15" s="61">
        <f t="shared" si="2"/>
        <v>-53379872.646881692</v>
      </c>
    </row>
    <row r="16" spans="1:12" ht="15" customHeight="1" x14ac:dyDescent="0.25">
      <c r="B16" s="64" t="str">
        <f ca="1">DFIE!$B$35</f>
        <v>Solothurn</v>
      </c>
      <c r="C16" s="33">
        <v>0</v>
      </c>
      <c r="D16" s="37">
        <v>4825817.6418133099</v>
      </c>
      <c r="E16" s="42">
        <v>0</v>
      </c>
      <c r="F16" s="48">
        <v>69.134145296376801</v>
      </c>
      <c r="G16" s="53">
        <f t="shared" si="3"/>
        <v>0</v>
      </c>
      <c r="H16" s="19">
        <f>$G16 * MAX(0,DFIE!$G$3-2015)*0.05</f>
        <v>0</v>
      </c>
      <c r="I16" s="59">
        <f t="shared" si="0"/>
        <v>0</v>
      </c>
      <c r="J16" s="34">
        <f t="shared" si="1"/>
        <v>1567277.213216099</v>
      </c>
      <c r="K16" s="62">
        <f t="shared" si="2"/>
        <v>1567277.213216099</v>
      </c>
    </row>
    <row r="17" spans="2:11" ht="15" customHeight="1" x14ac:dyDescent="0.25">
      <c r="B17" s="65" t="str">
        <f ca="1">DFIE!$B$36</f>
        <v>Basel-Stadt</v>
      </c>
      <c r="C17" s="31">
        <v>0</v>
      </c>
      <c r="D17" s="36">
        <v>3828499.5012783101</v>
      </c>
      <c r="E17" s="41">
        <v>0</v>
      </c>
      <c r="F17" s="47">
        <v>156.88042279254699</v>
      </c>
      <c r="G17" s="52">
        <f t="shared" si="3"/>
        <v>0</v>
      </c>
      <c r="H17" s="18">
        <f>$G17 * MAX(0,DFIE!$G$3-2015)*0.05</f>
        <v>0</v>
      </c>
      <c r="I17" s="58">
        <f t="shared" si="0"/>
        <v>0</v>
      </c>
      <c r="J17" s="32">
        <f t="shared" si="1"/>
        <v>1243378.9410467783</v>
      </c>
      <c r="K17" s="61">
        <f t="shared" si="2"/>
        <v>1243378.9410467783</v>
      </c>
    </row>
    <row r="18" spans="2:11" ht="15" customHeight="1" x14ac:dyDescent="0.25">
      <c r="B18" s="64" t="str">
        <f ca="1">DFIE!$B$37</f>
        <v>Basel-Landschaft</v>
      </c>
      <c r="C18" s="33">
        <v>0</v>
      </c>
      <c r="D18" s="37">
        <v>5113896.2433834001</v>
      </c>
      <c r="E18" s="42">
        <v>0</v>
      </c>
      <c r="F18" s="48">
        <v>96.019887853655902</v>
      </c>
      <c r="G18" s="53">
        <f t="shared" si="3"/>
        <v>0</v>
      </c>
      <c r="H18" s="19">
        <f>$G18 * MAX(0,DFIE!$G$3-2015)*0.05</f>
        <v>0</v>
      </c>
      <c r="I18" s="59">
        <f t="shared" si="0"/>
        <v>0</v>
      </c>
      <c r="J18" s="34">
        <f t="shared" si="1"/>
        <v>1660836.2868006348</v>
      </c>
      <c r="K18" s="62">
        <f t="shared" si="2"/>
        <v>1660836.2868006348</v>
      </c>
    </row>
    <row r="19" spans="2:11" ht="15" customHeight="1" x14ac:dyDescent="0.25">
      <c r="B19" s="65" t="str">
        <f ca="1">DFIE!$B$38</f>
        <v>Schaffhausen</v>
      </c>
      <c r="C19" s="31">
        <v>-6640279.44584883</v>
      </c>
      <c r="D19" s="36">
        <v>1457683.5073874199</v>
      </c>
      <c r="E19" s="41">
        <v>0</v>
      </c>
      <c r="F19" s="47">
        <v>116.088167745392</v>
      </c>
      <c r="G19" s="52">
        <f t="shared" si="3"/>
        <v>0</v>
      </c>
      <c r="H19" s="18">
        <f>$G19 * MAX(0,DFIE!$G$3-2015)*0.05</f>
        <v>0</v>
      </c>
      <c r="I19" s="58">
        <f t="shared" si="0"/>
        <v>0</v>
      </c>
      <c r="J19" s="32">
        <f t="shared" si="1"/>
        <v>473410.79062216368</v>
      </c>
      <c r="K19" s="61">
        <f t="shared" si="2"/>
        <v>473410.79062216368</v>
      </c>
    </row>
    <row r="20" spans="2:11" ht="15" customHeight="1" x14ac:dyDescent="0.25">
      <c r="B20" s="64" t="str">
        <f ca="1">DFIE!$B$39</f>
        <v>Appenzell A.Rh.</v>
      </c>
      <c r="C20" s="33">
        <v>0</v>
      </c>
      <c r="D20" s="37">
        <v>1062072.7564479201</v>
      </c>
      <c r="E20" s="42">
        <v>0</v>
      </c>
      <c r="F20" s="48">
        <v>85.253328671526205</v>
      </c>
      <c r="G20" s="53">
        <f t="shared" si="3"/>
        <v>0</v>
      </c>
      <c r="H20" s="19">
        <f>$G20 * MAX(0,DFIE!$G$3-2015)*0.05</f>
        <v>0</v>
      </c>
      <c r="I20" s="59">
        <f t="shared" si="0"/>
        <v>0</v>
      </c>
      <c r="J20" s="34">
        <f t="shared" si="1"/>
        <v>344928.5807105166</v>
      </c>
      <c r="K20" s="62">
        <f t="shared" si="2"/>
        <v>344928.5807105166</v>
      </c>
    </row>
    <row r="21" spans="2:11" ht="15" customHeight="1" x14ac:dyDescent="0.25">
      <c r="B21" s="65" t="str">
        <f ca="1">DFIE!$B$40</f>
        <v>Appenzell I.Rh.</v>
      </c>
      <c r="C21" s="31">
        <v>0</v>
      </c>
      <c r="D21" s="36">
        <v>291089.98038218101</v>
      </c>
      <c r="E21" s="41">
        <v>0</v>
      </c>
      <c r="F21" s="47">
        <v>103.263282997091</v>
      </c>
      <c r="G21" s="52">
        <f t="shared" si="3"/>
        <v>0</v>
      </c>
      <c r="H21" s="18">
        <f>$G21 * MAX(0,DFIE!$G$3-2015)*0.05</f>
        <v>0</v>
      </c>
      <c r="I21" s="58">
        <f t="shared" si="0"/>
        <v>0</v>
      </c>
      <c r="J21" s="32">
        <f t="shared" si="1"/>
        <v>94537.076845922551</v>
      </c>
      <c r="K21" s="61">
        <f t="shared" si="2"/>
        <v>94537.076845922551</v>
      </c>
    </row>
    <row r="22" spans="2:11" ht="15" customHeight="1" x14ac:dyDescent="0.25">
      <c r="B22" s="64" t="str">
        <f ca="1">DFIE!$B$41</f>
        <v>St. Gallen</v>
      </c>
      <c r="C22" s="33">
        <v>0</v>
      </c>
      <c r="D22" s="37">
        <v>8920016.4802668002</v>
      </c>
      <c r="E22" s="42">
        <v>0</v>
      </c>
      <c r="F22" s="48">
        <v>76.819112953645103</v>
      </c>
      <c r="G22" s="53">
        <f t="shared" si="3"/>
        <v>0</v>
      </c>
      <c r="H22" s="19">
        <f>$G22 * MAX(0,DFIE!$G$3-2015)*0.05</f>
        <v>0</v>
      </c>
      <c r="I22" s="59">
        <f t="shared" si="0"/>
        <v>0</v>
      </c>
      <c r="J22" s="34">
        <f t="shared" si="1"/>
        <v>2896947.1307625221</v>
      </c>
      <c r="K22" s="62">
        <f t="shared" si="2"/>
        <v>2896947.1307625221</v>
      </c>
    </row>
    <row r="23" spans="2:11" ht="15" customHeight="1" x14ac:dyDescent="0.25">
      <c r="B23" s="65" t="str">
        <f ca="1">DFIE!$B$42</f>
        <v>Graubünden</v>
      </c>
      <c r="C23" s="31">
        <v>0</v>
      </c>
      <c r="D23" s="36">
        <v>3751244.0070957802</v>
      </c>
      <c r="E23" s="41">
        <v>0</v>
      </c>
      <c r="F23" s="47">
        <v>93.913627989751006</v>
      </c>
      <c r="G23" s="52">
        <f t="shared" si="3"/>
        <v>0</v>
      </c>
      <c r="H23" s="18">
        <f>$G23 * MAX(0,DFIE!$G$3-2015)*0.05</f>
        <v>0</v>
      </c>
      <c r="I23" s="58">
        <f t="shared" si="0"/>
        <v>0</v>
      </c>
      <c r="J23" s="32">
        <f t="shared" si="1"/>
        <v>1218288.7315496514</v>
      </c>
      <c r="K23" s="61">
        <f t="shared" si="2"/>
        <v>1218288.7315496514</v>
      </c>
    </row>
    <row r="24" spans="2:11" ht="15" customHeight="1" x14ac:dyDescent="0.25">
      <c r="B24" s="64" t="str">
        <f ca="1">DFIE!$B$43</f>
        <v>Aargau</v>
      </c>
      <c r="C24" s="33">
        <v>0</v>
      </c>
      <c r="D24" s="37">
        <v>10753570.585431499</v>
      </c>
      <c r="E24" s="42">
        <v>0</v>
      </c>
      <c r="F24" s="48">
        <v>78.359019335362902</v>
      </c>
      <c r="G24" s="53">
        <f t="shared" si="3"/>
        <v>0</v>
      </c>
      <c r="H24" s="19">
        <f>$G24 * MAX(0,DFIE!$G$3-2015)*0.05</f>
        <v>0</v>
      </c>
      <c r="I24" s="59">
        <f t="shared" si="0"/>
        <v>0</v>
      </c>
      <c r="J24" s="34">
        <f t="shared" si="1"/>
        <v>3492429.1364074089</v>
      </c>
      <c r="K24" s="62">
        <f t="shared" si="2"/>
        <v>3492429.1364074089</v>
      </c>
    </row>
    <row r="25" spans="2:11" ht="15" customHeight="1" x14ac:dyDescent="0.25">
      <c r="B25" s="65" t="str">
        <f ca="1">DFIE!$B$44</f>
        <v>Thurgau</v>
      </c>
      <c r="C25" s="31">
        <v>0</v>
      </c>
      <c r="D25" s="36">
        <v>4524457.0648203604</v>
      </c>
      <c r="E25" s="41">
        <v>0</v>
      </c>
      <c r="F25" s="47">
        <v>76.474291856046804</v>
      </c>
      <c r="G25" s="52">
        <f t="shared" si="3"/>
        <v>0</v>
      </c>
      <c r="H25" s="18">
        <f>$G25 * MAX(0,DFIE!$G$3-2015)*0.05</f>
        <v>0</v>
      </c>
      <c r="I25" s="58">
        <f t="shared" si="0"/>
        <v>0</v>
      </c>
      <c r="J25" s="32">
        <f t="shared" si="1"/>
        <v>1469404.5623329978</v>
      </c>
      <c r="K25" s="61">
        <f t="shared" si="2"/>
        <v>1469404.5623329978</v>
      </c>
    </row>
    <row r="26" spans="2:11" ht="15" customHeight="1" x14ac:dyDescent="0.25">
      <c r="B26" s="64" t="str">
        <f ca="1">DFIE!$B$45</f>
        <v>Tessin</v>
      </c>
      <c r="C26" s="33">
        <v>0</v>
      </c>
      <c r="D26" s="37">
        <v>6107019.7260145899</v>
      </c>
      <c r="E26" s="42">
        <v>0</v>
      </c>
      <c r="F26" s="48">
        <v>90.423436759418394</v>
      </c>
      <c r="G26" s="53">
        <f t="shared" si="3"/>
        <v>0</v>
      </c>
      <c r="H26" s="19">
        <f>$G26 * MAX(0,DFIE!$G$3-2015)*0.05</f>
        <v>0</v>
      </c>
      <c r="I26" s="59">
        <f t="shared" si="0"/>
        <v>0</v>
      </c>
      <c r="J26" s="34">
        <f t="shared" si="1"/>
        <v>1983372.263036326</v>
      </c>
      <c r="K26" s="62">
        <f t="shared" si="2"/>
        <v>1983372.263036326</v>
      </c>
    </row>
    <row r="27" spans="2:11" ht="15" customHeight="1" x14ac:dyDescent="0.25">
      <c r="B27" s="65" t="str">
        <f ca="1">DFIE!$B$46</f>
        <v>Waadt</v>
      </c>
      <c r="C27" s="31">
        <v>-64876643</v>
      </c>
      <c r="D27" s="36">
        <v>12496204.9819583</v>
      </c>
      <c r="E27" s="41">
        <v>0</v>
      </c>
      <c r="F27" s="47">
        <v>98.443078747017196</v>
      </c>
      <c r="G27" s="52">
        <f t="shared" si="3"/>
        <v>0</v>
      </c>
      <c r="H27" s="18">
        <f>$G27 * MAX(0,DFIE!$G$3-2015)*0.05</f>
        <v>0</v>
      </c>
      <c r="I27" s="58">
        <f t="shared" si="0"/>
        <v>0</v>
      </c>
      <c r="J27" s="32">
        <f t="shared" si="1"/>
        <v>4058383.2157697594</v>
      </c>
      <c r="K27" s="61">
        <f t="shared" si="2"/>
        <v>4058383.2157697594</v>
      </c>
    </row>
    <row r="28" spans="2:11" ht="15" customHeight="1" x14ac:dyDescent="0.25">
      <c r="B28" s="64" t="str">
        <f ca="1">DFIE!$B$47</f>
        <v>Wallis</v>
      </c>
      <c r="C28" s="33">
        <v>0</v>
      </c>
      <c r="D28" s="37">
        <v>5431277.6215620805</v>
      </c>
      <c r="E28" s="42">
        <v>0</v>
      </c>
      <c r="F28" s="48">
        <v>68.450135542827198</v>
      </c>
      <c r="G28" s="53">
        <f t="shared" si="3"/>
        <v>0</v>
      </c>
      <c r="H28" s="19">
        <f>$G28 * MAX(0,DFIE!$G$3-2015)*0.05</f>
        <v>0</v>
      </c>
      <c r="I28" s="59">
        <f t="shared" si="0"/>
        <v>0</v>
      </c>
      <c r="J28" s="34">
        <f t="shared" si="1"/>
        <v>1763912.0013922162</v>
      </c>
      <c r="K28" s="62">
        <f t="shared" si="2"/>
        <v>1763912.0013922162</v>
      </c>
    </row>
    <row r="29" spans="2:11" ht="15" customHeight="1" x14ac:dyDescent="0.25">
      <c r="B29" s="65" t="str">
        <f ca="1">DFIE!$B$48</f>
        <v>Neuenburg</v>
      </c>
      <c r="C29" s="31">
        <v>-108832726.25211</v>
      </c>
      <c r="D29" s="36">
        <v>3314746.9749559602</v>
      </c>
      <c r="E29" s="41">
        <v>1</v>
      </c>
      <c r="F29" s="47">
        <v>79.003368428355003</v>
      </c>
      <c r="G29" s="52">
        <f t="shared" si="3"/>
        <v>1</v>
      </c>
      <c r="H29" s="18">
        <f>$G29 * MAX(0,DFIE!$G$3-2015)*0.05</f>
        <v>0.60000000000000009</v>
      </c>
      <c r="I29" s="58">
        <f t="shared" si="0"/>
        <v>-43533090.500843994</v>
      </c>
      <c r="J29" s="32">
        <f t="shared" si="1"/>
        <v>1076527.9144434046</v>
      </c>
      <c r="K29" s="61">
        <f t="shared" si="2"/>
        <v>-42456562.586400591</v>
      </c>
    </row>
    <row r="30" spans="2:11" ht="15" customHeight="1" x14ac:dyDescent="0.25">
      <c r="B30" s="64" t="str">
        <f ca="1">DFIE!$B$49</f>
        <v>Genf</v>
      </c>
      <c r="C30" s="33">
        <v>0</v>
      </c>
      <c r="D30" s="37">
        <v>8120867.6732367799</v>
      </c>
      <c r="E30" s="42">
        <v>0</v>
      </c>
      <c r="F30" s="48">
        <v>164.458050666947</v>
      </c>
      <c r="G30" s="53">
        <f t="shared" si="3"/>
        <v>0</v>
      </c>
      <c r="H30" s="19">
        <f>$G30 * MAX(0,DFIE!$G$3-2015)*0.05</f>
        <v>0</v>
      </c>
      <c r="I30" s="59">
        <f t="shared" si="0"/>
        <v>0</v>
      </c>
      <c r="J30" s="34">
        <f t="shared" si="1"/>
        <v>2637408.1659299517</v>
      </c>
      <c r="K30" s="62">
        <f t="shared" si="2"/>
        <v>2637408.1659299517</v>
      </c>
    </row>
    <row r="31" spans="2:11" ht="15" customHeight="1" x14ac:dyDescent="0.25">
      <c r="B31" s="65" t="str">
        <f ca="1">DFIE!$B$50</f>
        <v>Jura</v>
      </c>
      <c r="C31" s="31">
        <v>-19387554.3699487</v>
      </c>
      <c r="D31" s="36">
        <v>1343078.2740090401</v>
      </c>
      <c r="E31" s="44">
        <v>1</v>
      </c>
      <c r="F31" s="49">
        <v>64.805138061407206</v>
      </c>
      <c r="G31" s="54">
        <f t="shared" si="3"/>
        <v>1</v>
      </c>
      <c r="H31" s="20">
        <f>$G31 * MAX(0,DFIE!$G$3-2015)*0.05</f>
        <v>0.60000000000000009</v>
      </c>
      <c r="I31" s="58">
        <f t="shared" si="0"/>
        <v>-7755021.747979478</v>
      </c>
      <c r="J31" s="32">
        <f t="shared" si="1"/>
        <v>436190.53405197215</v>
      </c>
      <c r="K31" s="61">
        <f t="shared" si="2"/>
        <v>-7318831.2139275055</v>
      </c>
    </row>
    <row r="32" spans="2:11" ht="18.75" customHeight="1" x14ac:dyDescent="0.25">
      <c r="B32" s="66" t="str">
        <f ca="1">DFIE!$B$51</f>
        <v>Schweiz</v>
      </c>
      <c r="C32" s="38">
        <f>SUM(C6:C31)</f>
        <v>-430454285.07616103</v>
      </c>
      <c r="D32" s="68">
        <f>SUM(D6:D31)</f>
        <v>143484761.69205368</v>
      </c>
      <c r="E32" s="45"/>
      <c r="F32" s="50">
        <v>100</v>
      </c>
      <c r="G32" s="55"/>
      <c r="H32" s="56"/>
      <c r="I32" s="38">
        <f t="shared" ref="I32:J32" si="4">SUM(I6:I31)</f>
        <v>-139798318.62805247</v>
      </c>
      <c r="J32" s="39">
        <f t="shared" si="4"/>
        <v>46599439.54268416</v>
      </c>
      <c r="K32" s="68">
        <f t="shared" ref="K32" si="5">SUM(K6:K31)</f>
        <v>-93198879.085368291</v>
      </c>
    </row>
  </sheetData>
  <mergeCells count="3">
    <mergeCell ref="C3:D3"/>
    <mergeCell ref="E3:H3"/>
    <mergeCell ref="I3:K3"/>
  </mergeCells>
  <conditionalFormatting sqref="C6:F31">
    <cfRule type="expression" dxfId="3" priority="7" stopIfTrue="1">
      <formula>ISBLANK(C6)</formula>
    </cfRule>
  </conditionalFormatting>
  <pageMargins left="0.78740157480314965" right="0.78740157480314965" top="0.9055118110236221" bottom="0.78740157480314965" header="0.51181102362204722" footer="0.39370078740157483"/>
  <pageSetup paperSize="9" scale="90" orientation="landscape"/>
  <headerFooter scaleWithDoc="0" alignWithMargins="0">
    <oddHeader>&amp;L&amp;F&amp;R&amp;A</oddHeader>
    <oddFooter>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8"/>
  <sheetViews>
    <sheetView showGridLines="0" zoomScaleNormal="100" workbookViewId="0">
      <selection activeCell="A50" sqref="A50"/>
    </sheetView>
  </sheetViews>
  <sheetFormatPr baseColWidth="10" defaultRowHeight="13.2" x14ac:dyDescent="0.25"/>
  <cols>
    <col min="1" max="1" width="1.6640625" customWidth="1"/>
    <col min="2" max="2" width="16.6640625" customWidth="1"/>
    <col min="3" max="7" width="15.109375" customWidth="1"/>
    <col min="8" max="11" width="14.6640625" customWidth="1"/>
    <col min="12" max="12" width="16" customWidth="1"/>
    <col min="14" max="14" width="12" customWidth="1"/>
    <col min="16" max="17" width="12.5546875" customWidth="1"/>
  </cols>
  <sheetData>
    <row r="1" spans="1:12" ht="22.5" customHeight="1" x14ac:dyDescent="0.3">
      <c r="B1" s="23" t="str">
        <f ca="1">DFIE!$B$66</f>
        <v>Ergänzungsbeitrag 2027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2.5" customHeight="1" x14ac:dyDescent="0.25">
      <c r="B2" s="43"/>
    </row>
    <row r="3" spans="1:12" ht="15.75" customHeight="1" x14ac:dyDescent="0.25">
      <c r="A3" s="12"/>
      <c r="B3" s="63"/>
      <c r="C3" s="155" t="str">
        <f ca="1">DFIE!$B$67</f>
        <v>Massgebende
Wohnbe-
völkerung 
2027</v>
      </c>
      <c r="D3" s="157" t="str">
        <f ca="1">DFIE!$B$68</f>
        <v>Standardisierter
Steuerertrag SSE
pro Einwohner
vor Ausgleich
2023</v>
      </c>
      <c r="E3" s="157" t="str">
        <f ca="1">DFIE!$B$69</f>
        <v>Ressourcen-
ausgleich (RA)
pro Einwohner
2027</v>
      </c>
      <c r="F3" s="159" t="str">
        <f ca="1">DFIE!$B$70</f>
        <v>SSE 2023
pro Einwohner
inklusive 
RA 2027</v>
      </c>
      <c r="G3" s="161" t="str">
        <f ca="1">DFIE!$B$71</f>
        <v>Anspruch auf Ergänzungsbeitrag (EB)</v>
      </c>
      <c r="H3" s="162" t="str">
        <f ca="1">DFIE!$B$70</f>
        <v>SSE 2023
pro Einwohner
inklusive 
RA 2027</v>
      </c>
      <c r="I3" s="162" t="str">
        <f ca="1">DFIE!$B$70</f>
        <v>SSE 2023
pro Einwohner
inklusive 
RA 2027</v>
      </c>
      <c r="J3" s="161" t="str">
        <f ca="1">DFIE!$B$75</f>
        <v>Auszahlung</v>
      </c>
      <c r="K3" s="163" t="str">
        <f ca="1">DFIE!$B$77</f>
        <v>Ergänzungs-
beitrag
total</v>
      </c>
      <c r="L3" s="153" t="str">
        <f ca="1">DFIE!$B$78</f>
        <v>Index SSE 2023
inklusive RA
und EB 2027</v>
      </c>
    </row>
    <row r="4" spans="1:12" ht="53.25" customHeight="1" x14ac:dyDescent="0.25">
      <c r="A4" s="111"/>
      <c r="B4" s="112"/>
      <c r="C4" s="156"/>
      <c r="D4" s="158"/>
      <c r="E4" s="158"/>
      <c r="F4" s="160"/>
      <c r="G4" s="83" t="str">
        <f ca="1">DFIE!$B$72</f>
        <v>Beitrag total
falls Schwelle =
SSE Kanton
(RI &lt;= 100)</v>
      </c>
      <c r="H4" s="83" t="str">
        <f ca="1">DFIE!$B$73</f>
        <v>Berechtigung 
2027</v>
      </c>
      <c r="I4" s="83" t="str">
        <f ca="1">DFIE!$B$74</f>
        <v>Wohn-
bevölkerung
berechtigt</v>
      </c>
      <c r="J4" s="82" t="str">
        <f ca="1">DFIE!$B$76</f>
        <v>Ergänzungs-
beitrag pro
Einwohner</v>
      </c>
      <c r="K4" s="95" t="str">
        <f ca="1">DFIE!$B$77</f>
        <v>Ergänzungs-
beitrag
total</v>
      </c>
      <c r="L4" s="154"/>
    </row>
    <row r="5" spans="1:12" x14ac:dyDescent="0.25">
      <c r="B5" s="24" t="str">
        <f ca="1">DFIE!$B$19</f>
        <v>Einheit</v>
      </c>
      <c r="C5" s="25" t="str">
        <f ca="1">DFIE!$B$23</f>
        <v>Anzahl</v>
      </c>
      <c r="D5" s="113" t="str">
        <f ca="1">DFIE!$B$20</f>
        <v>CHF</v>
      </c>
      <c r="E5" s="113" t="str">
        <f ca="1">DFIE!$B$20</f>
        <v>CHF</v>
      </c>
      <c r="F5" s="28" t="str">
        <f ca="1">DFIE!$B$20</f>
        <v>CHF</v>
      </c>
      <c r="G5" s="26" t="str">
        <f ca="1">DFIE!$B$20</f>
        <v>CHF</v>
      </c>
      <c r="H5" s="26" t="str">
        <f ca="1">DFIE!$B$24</f>
        <v>0 / 1</v>
      </c>
      <c r="I5" s="26" t="str">
        <f ca="1">DFIE!$B$23</f>
        <v>Anzahl</v>
      </c>
      <c r="J5" s="27" t="str">
        <f ca="1">DFIE!$B$20</f>
        <v>CHF</v>
      </c>
      <c r="K5" s="28" t="str">
        <f ca="1">DFIE!$B$20</f>
        <v>CHF</v>
      </c>
      <c r="L5" s="110" t="str">
        <f ca="1">DFIE!$B$21</f>
        <v>Punkte</v>
      </c>
    </row>
    <row r="6" spans="1:12" ht="15" customHeight="1" x14ac:dyDescent="0.25">
      <c r="B6" s="109" t="str">
        <f ca="1">DFIE!$B25</f>
        <v>Zürich</v>
      </c>
      <c r="C6" s="29">
        <v>1587972.16666667</v>
      </c>
      <c r="D6" s="35">
        <v>11589.1785784034</v>
      </c>
      <c r="E6" s="35">
        <v>-301.37194018225199</v>
      </c>
      <c r="F6" s="115">
        <f>SUM(D6:E6)</f>
        <v>11287.806638221147</v>
      </c>
      <c r="G6" s="105" t="str">
        <f t="array" ref="G6">IF(E6&lt;0,"",SUMPRODUCT(IF(E$6:E$31&lt;0,0,IF(F6-F$6:F$31&gt;0,F6-F$6:F$31,0)),C$6:C$31))</f>
        <v/>
      </c>
      <c r="H6" s="116">
        <f>IF(G6&lt;$K$32,1,0)</f>
        <v>0</v>
      </c>
      <c r="I6" s="117">
        <f>$C6*$H6</f>
        <v>0</v>
      </c>
      <c r="J6" s="78">
        <f t="shared" ref="J6:J31" si="0">IF(E6&lt;0,0,MAX($J$36-F6,0))</f>
        <v>0</v>
      </c>
      <c r="K6" s="60">
        <f>I6*J6</f>
        <v>0</v>
      </c>
      <c r="L6" s="102" t="str">
        <f>IF(E6&lt;0,"",100*(F6+J6)/$D$32)</f>
        <v/>
      </c>
    </row>
    <row r="7" spans="1:12" ht="15" customHeight="1" x14ac:dyDescent="0.25">
      <c r="B7" s="118" t="str">
        <f ca="1">DFIE!$B26</f>
        <v>Bern</v>
      </c>
      <c r="C7" s="31">
        <v>1060155.5</v>
      </c>
      <c r="D7" s="36">
        <v>7317.9743964338904</v>
      </c>
      <c r="E7" s="36">
        <v>1573.3186007019599</v>
      </c>
      <c r="F7" s="119">
        <f t="shared" ref="F7:F31" si="1">SUM(D7:E7)</f>
        <v>8891.2929971358499</v>
      </c>
      <c r="G7" s="106">
        <f t="array" ref="G7">IF(E7&lt;0,"",SUMPRODUCT(IF(E$6:E$31&lt;0,0,IF(F7-F$6:F$31&gt;0,F7-F$6:F$31,0)),C$6:C$31))</f>
        <v>1413635247.1505759</v>
      </c>
      <c r="H7" s="120">
        <f t="shared" ref="H7:H31" si="2">IF(G7&lt;$K$32,1,0)</f>
        <v>0</v>
      </c>
      <c r="I7" s="121">
        <f t="shared" ref="I7:I31" si="3">$C7*$H7</f>
        <v>0</v>
      </c>
      <c r="J7" s="79">
        <f t="shared" si="0"/>
        <v>0</v>
      </c>
      <c r="K7" s="61">
        <f t="shared" ref="K7:K31" si="4">I7*J7</f>
        <v>0</v>
      </c>
      <c r="L7" s="103">
        <f t="shared" ref="L7:L31" si="5">IF(E7&lt;0,"",100*(F7+J7)/$D$32)</f>
        <v>94.41180173084328</v>
      </c>
    </row>
    <row r="8" spans="1:12" ht="15" customHeight="1" x14ac:dyDescent="0.25">
      <c r="B8" s="114" t="str">
        <f ca="1">DFIE!$B27</f>
        <v>Luzern</v>
      </c>
      <c r="C8" s="33">
        <v>427210.16666666698</v>
      </c>
      <c r="D8" s="37">
        <v>8711.6183291811594</v>
      </c>
      <c r="E8" s="37">
        <v>84.470742350849704</v>
      </c>
      <c r="F8" s="122">
        <f t="shared" si="1"/>
        <v>8796.0890715320093</v>
      </c>
      <c r="G8" s="107">
        <f t="array" ref="G8">IF(E8&lt;0,"",SUMPRODUCT(IF(E$6:E$31&lt;0,0,IF(F8-F$6:F$31&gt;0,F8-F$6:F$31,0)),C$6:C$31))</f>
        <v>1126303294.076602</v>
      </c>
      <c r="H8" s="123">
        <f t="shared" si="2"/>
        <v>0</v>
      </c>
      <c r="I8" s="124">
        <f t="shared" si="3"/>
        <v>0</v>
      </c>
      <c r="J8" s="80">
        <f t="shared" si="0"/>
        <v>0</v>
      </c>
      <c r="K8" s="62">
        <f t="shared" si="4"/>
        <v>0</v>
      </c>
      <c r="L8" s="104">
        <f t="shared" si="5"/>
        <v>93.400883054447945</v>
      </c>
    </row>
    <row r="9" spans="1:12" ht="15" customHeight="1" x14ac:dyDescent="0.25">
      <c r="B9" s="118" t="str">
        <f ca="1">DFIE!$B28</f>
        <v>Uri</v>
      </c>
      <c r="C9" s="31">
        <v>37634</v>
      </c>
      <c r="D9" s="36">
        <v>6680.8534849825501</v>
      </c>
      <c r="E9" s="36">
        <v>1838.56008786748</v>
      </c>
      <c r="F9" s="119">
        <f t="shared" si="1"/>
        <v>8519.4135728500296</v>
      </c>
      <c r="G9" s="106">
        <f t="array" ref="G9">IF(E9&lt;0,"",SUMPRODUCT(IF(E$6:E$31&lt;0,0,IF(F9-F$6:F$31&gt;0,F9-F$6:F$31,0)),C$6:C$31))</f>
        <v>541474608.39997828</v>
      </c>
      <c r="H9" s="120">
        <f t="shared" si="2"/>
        <v>0</v>
      </c>
      <c r="I9" s="121">
        <f t="shared" si="3"/>
        <v>0</v>
      </c>
      <c r="J9" s="79">
        <f t="shared" si="0"/>
        <v>0</v>
      </c>
      <c r="K9" s="61">
        <f t="shared" si="4"/>
        <v>0</v>
      </c>
      <c r="L9" s="103">
        <f t="shared" si="5"/>
        <v>90.463016499633056</v>
      </c>
    </row>
    <row r="10" spans="1:12" ht="15" customHeight="1" x14ac:dyDescent="0.25">
      <c r="B10" s="114" t="str">
        <f ca="1">DFIE!$B29</f>
        <v>Schwyz</v>
      </c>
      <c r="C10" s="33">
        <v>165644.5</v>
      </c>
      <c r="D10" s="37">
        <v>16313.047993386501</v>
      </c>
      <c r="E10" s="37">
        <v>-1733.02857871112</v>
      </c>
      <c r="F10" s="122">
        <f t="shared" si="1"/>
        <v>14580.01941467538</v>
      </c>
      <c r="G10" s="107" t="str">
        <f t="array" ref="G10">IF(E10&lt;0,"",SUMPRODUCT(IF(E$6:E$31&lt;0,0,IF(F10-F$6:F$31&gt;0,F10-F$6:F$31,0)),C$6:C$31))</f>
        <v/>
      </c>
      <c r="H10" s="123">
        <f t="shared" si="2"/>
        <v>0</v>
      </c>
      <c r="I10" s="124">
        <f t="shared" si="3"/>
        <v>0</v>
      </c>
      <c r="J10" s="80">
        <f t="shared" si="0"/>
        <v>0</v>
      </c>
      <c r="K10" s="62">
        <f t="shared" si="4"/>
        <v>0</v>
      </c>
      <c r="L10" s="104" t="str">
        <f t="shared" si="5"/>
        <v/>
      </c>
    </row>
    <row r="11" spans="1:12" ht="15" customHeight="1" x14ac:dyDescent="0.25">
      <c r="B11" s="118" t="str">
        <f ca="1">DFIE!$B30</f>
        <v>Obwalden</v>
      </c>
      <c r="C11" s="31">
        <v>39160.666666666701</v>
      </c>
      <c r="D11" s="36">
        <v>10087.306278002299</v>
      </c>
      <c r="E11" s="36">
        <v>-115.33791566965201</v>
      </c>
      <c r="F11" s="119">
        <f t="shared" si="1"/>
        <v>9971.9683623326473</v>
      </c>
      <c r="G11" s="106" t="str">
        <f t="array" ref="G11">IF(E11&lt;0,"",SUMPRODUCT(IF(E$6:E$31&lt;0,0,IF(F11-F$6:F$31&gt;0,F11-F$6:F$31,0)),C$6:C$31))</f>
        <v/>
      </c>
      <c r="H11" s="120">
        <f t="shared" si="2"/>
        <v>0</v>
      </c>
      <c r="I11" s="121">
        <f t="shared" si="3"/>
        <v>0</v>
      </c>
      <c r="J11" s="79">
        <f t="shared" si="0"/>
        <v>0</v>
      </c>
      <c r="K11" s="61">
        <f t="shared" si="4"/>
        <v>0</v>
      </c>
      <c r="L11" s="103" t="str">
        <f t="shared" si="5"/>
        <v/>
      </c>
    </row>
    <row r="12" spans="1:12" ht="15" customHeight="1" x14ac:dyDescent="0.25">
      <c r="B12" s="114" t="str">
        <f ca="1">DFIE!$B31</f>
        <v>Nidwalden</v>
      </c>
      <c r="C12" s="33">
        <v>44508.833333333299</v>
      </c>
      <c r="D12" s="37">
        <v>14892.1643889816</v>
      </c>
      <c r="E12" s="37">
        <v>-1175.94993483654</v>
      </c>
      <c r="F12" s="122">
        <f t="shared" si="1"/>
        <v>13716.21445414506</v>
      </c>
      <c r="G12" s="107" t="str">
        <f t="array" ref="G12">IF(E12&lt;0,"",SUMPRODUCT(IF(E$6:E$31&lt;0,0,IF(F12-F$6:F$31&gt;0,F12-F$6:F$31,0)),C$6:C$31))</f>
        <v/>
      </c>
      <c r="H12" s="123">
        <f t="shared" si="2"/>
        <v>0</v>
      </c>
      <c r="I12" s="124">
        <f t="shared" si="3"/>
        <v>0</v>
      </c>
      <c r="J12" s="80">
        <f t="shared" si="0"/>
        <v>0</v>
      </c>
      <c r="K12" s="62">
        <f t="shared" si="4"/>
        <v>0</v>
      </c>
      <c r="L12" s="104" t="str">
        <f t="shared" si="5"/>
        <v/>
      </c>
    </row>
    <row r="13" spans="1:12" ht="15" customHeight="1" x14ac:dyDescent="0.25">
      <c r="B13" s="118" t="str">
        <f ca="1">DFIE!$B32</f>
        <v>Glarus</v>
      </c>
      <c r="C13" s="31">
        <v>41886.5</v>
      </c>
      <c r="D13" s="36">
        <v>6866.2399843606499</v>
      </c>
      <c r="E13" s="36">
        <v>1685.2119823012699</v>
      </c>
      <c r="F13" s="119">
        <f t="shared" si="1"/>
        <v>8551.4519666619199</v>
      </c>
      <c r="G13" s="106">
        <f t="array" ref="G13">IF(E13&lt;0,"",SUMPRODUCT(IF(E$6:E$31&lt;0,0,IF(F13-F$6:F$31&gt;0,F13-F$6:F$31,0)),C$6:C$31))</f>
        <v>589073809.68693984</v>
      </c>
      <c r="H13" s="120">
        <f t="shared" si="2"/>
        <v>0</v>
      </c>
      <c r="I13" s="121">
        <f t="shared" si="3"/>
        <v>0</v>
      </c>
      <c r="J13" s="79">
        <f t="shared" si="0"/>
        <v>0</v>
      </c>
      <c r="K13" s="61">
        <f t="shared" si="4"/>
        <v>0</v>
      </c>
      <c r="L13" s="103">
        <f t="shared" si="5"/>
        <v>90.803214768356995</v>
      </c>
    </row>
    <row r="14" spans="1:12" ht="15" customHeight="1" x14ac:dyDescent="0.25">
      <c r="B14" s="114" t="str">
        <f ca="1">DFIE!$B33</f>
        <v>Zug</v>
      </c>
      <c r="C14" s="33">
        <v>132200.33333333299</v>
      </c>
      <c r="D14" s="37">
        <v>25044.328263727199</v>
      </c>
      <c r="E14" s="37">
        <v>-4011.8360953337901</v>
      </c>
      <c r="F14" s="122">
        <f t="shared" si="1"/>
        <v>21032.492168393408</v>
      </c>
      <c r="G14" s="107" t="str">
        <f t="array" ref="G14">IF(E14&lt;0,"",SUMPRODUCT(IF(E$6:E$31&lt;0,0,IF(F14-F$6:F$31&gt;0,F14-F$6:F$31,0)),C$6:C$31))</f>
        <v/>
      </c>
      <c r="H14" s="123">
        <f t="shared" si="2"/>
        <v>0</v>
      </c>
      <c r="I14" s="124">
        <f t="shared" si="3"/>
        <v>0</v>
      </c>
      <c r="J14" s="80">
        <f t="shared" si="0"/>
        <v>0</v>
      </c>
      <c r="K14" s="62">
        <f t="shared" si="4"/>
        <v>0</v>
      </c>
      <c r="L14" s="104" t="str">
        <f t="shared" si="5"/>
        <v/>
      </c>
    </row>
    <row r="15" spans="1:12" ht="15" customHeight="1" x14ac:dyDescent="0.25">
      <c r="B15" s="118" t="str">
        <f ca="1">DFIE!$B34</f>
        <v>Freiburg</v>
      </c>
      <c r="C15" s="31">
        <v>335411.16666666698</v>
      </c>
      <c r="D15" s="36">
        <v>6615.1449307221901</v>
      </c>
      <c r="E15" s="36">
        <v>1553.7487908436401</v>
      </c>
      <c r="F15" s="119">
        <f t="shared" si="1"/>
        <v>8168.8937215658298</v>
      </c>
      <c r="G15" s="106">
        <f t="array" ref="G15">IF(E15&lt;0,"",SUMPRODUCT(IF(E$6:E$31&lt;0,0,IF(F15-F$6:F$31&gt;0,F15-F$6:F$31,0)),C$6:C$31))</f>
        <v>155139067.26345623</v>
      </c>
      <c r="H15" s="120">
        <f t="shared" si="2"/>
        <v>1</v>
      </c>
      <c r="I15" s="121">
        <f t="shared" si="3"/>
        <v>335411.16666666698</v>
      </c>
      <c r="J15" s="79">
        <f t="shared" si="0"/>
        <v>27.277326530824212</v>
      </c>
      <c r="K15" s="61">
        <f t="shared" si="4"/>
        <v>9149119.9152513761</v>
      </c>
      <c r="L15" s="103">
        <f t="shared" si="5"/>
        <v>87.030680036553534</v>
      </c>
    </row>
    <row r="16" spans="1:12" ht="15" customHeight="1" x14ac:dyDescent="0.25">
      <c r="B16" s="114" t="str">
        <f ca="1">DFIE!$B35</f>
        <v>Solothurn</v>
      </c>
      <c r="C16" s="33">
        <v>284491.33333333302</v>
      </c>
      <c r="D16" s="37">
        <v>6669.1241964937599</v>
      </c>
      <c r="E16" s="37">
        <v>1788.86511846596</v>
      </c>
      <c r="F16" s="122">
        <f t="shared" si="1"/>
        <v>8457.9893149597192</v>
      </c>
      <c r="G16" s="107">
        <f t="array" ref="G16">IF(E16&lt;0,"",SUMPRODUCT(IF(E$6:E$31&lt;0,0,IF(F16-F$6:F$31&gt;0,F16-F$6:F$31,0)),C$6:C$31))</f>
        <v>457044365.63616264</v>
      </c>
      <c r="H16" s="123">
        <f t="shared" si="2"/>
        <v>0</v>
      </c>
      <c r="I16" s="124">
        <f t="shared" si="3"/>
        <v>0</v>
      </c>
      <c r="J16" s="80">
        <f t="shared" si="0"/>
        <v>0</v>
      </c>
      <c r="K16" s="62">
        <f t="shared" si="4"/>
        <v>0</v>
      </c>
      <c r="L16" s="104">
        <f t="shared" si="5"/>
        <v>89.810785731928945</v>
      </c>
    </row>
    <row r="17" spans="2:12" ht="15" customHeight="1" x14ac:dyDescent="0.25">
      <c r="B17" s="118" t="str">
        <f ca="1">DFIE!$B36</f>
        <v>Basel-Stadt</v>
      </c>
      <c r="C17" s="31">
        <v>200458</v>
      </c>
      <c r="D17" s="36">
        <v>14420.3685432489</v>
      </c>
      <c r="E17" s="36">
        <v>-1142.0206595751999</v>
      </c>
      <c r="F17" s="119">
        <f t="shared" si="1"/>
        <v>13278.347883673699</v>
      </c>
      <c r="G17" s="106" t="str">
        <f t="array" ref="G17">IF(E17&lt;0,"",SUMPRODUCT(IF(E$6:E$31&lt;0,0,IF(F17-F$6:F$31&gt;0,F17-F$6:F$31,0)),C$6:C$31))</f>
        <v/>
      </c>
      <c r="H17" s="120">
        <f t="shared" si="2"/>
        <v>0</v>
      </c>
      <c r="I17" s="121">
        <f t="shared" si="3"/>
        <v>0</v>
      </c>
      <c r="J17" s="79">
        <f t="shared" si="0"/>
        <v>0</v>
      </c>
      <c r="K17" s="61">
        <f t="shared" si="4"/>
        <v>0</v>
      </c>
      <c r="L17" s="103" t="str">
        <f t="shared" si="5"/>
        <v/>
      </c>
    </row>
    <row r="18" spans="2:12" ht="15" customHeight="1" x14ac:dyDescent="0.25">
      <c r="B18" s="114" t="str">
        <f ca="1">DFIE!$B37</f>
        <v>Basel-Landschaft</v>
      </c>
      <c r="C18" s="33">
        <v>296879.83333333302</v>
      </c>
      <c r="D18" s="37">
        <v>9178.12354419447</v>
      </c>
      <c r="E18" s="37">
        <v>62.359803611555101</v>
      </c>
      <c r="F18" s="122">
        <f t="shared" si="1"/>
        <v>9240.4833478060245</v>
      </c>
      <c r="G18" s="107">
        <f t="array" ref="G18">IF(E18&lt;0,"",SUMPRODUCT(IF(E$6:E$31&lt;0,0,IF(F18-F$6:F$31&gt;0,F18-F$6:F$31,0)),C$6:C$31))</f>
        <v>3032787054.5232286</v>
      </c>
      <c r="H18" s="123">
        <f t="shared" si="2"/>
        <v>0</v>
      </c>
      <c r="I18" s="124">
        <f t="shared" si="3"/>
        <v>0</v>
      </c>
      <c r="J18" s="80">
        <f t="shared" si="0"/>
        <v>0</v>
      </c>
      <c r="K18" s="62">
        <f t="shared" si="4"/>
        <v>0</v>
      </c>
      <c r="L18" s="104">
        <f t="shared" si="5"/>
        <v>98.119664036631221</v>
      </c>
    </row>
    <row r="19" spans="2:12" ht="15" customHeight="1" x14ac:dyDescent="0.25">
      <c r="B19" s="118" t="str">
        <f ca="1">DFIE!$B38</f>
        <v>Schaffhausen</v>
      </c>
      <c r="C19" s="31">
        <v>85710.5</v>
      </c>
      <c r="D19" s="36">
        <v>9313.7210875322999</v>
      </c>
      <c r="E19" s="36">
        <v>-323.01131106142202</v>
      </c>
      <c r="F19" s="119">
        <f t="shared" si="1"/>
        <v>8990.7097764708778</v>
      </c>
      <c r="G19" s="106" t="str">
        <f t="array" ref="G19">IF(E19&lt;0,"",SUMPRODUCT(IF(E$6:E$31&lt;0,0,IF(F19-F$6:F$31&gt;0,F19-F$6:F$31,0)),C$6:C$31))</f>
        <v/>
      </c>
      <c r="H19" s="120">
        <f t="shared" si="2"/>
        <v>0</v>
      </c>
      <c r="I19" s="121">
        <f t="shared" si="3"/>
        <v>0</v>
      </c>
      <c r="J19" s="79">
        <f t="shared" si="0"/>
        <v>0</v>
      </c>
      <c r="K19" s="61">
        <f t="shared" si="4"/>
        <v>0</v>
      </c>
      <c r="L19" s="103" t="str">
        <f t="shared" si="5"/>
        <v/>
      </c>
    </row>
    <row r="20" spans="2:12" ht="15" customHeight="1" x14ac:dyDescent="0.25">
      <c r="B20" s="114" t="str">
        <f ca="1">DFIE!$B39</f>
        <v>Appenzell A.Rh.</v>
      </c>
      <c r="C20" s="33">
        <v>56070</v>
      </c>
      <c r="D20" s="37">
        <v>8027.0226974219404</v>
      </c>
      <c r="E20" s="37">
        <v>531.69947834652601</v>
      </c>
      <c r="F20" s="122">
        <f t="shared" si="1"/>
        <v>8558.7221757684656</v>
      </c>
      <c r="G20" s="107">
        <f t="array" ref="G20">IF(E20&lt;0,"",SUMPRODUCT(IF(E$6:E$31&lt;0,0,IF(F20-F$6:F$31&gt;0,F20-F$6:F$31,0)),C$6:C$31))</f>
        <v>600186277.04993582</v>
      </c>
      <c r="H20" s="123">
        <f t="shared" si="2"/>
        <v>0</v>
      </c>
      <c r="I20" s="124">
        <f t="shared" si="3"/>
        <v>0</v>
      </c>
      <c r="J20" s="80">
        <f t="shared" si="0"/>
        <v>0</v>
      </c>
      <c r="K20" s="62">
        <f t="shared" si="4"/>
        <v>0</v>
      </c>
      <c r="L20" s="104">
        <f t="shared" si="5"/>
        <v>90.880413162440959</v>
      </c>
    </row>
    <row r="21" spans="2:12" ht="15" customHeight="1" x14ac:dyDescent="0.25">
      <c r="B21" s="118" t="str">
        <f ca="1">DFIE!$B40</f>
        <v>Appenzell I.Rh.</v>
      </c>
      <c r="C21" s="31">
        <v>16502.333333333299</v>
      </c>
      <c r="D21" s="36">
        <v>9527.9101097223192</v>
      </c>
      <c r="E21" s="36">
        <v>-65.518792191660097</v>
      </c>
      <c r="F21" s="119">
        <f t="shared" si="1"/>
        <v>9462.3913175306589</v>
      </c>
      <c r="G21" s="106" t="str">
        <f t="array" ref="G21">IF(E21&lt;0,"",SUMPRODUCT(IF(E$6:E$31&lt;0,0,IF(F21-F$6:F$31&gt;0,F21-F$6:F$31,0)),C$6:C$31))</f>
        <v/>
      </c>
      <c r="H21" s="120">
        <f t="shared" si="2"/>
        <v>0</v>
      </c>
      <c r="I21" s="121">
        <f t="shared" si="3"/>
        <v>0</v>
      </c>
      <c r="J21" s="79">
        <f t="shared" si="0"/>
        <v>0</v>
      </c>
      <c r="K21" s="61">
        <f t="shared" si="4"/>
        <v>0</v>
      </c>
      <c r="L21" s="103" t="str">
        <f t="shared" si="5"/>
        <v/>
      </c>
    </row>
    <row r="22" spans="2:12" ht="15" customHeight="1" x14ac:dyDescent="0.25">
      <c r="B22" s="114" t="str">
        <f ca="1">DFIE!$B41</f>
        <v>St. Gallen</v>
      </c>
      <c r="C22" s="33">
        <v>527150</v>
      </c>
      <c r="D22" s="37">
        <v>7877.1366857739304</v>
      </c>
      <c r="E22" s="37">
        <v>1114.56921431455</v>
      </c>
      <c r="F22" s="122">
        <f t="shared" si="1"/>
        <v>8991.7059000884801</v>
      </c>
      <c r="G22" s="107">
        <f t="array" ref="G22">IF(E22&lt;0,"",SUMPRODUCT(IF(E$6:E$31&lt;0,0,IF(F22-F$6:F$31&gt;0,F22-F$6:F$31,0)),C$6:C$31))</f>
        <v>1823141541.1461797</v>
      </c>
      <c r="H22" s="123">
        <f t="shared" si="2"/>
        <v>0</v>
      </c>
      <c r="I22" s="124">
        <f t="shared" si="3"/>
        <v>0</v>
      </c>
      <c r="J22" s="80">
        <f t="shared" si="0"/>
        <v>0</v>
      </c>
      <c r="K22" s="62">
        <f t="shared" si="4"/>
        <v>0</v>
      </c>
      <c r="L22" s="104">
        <f t="shared" si="5"/>
        <v>95.47803170300098</v>
      </c>
    </row>
    <row r="23" spans="2:12" ht="15" customHeight="1" x14ac:dyDescent="0.25">
      <c r="B23" s="118" t="str">
        <f ca="1">DFIE!$B42</f>
        <v>Graubünden</v>
      </c>
      <c r="C23" s="31">
        <v>209822.16666666701</v>
      </c>
      <c r="D23" s="36">
        <v>7834.1637909497504</v>
      </c>
      <c r="E23" s="36">
        <v>124.95498483809099</v>
      </c>
      <c r="F23" s="119">
        <f t="shared" si="1"/>
        <v>7959.1187757878415</v>
      </c>
      <c r="G23" s="106">
        <f t="array" ref="G23">IF(E23&lt;0,"",SUMPRODUCT(IF(E$6:E$31&lt;0,0,IF(F23-F$6:F$31&gt;0,F23-F$6:F$31,0)),C$6:C$31))</f>
        <v>34308139.095479526</v>
      </c>
      <c r="H23" s="120">
        <f t="shared" si="2"/>
        <v>1</v>
      </c>
      <c r="I23" s="121">
        <f t="shared" si="3"/>
        <v>209822.16666666701</v>
      </c>
      <c r="J23" s="79">
        <f t="shared" si="0"/>
        <v>237.05227230881246</v>
      </c>
      <c r="K23" s="61">
        <f t="shared" si="4"/>
        <v>49738821.389091782</v>
      </c>
      <c r="L23" s="103">
        <f t="shared" si="5"/>
        <v>87.030680036553534</v>
      </c>
    </row>
    <row r="24" spans="2:12" ht="15" customHeight="1" x14ac:dyDescent="0.25">
      <c r="B24" s="114" t="str">
        <f ca="1">DFIE!$B43</f>
        <v>Aargau</v>
      </c>
      <c r="C24" s="33">
        <v>715300.33333333302</v>
      </c>
      <c r="D24" s="37">
        <v>7634.7347800376401</v>
      </c>
      <c r="E24" s="37">
        <v>995.99347522624703</v>
      </c>
      <c r="F24" s="122">
        <f t="shared" si="1"/>
        <v>8630.7282552638862</v>
      </c>
      <c r="G24" s="107">
        <f t="array" ref="G24">IF(E24&lt;0,"",SUMPRODUCT(IF(E$6:E$31&lt;0,0,IF(F24-F$6:F$31&gt;0,F24-F$6:F$31,0)),C$6:C$31))</f>
        <v>714284482.39647782</v>
      </c>
      <c r="H24" s="123">
        <f t="shared" si="2"/>
        <v>0</v>
      </c>
      <c r="I24" s="124">
        <f t="shared" si="3"/>
        <v>0</v>
      </c>
      <c r="J24" s="80">
        <f t="shared" si="0"/>
        <v>0</v>
      </c>
      <c r="K24" s="62">
        <f t="shared" si="4"/>
        <v>0</v>
      </c>
      <c r="L24" s="104">
        <f t="shared" si="5"/>
        <v>91.645006535185161</v>
      </c>
    </row>
    <row r="25" spans="2:12" ht="15" customHeight="1" x14ac:dyDescent="0.25">
      <c r="B25" s="118" t="str">
        <f ca="1">DFIE!$B44</f>
        <v>Thurgau</v>
      </c>
      <c r="C25" s="31">
        <v>290994.33333333302</v>
      </c>
      <c r="D25" s="36">
        <v>7545.2854470940201</v>
      </c>
      <c r="E25" s="36">
        <v>1141.82744427896</v>
      </c>
      <c r="F25" s="119">
        <f t="shared" si="1"/>
        <v>8687.1128913729808</v>
      </c>
      <c r="G25" s="106">
        <f t="array" ref="G25">IF(E25&lt;0,"",SUMPRODUCT(IF(E$6:E$31&lt;0,0,IF(F25-F$6:F$31&gt;0,F25-F$6:F$31,0)),C$6:C$31))</f>
        <v>843961467.73944521</v>
      </c>
      <c r="H25" s="120">
        <f t="shared" si="2"/>
        <v>0</v>
      </c>
      <c r="I25" s="121">
        <f t="shared" si="3"/>
        <v>0</v>
      </c>
      <c r="J25" s="79">
        <f t="shared" si="0"/>
        <v>0</v>
      </c>
      <c r="K25" s="61">
        <f t="shared" si="4"/>
        <v>0</v>
      </c>
      <c r="L25" s="103">
        <f t="shared" si="5"/>
        <v>92.243724301736378</v>
      </c>
    </row>
    <row r="26" spans="2:12" ht="15" customHeight="1" x14ac:dyDescent="0.25">
      <c r="B26" s="114" t="str">
        <f ca="1">DFIE!$B45</f>
        <v>Tessin</v>
      </c>
      <c r="C26" s="33">
        <v>357197.83333333302</v>
      </c>
      <c r="D26" s="37">
        <v>8799.1547210180197</v>
      </c>
      <c r="E26" s="37">
        <v>262.34555531019498</v>
      </c>
      <c r="F26" s="122">
        <f t="shared" si="1"/>
        <v>9061.5002763282155</v>
      </c>
      <c r="G26" s="107">
        <f t="array" ref="G26">IF(E26&lt;0,"",SUMPRODUCT(IF(E$6:E$31&lt;0,0,IF(F26-F$6:F$31&gt;0,F26-F$6:F$31,0)),C$6:C$31))</f>
        <v>2144570735.1944788</v>
      </c>
      <c r="H26" s="123">
        <f t="shared" si="2"/>
        <v>0</v>
      </c>
      <c r="I26" s="124">
        <f t="shared" si="3"/>
        <v>0</v>
      </c>
      <c r="J26" s="80">
        <f t="shared" si="0"/>
        <v>0</v>
      </c>
      <c r="K26" s="62">
        <f t="shared" si="4"/>
        <v>0</v>
      </c>
      <c r="L26" s="104">
        <f t="shared" si="5"/>
        <v>96.219140202473056</v>
      </c>
    </row>
    <row r="27" spans="2:12" ht="15" customHeight="1" x14ac:dyDescent="0.25">
      <c r="B27" s="118" t="str">
        <f ca="1">DFIE!$B46</f>
        <v>Waadt</v>
      </c>
      <c r="C27" s="31">
        <v>839411</v>
      </c>
      <c r="D27" s="36">
        <v>9319.2123080213096</v>
      </c>
      <c r="E27" s="36">
        <v>13.4238168741579</v>
      </c>
      <c r="F27" s="119">
        <f t="shared" si="1"/>
        <v>9332.6361248954672</v>
      </c>
      <c r="G27" s="106">
        <f t="array" ref="G27">IF(E27&lt;0,"",SUMPRODUCT(IF(E$6:E$31&lt;0,0,IF(F27-F$6:F$31&gt;0,F27-F$6:F$31,0)),C$6:C$31))</f>
        <v>3517460116.2154632</v>
      </c>
      <c r="H27" s="120">
        <f t="shared" si="2"/>
        <v>0</v>
      </c>
      <c r="I27" s="121">
        <f t="shared" si="3"/>
        <v>0</v>
      </c>
      <c r="J27" s="79">
        <f t="shared" si="0"/>
        <v>0</v>
      </c>
      <c r="K27" s="61">
        <f t="shared" si="4"/>
        <v>0</v>
      </c>
      <c r="L27" s="103">
        <f t="shared" si="5"/>
        <v>99.098184227374873</v>
      </c>
    </row>
    <row r="28" spans="2:12" ht="15" customHeight="1" x14ac:dyDescent="0.25">
      <c r="B28" s="114" t="str">
        <f ca="1">DFIE!$B47</f>
        <v>Wallis</v>
      </c>
      <c r="C28" s="33">
        <v>366180.5</v>
      </c>
      <c r="D28" s="37">
        <v>6006.10160175292</v>
      </c>
      <c r="E28" s="37">
        <v>1859.32529504224</v>
      </c>
      <c r="F28" s="122">
        <f t="shared" si="1"/>
        <v>7865.4268967951602</v>
      </c>
      <c r="G28" s="107">
        <f t="array" ref="G28">IF(E28&lt;0,"",SUMPRODUCT(IF(E$6:E$31&lt;0,0,IF(F28-F$6:F$31&gt;0,F28-F$6:F$31,0)),C$6:C$31))</f>
        <v>0</v>
      </c>
      <c r="H28" s="123">
        <f t="shared" si="2"/>
        <v>1</v>
      </c>
      <c r="I28" s="124">
        <f t="shared" si="3"/>
        <v>366180.5</v>
      </c>
      <c r="J28" s="80">
        <f t="shared" si="0"/>
        <v>330.74415130149373</v>
      </c>
      <c r="K28" s="62">
        <f t="shared" si="4"/>
        <v>121112058.69565663</v>
      </c>
      <c r="L28" s="104">
        <f t="shared" si="5"/>
        <v>87.030680036553534</v>
      </c>
    </row>
    <row r="29" spans="2:12" ht="15" customHeight="1" x14ac:dyDescent="0.25">
      <c r="B29" s="118" t="str">
        <f ca="1">DFIE!$B48</f>
        <v>Neuenburg</v>
      </c>
      <c r="C29" s="31">
        <v>178637.16666666701</v>
      </c>
      <c r="D29" s="36">
        <v>7294.9906706418597</v>
      </c>
      <c r="E29" s="36">
        <v>947.92819669092796</v>
      </c>
      <c r="F29" s="119">
        <f t="shared" si="1"/>
        <v>8242.9188673327881</v>
      </c>
      <c r="G29" s="106">
        <f t="array" ref="G29">IF(E29&lt;0,"",SUMPRODUCT(IF(E$6:E$31&lt;0,0,IF(F29-F$6:F$31&gt;0,F29-F$6:F$31,0)),C$6:C$31))</f>
        <v>222606609.12997854</v>
      </c>
      <c r="H29" s="120">
        <f t="shared" si="2"/>
        <v>0</v>
      </c>
      <c r="I29" s="121">
        <f t="shared" si="3"/>
        <v>0</v>
      </c>
      <c r="J29" s="79">
        <f t="shared" si="0"/>
        <v>0</v>
      </c>
      <c r="K29" s="61">
        <f t="shared" si="4"/>
        <v>0</v>
      </c>
      <c r="L29" s="103">
        <f t="shared" si="5"/>
        <v>87.527069689047607</v>
      </c>
    </row>
    <row r="30" spans="2:12" ht="15" customHeight="1" x14ac:dyDescent="0.25">
      <c r="B30" s="114" t="str">
        <f ca="1">DFIE!$B49</f>
        <v>Genf</v>
      </c>
      <c r="C30" s="33">
        <v>517955.33333333302</v>
      </c>
      <c r="D30" s="37">
        <v>12943.1850055454</v>
      </c>
      <c r="E30" s="37">
        <v>-1294.1610122357199</v>
      </c>
      <c r="F30" s="122">
        <f t="shared" si="1"/>
        <v>11649.02399330968</v>
      </c>
      <c r="G30" s="107" t="str">
        <f t="array" ref="G30">IF(E30&lt;0,"",SUMPRODUCT(IF(E$6:E$31&lt;0,0,IF(F30-F$6:F$31&gt;0,F30-F$6:F$31,0)),C$6:C$31))</f>
        <v/>
      </c>
      <c r="H30" s="123">
        <f t="shared" si="2"/>
        <v>0</v>
      </c>
      <c r="I30" s="124">
        <f t="shared" si="3"/>
        <v>0</v>
      </c>
      <c r="J30" s="80">
        <f t="shared" si="0"/>
        <v>0</v>
      </c>
      <c r="K30" s="62">
        <f t="shared" si="4"/>
        <v>0</v>
      </c>
      <c r="L30" s="104" t="str">
        <f t="shared" si="5"/>
        <v/>
      </c>
    </row>
    <row r="31" spans="2:12" ht="15" customHeight="1" x14ac:dyDescent="0.25">
      <c r="B31" s="118" t="str">
        <f ca="1">DFIE!$B50</f>
        <v>Jura</v>
      </c>
      <c r="C31" s="31">
        <v>74430.666666666701</v>
      </c>
      <c r="D31" s="36">
        <v>6285.0089632917698</v>
      </c>
      <c r="E31" s="36">
        <v>2234.7982540580801</v>
      </c>
      <c r="F31" s="69">
        <f t="shared" si="1"/>
        <v>8519.8072173498495</v>
      </c>
      <c r="G31" s="108">
        <f t="array" ref="G31">IF(E31&lt;0,"",SUMPRODUCT(IF(E$6:E$31&lt;0,0,IF(F31-F$6:F$31&gt;0,F31-F$6:F$31,0)),C$6:C$31))</f>
        <v>542030503.84637082</v>
      </c>
      <c r="H31" s="70">
        <f t="shared" si="2"/>
        <v>0</v>
      </c>
      <c r="I31" s="71">
        <f t="shared" si="3"/>
        <v>0</v>
      </c>
      <c r="J31" s="81">
        <f t="shared" si="0"/>
        <v>0</v>
      </c>
      <c r="K31" s="61">
        <f t="shared" si="4"/>
        <v>0</v>
      </c>
      <c r="L31" s="103">
        <f t="shared" si="5"/>
        <v>90.467196396356883</v>
      </c>
    </row>
    <row r="32" spans="2:12" ht="18.75" customHeight="1" x14ac:dyDescent="0.25">
      <c r="B32" s="66" t="str">
        <f ca="1">DFIE!$B51</f>
        <v>Schweiz</v>
      </c>
      <c r="C32" s="38">
        <f>SUM(C6:C31)</f>
        <v>8888975.1666666679</v>
      </c>
      <c r="D32" s="72">
        <v>9417.5652133870499</v>
      </c>
      <c r="E32" s="39"/>
      <c r="F32" s="68"/>
      <c r="G32" s="39"/>
      <c r="H32" s="39"/>
      <c r="I32" s="39">
        <f>SUM(I6:I31)</f>
        <v>911413.83333333395</v>
      </c>
      <c r="J32" s="38"/>
      <c r="K32" s="77">
        <v>180000000</v>
      </c>
      <c r="L32" s="73"/>
    </row>
    <row r="33" spans="2:12" x14ac:dyDescent="0.25">
      <c r="B33" s="74"/>
    </row>
    <row r="34" spans="2:12" ht="15" customHeight="1" x14ac:dyDescent="0.25">
      <c r="C34" s="75"/>
      <c r="D34" s="75"/>
      <c r="E34" s="75"/>
      <c r="F34" s="75"/>
      <c r="G34" s="84" t="str">
        <f ca="1">DFIE!$B$79</f>
        <v>Letzter berechtigter Kanton</v>
      </c>
      <c r="H34" s="85"/>
      <c r="I34" s="86" t="str">
        <f ca="1">DFIE!$B$82</f>
        <v>SSE pro Kopf</v>
      </c>
      <c r="J34" s="87">
        <f t="array" ref="J34">MAX($F$6:$F$31*$H$6:$H$31)</f>
        <v>8168.8937215658298</v>
      </c>
      <c r="K34" s="88"/>
      <c r="L34" s="89"/>
    </row>
    <row r="35" spans="2:12" ht="15" customHeight="1" x14ac:dyDescent="0.25">
      <c r="B35" s="96"/>
      <c r="C35" s="96"/>
      <c r="D35" s="96"/>
      <c r="E35" s="96"/>
      <c r="F35" s="96"/>
      <c r="G35" s="97" t="str">
        <f ca="1">DFIE!$B$80</f>
        <v>Verteilung Rest</v>
      </c>
      <c r="H35" s="98"/>
      <c r="I35" s="99"/>
      <c r="J35" s="100">
        <f>(K32-INDEX(G6:G31,MATCH(J34,F6:F31,0),1))/I32</f>
        <v>27.27732653082446</v>
      </c>
      <c r="K35" s="99"/>
      <c r="L35" s="101"/>
    </row>
    <row r="36" spans="2:12" ht="15" customHeight="1" x14ac:dyDescent="0.25">
      <c r="C36" s="75"/>
      <c r="D36" s="75"/>
      <c r="E36" s="75"/>
      <c r="F36" s="75"/>
      <c r="G36" s="90" t="str">
        <f ca="1">DFIE!$B$81</f>
        <v>Schwelle</v>
      </c>
      <c r="H36" s="91"/>
      <c r="I36" s="92" t="str">
        <f ca="1">DFIE!$B$82</f>
        <v>SSE pro Kopf</v>
      </c>
      <c r="J36" s="93">
        <f>SUM(J34:J35)</f>
        <v>8196.171048096654</v>
      </c>
      <c r="K36" s="92" t="str">
        <f ca="1">DFIE!$B$83</f>
        <v>Index SSE</v>
      </c>
      <c r="L36" s="94">
        <f>100*J36/D32</f>
        <v>87.030680036553534</v>
      </c>
    </row>
    <row r="38" spans="2:12" x14ac:dyDescent="0.25">
      <c r="H38" s="76"/>
      <c r="I38" s="76"/>
    </row>
  </sheetData>
  <mergeCells count="7">
    <mergeCell ref="L3:L4"/>
    <mergeCell ref="C3:C4"/>
    <mergeCell ref="D3:D4"/>
    <mergeCell ref="E3:E4"/>
    <mergeCell ref="F3:F4"/>
    <mergeCell ref="G3:I3"/>
    <mergeCell ref="J3:K3"/>
  </mergeCells>
  <conditionalFormatting sqref="C6:E31">
    <cfRule type="expression" dxfId="2" priority="1" stopIfTrue="1">
      <formula>ISBLANK(C6)</formula>
    </cfRule>
  </conditionalFormatting>
  <conditionalFormatting sqref="D32">
    <cfRule type="expression" dxfId="1" priority="4" stopIfTrue="1">
      <formula>ISBLANK(D32)</formula>
    </cfRule>
  </conditionalFormatting>
  <conditionalFormatting sqref="K32">
    <cfRule type="expression" dxfId="0" priority="5" stopIfTrue="1">
      <formula>ISBLANK(K32)</formula>
    </cfRule>
  </conditionalFormatting>
  <pageMargins left="0.62992125984251968" right="0.39370078740157483" top="0.9055118110236221" bottom="0.6692913385826772" header="0.51181102362204722" footer="0.39370078740157483"/>
  <pageSetup paperSize="9" scale="82" orientation="landscape"/>
  <headerFooter scaleWithDoc="0" alignWithMargins="0">
    <oddHeader>&amp;L&amp;F&amp;R&amp;A</oddHeader>
    <oddFooter>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3"/>
  <sheetViews>
    <sheetView workbookViewId="0"/>
  </sheetViews>
  <sheetFormatPr baseColWidth="10" defaultRowHeight="13.2" x14ac:dyDescent="0.25"/>
  <cols>
    <col min="1" max="1" width="2.6640625" customWidth="1"/>
    <col min="2" max="2" width="57.5546875" customWidth="1"/>
    <col min="3" max="3" width="6.6640625" customWidth="1"/>
    <col min="4" max="7" width="18.6640625" customWidth="1"/>
    <col min="8" max="8" width="5.6640625" customWidth="1"/>
  </cols>
  <sheetData>
    <row r="1" spans="1:10" ht="12.75" customHeight="1" x14ac:dyDescent="0.25"/>
    <row r="2" spans="1:10" ht="12.75" customHeight="1" x14ac:dyDescent="0.25">
      <c r="B2" s="125" t="s">
        <v>8</v>
      </c>
      <c r="D2" s="129" t="s">
        <v>19</v>
      </c>
      <c r="G2" s="130" t="s">
        <v>5</v>
      </c>
      <c r="I2" s="130" t="s">
        <v>229</v>
      </c>
      <c r="J2" s="143" t="s">
        <v>231</v>
      </c>
    </row>
    <row r="3" spans="1:10" ht="12.75" customHeight="1" x14ac:dyDescent="0.25">
      <c r="B3" s="125" t="s">
        <v>29</v>
      </c>
      <c r="D3" s="126" t="s">
        <v>15</v>
      </c>
      <c r="E3" s="140"/>
      <c r="G3" s="131">
        <f>INTRO!D41</f>
        <v>2027</v>
      </c>
      <c r="I3" s="130" t="s">
        <v>230</v>
      </c>
      <c r="J3" s="141">
        <v>45687</v>
      </c>
    </row>
    <row r="4" spans="1:10" ht="12.75" customHeight="1" x14ac:dyDescent="0.25">
      <c r="B4" s="125"/>
      <c r="D4" s="127" t="s">
        <v>16</v>
      </c>
      <c r="E4" s="140"/>
    </row>
    <row r="5" spans="1:10" ht="12" customHeight="1" x14ac:dyDescent="0.25">
      <c r="A5" s="3"/>
      <c r="B5" s="138" t="s">
        <v>27</v>
      </c>
      <c r="C5" s="144"/>
      <c r="D5" s="127" t="s">
        <v>17</v>
      </c>
      <c r="E5" s="140"/>
      <c r="F5" s="3"/>
      <c r="H5" s="3"/>
      <c r="J5" s="3"/>
    </row>
    <row r="6" spans="1:10" ht="12" customHeight="1" x14ac:dyDescent="0.25">
      <c r="B6" s="138" t="s">
        <v>28</v>
      </c>
      <c r="D6" s="128" t="s">
        <v>18</v>
      </c>
      <c r="E6" s="140"/>
    </row>
    <row r="7" spans="1:10" ht="12.75" customHeight="1" x14ac:dyDescent="0.25">
      <c r="B7" s="125"/>
      <c r="D7" s="132">
        <v>1</v>
      </c>
      <c r="E7" s="140"/>
    </row>
    <row r="8" spans="1:10" x14ac:dyDescent="0.25">
      <c r="B8" s="139"/>
      <c r="D8" s="142"/>
      <c r="E8" s="142"/>
    </row>
    <row r="9" spans="1:10" x14ac:dyDescent="0.25">
      <c r="A9" s="139"/>
      <c r="B9" s="133" t="str">
        <f ca="1">INDIRECT(ADDRESS(ROW(),$D$7+3))</f>
        <v>Deutsch</v>
      </c>
      <c r="C9" s="144" t="s">
        <v>26</v>
      </c>
      <c r="D9" s="130" t="s">
        <v>15</v>
      </c>
      <c r="E9" s="130" t="s">
        <v>16</v>
      </c>
      <c r="F9" s="130" t="s">
        <v>17</v>
      </c>
      <c r="G9" s="130" t="s">
        <v>18</v>
      </c>
      <c r="H9" s="3" t="s">
        <v>26</v>
      </c>
    </row>
    <row r="10" spans="1:10" x14ac:dyDescent="0.25">
      <c r="B10" s="134" t="str">
        <f t="shared" ref="B10:B65" ca="1" si="0">INDIRECT(ADDRESS(ROW(),$D$7+3))</f>
        <v>Eidgenössisches Finanzdepartement EFD</v>
      </c>
      <c r="C10" s="144" t="s">
        <v>26</v>
      </c>
      <c r="D10" s="3" t="s">
        <v>22</v>
      </c>
      <c r="E10" s="3" t="s">
        <v>24</v>
      </c>
      <c r="F10" s="3" t="s">
        <v>36</v>
      </c>
      <c r="G10" s="3" t="s">
        <v>30</v>
      </c>
      <c r="H10" s="3" t="s">
        <v>26</v>
      </c>
    </row>
    <row r="11" spans="1:10" x14ac:dyDescent="0.25">
      <c r="B11" s="135" t="str">
        <f t="shared" ca="1" si="0"/>
        <v>Eidgenössische Finanzverwaltung EFV</v>
      </c>
      <c r="C11" s="144" t="s">
        <v>26</v>
      </c>
      <c r="D11" s="3" t="s">
        <v>23</v>
      </c>
      <c r="E11" s="3" t="s">
        <v>25</v>
      </c>
      <c r="F11" s="3" t="s">
        <v>37</v>
      </c>
      <c r="G11" s="3" t="s">
        <v>34</v>
      </c>
      <c r="H11" s="3" t="s">
        <v>26</v>
      </c>
    </row>
    <row r="12" spans="1:10" x14ac:dyDescent="0.25">
      <c r="B12" s="135" t="str">
        <f t="shared" ca="1" si="0"/>
        <v>Finanzausgleich zwischen Bund und Kantonen</v>
      </c>
      <c r="C12" s="144" t="s">
        <v>26</v>
      </c>
      <c r="D12" s="3" t="s">
        <v>20</v>
      </c>
      <c r="E12" s="3" t="s">
        <v>21</v>
      </c>
      <c r="F12" s="3" t="s">
        <v>38</v>
      </c>
      <c r="G12" s="3" t="s">
        <v>35</v>
      </c>
      <c r="H12" s="3" t="s">
        <v>26</v>
      </c>
    </row>
    <row r="13" spans="1:10" x14ac:dyDescent="0.25">
      <c r="B13" s="135" t="str">
        <f t="shared" ca="1" si="0"/>
        <v>Temporäre Massnahmen 2027</v>
      </c>
      <c r="C13" s="144" t="s">
        <v>26</v>
      </c>
      <c r="D13" s="3" t="str">
        <f>"Temporäre Massnahmen " &amp; $G$3</f>
        <v>Temporäre Massnahmen 2027</v>
      </c>
      <c r="E13" s="3" t="str">
        <f>"Mesures temporaires " &amp; $G$3</f>
        <v>Mesures temporaires 2027</v>
      </c>
      <c r="F13" s="3" t="str">
        <f>"Misure temporanee " &amp; $G$3</f>
        <v>Misure temporanee 2027</v>
      </c>
      <c r="G13" s="3" t="str">
        <f>"Temporary measures " &amp; $G$3</f>
        <v>Temporary measures 2027</v>
      </c>
      <c r="H13" s="3" t="s">
        <v>26</v>
      </c>
    </row>
    <row r="14" spans="1:10" x14ac:dyDescent="0.25">
      <c r="B14" s="135" t="str">
        <f t="shared" ca="1" si="0"/>
        <v>Härteausgleich</v>
      </c>
      <c r="C14" s="144" t="s">
        <v>26</v>
      </c>
      <c r="D14" s="3" t="s">
        <v>0</v>
      </c>
      <c r="E14" s="3" t="s">
        <v>9</v>
      </c>
      <c r="F14" s="3" t="s">
        <v>76</v>
      </c>
      <c r="G14" s="3" t="s">
        <v>77</v>
      </c>
      <c r="H14" s="3" t="s">
        <v>26</v>
      </c>
    </row>
    <row r="15" spans="1:10" x14ac:dyDescent="0.25">
      <c r="B15" s="136" t="str">
        <f t="shared" ca="1" si="0"/>
        <v>Ergänzungsbeitrag</v>
      </c>
      <c r="C15" s="144" t="s">
        <v>26</v>
      </c>
      <c r="D15" s="3" t="s">
        <v>205</v>
      </c>
      <c r="E15" s="3" t="s">
        <v>206</v>
      </c>
      <c r="F15" s="3" t="s">
        <v>207</v>
      </c>
      <c r="G15" s="3" t="s">
        <v>208</v>
      </c>
      <c r="H15" s="3" t="s">
        <v>26</v>
      </c>
    </row>
    <row r="16" spans="1:10" x14ac:dyDescent="0.25">
      <c r="B16" s="135" t="str">
        <f t="shared" ca="1" si="0"/>
        <v>Referenzjahr</v>
      </c>
      <c r="D16" s="3" t="s">
        <v>5</v>
      </c>
      <c r="E16" s="3" t="s">
        <v>45</v>
      </c>
      <c r="F16" s="3" t="s">
        <v>46</v>
      </c>
      <c r="G16" s="3" t="s">
        <v>47</v>
      </c>
      <c r="H16" s="3" t="s">
        <v>26</v>
      </c>
    </row>
    <row r="17" spans="2:8" x14ac:dyDescent="0.25">
      <c r="B17" s="135" t="str">
        <f t="shared" ca="1" si="0"/>
        <v>Berechnungsdatum</v>
      </c>
      <c r="D17" s="3" t="s">
        <v>6</v>
      </c>
      <c r="E17" s="3" t="s">
        <v>48</v>
      </c>
      <c r="F17" s="3" t="s">
        <v>52</v>
      </c>
      <c r="G17" s="3" t="s">
        <v>49</v>
      </c>
      <c r="H17" s="3" t="s">
        <v>26</v>
      </c>
    </row>
    <row r="18" spans="2:8" x14ac:dyDescent="0.25">
      <c r="B18" s="136" t="str">
        <f t="shared" ca="1" si="0"/>
        <v>Berechnungs-ID</v>
      </c>
      <c r="D18" s="3" t="s">
        <v>7</v>
      </c>
      <c r="E18" s="3" t="s">
        <v>50</v>
      </c>
      <c r="F18" s="3" t="s">
        <v>53</v>
      </c>
      <c r="G18" s="3" t="s">
        <v>51</v>
      </c>
      <c r="H18" s="3" t="s">
        <v>26</v>
      </c>
    </row>
    <row r="19" spans="2:8" x14ac:dyDescent="0.25">
      <c r="B19" s="135" t="str">
        <f t="shared" ca="1" si="0"/>
        <v>Einheit</v>
      </c>
      <c r="C19" s="144" t="s">
        <v>26</v>
      </c>
      <c r="D19" s="3" t="s">
        <v>56</v>
      </c>
      <c r="E19" s="3" t="s">
        <v>57</v>
      </c>
      <c r="F19" s="3" t="s">
        <v>58</v>
      </c>
      <c r="G19" s="3" t="s">
        <v>59</v>
      </c>
      <c r="H19" s="3" t="s">
        <v>26</v>
      </c>
    </row>
    <row r="20" spans="2:8" x14ac:dyDescent="0.25">
      <c r="B20" s="135" t="str">
        <f t="shared" ca="1" si="0"/>
        <v>CHF</v>
      </c>
      <c r="D20" s="3" t="s">
        <v>60</v>
      </c>
      <c r="E20" s="3" t="s">
        <v>60</v>
      </c>
      <c r="F20" s="3" t="s">
        <v>60</v>
      </c>
      <c r="G20" s="3" t="s">
        <v>60</v>
      </c>
      <c r="H20" s="3" t="s">
        <v>26</v>
      </c>
    </row>
    <row r="21" spans="2:8" x14ac:dyDescent="0.25">
      <c r="B21" s="135" t="str">
        <f t="shared" ca="1" si="0"/>
        <v>Punkte</v>
      </c>
      <c r="C21" s="144" t="s">
        <v>26</v>
      </c>
      <c r="D21" s="3" t="s">
        <v>65</v>
      </c>
      <c r="E21" s="3" t="s">
        <v>66</v>
      </c>
      <c r="F21" s="3" t="s">
        <v>67</v>
      </c>
      <c r="G21" s="3" t="s">
        <v>66</v>
      </c>
      <c r="H21" s="3" t="s">
        <v>26</v>
      </c>
    </row>
    <row r="22" spans="2:8" x14ac:dyDescent="0.25">
      <c r="B22" s="135" t="str">
        <f t="shared" ca="1" si="0"/>
        <v>Prozent</v>
      </c>
      <c r="C22" s="144" t="s">
        <v>26</v>
      </c>
      <c r="D22" s="3" t="s">
        <v>68</v>
      </c>
      <c r="E22" s="3" t="s">
        <v>69</v>
      </c>
      <c r="F22" s="3" t="s">
        <v>70</v>
      </c>
      <c r="G22" s="3" t="s">
        <v>71</v>
      </c>
      <c r="H22" s="3" t="s">
        <v>26</v>
      </c>
    </row>
    <row r="23" spans="2:8" x14ac:dyDescent="0.25">
      <c r="B23" s="135" t="str">
        <f t="shared" ca="1" si="0"/>
        <v>Anzahl</v>
      </c>
      <c r="C23" s="144" t="s">
        <v>26</v>
      </c>
      <c r="D23" s="3" t="s">
        <v>61</v>
      </c>
      <c r="E23" s="3" t="s">
        <v>62</v>
      </c>
      <c r="F23" s="3" t="s">
        <v>63</v>
      </c>
      <c r="G23" s="3" t="s">
        <v>64</v>
      </c>
      <c r="H23" s="3" t="s">
        <v>26</v>
      </c>
    </row>
    <row r="24" spans="2:8" x14ac:dyDescent="0.25">
      <c r="B24" s="136" t="str">
        <f t="shared" ca="1" si="0"/>
        <v>0 / 1</v>
      </c>
      <c r="C24" s="144" t="s">
        <v>26</v>
      </c>
      <c r="D24" s="3" t="s">
        <v>82</v>
      </c>
      <c r="E24" s="3" t="s">
        <v>82</v>
      </c>
      <c r="F24" s="3" t="s">
        <v>82</v>
      </c>
      <c r="G24" s="3" t="s">
        <v>82</v>
      </c>
      <c r="H24" s="3" t="s">
        <v>26</v>
      </c>
    </row>
    <row r="25" spans="2:8" x14ac:dyDescent="0.25">
      <c r="B25" s="135" t="str">
        <f t="shared" ca="1" si="0"/>
        <v>Zürich</v>
      </c>
      <c r="C25" s="144" t="s">
        <v>26</v>
      </c>
      <c r="D25" s="3" t="s">
        <v>83</v>
      </c>
      <c r="E25" s="3" t="s">
        <v>84</v>
      </c>
      <c r="F25" s="3" t="s">
        <v>85</v>
      </c>
      <c r="G25" s="3" t="s">
        <v>84</v>
      </c>
      <c r="H25" s="3" t="s">
        <v>26</v>
      </c>
    </row>
    <row r="26" spans="2:8" x14ac:dyDescent="0.25">
      <c r="B26" s="135" t="str">
        <f t="shared" ca="1" si="0"/>
        <v>Bern</v>
      </c>
      <c r="C26" s="144" t="s">
        <v>26</v>
      </c>
      <c r="D26" s="3" t="s">
        <v>86</v>
      </c>
      <c r="E26" s="3" t="s">
        <v>87</v>
      </c>
      <c r="F26" s="3" t="s">
        <v>88</v>
      </c>
      <c r="G26" s="3" t="s">
        <v>86</v>
      </c>
      <c r="H26" s="3" t="s">
        <v>26</v>
      </c>
    </row>
    <row r="27" spans="2:8" x14ac:dyDescent="0.25">
      <c r="B27" s="135" t="str">
        <f t="shared" ca="1" si="0"/>
        <v>Luzern</v>
      </c>
      <c r="C27" s="144" t="s">
        <v>26</v>
      </c>
      <c r="D27" s="3" t="s">
        <v>89</v>
      </c>
      <c r="E27" s="3" t="s">
        <v>90</v>
      </c>
      <c r="F27" s="3" t="s">
        <v>91</v>
      </c>
      <c r="G27" s="3" t="s">
        <v>89</v>
      </c>
      <c r="H27" s="3" t="s">
        <v>26</v>
      </c>
    </row>
    <row r="28" spans="2:8" x14ac:dyDescent="0.25">
      <c r="B28" s="135" t="str">
        <f t="shared" ca="1" si="0"/>
        <v>Uri</v>
      </c>
      <c r="C28" s="144" t="s">
        <v>26</v>
      </c>
      <c r="D28" s="3" t="s">
        <v>92</v>
      </c>
      <c r="E28" s="3" t="s">
        <v>92</v>
      </c>
      <c r="F28" s="3" t="s">
        <v>92</v>
      </c>
      <c r="G28" s="3" t="s">
        <v>92</v>
      </c>
      <c r="H28" s="3" t="s">
        <v>26</v>
      </c>
    </row>
    <row r="29" spans="2:8" x14ac:dyDescent="0.25">
      <c r="B29" s="135" t="str">
        <f t="shared" ca="1" si="0"/>
        <v>Schwyz</v>
      </c>
      <c r="C29" s="144" t="s">
        <v>26</v>
      </c>
      <c r="D29" s="3" t="s">
        <v>93</v>
      </c>
      <c r="E29" s="3" t="s">
        <v>93</v>
      </c>
      <c r="F29" s="3" t="s">
        <v>94</v>
      </c>
      <c r="G29" s="3" t="s">
        <v>93</v>
      </c>
      <c r="H29" s="3" t="s">
        <v>26</v>
      </c>
    </row>
    <row r="30" spans="2:8" x14ac:dyDescent="0.25">
      <c r="B30" s="135" t="str">
        <f t="shared" ca="1" si="0"/>
        <v>Obwalden</v>
      </c>
      <c r="C30" s="144" t="s">
        <v>26</v>
      </c>
      <c r="D30" s="3" t="s">
        <v>95</v>
      </c>
      <c r="E30" s="3" t="s">
        <v>96</v>
      </c>
      <c r="F30" s="3" t="s">
        <v>97</v>
      </c>
      <c r="G30" s="3" t="s">
        <v>95</v>
      </c>
      <c r="H30" s="3" t="s">
        <v>26</v>
      </c>
    </row>
    <row r="31" spans="2:8" x14ac:dyDescent="0.25">
      <c r="B31" s="135" t="str">
        <f t="shared" ca="1" si="0"/>
        <v>Nidwalden</v>
      </c>
      <c r="C31" s="144" t="s">
        <v>26</v>
      </c>
      <c r="D31" s="3" t="s">
        <v>98</v>
      </c>
      <c r="E31" s="3" t="s">
        <v>99</v>
      </c>
      <c r="F31" s="3" t="s">
        <v>100</v>
      </c>
      <c r="G31" s="3" t="s">
        <v>98</v>
      </c>
      <c r="H31" s="3" t="s">
        <v>26</v>
      </c>
    </row>
    <row r="32" spans="2:8" x14ac:dyDescent="0.25">
      <c r="B32" s="135" t="str">
        <f t="shared" ca="1" si="0"/>
        <v>Glarus</v>
      </c>
      <c r="C32" s="144" t="s">
        <v>26</v>
      </c>
      <c r="D32" s="3" t="s">
        <v>101</v>
      </c>
      <c r="E32" s="3" t="s">
        <v>102</v>
      </c>
      <c r="F32" s="3" t="s">
        <v>103</v>
      </c>
      <c r="G32" s="3" t="s">
        <v>101</v>
      </c>
      <c r="H32" s="3" t="s">
        <v>26</v>
      </c>
    </row>
    <row r="33" spans="2:8" x14ac:dyDescent="0.25">
      <c r="B33" s="135" t="str">
        <f t="shared" ca="1" si="0"/>
        <v>Zug</v>
      </c>
      <c r="C33" s="144" t="s">
        <v>26</v>
      </c>
      <c r="D33" s="3" t="s">
        <v>104</v>
      </c>
      <c r="E33" s="3" t="s">
        <v>105</v>
      </c>
      <c r="F33" s="3" t="s">
        <v>106</v>
      </c>
      <c r="G33" s="3" t="s">
        <v>104</v>
      </c>
      <c r="H33" s="3" t="s">
        <v>26</v>
      </c>
    </row>
    <row r="34" spans="2:8" x14ac:dyDescent="0.25">
      <c r="B34" s="135" t="str">
        <f t="shared" ca="1" si="0"/>
        <v>Freiburg</v>
      </c>
      <c r="C34" s="144" t="s">
        <v>26</v>
      </c>
      <c r="D34" s="3" t="s">
        <v>107</v>
      </c>
      <c r="E34" s="3" t="s">
        <v>108</v>
      </c>
      <c r="F34" s="3" t="s">
        <v>109</v>
      </c>
      <c r="G34" s="3" t="s">
        <v>108</v>
      </c>
      <c r="H34" s="3" t="s">
        <v>26</v>
      </c>
    </row>
    <row r="35" spans="2:8" x14ac:dyDescent="0.25">
      <c r="B35" s="135" t="str">
        <f t="shared" ca="1" si="0"/>
        <v>Solothurn</v>
      </c>
      <c r="C35" s="144" t="s">
        <v>26</v>
      </c>
      <c r="D35" s="3" t="s">
        <v>110</v>
      </c>
      <c r="E35" s="3" t="s">
        <v>111</v>
      </c>
      <c r="F35" s="3" t="s">
        <v>112</v>
      </c>
      <c r="G35" s="3" t="s">
        <v>110</v>
      </c>
      <c r="H35" s="3" t="s">
        <v>26</v>
      </c>
    </row>
    <row r="36" spans="2:8" x14ac:dyDescent="0.25">
      <c r="B36" s="135" t="str">
        <f t="shared" ca="1" si="0"/>
        <v>Basel-Stadt</v>
      </c>
      <c r="C36" s="144" t="s">
        <v>26</v>
      </c>
      <c r="D36" s="3" t="s">
        <v>113</v>
      </c>
      <c r="E36" s="3" t="s">
        <v>114</v>
      </c>
      <c r="F36" s="3" t="s">
        <v>115</v>
      </c>
      <c r="G36" s="3" t="s">
        <v>116</v>
      </c>
      <c r="H36" s="3" t="s">
        <v>26</v>
      </c>
    </row>
    <row r="37" spans="2:8" x14ac:dyDescent="0.25">
      <c r="B37" s="135" t="str">
        <f t="shared" ca="1" si="0"/>
        <v>Basel-Landschaft</v>
      </c>
      <c r="C37" s="144" t="s">
        <v>26</v>
      </c>
      <c r="D37" s="3" t="s">
        <v>117</v>
      </c>
      <c r="E37" s="3" t="s">
        <v>118</v>
      </c>
      <c r="F37" s="3" t="s">
        <v>119</v>
      </c>
      <c r="G37" s="3" t="s">
        <v>120</v>
      </c>
      <c r="H37" s="3" t="s">
        <v>26</v>
      </c>
    </row>
    <row r="38" spans="2:8" x14ac:dyDescent="0.25">
      <c r="B38" s="135" t="str">
        <f t="shared" ca="1" si="0"/>
        <v>Schaffhausen</v>
      </c>
      <c r="C38" s="144" t="s">
        <v>26</v>
      </c>
      <c r="D38" s="3" t="s">
        <v>121</v>
      </c>
      <c r="E38" s="3" t="s">
        <v>122</v>
      </c>
      <c r="F38" s="3" t="s">
        <v>123</v>
      </c>
      <c r="G38" s="3" t="s">
        <v>121</v>
      </c>
      <c r="H38" s="3" t="s">
        <v>26</v>
      </c>
    </row>
    <row r="39" spans="2:8" x14ac:dyDescent="0.25">
      <c r="B39" s="135" t="str">
        <f t="shared" ca="1" si="0"/>
        <v>Appenzell A.Rh.</v>
      </c>
      <c r="C39" s="144" t="s">
        <v>26</v>
      </c>
      <c r="D39" s="3" t="s">
        <v>124</v>
      </c>
      <c r="E39" s="3" t="s">
        <v>125</v>
      </c>
      <c r="F39" s="3" t="s">
        <v>126</v>
      </c>
      <c r="G39" s="3" t="s">
        <v>124</v>
      </c>
      <c r="H39" s="3" t="s">
        <v>26</v>
      </c>
    </row>
    <row r="40" spans="2:8" x14ac:dyDescent="0.25">
      <c r="B40" s="135" t="str">
        <f t="shared" ca="1" si="0"/>
        <v>Appenzell I.Rh.</v>
      </c>
      <c r="C40" s="144" t="s">
        <v>26</v>
      </c>
      <c r="D40" s="3" t="s">
        <v>127</v>
      </c>
      <c r="E40" s="3" t="s">
        <v>128</v>
      </c>
      <c r="F40" s="3" t="s">
        <v>129</v>
      </c>
      <c r="G40" s="3" t="s">
        <v>127</v>
      </c>
      <c r="H40" s="3" t="s">
        <v>26</v>
      </c>
    </row>
    <row r="41" spans="2:8" x14ac:dyDescent="0.25">
      <c r="B41" s="135" t="str">
        <f t="shared" ca="1" si="0"/>
        <v>St. Gallen</v>
      </c>
      <c r="C41" s="144" t="s">
        <v>26</v>
      </c>
      <c r="D41" s="3" t="s">
        <v>130</v>
      </c>
      <c r="E41" s="3" t="s">
        <v>131</v>
      </c>
      <c r="F41" s="3" t="s">
        <v>132</v>
      </c>
      <c r="G41" s="3" t="s">
        <v>130</v>
      </c>
      <c r="H41" s="3" t="s">
        <v>26</v>
      </c>
    </row>
    <row r="42" spans="2:8" x14ac:dyDescent="0.25">
      <c r="B42" s="135" t="str">
        <f t="shared" ca="1" si="0"/>
        <v>Graubünden</v>
      </c>
      <c r="C42" s="144" t="s">
        <v>26</v>
      </c>
      <c r="D42" s="3" t="s">
        <v>133</v>
      </c>
      <c r="E42" s="3" t="s">
        <v>134</v>
      </c>
      <c r="F42" s="3" t="s">
        <v>135</v>
      </c>
      <c r="G42" s="3" t="s">
        <v>133</v>
      </c>
      <c r="H42" s="3" t="s">
        <v>26</v>
      </c>
    </row>
    <row r="43" spans="2:8" x14ac:dyDescent="0.25">
      <c r="B43" s="135" t="str">
        <f t="shared" ca="1" si="0"/>
        <v>Aargau</v>
      </c>
      <c r="C43" s="144" t="s">
        <v>26</v>
      </c>
      <c r="D43" s="3" t="s">
        <v>136</v>
      </c>
      <c r="E43" s="3" t="s">
        <v>137</v>
      </c>
      <c r="F43" s="3" t="s">
        <v>138</v>
      </c>
      <c r="G43" s="3" t="s">
        <v>136</v>
      </c>
      <c r="H43" s="3" t="s">
        <v>26</v>
      </c>
    </row>
    <row r="44" spans="2:8" x14ac:dyDescent="0.25">
      <c r="B44" s="135" t="str">
        <f t="shared" ca="1" si="0"/>
        <v>Thurgau</v>
      </c>
      <c r="C44" s="144" t="s">
        <v>26</v>
      </c>
      <c r="D44" s="3" t="s">
        <v>139</v>
      </c>
      <c r="E44" s="3" t="s">
        <v>140</v>
      </c>
      <c r="F44" s="3" t="s">
        <v>141</v>
      </c>
      <c r="G44" s="3" t="s">
        <v>139</v>
      </c>
      <c r="H44" s="3" t="s">
        <v>26</v>
      </c>
    </row>
    <row r="45" spans="2:8" x14ac:dyDescent="0.25">
      <c r="B45" s="135" t="str">
        <f t="shared" ca="1" si="0"/>
        <v>Tessin</v>
      </c>
      <c r="C45" s="144" t="s">
        <v>26</v>
      </c>
      <c r="D45" s="3" t="s">
        <v>142</v>
      </c>
      <c r="E45" s="3" t="s">
        <v>142</v>
      </c>
      <c r="F45" s="3" t="s">
        <v>143</v>
      </c>
      <c r="G45" s="3" t="s">
        <v>143</v>
      </c>
      <c r="H45" s="3" t="s">
        <v>26</v>
      </c>
    </row>
    <row r="46" spans="2:8" x14ac:dyDescent="0.25">
      <c r="B46" s="135" t="str">
        <f t="shared" ca="1" si="0"/>
        <v>Waadt</v>
      </c>
      <c r="C46" s="144" t="s">
        <v>26</v>
      </c>
      <c r="D46" s="3" t="s">
        <v>144</v>
      </c>
      <c r="E46" s="3" t="s">
        <v>145</v>
      </c>
      <c r="F46" s="3" t="s">
        <v>145</v>
      </c>
      <c r="G46" s="3" t="s">
        <v>145</v>
      </c>
      <c r="H46" s="3" t="s">
        <v>26</v>
      </c>
    </row>
    <row r="47" spans="2:8" x14ac:dyDescent="0.25">
      <c r="B47" s="135" t="str">
        <f t="shared" ca="1" si="0"/>
        <v>Wallis</v>
      </c>
      <c r="C47" s="144" t="s">
        <v>26</v>
      </c>
      <c r="D47" s="3" t="s">
        <v>146</v>
      </c>
      <c r="E47" s="3" t="s">
        <v>147</v>
      </c>
      <c r="F47" s="3" t="s">
        <v>148</v>
      </c>
      <c r="G47" s="3" t="s">
        <v>147</v>
      </c>
      <c r="H47" s="3" t="s">
        <v>26</v>
      </c>
    </row>
    <row r="48" spans="2:8" x14ac:dyDescent="0.25">
      <c r="B48" s="135" t="str">
        <f t="shared" ca="1" si="0"/>
        <v>Neuenburg</v>
      </c>
      <c r="C48" s="144" t="s">
        <v>26</v>
      </c>
      <c r="D48" s="3" t="s">
        <v>149</v>
      </c>
      <c r="E48" s="3" t="s">
        <v>150</v>
      </c>
      <c r="F48" s="3" t="s">
        <v>150</v>
      </c>
      <c r="G48" s="3" t="s">
        <v>150</v>
      </c>
      <c r="H48" s="3" t="s">
        <v>26</v>
      </c>
    </row>
    <row r="49" spans="2:8" x14ac:dyDescent="0.25">
      <c r="B49" s="135" t="str">
        <f t="shared" ca="1" si="0"/>
        <v>Genf</v>
      </c>
      <c r="C49" s="144" t="s">
        <v>26</v>
      </c>
      <c r="D49" s="3" t="s">
        <v>151</v>
      </c>
      <c r="E49" s="3" t="s">
        <v>152</v>
      </c>
      <c r="F49" s="3" t="s">
        <v>153</v>
      </c>
      <c r="G49" s="3" t="s">
        <v>154</v>
      </c>
      <c r="H49" s="3" t="s">
        <v>26</v>
      </c>
    </row>
    <row r="50" spans="2:8" x14ac:dyDescent="0.25">
      <c r="B50" s="135" t="str">
        <f t="shared" ca="1" si="0"/>
        <v>Jura</v>
      </c>
      <c r="C50" s="144" t="s">
        <v>26</v>
      </c>
      <c r="D50" s="3" t="s">
        <v>155</v>
      </c>
      <c r="E50" s="3" t="s">
        <v>155</v>
      </c>
      <c r="F50" s="3" t="s">
        <v>156</v>
      </c>
      <c r="G50" s="3" t="s">
        <v>155</v>
      </c>
      <c r="H50" s="3" t="s">
        <v>26</v>
      </c>
    </row>
    <row r="51" spans="2:8" x14ac:dyDescent="0.25">
      <c r="B51" s="136" t="str">
        <f t="shared" ca="1" si="0"/>
        <v>Schweiz</v>
      </c>
      <c r="C51" s="144" t="s">
        <v>26</v>
      </c>
      <c r="D51" s="3" t="s">
        <v>4</v>
      </c>
      <c r="E51" s="3" t="s">
        <v>10</v>
      </c>
      <c r="F51" s="3" t="s">
        <v>42</v>
      </c>
      <c r="G51" s="3" t="s">
        <v>33</v>
      </c>
      <c r="H51" s="3" t="s">
        <v>26</v>
      </c>
    </row>
    <row r="52" spans="2:8" x14ac:dyDescent="0.25">
      <c r="B52" s="137" t="str">
        <f t="shared" ca="1" si="0"/>
        <v>Härteausgleich 2027</v>
      </c>
      <c r="C52" s="144" t="s">
        <v>54</v>
      </c>
      <c r="D52" s="139" t="str">
        <f>"Härteausgleich "&amp;$G$3</f>
        <v>Härteausgleich 2027</v>
      </c>
      <c r="E52" s="139" t="str">
        <f>"Compensation des cas de rigueur "&amp;$G$3</f>
        <v>Compensation des cas de rigueur 2027</v>
      </c>
      <c r="F52" s="139" t="str">
        <f>"Compensazione dei casi di rigore "&amp;$G$3</f>
        <v>Compensazione dei casi di rigore 2027</v>
      </c>
      <c r="G52" s="139" t="str">
        <f>"Cohesion fund "&amp;$G$3</f>
        <v>Cohesion fund 2027</v>
      </c>
      <c r="H52" s="139" t="s">
        <v>26</v>
      </c>
    </row>
    <row r="53" spans="2:8" x14ac:dyDescent="0.25">
      <c r="B53" s="135" t="str">
        <f t="shared" ca="1" si="0"/>
        <v>(+) Belastung Kanton; (-) Entlastung Kanton</v>
      </c>
      <c r="C53" s="144" t="s">
        <v>26</v>
      </c>
      <c r="D53" s="3" t="s">
        <v>75</v>
      </c>
      <c r="E53" s="3" t="s">
        <v>78</v>
      </c>
      <c r="F53" s="3" t="s">
        <v>79</v>
      </c>
      <c r="G53" s="3" t="s">
        <v>80</v>
      </c>
      <c r="H53" s="3" t="s">
        <v>26</v>
      </c>
    </row>
    <row r="54" spans="2:8" x14ac:dyDescent="0.25">
      <c r="B54" s="135" t="str">
        <f t="shared" ca="1" si="0"/>
        <v>Basisdaten</v>
      </c>
      <c r="C54" s="144" t="s">
        <v>26</v>
      </c>
      <c r="D54" s="3" t="s">
        <v>55</v>
      </c>
      <c r="E54" s="3" t="s">
        <v>167</v>
      </c>
      <c r="F54" s="3" t="s">
        <v>173</v>
      </c>
      <c r="G54" s="3" t="s">
        <v>160</v>
      </c>
      <c r="H54" s="3" t="s">
        <v>26</v>
      </c>
    </row>
    <row r="55" spans="2:8" ht="11.25" customHeight="1" x14ac:dyDescent="0.25">
      <c r="B55" s="135" t="str">
        <f t="shared" ca="1" si="0"/>
        <v>Basisbetrag
Auszahlung</v>
      </c>
      <c r="C55" s="144" t="s">
        <v>26</v>
      </c>
      <c r="D55" s="3" t="s">
        <v>158</v>
      </c>
      <c r="E55" s="3" t="s">
        <v>169</v>
      </c>
      <c r="F55" s="3" t="s">
        <v>176</v>
      </c>
      <c r="G55" s="3" t="s">
        <v>162</v>
      </c>
      <c r="H55" s="3" t="s">
        <v>26</v>
      </c>
    </row>
    <row r="56" spans="2:8" ht="11.25" customHeight="1" x14ac:dyDescent="0.25">
      <c r="B56" s="135" t="str">
        <f t="shared" ca="1" si="0"/>
        <v>Basisbetrag
Einzahlung</v>
      </c>
      <c r="C56" s="144" t="s">
        <v>26</v>
      </c>
      <c r="D56" s="3" t="s">
        <v>157</v>
      </c>
      <c r="E56" s="3" t="s">
        <v>168</v>
      </c>
      <c r="F56" s="3" t="s">
        <v>175</v>
      </c>
      <c r="G56" s="3" t="s">
        <v>161</v>
      </c>
      <c r="H56" s="3" t="s">
        <v>26</v>
      </c>
    </row>
    <row r="57" spans="2:8" x14ac:dyDescent="0.25">
      <c r="B57" s="135" t="str">
        <f t="shared" ca="1" si="0"/>
        <v>Anspruch auf Härteausgleich</v>
      </c>
      <c r="C57" s="144" t="s">
        <v>26</v>
      </c>
      <c r="D57" s="3" t="s">
        <v>72</v>
      </c>
      <c r="E57" s="3" t="s">
        <v>170</v>
      </c>
      <c r="F57" s="3" t="s">
        <v>174</v>
      </c>
      <c r="G57" s="3" t="s">
        <v>163</v>
      </c>
      <c r="H57" s="3" t="s">
        <v>26</v>
      </c>
    </row>
    <row r="58" spans="2:8" ht="11.25" customHeight="1" x14ac:dyDescent="0.25">
      <c r="B58" s="135" t="str">
        <f t="shared" ca="1" si="0"/>
        <v>Berechtigung
Vorjahr</v>
      </c>
      <c r="C58" s="144" t="s">
        <v>26</v>
      </c>
      <c r="D58" s="3" t="s">
        <v>81</v>
      </c>
      <c r="E58" s="3" t="s">
        <v>171</v>
      </c>
      <c r="F58" s="3" t="s">
        <v>177</v>
      </c>
      <c r="G58" s="3" t="s">
        <v>164</v>
      </c>
      <c r="H58" s="3" t="s">
        <v>26</v>
      </c>
    </row>
    <row r="59" spans="2:8" ht="11.25" customHeight="1" x14ac:dyDescent="0.25">
      <c r="B59" s="135" t="str">
        <f t="shared" ca="1" si="0"/>
        <v>Ressourcen-
index 
2027</v>
      </c>
      <c r="C59" s="144" t="s">
        <v>26</v>
      </c>
      <c r="D59" s="3" t="str">
        <f>"Ressourcen-" &amp; CHAR(10) &amp; "index " &amp; CHAR(10) &amp; $G$3</f>
        <v>Ressourcen-
index 
2027</v>
      </c>
      <c r="E59" s="3" t="str">
        <f>"Indice des" &amp; CHAR(10) &amp; "ressources" &amp; CHAR(10) &amp; $G$3</f>
        <v>Indice des
ressources
2027</v>
      </c>
      <c r="F59" s="3" t="str">
        <f>"Indice delle" &amp; CHAR(10) &amp; "risorse" &amp; CHAR(10) &amp; $G$3</f>
        <v>Indice delle
risorse
2027</v>
      </c>
      <c r="G59" s="3" t="str">
        <f>"Resource" &amp; CHAR(10) &amp; "index " &amp; CHAR(10) &amp; $G$3</f>
        <v>Resource
index 
2027</v>
      </c>
      <c r="H59" s="3" t="s">
        <v>26</v>
      </c>
    </row>
    <row r="60" spans="2:8" ht="11.25" customHeight="1" x14ac:dyDescent="0.25">
      <c r="B60" s="135" t="str">
        <f t="shared" ca="1" si="0"/>
        <v>Berechtigung 
2027</v>
      </c>
      <c r="C60" s="144" t="s">
        <v>26</v>
      </c>
      <c r="D60" s="3" t="str">
        <f>"Berechtigung " &amp; CHAR(10) &amp; $G$3</f>
        <v>Berechtigung 
2027</v>
      </c>
      <c r="E60" s="3" t="str">
        <f>"Canton" &amp; CHAR(10) &amp; "ayant droit " &amp; CHAR(10) &amp; $G$3</f>
        <v>Canton
ayant droit 
2027</v>
      </c>
      <c r="F60" s="3" t="str">
        <f>"Diritto " &amp; CHAR(10) &amp; $G$3</f>
        <v>Diritto 
2027</v>
      </c>
      <c r="G60" s="3" t="str">
        <f>"Entitlement" &amp; CHAR(10) &amp; $G$3</f>
        <v>Entitlement
2027</v>
      </c>
      <c r="H60" s="3" t="s">
        <v>26</v>
      </c>
    </row>
    <row r="61" spans="2:8" ht="11.25" customHeight="1" x14ac:dyDescent="0.25">
      <c r="B61" s="135" t="str">
        <f t="shared" ca="1" si="0"/>
        <v>Reduktion
5% pro Jahr
ab 2016</v>
      </c>
      <c r="C61" s="144" t="s">
        <v>26</v>
      </c>
      <c r="D61" s="3" t="s">
        <v>73</v>
      </c>
      <c r="E61" s="3" t="s">
        <v>172</v>
      </c>
      <c r="F61" s="3" t="s">
        <v>178</v>
      </c>
      <c r="G61" s="3" t="s">
        <v>165</v>
      </c>
      <c r="H61" s="3" t="s">
        <v>26</v>
      </c>
    </row>
    <row r="62" spans="2:8" ht="11.25" customHeight="1" x14ac:dyDescent="0.25">
      <c r="B62" s="135" t="str">
        <f t="shared" ca="1" si="0"/>
        <v>Härteausgleich</v>
      </c>
      <c r="C62" s="144" t="s">
        <v>26</v>
      </c>
      <c r="D62" s="3" t="s">
        <v>0</v>
      </c>
      <c r="E62" s="3" t="s">
        <v>9</v>
      </c>
      <c r="F62" s="3" t="s">
        <v>76</v>
      </c>
      <c r="G62" s="3" t="s">
        <v>166</v>
      </c>
      <c r="H62" s="3" t="s">
        <v>26</v>
      </c>
    </row>
    <row r="63" spans="2:8" ht="11.25" customHeight="1" x14ac:dyDescent="0.25">
      <c r="B63" s="135" t="str">
        <f t="shared" ca="1" si="0"/>
        <v>Auszahlung</v>
      </c>
      <c r="C63" s="144" t="s">
        <v>26</v>
      </c>
      <c r="D63" s="3" t="s">
        <v>3</v>
      </c>
      <c r="E63" s="3" t="s">
        <v>44</v>
      </c>
      <c r="F63" s="3" t="s">
        <v>41</v>
      </c>
      <c r="G63" s="3" t="s">
        <v>32</v>
      </c>
      <c r="H63" s="3" t="s">
        <v>26</v>
      </c>
    </row>
    <row r="64" spans="2:8" ht="11.25" customHeight="1" x14ac:dyDescent="0.25">
      <c r="B64" s="135" t="str">
        <f t="shared" ca="1" si="0"/>
        <v>Einzahlung</v>
      </c>
      <c r="C64" s="144" t="s">
        <v>26</v>
      </c>
      <c r="D64" s="3" t="s">
        <v>2</v>
      </c>
      <c r="E64" s="3" t="s">
        <v>43</v>
      </c>
      <c r="F64" s="3" t="s">
        <v>40</v>
      </c>
      <c r="G64" s="3" t="s">
        <v>31</v>
      </c>
      <c r="H64" s="3" t="s">
        <v>26</v>
      </c>
    </row>
    <row r="65" spans="2:8" ht="11.25" customHeight="1" x14ac:dyDescent="0.25">
      <c r="B65" s="136" t="str">
        <f t="shared" ca="1" si="0"/>
        <v>Total</v>
      </c>
      <c r="C65" s="144" t="s">
        <v>26</v>
      </c>
      <c r="D65" s="3" t="s">
        <v>1</v>
      </c>
      <c r="E65" s="3" t="s">
        <v>1</v>
      </c>
      <c r="F65" s="3" t="s">
        <v>39</v>
      </c>
      <c r="G65" s="3" t="s">
        <v>1</v>
      </c>
      <c r="H65" s="3" t="s">
        <v>26</v>
      </c>
    </row>
    <row r="66" spans="2:8" ht="11.25" customHeight="1" x14ac:dyDescent="0.25">
      <c r="B66" s="137" t="str">
        <f t="shared" ref="B66:B83" ca="1" si="1">INDIRECT(ADDRESS(ROW(),$D$7+3))</f>
        <v>Ergänzungsbeitrag 2027</v>
      </c>
      <c r="C66" s="144" t="s">
        <v>180</v>
      </c>
      <c r="D66" s="139" t="str">
        <f>"Ergänzungsbeitrag "&amp;$G$3</f>
        <v>Ergänzungsbeitrag 2027</v>
      </c>
      <c r="E66" s="139" t="str">
        <f>"Contribution complémentaire "&amp;$G$3</f>
        <v>Contribution complémentaire 2027</v>
      </c>
      <c r="F66" s="139" t="str">
        <f>"Contributo complementare "&amp;$G$3</f>
        <v>Contributo complementare 2027</v>
      </c>
      <c r="G66" s="139" t="str">
        <f>"Supplementary contribution "&amp;$G$3</f>
        <v>Supplementary contribution 2027</v>
      </c>
      <c r="H66" s="139" t="s">
        <v>26</v>
      </c>
    </row>
    <row r="67" spans="2:8" ht="11.25" customHeight="1" x14ac:dyDescent="0.25">
      <c r="B67" s="135" t="str">
        <f t="shared" ca="1" si="1"/>
        <v>Massgebende
Wohnbe-
völkerung 
2027</v>
      </c>
      <c r="C67" s="144" t="s">
        <v>26</v>
      </c>
      <c r="D67" s="3" t="str">
        <f>"Massgebende" &amp; CHAR(10) &amp; "Wohnbe-" &amp; CHAR(10) &amp; "völkerung " &amp; CHAR(10) &amp; $G$3</f>
        <v>Massgebende
Wohnbe-
völkerung 
2027</v>
      </c>
      <c r="E67" s="3" t="str">
        <f>"Population" &amp; CHAR(10) &amp; "résidante" &amp; CHAR(10) &amp; "déterminante" &amp; CHAR(10) &amp; $G$3</f>
        <v>Population
résidante
déterminante
2027</v>
      </c>
      <c r="F67" s="3" t="str">
        <f>"Popolazione" &amp; CHAR(10) &amp; "residente" &amp; CHAR(10) &amp; "determinante" &amp; CHAR(10) &amp; $G$3</f>
        <v>Popolazione
residente
determinante
2027</v>
      </c>
      <c r="G67" s="3" t="str">
        <f>"Relevant" &amp; CHAR(10) &amp; "resident" &amp; CHAR(10) &amp; "population" &amp; CHAR(10) &amp; $G$3</f>
        <v>Relevant
resident
population
2027</v>
      </c>
      <c r="H67" s="3" t="s">
        <v>26</v>
      </c>
    </row>
    <row r="68" spans="2:8" ht="11.25" customHeight="1" x14ac:dyDescent="0.25">
      <c r="B68" s="135" t="str">
        <f t="shared" ca="1" si="1"/>
        <v>Standardisierter
Steuerertrag SSE
pro Einwohner
vor Ausgleich
2023</v>
      </c>
      <c r="C68" s="144" t="s">
        <v>26</v>
      </c>
      <c r="D68" s="3" t="s">
        <v>181</v>
      </c>
      <c r="E68" s="3" t="s">
        <v>182</v>
      </c>
      <c r="F68" s="3" t="s">
        <v>183</v>
      </c>
      <c r="G68" s="3" t="s">
        <v>184</v>
      </c>
      <c r="H68" s="3" t="s">
        <v>26</v>
      </c>
    </row>
    <row r="69" spans="2:8" ht="11.25" customHeight="1" x14ac:dyDescent="0.25">
      <c r="B69" s="135" t="str">
        <f t="shared" ca="1" si="1"/>
        <v>Ressourcen-
ausgleich (RA)
pro Einwohner
2027</v>
      </c>
      <c r="C69" s="144" t="s">
        <v>26</v>
      </c>
      <c r="D69" s="3" t="str">
        <f>"Ressourcen-
ausgleich (RA)
pro Einwohner" &amp; CHAR(10) &amp; $G$3</f>
        <v>Ressourcen-
ausgleich (RA)
pro Einwohner
2027</v>
      </c>
      <c r="E69" s="3" t="str">
        <f>"Péréquation des
ressources (PR)
par habitant" &amp; CHAR(10) &amp; $G$3</f>
        <v>Péréquation des
ressources (PR)
par habitant
2027</v>
      </c>
      <c r="F69" s="3" t="str">
        <f>"Compensazione
delle risorse (PR)
per abitante" &amp; CHAR(10) &amp; $G$3</f>
        <v>Compensazione
delle risorse (PR)
per abitante
2027</v>
      </c>
      <c r="G69" s="3" t="str">
        <f>"Resource
equalization (RE)
per capita" &amp; CHAR(10) &amp; $G$3</f>
        <v>Resource
equalization (RE)
per capita
2027</v>
      </c>
      <c r="H69" s="3" t="s">
        <v>26</v>
      </c>
    </row>
    <row r="70" spans="2:8" ht="11.25" customHeight="1" x14ac:dyDescent="0.25">
      <c r="B70" s="135" t="str">
        <f t="shared" ca="1" si="1"/>
        <v>SSE 2023
pro Einwohner
inklusive 
RA 2027</v>
      </c>
      <c r="C70" s="144" t="s">
        <v>26</v>
      </c>
      <c r="D70" s="3" t="str">
        <f>"SSE 2023" &amp; CHAR(10) &amp; "pro Einwohner" &amp; CHAR(10) &amp; "inklusive " &amp; CHAR(10) &amp; "RA " &amp; $G$3</f>
        <v>SSE 2023
pro Einwohner
inklusive 
RA 2027</v>
      </c>
      <c r="E70" s="3" t="s">
        <v>225</v>
      </c>
      <c r="F70" s="3" t="str">
        <f>"GFS 2023" &amp; CHAR(10) &amp; "per abitante" &amp; CHAR(10) &amp; "con PR " &amp; $G$3</f>
        <v>GFS 2023
per abitante
con PR 2027</v>
      </c>
      <c r="G70" s="3" t="str">
        <f>"STR 2023" &amp; CHAR(10) &amp; "per capita" &amp; CHAR(10) &amp; "including" &amp; CHAR(10) &amp; "RE "  &amp; $G$3</f>
        <v>STR 2023
per capita
including
RE 2027</v>
      </c>
      <c r="H70" s="3" t="s">
        <v>26</v>
      </c>
    </row>
    <row r="71" spans="2:8" ht="11.25" customHeight="1" x14ac:dyDescent="0.25">
      <c r="B71" s="135" t="str">
        <f t="shared" ca="1" si="1"/>
        <v>Anspruch auf Ergänzungsbeitrag (EB)</v>
      </c>
      <c r="C71" s="144" t="s">
        <v>26</v>
      </c>
      <c r="D71" s="3" t="s">
        <v>216</v>
      </c>
      <c r="E71" s="3" t="s">
        <v>217</v>
      </c>
      <c r="F71" s="3" t="s">
        <v>218</v>
      </c>
      <c r="G71" s="3" t="s">
        <v>219</v>
      </c>
      <c r="H71" s="3" t="s">
        <v>26</v>
      </c>
    </row>
    <row r="72" spans="2:8" ht="11.25" customHeight="1" x14ac:dyDescent="0.25">
      <c r="B72" s="135" t="str">
        <f t="shared" ca="1" si="1"/>
        <v>Beitrag total
falls Schwelle =
SSE Kanton
(RI &lt;= 100)</v>
      </c>
      <c r="C72" s="144" t="s">
        <v>26</v>
      </c>
      <c r="D72" s="3" t="s">
        <v>185</v>
      </c>
      <c r="E72" s="3" t="s">
        <v>186</v>
      </c>
      <c r="F72" s="3" t="s">
        <v>187</v>
      </c>
      <c r="G72" s="3" t="s">
        <v>188</v>
      </c>
      <c r="H72" s="3" t="s">
        <v>26</v>
      </c>
    </row>
    <row r="73" spans="2:8" ht="11.25" customHeight="1" x14ac:dyDescent="0.25">
      <c r="B73" s="135" t="str">
        <f t="shared" ca="1" si="1"/>
        <v>Berechtigung 
2027</v>
      </c>
      <c r="C73" s="144" t="s">
        <v>26</v>
      </c>
      <c r="D73" s="3" t="str">
        <f>"Berechtigung " &amp; CHAR(10) &amp; $G$3</f>
        <v>Berechtigung 
2027</v>
      </c>
      <c r="E73" s="3" t="str">
        <f>"Canton" &amp; CHAR(10) &amp; "ayant droit " &amp; CHAR(10) &amp; $G$3</f>
        <v>Canton
ayant droit 
2027</v>
      </c>
      <c r="F73" s="3" t="str">
        <f>"Diritto " &amp; CHAR(10) &amp; $G$3</f>
        <v>Diritto 
2027</v>
      </c>
      <c r="G73" s="3" t="str">
        <f>"Entitlement " &amp; CHAR(10) &amp; $G$3</f>
        <v>Entitlement 
2027</v>
      </c>
      <c r="H73" s="3" t="s">
        <v>26</v>
      </c>
    </row>
    <row r="74" spans="2:8" ht="11.25" customHeight="1" x14ac:dyDescent="0.25">
      <c r="B74" s="135" t="str">
        <f t="shared" ca="1" si="1"/>
        <v>Wohn-
bevölkerung
berechtigt</v>
      </c>
      <c r="C74" s="144" t="s">
        <v>26</v>
      </c>
      <c r="D74" s="3" t="s">
        <v>74</v>
      </c>
      <c r="E74" s="3" t="s">
        <v>189</v>
      </c>
      <c r="F74" s="3" t="s">
        <v>179</v>
      </c>
      <c r="G74" s="3" t="s">
        <v>159</v>
      </c>
      <c r="H74" s="3" t="s">
        <v>26</v>
      </c>
    </row>
    <row r="75" spans="2:8" ht="11.25" customHeight="1" x14ac:dyDescent="0.25">
      <c r="B75" s="135" t="str">
        <f t="shared" ca="1" si="1"/>
        <v>Auszahlung</v>
      </c>
      <c r="C75" s="144" t="s">
        <v>26</v>
      </c>
      <c r="D75" s="3" t="s">
        <v>3</v>
      </c>
      <c r="E75" s="3" t="s">
        <v>213</v>
      </c>
      <c r="F75" s="3" t="s">
        <v>41</v>
      </c>
      <c r="G75" s="3" t="s">
        <v>32</v>
      </c>
      <c r="H75" s="3" t="s">
        <v>26</v>
      </c>
    </row>
    <row r="76" spans="2:8" ht="11.25" customHeight="1" x14ac:dyDescent="0.25">
      <c r="B76" s="135" t="str">
        <f t="shared" ca="1" si="1"/>
        <v>Ergänzungs-
beitrag pro
Einwohner</v>
      </c>
      <c r="C76" s="144" t="s">
        <v>26</v>
      </c>
      <c r="D76" s="3" t="s">
        <v>220</v>
      </c>
      <c r="E76" s="3" t="s">
        <v>190</v>
      </c>
      <c r="F76" s="3" t="s">
        <v>191</v>
      </c>
      <c r="G76" s="3" t="s">
        <v>192</v>
      </c>
      <c r="H76" s="3" t="s">
        <v>26</v>
      </c>
    </row>
    <row r="77" spans="2:8" ht="11.25" customHeight="1" x14ac:dyDescent="0.25">
      <c r="B77" s="135" t="str">
        <f t="shared" ca="1" si="1"/>
        <v>Ergänzungs-
beitrag
total</v>
      </c>
      <c r="C77" s="144" t="s">
        <v>26</v>
      </c>
      <c r="D77" s="3" t="s">
        <v>212</v>
      </c>
      <c r="E77" s="3" t="s">
        <v>209</v>
      </c>
      <c r="F77" s="3" t="s">
        <v>210</v>
      </c>
      <c r="G77" s="3" t="s">
        <v>211</v>
      </c>
      <c r="H77" s="3" t="s">
        <v>26</v>
      </c>
    </row>
    <row r="78" spans="2:8" ht="11.25" customHeight="1" x14ac:dyDescent="0.25">
      <c r="B78" s="135" t="str">
        <f t="shared" ca="1" si="1"/>
        <v>Index SSE 2023
inklusive RA
und EB 2027</v>
      </c>
      <c r="C78" s="144" t="s">
        <v>26</v>
      </c>
      <c r="D78" s="3" t="str">
        <f>"Index SSE 2023" &amp; CHAR(10) &amp; "inklusive RA" &amp; CHAR(10) &amp; "und EB "  &amp; $G$3</f>
        <v>Index SSE 2023
inklusive RA
und EB 2027</v>
      </c>
      <c r="E78" s="3" t="s">
        <v>226</v>
      </c>
      <c r="F78" s="3" t="str">
        <f>"Indice"  &amp; CHAR(10) &amp; "GFS 2023" &amp; CHAR(10) &amp; "con PR" &amp; CHAR(10) &amp; "e CC " &amp; $G$3</f>
        <v>Indice
GFS 2023
con PR
e CC 2027</v>
      </c>
      <c r="G78" s="3" t="str">
        <f>"STR index 2023" &amp; CHAR(10) &amp; "including RE" &amp; CHAR(10) &amp; "and SC " &amp; $G$3</f>
        <v>STR index 2023
including RE
and SC 2027</v>
      </c>
      <c r="H78" s="3" t="s">
        <v>26</v>
      </c>
    </row>
    <row r="79" spans="2:8" ht="11.25" customHeight="1" x14ac:dyDescent="0.25">
      <c r="B79" s="135" t="str">
        <f t="shared" ca="1" si="1"/>
        <v>Letzter berechtigter Kanton</v>
      </c>
      <c r="C79" s="144" t="s">
        <v>26</v>
      </c>
      <c r="D79" s="3" t="s">
        <v>214</v>
      </c>
      <c r="E79" s="3" t="s">
        <v>227</v>
      </c>
      <c r="F79" s="3" t="s">
        <v>223</v>
      </c>
      <c r="G79" s="3" t="s">
        <v>221</v>
      </c>
      <c r="H79" s="3" t="s">
        <v>26</v>
      </c>
    </row>
    <row r="80" spans="2:8" ht="11.25" customHeight="1" x14ac:dyDescent="0.25">
      <c r="B80" s="135" t="str">
        <f t="shared" ca="1" si="1"/>
        <v>Verteilung Rest</v>
      </c>
      <c r="C80" s="144" t="s">
        <v>26</v>
      </c>
      <c r="D80" s="3" t="s">
        <v>215</v>
      </c>
      <c r="E80" s="3" t="s">
        <v>228</v>
      </c>
      <c r="F80" s="3" t="s">
        <v>224</v>
      </c>
      <c r="G80" s="3" t="s">
        <v>222</v>
      </c>
      <c r="H80" s="3" t="s">
        <v>26</v>
      </c>
    </row>
    <row r="81" spans="2:8" ht="11.25" customHeight="1" x14ac:dyDescent="0.25">
      <c r="B81" s="135" t="str">
        <f t="shared" ca="1" si="1"/>
        <v>Schwelle</v>
      </c>
      <c r="C81" s="144" t="s">
        <v>26</v>
      </c>
      <c r="D81" s="3" t="s">
        <v>193</v>
      </c>
      <c r="E81" s="3" t="s">
        <v>194</v>
      </c>
      <c r="F81" s="3" t="s">
        <v>195</v>
      </c>
      <c r="G81" s="3" t="s">
        <v>196</v>
      </c>
      <c r="H81" s="3" t="s">
        <v>26</v>
      </c>
    </row>
    <row r="82" spans="2:8" ht="11.25" customHeight="1" x14ac:dyDescent="0.25">
      <c r="B82" s="135" t="str">
        <f t="shared" ca="1" si="1"/>
        <v>SSE pro Kopf</v>
      </c>
      <c r="C82" s="144" t="s">
        <v>26</v>
      </c>
      <c r="D82" s="3" t="s">
        <v>197</v>
      </c>
      <c r="E82" s="3" t="s">
        <v>198</v>
      </c>
      <c r="F82" s="3" t="s">
        <v>199</v>
      </c>
      <c r="G82" s="3" t="s">
        <v>200</v>
      </c>
      <c r="H82" s="3" t="s">
        <v>26</v>
      </c>
    </row>
    <row r="83" spans="2:8" ht="11.25" customHeight="1" x14ac:dyDescent="0.25">
      <c r="B83" s="136" t="str">
        <f t="shared" ca="1" si="1"/>
        <v>Index SSE</v>
      </c>
      <c r="C83" s="144" t="s">
        <v>26</v>
      </c>
      <c r="D83" s="3" t="s">
        <v>201</v>
      </c>
      <c r="E83" s="3" t="s">
        <v>202</v>
      </c>
      <c r="F83" s="3" t="s">
        <v>203</v>
      </c>
      <c r="G83" s="3" t="s">
        <v>204</v>
      </c>
      <c r="H83" s="3" t="s">
        <v>26</v>
      </c>
    </row>
  </sheetData>
  <pageMargins left="0.39370078740157483" right="0.39370078740157483" top="0.78740157480314965" bottom="0.78740157480314965" header="0.31496062992125984" footer="0.31496062992125984"/>
  <pageSetup paperSize="9" orientation="landscape"/>
  <headerFooter scaleWithDoc="0" alignWithMargins="0">
    <oddHeader>&amp;L&amp;F&amp;R&amp;A</oddHead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INTRO</vt:lpstr>
      <vt:lpstr>HA</vt:lpstr>
      <vt:lpstr>EB</vt:lpstr>
      <vt:lpstr>EB!Druckbereich</vt:lpstr>
      <vt:lpstr>HA!Druckbereich</vt:lpstr>
      <vt:lpstr>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Witschard Jean-Pierre EFV</dc:creator>
  <cp:lastModifiedBy>Witschard Jean-Pierre EFV</cp:lastModifiedBy>
  <cp:lastPrinted>2020-12-07T11:45:45Z</cp:lastPrinted>
  <dcterms:created xsi:type="dcterms:W3CDTF">2007-03-30T08:04:01Z</dcterms:created>
  <dcterms:modified xsi:type="dcterms:W3CDTF">2026-06-03T07:20:07Z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2026-05-05T07:01:47Z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76e46282-1d6c-4347-9044-81ba79114f5e</vt:lpwstr>
  </property>
  <property fmtid="{D5CDD505-2E9C-101B-9397-08002B2CF9AE}" pid="8" name="MSIP_Label_aa112399-b73b-40c1-8af2-919b124b9d91_ContentBits">
    <vt:lpwstr>0</vt:lpwstr>
  </property>
  <property fmtid="{D5CDD505-2E9C-101B-9397-08002B2CF9AE}" pid="9" name="MSIP_Label_aa112399-b73b-40c1-8af2-919b124b9d91_Tag">
    <vt:lpwstr>10, 0, 1, 1</vt:lpwstr>
  </property>
</Properties>
</file>