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E\"/>
    </mc:Choice>
  </mc:AlternateContent>
  <bookViews>
    <workbookView xWindow="-15" yWindow="-120" windowWidth="20730" windowHeight="6030"/>
  </bookViews>
  <sheets>
    <sheet name="Info" sheetId="1" r:id="rId1"/>
    <sheet name="PI" sheetId="2" r:id="rId2"/>
    <sheet name="ITS" sheetId="3" r:id="rId3"/>
    <sheet name="Wealth" sheetId="4" r:id="rId4"/>
    <sheet name="LE" sheetId="5" r:id="rId5"/>
    <sheet name="REPART" sheetId="6" r:id="rId6"/>
    <sheet name="ATB_Total" sheetId="7" r:id="rId7"/>
    <sheet name="ATB_per_capita" sheetId="8" r:id="rId8"/>
    <sheet name="ATB_in_percent" sheetId="9" r:id="rId9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H2" i="9" l="1"/>
  <c r="A1" i="9"/>
  <c r="I33" i="8"/>
  <c r="D32" i="8"/>
  <c r="D30" i="8"/>
  <c r="D28" i="8"/>
  <c r="D24" i="8"/>
  <c r="D22" i="8"/>
  <c r="D20" i="8"/>
  <c r="H5" i="8"/>
  <c r="G5" i="8"/>
  <c r="F5" i="8"/>
  <c r="E5" i="8"/>
  <c r="D5" i="8"/>
  <c r="C5" i="8"/>
  <c r="I1" i="8"/>
  <c r="B1" i="8"/>
  <c r="D32" i="7"/>
  <c r="D31" i="7"/>
  <c r="D31" i="8" s="1"/>
  <c r="D30" i="7"/>
  <c r="D29" i="7"/>
  <c r="D28" i="7"/>
  <c r="D27" i="7"/>
  <c r="D27" i="8" s="1"/>
  <c r="D26" i="7"/>
  <c r="D25" i="7"/>
  <c r="D24" i="7"/>
  <c r="D23" i="7"/>
  <c r="D23" i="8" s="1"/>
  <c r="D22" i="7"/>
  <c r="D21" i="7"/>
  <c r="D20" i="7"/>
  <c r="D19" i="7"/>
  <c r="D18" i="7"/>
  <c r="D17" i="7"/>
  <c r="D16" i="7"/>
  <c r="D15" i="7"/>
  <c r="D15" i="8" s="1"/>
  <c r="D14" i="7"/>
  <c r="C14" i="7"/>
  <c r="C14" i="8" s="1"/>
  <c r="F13" i="7"/>
  <c r="F13" i="8" s="1"/>
  <c r="D13" i="7"/>
  <c r="D12" i="7"/>
  <c r="F11" i="7"/>
  <c r="F11" i="8" s="1"/>
  <c r="D11" i="7"/>
  <c r="D11" i="8" s="1"/>
  <c r="D10" i="7"/>
  <c r="F9" i="7"/>
  <c r="F9" i="8" s="1"/>
  <c r="D9" i="7"/>
  <c r="D8" i="7"/>
  <c r="F7" i="7"/>
  <c r="F7" i="8" s="1"/>
  <c r="D7" i="7"/>
  <c r="D7" i="8" s="1"/>
  <c r="H5" i="7"/>
  <c r="G5" i="7"/>
  <c r="F5" i="7"/>
  <c r="E5" i="7"/>
  <c r="D5" i="7"/>
  <c r="C5" i="7"/>
  <c r="H1" i="7"/>
  <c r="B1" i="7"/>
  <c r="F33" i="6"/>
  <c r="E33" i="6"/>
  <c r="D33" i="6"/>
  <c r="C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I1" i="6"/>
  <c r="B1" i="6"/>
  <c r="C35" i="5"/>
  <c r="B35" i="5"/>
  <c r="D34" i="5"/>
  <c r="F32" i="7" s="1"/>
  <c r="F32" i="8" s="1"/>
  <c r="D33" i="5"/>
  <c r="F31" i="7" s="1"/>
  <c r="F31" i="8" s="1"/>
  <c r="D32" i="5"/>
  <c r="F30" i="7" s="1"/>
  <c r="F30" i="8" s="1"/>
  <c r="D31" i="5"/>
  <c r="F29" i="7" s="1"/>
  <c r="F29" i="8" s="1"/>
  <c r="D30" i="5"/>
  <c r="F28" i="7" s="1"/>
  <c r="F28" i="8" s="1"/>
  <c r="D29" i="5"/>
  <c r="F27" i="7" s="1"/>
  <c r="F27" i="8" s="1"/>
  <c r="D28" i="5"/>
  <c r="F26" i="7" s="1"/>
  <c r="F26" i="8" s="1"/>
  <c r="D27" i="5"/>
  <c r="F25" i="7" s="1"/>
  <c r="F25" i="8" s="1"/>
  <c r="D26" i="5"/>
  <c r="F24" i="7" s="1"/>
  <c r="F24" i="8" s="1"/>
  <c r="D25" i="5"/>
  <c r="F23" i="7" s="1"/>
  <c r="F23" i="8" s="1"/>
  <c r="D24" i="5"/>
  <c r="F22" i="7" s="1"/>
  <c r="F22" i="8" s="1"/>
  <c r="D23" i="5"/>
  <c r="F21" i="7" s="1"/>
  <c r="F21" i="8" s="1"/>
  <c r="D22" i="5"/>
  <c r="F20" i="7" s="1"/>
  <c r="F20" i="8" s="1"/>
  <c r="D21" i="5"/>
  <c r="F19" i="7" s="1"/>
  <c r="F19" i="8" s="1"/>
  <c r="D20" i="5"/>
  <c r="F18" i="7" s="1"/>
  <c r="F18" i="8" s="1"/>
  <c r="D19" i="5"/>
  <c r="F17" i="7" s="1"/>
  <c r="F17" i="8" s="1"/>
  <c r="D18" i="5"/>
  <c r="F16" i="7" s="1"/>
  <c r="F16" i="8" s="1"/>
  <c r="D17" i="5"/>
  <c r="F15" i="7" s="1"/>
  <c r="F15" i="8" s="1"/>
  <c r="D16" i="5"/>
  <c r="F14" i="7" s="1"/>
  <c r="F14" i="8" s="1"/>
  <c r="D15" i="5"/>
  <c r="D14" i="5"/>
  <c r="F12" i="7" s="1"/>
  <c r="F12" i="8" s="1"/>
  <c r="D13" i="5"/>
  <c r="D12" i="5"/>
  <c r="F10" i="7" s="1"/>
  <c r="F10" i="8" s="1"/>
  <c r="D11" i="5"/>
  <c r="D10" i="5"/>
  <c r="F8" i="7" s="1"/>
  <c r="F8" i="8" s="1"/>
  <c r="D9" i="5"/>
  <c r="D35" i="5" s="1"/>
  <c r="D3" i="5"/>
  <c r="A1" i="5"/>
  <c r="B35" i="4"/>
  <c r="C34" i="4"/>
  <c r="D34" i="4" s="1"/>
  <c r="E32" i="7" s="1"/>
  <c r="C33" i="4"/>
  <c r="D33" i="4" s="1"/>
  <c r="E31" i="7" s="1"/>
  <c r="C32" i="4"/>
  <c r="D32" i="4" s="1"/>
  <c r="E30" i="7" s="1"/>
  <c r="C31" i="4"/>
  <c r="D31" i="4" s="1"/>
  <c r="E29" i="7" s="1"/>
  <c r="C30" i="4"/>
  <c r="D30" i="4" s="1"/>
  <c r="E28" i="7" s="1"/>
  <c r="C29" i="4"/>
  <c r="D29" i="4" s="1"/>
  <c r="E27" i="7" s="1"/>
  <c r="C28" i="4"/>
  <c r="D28" i="4" s="1"/>
  <c r="E26" i="7" s="1"/>
  <c r="C27" i="4"/>
  <c r="D27" i="4" s="1"/>
  <c r="E25" i="7" s="1"/>
  <c r="C26" i="4"/>
  <c r="D26" i="4" s="1"/>
  <c r="E24" i="7" s="1"/>
  <c r="C25" i="4"/>
  <c r="D25" i="4" s="1"/>
  <c r="E23" i="7" s="1"/>
  <c r="C24" i="4"/>
  <c r="D24" i="4" s="1"/>
  <c r="E22" i="7" s="1"/>
  <c r="C23" i="4"/>
  <c r="D23" i="4" s="1"/>
  <c r="E21" i="7" s="1"/>
  <c r="C22" i="4"/>
  <c r="D22" i="4" s="1"/>
  <c r="E20" i="7" s="1"/>
  <c r="C21" i="4"/>
  <c r="D21" i="4" s="1"/>
  <c r="E19" i="7" s="1"/>
  <c r="C20" i="4"/>
  <c r="D20" i="4" s="1"/>
  <c r="E18" i="7" s="1"/>
  <c r="C19" i="4"/>
  <c r="D19" i="4" s="1"/>
  <c r="E17" i="7" s="1"/>
  <c r="C18" i="4"/>
  <c r="D18" i="4" s="1"/>
  <c r="E16" i="7" s="1"/>
  <c r="C17" i="4"/>
  <c r="D17" i="4" s="1"/>
  <c r="E15" i="7" s="1"/>
  <c r="C16" i="4"/>
  <c r="D16" i="4" s="1"/>
  <c r="E14" i="7" s="1"/>
  <c r="C15" i="4"/>
  <c r="D15" i="4" s="1"/>
  <c r="E13" i="7" s="1"/>
  <c r="C14" i="4"/>
  <c r="D14" i="4" s="1"/>
  <c r="E12" i="7" s="1"/>
  <c r="C13" i="4"/>
  <c r="D13" i="4" s="1"/>
  <c r="E11" i="7" s="1"/>
  <c r="C12" i="4"/>
  <c r="D12" i="4" s="1"/>
  <c r="E10" i="7" s="1"/>
  <c r="C11" i="4"/>
  <c r="D11" i="4" s="1"/>
  <c r="E9" i="7" s="1"/>
  <c r="C10" i="4"/>
  <c r="D10" i="4" s="1"/>
  <c r="E8" i="7" s="1"/>
  <c r="C9" i="4"/>
  <c r="D9" i="4" s="1"/>
  <c r="D3" i="4"/>
  <c r="A1" i="4"/>
  <c r="C33" i="3"/>
  <c r="C5" i="3"/>
  <c r="C3" i="3"/>
  <c r="B1" i="3"/>
  <c r="I33" i="2"/>
  <c r="H33" i="2"/>
  <c r="G33" i="2"/>
  <c r="F33" i="2"/>
  <c r="E33" i="2"/>
  <c r="D33" i="2"/>
  <c r="C33" i="2"/>
  <c r="J32" i="2"/>
  <c r="C32" i="7" s="1"/>
  <c r="J31" i="2"/>
  <c r="C31" i="7" s="1"/>
  <c r="J30" i="2"/>
  <c r="C30" i="7" s="1"/>
  <c r="C30" i="8" s="1"/>
  <c r="J29" i="2"/>
  <c r="C29" i="7" s="1"/>
  <c r="J28" i="2"/>
  <c r="C28" i="7" s="1"/>
  <c r="J27" i="2"/>
  <c r="C27" i="7" s="1"/>
  <c r="J26" i="2"/>
  <c r="C26" i="7" s="1"/>
  <c r="C26" i="8" s="1"/>
  <c r="J25" i="2"/>
  <c r="C25" i="7" s="1"/>
  <c r="J24" i="2"/>
  <c r="C24" i="7" s="1"/>
  <c r="J23" i="2"/>
  <c r="C23" i="7" s="1"/>
  <c r="J22" i="2"/>
  <c r="C22" i="7" s="1"/>
  <c r="C22" i="8" s="1"/>
  <c r="J21" i="2"/>
  <c r="C21" i="7" s="1"/>
  <c r="J20" i="2"/>
  <c r="C20" i="7" s="1"/>
  <c r="J19" i="2"/>
  <c r="C19" i="7" s="1"/>
  <c r="J18" i="2"/>
  <c r="C18" i="7" s="1"/>
  <c r="C18" i="8" s="1"/>
  <c r="J17" i="2"/>
  <c r="C17" i="7" s="1"/>
  <c r="J16" i="2"/>
  <c r="C16" i="7" s="1"/>
  <c r="J15" i="2"/>
  <c r="C15" i="7" s="1"/>
  <c r="J14" i="2"/>
  <c r="J13" i="2"/>
  <c r="C13" i="7" s="1"/>
  <c r="J12" i="2"/>
  <c r="C12" i="7" s="1"/>
  <c r="J11" i="2"/>
  <c r="C11" i="7" s="1"/>
  <c r="J10" i="2"/>
  <c r="C10" i="7" s="1"/>
  <c r="J9" i="2"/>
  <c r="C9" i="7" s="1"/>
  <c r="J8" i="2"/>
  <c r="C8" i="7" s="1"/>
  <c r="J7" i="2"/>
  <c r="C7" i="7" s="1"/>
  <c r="J1" i="2"/>
  <c r="B1" i="2"/>
  <c r="A4" i="1"/>
  <c r="D1" i="7" s="1"/>
  <c r="A3" i="1"/>
  <c r="C11" i="8" l="1"/>
  <c r="H19" i="7"/>
  <c r="E8" i="8"/>
  <c r="E16" i="8"/>
  <c r="E28" i="8"/>
  <c r="E32" i="8"/>
  <c r="C8" i="8"/>
  <c r="C12" i="8"/>
  <c r="E9" i="8"/>
  <c r="E13" i="8"/>
  <c r="E17" i="8"/>
  <c r="D20" i="9"/>
  <c r="E21" i="8"/>
  <c r="E25" i="8"/>
  <c r="D28" i="9"/>
  <c r="E29" i="8"/>
  <c r="C18" i="9"/>
  <c r="C33" i="7"/>
  <c r="C7" i="8"/>
  <c r="H23" i="7"/>
  <c r="B22" i="9" s="1"/>
  <c r="E12" i="8"/>
  <c r="E20" i="8"/>
  <c r="E24" i="8"/>
  <c r="B8" i="9"/>
  <c r="C9" i="8"/>
  <c r="H9" i="7"/>
  <c r="H13" i="7"/>
  <c r="C12" i="9" s="1"/>
  <c r="C13" i="8"/>
  <c r="E10" i="8"/>
  <c r="E14" i="8"/>
  <c r="E18" i="8"/>
  <c r="E22" i="8"/>
  <c r="E26" i="8"/>
  <c r="E30" i="8"/>
  <c r="C10" i="8"/>
  <c r="D35" i="4"/>
  <c r="E7" i="7"/>
  <c r="E11" i="8"/>
  <c r="E15" i="8"/>
  <c r="E19" i="8"/>
  <c r="E23" i="8"/>
  <c r="E27" i="8"/>
  <c r="E31" i="8"/>
  <c r="A2" i="4"/>
  <c r="G7" i="6"/>
  <c r="G8" i="6"/>
  <c r="H8" i="6" s="1"/>
  <c r="I8" i="6" s="1"/>
  <c r="G8" i="7" s="1"/>
  <c r="G9" i="6"/>
  <c r="H9" i="6" s="1"/>
  <c r="I9" i="6" s="1"/>
  <c r="G9" i="7" s="1"/>
  <c r="G10" i="6"/>
  <c r="H10" i="6" s="1"/>
  <c r="I10" i="6" s="1"/>
  <c r="G10" i="7" s="1"/>
  <c r="G11" i="6"/>
  <c r="H11" i="6" s="1"/>
  <c r="I11" i="6" s="1"/>
  <c r="G11" i="7" s="1"/>
  <c r="G12" i="6"/>
  <c r="H12" i="6" s="1"/>
  <c r="I12" i="6" s="1"/>
  <c r="G12" i="7" s="1"/>
  <c r="G13" i="6"/>
  <c r="H13" i="6" s="1"/>
  <c r="I13" i="6" s="1"/>
  <c r="G13" i="7" s="1"/>
  <c r="G14" i="6"/>
  <c r="H14" i="6" s="1"/>
  <c r="I14" i="6" s="1"/>
  <c r="G14" i="7" s="1"/>
  <c r="G15" i="6"/>
  <c r="H15" i="6" s="1"/>
  <c r="I15" i="6" s="1"/>
  <c r="G15" i="7" s="1"/>
  <c r="G16" i="6"/>
  <c r="H16" i="6" s="1"/>
  <c r="I16" i="6" s="1"/>
  <c r="G16" i="7" s="1"/>
  <c r="G17" i="6"/>
  <c r="H17" i="6" s="1"/>
  <c r="I17" i="6" s="1"/>
  <c r="G17" i="7" s="1"/>
  <c r="G18" i="6"/>
  <c r="H18" i="6" s="1"/>
  <c r="I18" i="6" s="1"/>
  <c r="G18" i="7" s="1"/>
  <c r="G19" i="6"/>
  <c r="H19" i="6" s="1"/>
  <c r="I19" i="6" s="1"/>
  <c r="G19" i="7" s="1"/>
  <c r="G20" i="6"/>
  <c r="H20" i="6" s="1"/>
  <c r="I20" i="6" s="1"/>
  <c r="G20" i="7" s="1"/>
  <c r="G21" i="6"/>
  <c r="H21" i="6" s="1"/>
  <c r="I21" i="6" s="1"/>
  <c r="G21" i="7" s="1"/>
  <c r="G22" i="6"/>
  <c r="H22" i="6" s="1"/>
  <c r="I22" i="6" s="1"/>
  <c r="G22" i="7" s="1"/>
  <c r="H22" i="7" s="1"/>
  <c r="G23" i="6"/>
  <c r="H23" i="6" s="1"/>
  <c r="I23" i="6" s="1"/>
  <c r="G23" i="7" s="1"/>
  <c r="G24" i="6"/>
  <c r="H24" i="6" s="1"/>
  <c r="I24" i="6" s="1"/>
  <c r="G24" i="7" s="1"/>
  <c r="G25" i="6"/>
  <c r="H25" i="6" s="1"/>
  <c r="I25" i="6" s="1"/>
  <c r="G25" i="7" s="1"/>
  <c r="G26" i="6"/>
  <c r="H26" i="6" s="1"/>
  <c r="I26" i="6" s="1"/>
  <c r="G26" i="7" s="1"/>
  <c r="G27" i="6"/>
  <c r="H27" i="6" s="1"/>
  <c r="I27" i="6" s="1"/>
  <c r="G27" i="7" s="1"/>
  <c r="G28" i="6"/>
  <c r="H28" i="6" s="1"/>
  <c r="I28" i="6" s="1"/>
  <c r="G28" i="7" s="1"/>
  <c r="G29" i="6"/>
  <c r="H29" i="6" s="1"/>
  <c r="I29" i="6" s="1"/>
  <c r="G29" i="7" s="1"/>
  <c r="G30" i="6"/>
  <c r="H30" i="6" s="1"/>
  <c r="I30" i="6" s="1"/>
  <c r="G30" i="7" s="1"/>
  <c r="H30" i="7" s="1"/>
  <c r="G31" i="6"/>
  <c r="H31" i="6" s="1"/>
  <c r="I31" i="6" s="1"/>
  <c r="G31" i="7" s="1"/>
  <c r="G32" i="6"/>
  <c r="H32" i="6" s="1"/>
  <c r="I32" i="6" s="1"/>
  <c r="G32" i="7" s="1"/>
  <c r="D9" i="8"/>
  <c r="D13" i="8"/>
  <c r="D17" i="8"/>
  <c r="C20" i="9"/>
  <c r="D21" i="8"/>
  <c r="D25" i="8"/>
  <c r="C28" i="9"/>
  <c r="D29" i="8"/>
  <c r="D33" i="7"/>
  <c r="E1" i="8"/>
  <c r="D19" i="8"/>
  <c r="C16" i="8"/>
  <c r="C20" i="8"/>
  <c r="C24" i="8"/>
  <c r="C28" i="8"/>
  <c r="C32" i="8"/>
  <c r="J33" i="2"/>
  <c r="A2" i="5"/>
  <c r="E1" i="6"/>
  <c r="D14" i="8"/>
  <c r="F33" i="7"/>
  <c r="F33" i="8" s="1"/>
  <c r="D16" i="8"/>
  <c r="A2" i="9"/>
  <c r="C15" i="8"/>
  <c r="C19" i="8"/>
  <c r="C23" i="8"/>
  <c r="C27" i="8"/>
  <c r="C31" i="8"/>
  <c r="E1" i="2"/>
  <c r="C21" i="8"/>
  <c r="C25" i="8"/>
  <c r="C29" i="8"/>
  <c r="D8" i="8"/>
  <c r="D10" i="8"/>
  <c r="D12" i="8"/>
  <c r="H17" i="7"/>
  <c r="H21" i="7"/>
  <c r="B20" i="9" s="1"/>
  <c r="H25" i="7"/>
  <c r="D24" i="9" s="1"/>
  <c r="H29" i="7"/>
  <c r="B2" i="3"/>
  <c r="D18" i="8"/>
  <c r="H20" i="7"/>
  <c r="D19" i="9" s="1"/>
  <c r="H24" i="7"/>
  <c r="H28" i="7"/>
  <c r="D27" i="9" s="1"/>
  <c r="H32" i="7"/>
  <c r="C17" i="8"/>
  <c r="D26" i="8"/>
  <c r="E29" i="9" l="1"/>
  <c r="H30" i="8"/>
  <c r="F29" i="9"/>
  <c r="D29" i="9"/>
  <c r="B29" i="9"/>
  <c r="C29" i="9"/>
  <c r="E21" i="9"/>
  <c r="F21" i="9"/>
  <c r="H22" i="8"/>
  <c r="B21" i="9"/>
  <c r="D21" i="9"/>
  <c r="C21" i="9"/>
  <c r="F31" i="9"/>
  <c r="E31" i="9"/>
  <c r="H32" i="8"/>
  <c r="F23" i="9"/>
  <c r="E23" i="9"/>
  <c r="H24" i="8"/>
  <c r="F16" i="9"/>
  <c r="E16" i="9"/>
  <c r="H17" i="8"/>
  <c r="C31" i="9"/>
  <c r="C23" i="9"/>
  <c r="B27" i="9"/>
  <c r="B19" i="9"/>
  <c r="G31" i="9"/>
  <c r="G32" i="8"/>
  <c r="G27" i="9"/>
  <c r="G28" i="8"/>
  <c r="G23" i="9"/>
  <c r="G24" i="8"/>
  <c r="G19" i="9"/>
  <c r="G20" i="8"/>
  <c r="G15" i="9"/>
  <c r="G16" i="8"/>
  <c r="G12" i="8"/>
  <c r="G7" i="9"/>
  <c r="G8" i="8"/>
  <c r="F8" i="9"/>
  <c r="H9" i="8"/>
  <c r="E8" i="9"/>
  <c r="D16" i="9"/>
  <c r="D8" i="9"/>
  <c r="H8" i="7"/>
  <c r="F18" i="9"/>
  <c r="E18" i="9"/>
  <c r="H19" i="8"/>
  <c r="H16" i="7"/>
  <c r="H29" i="8"/>
  <c r="F28" i="9"/>
  <c r="E28" i="9"/>
  <c r="B28" i="9"/>
  <c r="G31" i="8"/>
  <c r="G30" i="9"/>
  <c r="G27" i="8"/>
  <c r="G23" i="8"/>
  <c r="G22" i="9"/>
  <c r="G18" i="9"/>
  <c r="G19" i="8"/>
  <c r="G14" i="9"/>
  <c r="G15" i="8"/>
  <c r="G11" i="8"/>
  <c r="G33" i="6"/>
  <c r="H33" i="6" s="1"/>
  <c r="H7" i="6"/>
  <c r="I7" i="6" s="1"/>
  <c r="D18" i="9"/>
  <c r="H31" i="7"/>
  <c r="H12" i="7"/>
  <c r="H11" i="7"/>
  <c r="G10" i="9" s="1"/>
  <c r="F27" i="9"/>
  <c r="E27" i="9"/>
  <c r="H28" i="8"/>
  <c r="F19" i="9"/>
  <c r="E19" i="9"/>
  <c r="H20" i="8"/>
  <c r="H25" i="8"/>
  <c r="F24" i="9"/>
  <c r="E24" i="9"/>
  <c r="B24" i="9"/>
  <c r="B16" i="9"/>
  <c r="C27" i="9"/>
  <c r="C19" i="9"/>
  <c r="B31" i="9"/>
  <c r="B23" i="9"/>
  <c r="H23" i="9" s="1"/>
  <c r="D33" i="8"/>
  <c r="C24" i="9"/>
  <c r="C16" i="9"/>
  <c r="G30" i="8"/>
  <c r="G29" i="9"/>
  <c r="G26" i="8"/>
  <c r="G22" i="8"/>
  <c r="G21" i="9"/>
  <c r="G18" i="8"/>
  <c r="G14" i="8"/>
  <c r="G10" i="8"/>
  <c r="F12" i="9"/>
  <c r="E12" i="9"/>
  <c r="H13" i="8"/>
  <c r="H8" i="9"/>
  <c r="F22" i="9"/>
  <c r="E22" i="9"/>
  <c r="H23" i="8"/>
  <c r="C33" i="8"/>
  <c r="D12" i="9"/>
  <c r="C22" i="9"/>
  <c r="H21" i="8"/>
  <c r="F20" i="9"/>
  <c r="E20" i="9"/>
  <c r="H20" i="9" s="1"/>
  <c r="B18" i="9"/>
  <c r="H26" i="7"/>
  <c r="H18" i="7"/>
  <c r="G17" i="9" s="1"/>
  <c r="H14" i="7"/>
  <c r="C8" i="9"/>
  <c r="G28" i="9"/>
  <c r="G29" i="8"/>
  <c r="G24" i="9"/>
  <c r="G25" i="8"/>
  <c r="G20" i="9"/>
  <c r="G21" i="8"/>
  <c r="G16" i="9"/>
  <c r="G17" i="8"/>
  <c r="G12" i="9"/>
  <c r="G13" i="8"/>
  <c r="G8" i="9"/>
  <c r="G9" i="8"/>
  <c r="D22" i="9"/>
  <c r="H22" i="9" s="1"/>
  <c r="E33" i="7"/>
  <c r="E7" i="8"/>
  <c r="H10" i="7"/>
  <c r="G9" i="9" s="1"/>
  <c r="B12" i="9"/>
  <c r="D23" i="9"/>
  <c r="H15" i="7"/>
  <c r="D31" i="9"/>
  <c r="H27" i="7"/>
  <c r="G26" i="9" s="1"/>
  <c r="E25" i="9" l="1"/>
  <c r="F25" i="9"/>
  <c r="B25" i="9"/>
  <c r="H26" i="8"/>
  <c r="C25" i="9"/>
  <c r="D25" i="9"/>
  <c r="G25" i="9"/>
  <c r="H16" i="9"/>
  <c r="F11" i="9"/>
  <c r="H12" i="8"/>
  <c r="E11" i="9"/>
  <c r="B11" i="9"/>
  <c r="H11" i="9" s="1"/>
  <c r="C11" i="9"/>
  <c r="D11" i="9"/>
  <c r="F14" i="9"/>
  <c r="E14" i="9"/>
  <c r="H15" i="8"/>
  <c r="D14" i="9"/>
  <c r="B14" i="9"/>
  <c r="C14" i="9"/>
  <c r="H18" i="9"/>
  <c r="H31" i="9"/>
  <c r="H24" i="9"/>
  <c r="F30" i="9"/>
  <c r="E30" i="9"/>
  <c r="H31" i="8"/>
  <c r="D30" i="9"/>
  <c r="C30" i="9"/>
  <c r="B30" i="9"/>
  <c r="H28" i="9"/>
  <c r="F15" i="9"/>
  <c r="E15" i="9"/>
  <c r="H16" i="8"/>
  <c r="D15" i="9"/>
  <c r="B15" i="9"/>
  <c r="C15" i="9"/>
  <c r="F7" i="9"/>
  <c r="E7" i="9"/>
  <c r="H8" i="8"/>
  <c r="D7" i="9"/>
  <c r="B7" i="9"/>
  <c r="C7" i="9"/>
  <c r="H19" i="9"/>
  <c r="H21" i="9"/>
  <c r="E33" i="8"/>
  <c r="E13" i="9"/>
  <c r="H14" i="8"/>
  <c r="F13" i="9"/>
  <c r="D13" i="9"/>
  <c r="C13" i="9"/>
  <c r="B13" i="9"/>
  <c r="H13" i="9" s="1"/>
  <c r="G13" i="9"/>
  <c r="G11" i="9"/>
  <c r="H27" i="9"/>
  <c r="H29" i="9"/>
  <c r="E9" i="9"/>
  <c r="H10" i="8"/>
  <c r="F9" i="9"/>
  <c r="C9" i="9"/>
  <c r="B9" i="9"/>
  <c r="D9" i="9"/>
  <c r="F26" i="9"/>
  <c r="E26" i="9"/>
  <c r="H27" i="8"/>
  <c r="B26" i="9"/>
  <c r="C26" i="9"/>
  <c r="D26" i="9"/>
  <c r="H12" i="9"/>
  <c r="E17" i="9"/>
  <c r="F17" i="9"/>
  <c r="H18" i="8"/>
  <c r="B17" i="9"/>
  <c r="C17" i="9"/>
  <c r="D17" i="9"/>
  <c r="F10" i="9"/>
  <c r="E10" i="9"/>
  <c r="H11" i="8"/>
  <c r="B10" i="9"/>
  <c r="D10" i="9"/>
  <c r="C10" i="9"/>
  <c r="G7" i="7"/>
  <c r="I33" i="6"/>
  <c r="H15" i="9" l="1"/>
  <c r="G33" i="7"/>
  <c r="G7" i="8"/>
  <c r="G6" i="9"/>
  <c r="H7" i="7"/>
  <c r="H26" i="9"/>
  <c r="H10" i="9"/>
  <c r="H14" i="9"/>
  <c r="H25" i="9"/>
  <c r="H17" i="9"/>
  <c r="H9" i="9"/>
  <c r="H7" i="9"/>
  <c r="H30" i="9"/>
  <c r="G37" i="9" l="1"/>
  <c r="G38" i="9" s="1"/>
  <c r="G33" i="8"/>
  <c r="F6" i="9"/>
  <c r="E6" i="9"/>
  <c r="H7" i="8"/>
  <c r="H33" i="7"/>
  <c r="B6" i="9"/>
  <c r="C6" i="9"/>
  <c r="D6" i="9"/>
  <c r="H33" i="8" l="1"/>
  <c r="F32" i="9"/>
  <c r="E32" i="9"/>
  <c r="E34" i="9" s="1"/>
  <c r="E35" i="9" s="1"/>
  <c r="C32" i="9"/>
  <c r="C34" i="9" s="1"/>
  <c r="C35" i="9" s="1"/>
  <c r="B32" i="9"/>
  <c r="D32" i="9"/>
  <c r="D37" i="9"/>
  <c r="D38" i="9" s="1"/>
  <c r="D34" i="9"/>
  <c r="D35" i="9" s="1"/>
  <c r="G32" i="9"/>
  <c r="G34" i="9" s="1"/>
  <c r="G35" i="9" s="1"/>
  <c r="C37" i="9"/>
  <c r="C38" i="9" s="1"/>
  <c r="E37" i="9"/>
  <c r="E38" i="9" s="1"/>
  <c r="H6" i="9"/>
  <c r="B34" i="9"/>
  <c r="B35" i="9" s="1"/>
  <c r="B37" i="9"/>
  <c r="B38" i="9" s="1"/>
  <c r="F34" i="9"/>
  <c r="F35" i="9" s="1"/>
  <c r="F37" i="9"/>
  <c r="F38" i="9" s="1"/>
  <c r="H32" i="9" l="1"/>
</calcChain>
</file>

<file path=xl/sharedStrings.xml><?xml version="1.0" encoding="utf-8"?>
<sst xmlns="http://schemas.openxmlformats.org/spreadsheetml/2006/main" count="450" uniqueCount="119">
  <si>
    <t>Aggregate tax base (ATB)</t>
  </si>
  <si>
    <t>Worksheet</t>
  </si>
  <si>
    <t>Content</t>
  </si>
  <si>
    <t>PI</t>
  </si>
  <si>
    <t>Personal income</t>
  </si>
  <si>
    <t>ITS</t>
  </si>
  <si>
    <t>Income taxed at source</t>
  </si>
  <si>
    <t>Wealth</t>
  </si>
  <si>
    <t>LE</t>
  </si>
  <si>
    <t>Profit of legal entities</t>
  </si>
  <si>
    <t>REPART</t>
  </si>
  <si>
    <t>Tax repartition</t>
  </si>
  <si>
    <t>ATB_Total</t>
  </si>
  <si>
    <t>ATB summary</t>
  </si>
  <si>
    <t>ATB_per_capita</t>
  </si>
  <si>
    <t>ATB summary per capita</t>
  </si>
  <si>
    <t>ATB_in_percent</t>
  </si>
  <si>
    <t>ATB summary in percent</t>
  </si>
  <si>
    <t>Informations</t>
  </si>
  <si>
    <t>Environment</t>
  </si>
  <si>
    <t>Produktion</t>
  </si>
  <si>
    <t>Type</t>
  </si>
  <si>
    <t>Berechnung</t>
  </si>
  <si>
    <t>WS</t>
  </si>
  <si>
    <t>FA_2017_20160519</t>
  </si>
  <si>
    <t>SWS</t>
  </si>
  <si>
    <t>RA_2017_20160519</t>
  </si>
  <si>
    <t>RefYear</t>
  </si>
  <si>
    <t>AssesYear</t>
  </si>
  <si>
    <t>Column</t>
  </si>
  <si>
    <t>C</t>
  </si>
  <si>
    <t>D</t>
  </si>
  <si>
    <t>E</t>
  </si>
  <si>
    <t>F</t>
  </si>
  <si>
    <t>G</t>
  </si>
  <si>
    <t>H</t>
  </si>
  <si>
    <t>I</t>
  </si>
  <si>
    <t>J</t>
  </si>
  <si>
    <t>Formula</t>
  </si>
  <si>
    <t>J = I - (E / 1000 * H)</t>
  </si>
  <si>
    <t>Total number of taxpayers</t>
  </si>
  <si>
    <t>Total taxable income</t>
  </si>
  <si>
    <t>Relevant minimum income per taxpayer</t>
  </si>
  <si>
    <t>Number of taxpayers whose taxable income is lower than the relevant minimum income</t>
  </si>
  <si>
    <t>Taxable income of taxpayers whose taxable income is lower than the relevant minimum income</t>
  </si>
  <si>
    <t>Number of taxpayers whose taxable income is equal to or higher than the relevant minimum income</t>
  </si>
  <si>
    <t>Taxable income of taxpayers whose taxable income is equal to or higher than the relevant minimum income</t>
  </si>
  <si>
    <t>Relevant personal income</t>
  </si>
  <si>
    <t>Data source</t>
  </si>
  <si>
    <t>FTA</t>
  </si>
  <si>
    <t>DFTA Art. 214
paras. 2 und 3</t>
  </si>
  <si>
    <t>Unit</t>
  </si>
  <si>
    <t>CHF 1,000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</si>
  <si>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</si>
  <si>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</si>
  <si>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</si>
  <si>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</si>
  <si>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</si>
  <si>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</si>
  <si>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</si>
  <si>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</si>
  <si>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</si>
  <si>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</si>
  <si>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</si>
  <si>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</si>
  <si>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</si>
  <si>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</si>
  <si>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</si>
  <si>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</si>
  <si>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</si>
  <si>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</si>
  <si>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</si>
  <si>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</si>
  <si>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</si>
  <si>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</si>
  <si>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</si>
  <si>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</si>
  <si>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</si>
  <si>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</si>
  <si>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</si>
  <si>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Total</t>
  </si>
  <si>
    <t>Relevant income
taxed at source</t>
  </si>
  <si>
    <t>B</t>
  </si>
  <si>
    <t>D = B * C</t>
  </si>
  <si>
    <t>Net wealth</t>
  </si>
  <si>
    <t>Alpha factor</t>
  </si>
  <si>
    <t>Relevant wealth</t>
  </si>
  <si>
    <t>Art. 13 EFBRO</t>
  </si>
  <si>
    <t>D = B + C</t>
  </si>
  <si>
    <t>Relevant profit of legal entities without a special tax status</t>
  </si>
  <si>
    <t>Relevant profit of legal entities with 
a special tax status</t>
  </si>
  <si>
    <t>Relevant profit of legal entities</t>
  </si>
  <si>
    <t>Factors</t>
  </si>
  <si>
    <t>Beta (Holding)</t>
  </si>
  <si>
    <t>Beta (Domiciliary)</t>
  </si>
  <si>
    <t>Beta (Mixed)</t>
  </si>
  <si>
    <t>Epsilon</t>
  </si>
  <si>
    <t>E = D - C</t>
  </si>
  <si>
    <t>H = G / F</t>
  </si>
  <si>
    <t>I = H * E</t>
  </si>
  <si>
    <t>In favor of other cantons</t>
  </si>
  <si>
    <t>Received from other cantons</t>
  </si>
  <si>
    <t>Balance</t>
  </si>
  <si>
    <t>Direct federal tax revenue (= payments to the FTA)</t>
  </si>
  <si>
    <t>Relevant direct federal tax base</t>
  </si>
  <si>
    <t>Weighting factor</t>
  </si>
  <si>
    <t>Relevant tax repartition</t>
  </si>
  <si>
    <t>Worksheet "PI"; "ITS"; "LE"</t>
  </si>
  <si>
    <t>H = C + D + E + F + G</t>
  </si>
  <si>
    <t>Relevant income taxed at source</t>
  </si>
  <si>
    <t>Total ATB</t>
  </si>
  <si>
    <t>Assessment year</t>
  </si>
  <si>
    <t>ATB</t>
  </si>
  <si>
    <t>Average resident population</t>
  </si>
  <si>
    <t>CHF per capita</t>
  </si>
  <si>
    <t>Persons</t>
  </si>
  <si>
    <t>%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</si>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</sst>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.0"/>
  </numFmts>
  <fonts count="24" x14ac:knownFonts="1">
    <font>
      <sz val="10"/>
      <name val="Arial"/>
    </font>
    <font>
      <b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31">
    <border>
      <left/>
      <right/>
      <top/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0" borderId="3" xfId="0" applyFont="1" applyFill="1" applyBorder="1"/>
    <xf numFmtId="0" fontId="1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2" fillId="0" borderId="4" xfId="0" applyFont="1" applyFill="1" applyBorder="1"/>
    <xf numFmtId="1" fontId="3" fillId="0" borderId="5" xfId="0" applyNumberFormat="1" applyFont="1" applyFill="1" applyBorder="1" applyAlignment="1" applyProtection="1">
      <alignment horizontal="left" vertical="top"/>
      <protection locked="0"/>
    </xf>
    <xf numFmtId="1" fontId="3" fillId="0" borderId="6" xfId="0" applyNumberFormat="1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/>
    <xf numFmtId="1" fontId="3" fillId="0" borderId="8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" fontId="8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right"/>
    </xf>
    <xf numFmtId="0" fontId="10" fillId="0" borderId="0" xfId="0" applyFont="1" applyFill="1"/>
    <xf numFmtId="0" fontId="10" fillId="0" borderId="0" xfId="0" applyFont="1" applyFill="1" applyBorder="1"/>
    <xf numFmtId="0" fontId="10" fillId="0" borderId="9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1" fillId="0" borderId="0" xfId="0" applyFont="1" applyFill="1"/>
    <xf numFmtId="0" fontId="11" fillId="0" borderId="0" xfId="0" applyFont="1" applyFill="1" applyBorder="1"/>
    <xf numFmtId="0" fontId="11" fillId="0" borderId="9" xfId="0" applyFont="1" applyFill="1" applyBorder="1" applyAlignment="1">
      <alignment horizontal="right"/>
    </xf>
    <xf numFmtId="0" fontId="11" fillId="0" borderId="10" xfId="0" applyFont="1" applyFill="1" applyBorder="1" applyAlignment="1">
      <alignment horizontal="center"/>
    </xf>
    <xf numFmtId="0" fontId="11" fillId="0" borderId="10" xfId="0" applyFont="1" applyFill="1" applyBorder="1"/>
    <xf numFmtId="0" fontId="11" fillId="0" borderId="11" xfId="0" applyFont="1" applyFill="1" applyBorder="1" applyAlignment="1">
      <alignment horizontal="center"/>
    </xf>
    <xf numFmtId="0" fontId="12" fillId="0" borderId="2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3" fillId="0" borderId="0" xfId="0" applyFont="1" applyFill="1"/>
    <xf numFmtId="0" fontId="13" fillId="0" borderId="0" xfId="0" applyFont="1" applyFill="1" applyBorder="1"/>
    <xf numFmtId="0" fontId="14" fillId="0" borderId="9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0" fillId="0" borderId="12" xfId="0" applyFont="1" applyFill="1" applyBorder="1"/>
    <xf numFmtId="164" fontId="15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/>
    <xf numFmtId="1" fontId="0" fillId="0" borderId="0" xfId="0" applyNumberFormat="1" applyFont="1" applyFill="1"/>
    <xf numFmtId="0" fontId="0" fillId="3" borderId="4" xfId="0" applyFont="1" applyFill="1" applyBorder="1"/>
    <xf numFmtId="164" fontId="15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/>
    <xf numFmtId="0" fontId="0" fillId="0" borderId="4" xfId="0" applyFont="1" applyFill="1" applyBorder="1"/>
    <xf numFmtId="164" fontId="15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1" fillId="0" borderId="9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1" fontId="1" fillId="0" borderId="0" xfId="0" applyNumberFormat="1" applyFont="1" applyFill="1"/>
    <xf numFmtId="0" fontId="5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vertical="top"/>
    </xf>
    <xf numFmtId="1" fontId="16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1" fillId="0" borderId="17" xfId="0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horizontal="right" wrapText="1"/>
    </xf>
    <xf numFmtId="0" fontId="14" fillId="0" borderId="17" xfId="0" applyFont="1" applyFill="1" applyBorder="1" applyAlignment="1">
      <alignment horizontal="right" wrapText="1"/>
    </xf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64" fontId="17" fillId="0" borderId="2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vertical="center"/>
    </xf>
    <xf numFmtId="164" fontId="17" fillId="3" borderId="24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>
      <alignment vertical="center"/>
    </xf>
    <xf numFmtId="164" fontId="17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16" fillId="0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horizontal="left" vertical="top"/>
    </xf>
    <xf numFmtId="1" fontId="16" fillId="0" borderId="0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 applyAlignment="1">
      <alignment horizontal="left" vertical="top"/>
    </xf>
    <xf numFmtId="0" fontId="10" fillId="0" borderId="2" xfId="0" applyFont="1" applyFill="1" applyBorder="1" applyAlignment="1">
      <alignment horizontal="right"/>
    </xf>
    <xf numFmtId="0" fontId="10" fillId="0" borderId="3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/>
    </xf>
    <xf numFmtId="164" fontId="15" fillId="0" borderId="13" xfId="0" applyNumberFormat="1" applyFont="1" applyFill="1" applyBorder="1" applyAlignment="1" applyProtection="1">
      <alignment vertical="center"/>
      <protection locked="0"/>
    </xf>
    <xf numFmtId="165" fontId="10" fillId="0" borderId="13" xfId="0" applyNumberFormat="1" applyFont="1" applyFill="1" applyBorder="1" applyAlignment="1" applyProtection="1">
      <alignment vertical="center"/>
      <protection locked="0"/>
    </xf>
    <xf numFmtId="3" fontId="1" fillId="0" borderId="14" xfId="0" applyNumberFormat="1" applyFont="1" applyFill="1" applyBorder="1" applyAlignment="1" applyProtection="1">
      <alignment vertical="center"/>
      <protection locked="0"/>
    </xf>
    <xf numFmtId="164" fontId="15" fillId="3" borderId="0" xfId="0" applyNumberFormat="1" applyFont="1" applyFill="1" applyBorder="1" applyAlignment="1" applyProtection="1">
      <alignment vertical="center"/>
      <protection locked="0"/>
    </xf>
    <xf numFmtId="165" fontId="10" fillId="3" borderId="0" xfId="0" applyNumberFormat="1" applyFont="1" applyFill="1" applyBorder="1" applyAlignment="1" applyProtection="1">
      <alignment vertical="center"/>
      <protection locked="0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164" fontId="15" fillId="0" borderId="0" xfId="0" applyNumberFormat="1" applyFont="1" applyFill="1" applyBorder="1" applyAlignment="1" applyProtection="1">
      <alignment vertical="center"/>
      <protection locked="0"/>
    </xf>
    <xf numFmtId="165" fontId="10" fillId="0" borderId="0" xfId="0" applyNumberFormat="1" applyFont="1" applyFill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5" fontId="19" fillId="0" borderId="10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43" fontId="0" fillId="0" borderId="0" xfId="0" applyNumberFormat="1" applyFont="1" applyFill="1"/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1" fontId="20" fillId="0" borderId="12" xfId="0" applyNumberFormat="1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0" fontId="1" fillId="4" borderId="9" xfId="0" applyFont="1" applyFill="1" applyBorder="1"/>
    <xf numFmtId="0" fontId="13" fillId="4" borderId="11" xfId="0" applyFont="1" applyFill="1" applyBorder="1"/>
    <xf numFmtId="3" fontId="21" fillId="0" borderId="14" xfId="0" applyNumberFormat="1" applyFont="1" applyFill="1" applyBorder="1"/>
    <xf numFmtId="0" fontId="0" fillId="0" borderId="27" xfId="0" applyFont="1" applyFill="1" applyBorder="1"/>
    <xf numFmtId="165" fontId="15" fillId="0" borderId="6" xfId="0" applyNumberFormat="1" applyFont="1" applyFill="1" applyBorder="1" applyProtection="1">
      <protection locked="0"/>
    </xf>
    <xf numFmtId="3" fontId="21" fillId="3" borderId="15" xfId="0" applyNumberFormat="1" applyFont="1" applyFill="1" applyBorder="1"/>
    <xf numFmtId="3" fontId="21" fillId="0" borderId="15" xfId="0" applyNumberFormat="1" applyFont="1" applyFill="1" applyBorder="1"/>
    <xf numFmtId="0" fontId="0" fillId="0" borderId="28" xfId="0" applyFont="1" applyFill="1" applyBorder="1"/>
    <xf numFmtId="9" fontId="15" fillId="0" borderId="8" xfId="0" applyNumberFormat="1" applyFont="1" applyFill="1" applyBorder="1" applyProtection="1">
      <protection locked="0"/>
    </xf>
    <xf numFmtId="0" fontId="0" fillId="3" borderId="28" xfId="0" applyFont="1" applyFill="1" applyBorder="1"/>
    <xf numFmtId="3" fontId="22" fillId="0" borderId="10" xfId="0" applyNumberFormat="1" applyFont="1" applyFill="1" applyBorder="1"/>
    <xf numFmtId="0" fontId="14" fillId="0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horizontal="right" wrapText="1"/>
    </xf>
    <xf numFmtId="3" fontId="0" fillId="0" borderId="13" xfId="0" applyNumberFormat="1" applyFont="1" applyFill="1" applyBorder="1" applyProtection="1">
      <protection locked="0"/>
    </xf>
    <xf numFmtId="166" fontId="0" fillId="0" borderId="13" xfId="0" applyNumberFormat="1" applyFont="1" applyFill="1" applyBorder="1" applyProtection="1">
      <protection locked="0"/>
    </xf>
    <xf numFmtId="3" fontId="1" fillId="0" borderId="14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3" fontId="1" fillId="3" borderId="15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3" fontId="1" fillId="0" borderId="15" xfId="0" applyNumberFormat="1" applyFont="1" applyFill="1" applyBorder="1" applyProtection="1">
      <protection locked="0"/>
    </xf>
    <xf numFmtId="166" fontId="1" fillId="0" borderId="10" xfId="0" applyNumberFormat="1" applyFont="1" applyFill="1" applyBorder="1"/>
    <xf numFmtId="0" fontId="5" fillId="0" borderId="29" xfId="0" applyFont="1" applyFill="1" applyBorder="1" applyAlignment="1" applyProtection="1">
      <alignment vertical="center"/>
      <protection locked="0"/>
    </xf>
    <xf numFmtId="0" fontId="7" fillId="0" borderId="29" xfId="0" applyFont="1" applyFill="1" applyBorder="1" applyAlignment="1" applyProtection="1">
      <alignment vertical="center"/>
      <protection locked="0"/>
    </xf>
    <xf numFmtId="1" fontId="14" fillId="0" borderId="10" xfId="0" applyNumberFormat="1" applyFont="1" applyFill="1" applyBorder="1" applyAlignment="1">
      <alignment horizontal="right" wrapText="1"/>
    </xf>
    <xf numFmtId="3" fontId="0" fillId="0" borderId="13" xfId="0" applyNumberFormat="1" applyFont="1" applyFill="1" applyBorder="1"/>
    <xf numFmtId="3" fontId="0" fillId="0" borderId="0" xfId="0" applyNumberFormat="1" applyFont="1" applyFill="1"/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3" fontId="1" fillId="0" borderId="13" xfId="0" applyNumberFormat="1" applyFont="1" applyFill="1" applyBorder="1" applyProtection="1">
      <protection locked="0"/>
    </xf>
    <xf numFmtId="164" fontId="15" fillId="0" borderId="14" xfId="0" applyNumberFormat="1" applyFont="1" applyFill="1" applyBorder="1" applyProtection="1">
      <protection locked="0"/>
    </xf>
    <xf numFmtId="3" fontId="1" fillId="3" borderId="0" xfId="0" applyNumberFormat="1" applyFont="1" applyFill="1" applyBorder="1" applyProtection="1">
      <protection locked="0"/>
    </xf>
    <xf numFmtId="164" fontId="15" fillId="3" borderId="15" xfId="0" applyNumberFormat="1" applyFont="1" applyFill="1" applyBorder="1" applyProtection="1">
      <protection locked="0"/>
    </xf>
    <xf numFmtId="3" fontId="1" fillId="0" borderId="0" xfId="0" applyNumberFormat="1" applyFont="1" applyFill="1" applyBorder="1" applyProtection="1">
      <protection locked="0"/>
    </xf>
    <xf numFmtId="164" fontId="15" fillId="0" borderId="15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12" fillId="0" borderId="9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/>
    <xf numFmtId="165" fontId="0" fillId="0" borderId="13" xfId="0" applyNumberFormat="1" applyFont="1" applyFill="1" applyBorder="1" applyProtection="1">
      <protection locked="0"/>
    </xf>
    <xf numFmtId="165" fontId="0" fillId="0" borderId="5" xfId="0" applyNumberFormat="1" applyFont="1" applyFill="1" applyBorder="1" applyProtection="1">
      <protection locked="0"/>
    </xf>
    <xf numFmtId="0" fontId="0" fillId="0" borderId="5" xfId="0" applyFont="1" applyFill="1" applyBorder="1" applyAlignment="1">
      <alignment horizontal="left"/>
    </xf>
    <xf numFmtId="165" fontId="0" fillId="3" borderId="0" xfId="0" applyNumberFormat="1" applyFont="1" applyFill="1" applyBorder="1" applyProtection="1">
      <protection locked="0"/>
    </xf>
    <xf numFmtId="165" fontId="0" fillId="3" borderId="6" xfId="0" applyNumberFormat="1" applyFont="1" applyFill="1" applyBorder="1" applyProtection="1">
      <protection locked="0"/>
    </xf>
    <xf numFmtId="0" fontId="0" fillId="3" borderId="6" xfId="0" applyFont="1" applyFill="1" applyBorder="1" applyAlignment="1">
      <alignment horizontal="left"/>
    </xf>
    <xf numFmtId="165" fontId="0" fillId="0" borderId="0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165" fontId="1" fillId="0" borderId="10" xfId="0" applyNumberFormat="1" applyFont="1" applyFill="1" applyBorder="1"/>
    <xf numFmtId="165" fontId="1" fillId="0" borderId="3" xfId="0" applyNumberFormat="1" applyFont="1" applyFill="1" applyBorder="1"/>
    <xf numFmtId="0" fontId="1" fillId="0" borderId="3" xfId="0" applyFont="1" applyFill="1" applyBorder="1" applyAlignment="1">
      <alignment horizontal="left"/>
    </xf>
    <xf numFmtId="0" fontId="21" fillId="0" borderId="0" xfId="0" applyFont="1" applyFill="1"/>
    <xf numFmtId="165" fontId="0" fillId="3" borderId="10" xfId="0" applyNumberFormat="1" applyFont="1" applyFill="1" applyBorder="1"/>
    <xf numFmtId="165" fontId="0" fillId="3" borderId="3" xfId="0" applyNumberFormat="1" applyFont="1" applyFill="1" applyBorder="1"/>
    <xf numFmtId="0" fontId="0" fillId="3" borderId="10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0" fontId="21" fillId="0" borderId="0" xfId="0" applyFont="1" applyFill="1" applyBorder="1"/>
    <xf numFmtId="0" fontId="23" fillId="0" borderId="0" xfId="0" applyFont="1" applyFill="1"/>
    <xf numFmtId="165" fontId="0" fillId="0" borderId="0" xfId="0" applyNumberFormat="1" applyFont="1" applyFill="1"/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3" borderId="30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1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5.5703125" style="1" customWidth="1"/>
    <col min="2" max="2" width="14.8554687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27.75" customHeight="1" x14ac:dyDescent="0.4">
      <c r="A1" s="171" t="s">
        <v>0</v>
      </c>
      <c r="B1" s="171"/>
      <c r="C1" s="171"/>
      <c r="D1" s="171"/>
      <c r="E1" s="171"/>
    </row>
    <row r="2" spans="1:5" ht="24.75" customHeight="1" x14ac:dyDescent="0.35">
      <c r="A2" s="172"/>
      <c r="B2" s="172"/>
      <c r="C2" s="172"/>
      <c r="D2" s="172"/>
      <c r="E2" s="172"/>
    </row>
    <row r="3" spans="1:5" ht="18" customHeight="1" x14ac:dyDescent="0.25">
      <c r="A3" s="173" t="str">
        <f>"Assessment year "&amp;C31</f>
        <v>Assessment year 2011</v>
      </c>
      <c r="B3" s="173"/>
      <c r="C3" s="173"/>
      <c r="D3" s="173"/>
      <c r="E3" s="173"/>
    </row>
    <row r="4" spans="1:5" ht="18" customHeight="1" x14ac:dyDescent="0.25">
      <c r="A4" s="173" t="str">
        <f>"Reference year "&amp;C30</f>
        <v>Reference year 2017</v>
      </c>
      <c r="B4" s="173"/>
      <c r="C4" s="173"/>
      <c r="D4" s="173"/>
      <c r="E4" s="173"/>
    </row>
    <row r="12" spans="1:5" x14ac:dyDescent="0.2">
      <c r="B12" s="2" t="s">
        <v>1</v>
      </c>
      <c r="C12" s="3" t="s">
        <v>2</v>
      </c>
      <c r="D12" s="4"/>
    </row>
    <row r="13" spans="1:5" x14ac:dyDescent="0.2">
      <c r="B13" s="5" t="s">
        <v>3</v>
      </c>
      <c r="C13" s="6" t="s">
        <v>4</v>
      </c>
      <c r="D13" s="7"/>
    </row>
    <row r="14" spans="1:5" x14ac:dyDescent="0.2">
      <c r="B14" s="5" t="s">
        <v>5</v>
      </c>
      <c r="C14" s="6" t="s">
        <v>6</v>
      </c>
      <c r="D14" s="7"/>
    </row>
    <row r="15" spans="1:5" x14ac:dyDescent="0.2">
      <c r="B15" s="5" t="s">
        <v>7</v>
      </c>
      <c r="C15" s="6" t="s">
        <v>7</v>
      </c>
      <c r="D15" s="7"/>
    </row>
    <row r="16" spans="1:5" x14ac:dyDescent="0.2">
      <c r="B16" s="5" t="s">
        <v>8</v>
      </c>
      <c r="C16" s="6" t="s">
        <v>9</v>
      </c>
      <c r="D16" s="7"/>
    </row>
    <row r="17" spans="2:4" x14ac:dyDescent="0.2">
      <c r="B17" s="5" t="s">
        <v>10</v>
      </c>
      <c r="C17" s="6" t="s">
        <v>11</v>
      </c>
      <c r="D17" s="7"/>
    </row>
    <row r="18" spans="2:4" x14ac:dyDescent="0.2">
      <c r="B18" s="5" t="s">
        <v>12</v>
      </c>
      <c r="C18" s="6" t="s">
        <v>13</v>
      </c>
      <c r="D18" s="7"/>
    </row>
    <row r="19" spans="2:4" x14ac:dyDescent="0.2">
      <c r="B19" s="5" t="s">
        <v>14</v>
      </c>
      <c r="C19" s="6" t="s">
        <v>15</v>
      </c>
      <c r="D19" s="7"/>
    </row>
    <row r="20" spans="2:4" x14ac:dyDescent="0.2">
      <c r="B20" s="5" t="s">
        <v>16</v>
      </c>
      <c r="C20" s="6" t="s">
        <v>17</v>
      </c>
      <c r="D20" s="7"/>
    </row>
    <row r="25" spans="2:4" x14ac:dyDescent="0.2">
      <c r="B25" s="8" t="s">
        <v>18</v>
      </c>
      <c r="C25" s="9"/>
    </row>
    <row r="26" spans="2:4" x14ac:dyDescent="0.2">
      <c r="B26" s="10" t="s">
        <v>19</v>
      </c>
      <c r="C26" s="11" t="s">
        <v>20</v>
      </c>
    </row>
    <row r="27" spans="2:4" x14ac:dyDescent="0.2">
      <c r="B27" s="10" t="s">
        <v>21</v>
      </c>
      <c r="C27" s="12" t="s">
        <v>22</v>
      </c>
    </row>
    <row r="28" spans="2:4" x14ac:dyDescent="0.2">
      <c r="B28" s="10" t="s">
        <v>23</v>
      </c>
      <c r="C28" s="12" t="s">
        <v>24</v>
      </c>
    </row>
    <row r="29" spans="2:4" x14ac:dyDescent="0.2">
      <c r="B29" s="10" t="s">
        <v>25</v>
      </c>
      <c r="C29" s="12" t="s">
        <v>26</v>
      </c>
    </row>
    <row r="30" spans="2:4" x14ac:dyDescent="0.2">
      <c r="B30" s="10" t="s">
        <v>27</v>
      </c>
      <c r="C30" s="12">
        <v>2017</v>
      </c>
    </row>
    <row r="31" spans="2:4" x14ac:dyDescent="0.2">
      <c r="B31" s="13" t="s">
        <v>28</v>
      </c>
      <c r="C31" s="14">
        <v>2011</v>
      </c>
    </row>
  </sheetData>
  <mergeCells count="4">
    <mergeCell ref="A1:E1"/>
    <mergeCell ref="A2:E2"/>
    <mergeCell ref="A3:E3"/>
    <mergeCell ref="A4:E4"/>
  </mergeCells>
  <conditionalFormatting sqref="C26:C31">
    <cfRule type="expression" dxfId="15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6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85546875" style="1" customWidth="1"/>
    <col min="3" max="3" width="15.42578125" style="1" customWidth="1"/>
    <col min="4" max="4" width="18.5703125" style="1" customWidth="1"/>
    <col min="5" max="10" width="20.42578125" style="1" customWidth="1"/>
  </cols>
  <sheetData>
    <row r="1" spans="1:12" ht="32.25" customHeight="1" x14ac:dyDescent="0.2">
      <c r="B1" s="16" t="str">
        <f>"Personal income "&amp;Info!C31</f>
        <v>Personal income 2011</v>
      </c>
      <c r="D1" s="17"/>
      <c r="E1" s="18" t="str">
        <f>Info!A4</f>
        <v>Reference year 2017</v>
      </c>
      <c r="F1" s="19"/>
      <c r="J1" s="20" t="str">
        <f>Info!$C$28</f>
        <v>FA_2017_20160519</v>
      </c>
    </row>
    <row r="2" spans="1:12" s="2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4" t="s">
        <v>36</v>
      </c>
      <c r="J2" s="25" t="s">
        <v>37</v>
      </c>
    </row>
    <row r="3" spans="1:12" s="26" customFormat="1" ht="11.25" customHeight="1" x14ac:dyDescent="0.2">
      <c r="A3" s="27"/>
      <c r="B3" s="28" t="s">
        <v>38</v>
      </c>
      <c r="C3" s="29"/>
      <c r="D3" s="29"/>
      <c r="E3" s="29"/>
      <c r="F3" s="29"/>
      <c r="G3" s="30"/>
      <c r="H3" s="30"/>
      <c r="I3" s="29"/>
      <c r="J3" s="31" t="s">
        <v>39</v>
      </c>
    </row>
    <row r="4" spans="1:12" ht="80.25" customHeight="1" x14ac:dyDescent="0.2">
      <c r="B4" s="32"/>
      <c r="C4" s="33" t="s">
        <v>40</v>
      </c>
      <c r="D4" s="33" t="s">
        <v>41</v>
      </c>
      <c r="E4" s="33" t="s">
        <v>42</v>
      </c>
      <c r="F4" s="33" t="s">
        <v>43</v>
      </c>
      <c r="G4" s="33" t="s">
        <v>44</v>
      </c>
      <c r="H4" s="33" t="s">
        <v>45</v>
      </c>
      <c r="I4" s="33" t="s">
        <v>46</v>
      </c>
      <c r="J4" s="34" t="s">
        <v>47</v>
      </c>
    </row>
    <row r="5" spans="1:12" s="35" customFormat="1" ht="22.5" customHeight="1" x14ac:dyDescent="0.2">
      <c r="A5" s="36"/>
      <c r="B5" s="37" t="s">
        <v>48</v>
      </c>
      <c r="C5" s="38" t="s">
        <v>49</v>
      </c>
      <c r="D5" s="38" t="s">
        <v>49</v>
      </c>
      <c r="E5" s="38" t="s">
        <v>50</v>
      </c>
      <c r="F5" s="38" t="s">
        <v>49</v>
      </c>
      <c r="G5" s="38" t="s">
        <v>49</v>
      </c>
      <c r="H5" s="38" t="s">
        <v>49</v>
      </c>
      <c r="I5" s="38" t="s">
        <v>49</v>
      </c>
      <c r="J5" s="39"/>
    </row>
    <row r="6" spans="1:12" s="35" customFormat="1" ht="11.25" customHeight="1" x14ac:dyDescent="0.2">
      <c r="A6" s="36"/>
      <c r="B6" s="37" t="s">
        <v>51</v>
      </c>
      <c r="C6" s="40"/>
      <c r="D6" s="40" t="s">
        <v>52</v>
      </c>
      <c r="E6" s="40" t="s">
        <v>53</v>
      </c>
      <c r="F6" s="40"/>
      <c r="G6" s="40" t="s">
        <v>52</v>
      </c>
      <c r="H6" s="40"/>
      <c r="I6" s="40" t="s">
        <v>52</v>
      </c>
      <c r="J6" s="39" t="s">
        <v>52</v>
      </c>
    </row>
    <row r="7" spans="1:12" x14ac:dyDescent="0.2">
      <c r="B7" s="41" t="s">
        <v>54</v>
      </c>
      <c r="C7" s="42">
        <v>848534</v>
      </c>
      <c r="D7" s="42">
        <v>57750807.5</v>
      </c>
      <c r="E7" s="42">
        <v>30600</v>
      </c>
      <c r="F7" s="42">
        <v>252169</v>
      </c>
      <c r="G7" s="42">
        <v>3057749.3</v>
      </c>
      <c r="H7" s="42">
        <v>596365</v>
      </c>
      <c r="I7" s="42">
        <v>54693058.200000003</v>
      </c>
      <c r="J7" s="43">
        <f t="shared" ref="J7:J32" si="0">I7-(E7/1000*H7)</f>
        <v>36444289.200000003</v>
      </c>
      <c r="K7" s="1"/>
      <c r="L7" s="44"/>
    </row>
    <row r="8" spans="1:12" x14ac:dyDescent="0.2">
      <c r="B8" s="45" t="s">
        <v>55</v>
      </c>
      <c r="C8" s="46">
        <v>623918</v>
      </c>
      <c r="D8" s="46">
        <v>30302107.199999999</v>
      </c>
      <c r="E8" s="46">
        <v>30600</v>
      </c>
      <c r="F8" s="46">
        <v>225482</v>
      </c>
      <c r="G8" s="46">
        <v>2538421.7000000002</v>
      </c>
      <c r="H8" s="46">
        <v>398436</v>
      </c>
      <c r="I8" s="46">
        <v>27763685.5</v>
      </c>
      <c r="J8" s="47">
        <f t="shared" si="0"/>
        <v>15571543.899999999</v>
      </c>
      <c r="K8" s="1"/>
      <c r="L8" s="44"/>
    </row>
    <row r="9" spans="1:12" x14ac:dyDescent="0.2">
      <c r="B9" s="48" t="s">
        <v>56</v>
      </c>
      <c r="C9" s="49">
        <v>223621</v>
      </c>
      <c r="D9" s="49">
        <v>12115208.699999999</v>
      </c>
      <c r="E9" s="49">
        <v>30600</v>
      </c>
      <c r="F9" s="49">
        <v>70451</v>
      </c>
      <c r="G9" s="49">
        <v>948209.9</v>
      </c>
      <c r="H9" s="49">
        <v>153170</v>
      </c>
      <c r="I9" s="49">
        <v>11166998.800000001</v>
      </c>
      <c r="J9" s="50">
        <f t="shared" si="0"/>
        <v>6479996.8000000007</v>
      </c>
      <c r="K9" s="1"/>
      <c r="L9" s="44"/>
    </row>
    <row r="10" spans="1:12" x14ac:dyDescent="0.2">
      <c r="B10" s="45" t="s">
        <v>57</v>
      </c>
      <c r="C10" s="46">
        <v>20335</v>
      </c>
      <c r="D10" s="46">
        <v>966234.1</v>
      </c>
      <c r="E10" s="46">
        <v>30600</v>
      </c>
      <c r="F10" s="46">
        <v>6587</v>
      </c>
      <c r="G10" s="46">
        <v>93356.9</v>
      </c>
      <c r="H10" s="46">
        <v>13748</v>
      </c>
      <c r="I10" s="46">
        <v>872877.2</v>
      </c>
      <c r="J10" s="47">
        <f t="shared" si="0"/>
        <v>452188.39999999991</v>
      </c>
      <c r="K10" s="1"/>
      <c r="L10" s="44"/>
    </row>
    <row r="11" spans="1:12" x14ac:dyDescent="0.2">
      <c r="B11" s="48" t="s">
        <v>58</v>
      </c>
      <c r="C11" s="49">
        <v>87833</v>
      </c>
      <c r="D11" s="49">
        <v>8351362.5</v>
      </c>
      <c r="E11" s="49">
        <v>30600</v>
      </c>
      <c r="F11" s="49">
        <v>25615</v>
      </c>
      <c r="G11" s="49">
        <v>336630.9</v>
      </c>
      <c r="H11" s="49">
        <v>62218</v>
      </c>
      <c r="I11" s="49">
        <v>8014731.5999999996</v>
      </c>
      <c r="J11" s="50">
        <f t="shared" si="0"/>
        <v>6110860.7999999998</v>
      </c>
      <c r="K11" s="1"/>
      <c r="L11" s="44"/>
    </row>
    <row r="12" spans="1:12" x14ac:dyDescent="0.2">
      <c r="B12" s="45" t="s">
        <v>59</v>
      </c>
      <c r="C12" s="46">
        <v>21579</v>
      </c>
      <c r="D12" s="46">
        <v>1181326.3</v>
      </c>
      <c r="E12" s="46">
        <v>30600</v>
      </c>
      <c r="F12" s="46">
        <v>7176</v>
      </c>
      <c r="G12" s="46">
        <v>98951.6</v>
      </c>
      <c r="H12" s="46">
        <v>14403</v>
      </c>
      <c r="I12" s="46">
        <v>1082374.7</v>
      </c>
      <c r="J12" s="47">
        <f t="shared" si="0"/>
        <v>641642.89999999991</v>
      </c>
      <c r="K12" s="1"/>
      <c r="L12" s="44"/>
    </row>
    <row r="13" spans="1:12" x14ac:dyDescent="0.2">
      <c r="B13" s="48" t="s">
        <v>60</v>
      </c>
      <c r="C13" s="49">
        <v>25003</v>
      </c>
      <c r="D13" s="49">
        <v>1849975.5</v>
      </c>
      <c r="E13" s="49">
        <v>30600</v>
      </c>
      <c r="F13" s="49">
        <v>6818</v>
      </c>
      <c r="G13" s="49">
        <v>96916.4</v>
      </c>
      <c r="H13" s="49">
        <v>18185</v>
      </c>
      <c r="I13" s="49">
        <v>1753059.1</v>
      </c>
      <c r="J13" s="50">
        <f t="shared" si="0"/>
        <v>1196598.1000000001</v>
      </c>
      <c r="K13" s="1"/>
      <c r="L13" s="44"/>
    </row>
    <row r="14" spans="1:12" x14ac:dyDescent="0.2">
      <c r="B14" s="45" t="s">
        <v>61</v>
      </c>
      <c r="C14" s="46">
        <v>23131</v>
      </c>
      <c r="D14" s="46">
        <v>1143556.7</v>
      </c>
      <c r="E14" s="46">
        <v>30600</v>
      </c>
      <c r="F14" s="46">
        <v>7737</v>
      </c>
      <c r="G14" s="46">
        <v>110946.5</v>
      </c>
      <c r="H14" s="46">
        <v>15394</v>
      </c>
      <c r="I14" s="46">
        <v>1032610.2</v>
      </c>
      <c r="J14" s="47">
        <f t="shared" si="0"/>
        <v>561553.79999999993</v>
      </c>
      <c r="K14" s="1"/>
      <c r="L14" s="44"/>
    </row>
    <row r="15" spans="1:12" x14ac:dyDescent="0.2">
      <c r="B15" s="48" t="s">
        <v>62</v>
      </c>
      <c r="C15" s="49">
        <v>67139</v>
      </c>
      <c r="D15" s="49">
        <v>8462743</v>
      </c>
      <c r="E15" s="49">
        <v>30600</v>
      </c>
      <c r="F15" s="49">
        <v>16818</v>
      </c>
      <c r="G15" s="49">
        <v>204082.2</v>
      </c>
      <c r="H15" s="49">
        <v>50321</v>
      </c>
      <c r="I15" s="49">
        <v>8258660.7999999998</v>
      </c>
      <c r="J15" s="50">
        <f t="shared" si="0"/>
        <v>6718838.1999999993</v>
      </c>
      <c r="K15" s="1"/>
      <c r="L15" s="44"/>
    </row>
    <row r="16" spans="1:12" x14ac:dyDescent="0.2">
      <c r="B16" s="45" t="s">
        <v>63</v>
      </c>
      <c r="C16" s="46">
        <v>161567</v>
      </c>
      <c r="D16" s="46">
        <v>8530775.6999999993</v>
      </c>
      <c r="E16" s="46">
        <v>30600</v>
      </c>
      <c r="F16" s="46">
        <v>55245</v>
      </c>
      <c r="G16" s="46">
        <v>706422.1</v>
      </c>
      <c r="H16" s="46">
        <v>106322</v>
      </c>
      <c r="I16" s="46">
        <v>7824353.5999999996</v>
      </c>
      <c r="J16" s="47">
        <f t="shared" si="0"/>
        <v>4570900.3999999994</v>
      </c>
      <c r="K16" s="1"/>
      <c r="L16" s="44"/>
    </row>
    <row r="17" spans="2:12" x14ac:dyDescent="0.2">
      <c r="B17" s="48" t="s">
        <v>64</v>
      </c>
      <c r="C17" s="49">
        <v>159963</v>
      </c>
      <c r="D17" s="49">
        <v>8405977</v>
      </c>
      <c r="E17" s="49">
        <v>30600</v>
      </c>
      <c r="F17" s="49">
        <v>51123</v>
      </c>
      <c r="G17" s="49">
        <v>616908.69999999995</v>
      </c>
      <c r="H17" s="49">
        <v>108840</v>
      </c>
      <c r="I17" s="49">
        <v>7789068.2999999998</v>
      </c>
      <c r="J17" s="50">
        <f t="shared" si="0"/>
        <v>4458564.3</v>
      </c>
      <c r="K17" s="1"/>
      <c r="L17" s="44"/>
    </row>
    <row r="18" spans="2:12" x14ac:dyDescent="0.2">
      <c r="B18" s="45" t="s">
        <v>65</v>
      </c>
      <c r="C18" s="46">
        <v>121717</v>
      </c>
      <c r="D18" s="46">
        <v>7417133.7000000002</v>
      </c>
      <c r="E18" s="46">
        <v>30600</v>
      </c>
      <c r="F18" s="46">
        <v>42993</v>
      </c>
      <c r="G18" s="46">
        <v>543011</v>
      </c>
      <c r="H18" s="46">
        <v>78724</v>
      </c>
      <c r="I18" s="46">
        <v>6874122.7000000002</v>
      </c>
      <c r="J18" s="47">
        <f t="shared" si="0"/>
        <v>4465168.3000000007</v>
      </c>
      <c r="K18" s="1"/>
      <c r="L18" s="44"/>
    </row>
    <row r="19" spans="2:12" x14ac:dyDescent="0.2">
      <c r="B19" s="48" t="s">
        <v>66</v>
      </c>
      <c r="C19" s="49">
        <v>164650</v>
      </c>
      <c r="D19" s="49">
        <v>10478005.300000001</v>
      </c>
      <c r="E19" s="49">
        <v>30600</v>
      </c>
      <c r="F19" s="49">
        <v>45178</v>
      </c>
      <c r="G19" s="49">
        <v>527623.4</v>
      </c>
      <c r="H19" s="49">
        <v>119472</v>
      </c>
      <c r="I19" s="49">
        <v>9950381.9000000004</v>
      </c>
      <c r="J19" s="50">
        <f t="shared" si="0"/>
        <v>6294538.7000000002</v>
      </c>
      <c r="K19" s="1"/>
      <c r="L19" s="44"/>
    </row>
    <row r="20" spans="2:12" x14ac:dyDescent="0.2">
      <c r="B20" s="45" t="s">
        <v>67</v>
      </c>
      <c r="C20" s="46">
        <v>45795</v>
      </c>
      <c r="D20" s="46">
        <v>2389802.4</v>
      </c>
      <c r="E20" s="46">
        <v>30600</v>
      </c>
      <c r="F20" s="46">
        <v>14724</v>
      </c>
      <c r="G20" s="46">
        <v>201397.5</v>
      </c>
      <c r="H20" s="46">
        <v>31071</v>
      </c>
      <c r="I20" s="46">
        <v>2188404.9</v>
      </c>
      <c r="J20" s="47">
        <f t="shared" si="0"/>
        <v>1237632.2999999998</v>
      </c>
      <c r="K20" s="1"/>
      <c r="L20" s="44"/>
    </row>
    <row r="21" spans="2:12" x14ac:dyDescent="0.2">
      <c r="B21" s="48" t="s">
        <v>68</v>
      </c>
      <c r="C21" s="49">
        <v>31600</v>
      </c>
      <c r="D21" s="49">
        <v>1695336.1</v>
      </c>
      <c r="E21" s="49">
        <v>30600</v>
      </c>
      <c r="F21" s="49">
        <v>10807</v>
      </c>
      <c r="G21" s="49">
        <v>148501.5</v>
      </c>
      <c r="H21" s="49">
        <v>20793</v>
      </c>
      <c r="I21" s="49">
        <v>1546834.6</v>
      </c>
      <c r="J21" s="50">
        <f t="shared" si="0"/>
        <v>910568.8</v>
      </c>
      <c r="K21" s="1"/>
      <c r="L21" s="44"/>
    </row>
    <row r="22" spans="2:12" x14ac:dyDescent="0.2">
      <c r="B22" s="45" t="s">
        <v>69</v>
      </c>
      <c r="C22" s="46">
        <v>9174</v>
      </c>
      <c r="D22" s="46">
        <v>507845.5</v>
      </c>
      <c r="E22" s="46">
        <v>30600</v>
      </c>
      <c r="F22" s="46">
        <v>3101</v>
      </c>
      <c r="G22" s="46">
        <v>44560.3</v>
      </c>
      <c r="H22" s="46">
        <v>6073</v>
      </c>
      <c r="I22" s="46">
        <v>463285.2</v>
      </c>
      <c r="J22" s="47">
        <f t="shared" si="0"/>
        <v>277451.40000000002</v>
      </c>
      <c r="K22" s="1"/>
      <c r="L22" s="44"/>
    </row>
    <row r="23" spans="2:12" x14ac:dyDescent="0.2">
      <c r="B23" s="48" t="s">
        <v>70</v>
      </c>
      <c r="C23" s="49">
        <v>283146</v>
      </c>
      <c r="D23" s="49">
        <v>14542090.1</v>
      </c>
      <c r="E23" s="49">
        <v>30600</v>
      </c>
      <c r="F23" s="49">
        <v>94795</v>
      </c>
      <c r="G23" s="49">
        <v>1308051.8</v>
      </c>
      <c r="H23" s="49">
        <v>188351</v>
      </c>
      <c r="I23" s="49">
        <v>13234038.300000001</v>
      </c>
      <c r="J23" s="50">
        <f t="shared" si="0"/>
        <v>7470497.7000000002</v>
      </c>
      <c r="K23" s="1"/>
      <c r="L23" s="44"/>
    </row>
    <row r="24" spans="2:12" x14ac:dyDescent="0.2">
      <c r="B24" s="45" t="s">
        <v>71</v>
      </c>
      <c r="C24" s="46">
        <v>126416</v>
      </c>
      <c r="D24" s="46">
        <v>6164810.5</v>
      </c>
      <c r="E24" s="46">
        <v>30600</v>
      </c>
      <c r="F24" s="46">
        <v>49726</v>
      </c>
      <c r="G24" s="46">
        <v>549331.69999999995</v>
      </c>
      <c r="H24" s="46">
        <v>76690</v>
      </c>
      <c r="I24" s="46">
        <v>5615478.7999999998</v>
      </c>
      <c r="J24" s="47">
        <f t="shared" si="0"/>
        <v>3268764.8</v>
      </c>
      <c r="K24" s="1"/>
      <c r="L24" s="44"/>
    </row>
    <row r="25" spans="2:12" x14ac:dyDescent="0.2">
      <c r="B25" s="48" t="s">
        <v>72</v>
      </c>
      <c r="C25" s="49">
        <v>358562</v>
      </c>
      <c r="D25" s="49">
        <v>20925145.399999999</v>
      </c>
      <c r="E25" s="49">
        <v>30600</v>
      </c>
      <c r="F25" s="49">
        <v>95177</v>
      </c>
      <c r="G25" s="49">
        <v>1264963.3999999999</v>
      </c>
      <c r="H25" s="49">
        <v>263385</v>
      </c>
      <c r="I25" s="49">
        <v>19660182</v>
      </c>
      <c r="J25" s="50">
        <f t="shared" si="0"/>
        <v>11600601</v>
      </c>
      <c r="K25" s="1"/>
      <c r="L25" s="44"/>
    </row>
    <row r="26" spans="2:12" x14ac:dyDescent="0.2">
      <c r="B26" s="45" t="s">
        <v>73</v>
      </c>
      <c r="C26" s="46">
        <v>146199</v>
      </c>
      <c r="D26" s="46">
        <v>7857206.2000000002</v>
      </c>
      <c r="E26" s="46">
        <v>30600</v>
      </c>
      <c r="F26" s="46">
        <v>45489</v>
      </c>
      <c r="G26" s="46">
        <v>636929</v>
      </c>
      <c r="H26" s="46">
        <v>100710</v>
      </c>
      <c r="I26" s="46">
        <v>7220277.2000000002</v>
      </c>
      <c r="J26" s="47">
        <f t="shared" si="0"/>
        <v>4138551.2</v>
      </c>
      <c r="K26" s="1"/>
      <c r="L26" s="44"/>
    </row>
    <row r="27" spans="2:12" x14ac:dyDescent="0.2">
      <c r="B27" s="48" t="s">
        <v>74</v>
      </c>
      <c r="C27" s="49">
        <v>212727</v>
      </c>
      <c r="D27" s="49">
        <v>11177746.5</v>
      </c>
      <c r="E27" s="49">
        <v>30600</v>
      </c>
      <c r="F27" s="49">
        <v>85468</v>
      </c>
      <c r="G27" s="49">
        <v>1095307</v>
      </c>
      <c r="H27" s="49">
        <v>127259</v>
      </c>
      <c r="I27" s="49">
        <v>10082439.5</v>
      </c>
      <c r="J27" s="50">
        <f t="shared" si="0"/>
        <v>6188314.0999999996</v>
      </c>
      <c r="K27" s="1"/>
      <c r="L27" s="44"/>
    </row>
    <row r="28" spans="2:12" x14ac:dyDescent="0.2">
      <c r="B28" s="45" t="s">
        <v>75</v>
      </c>
      <c r="C28" s="46">
        <v>411996</v>
      </c>
      <c r="D28" s="46">
        <v>25101527.5</v>
      </c>
      <c r="E28" s="46">
        <v>30600</v>
      </c>
      <c r="F28" s="46">
        <v>145571</v>
      </c>
      <c r="G28" s="46">
        <v>1661662.6</v>
      </c>
      <c r="H28" s="46">
        <v>266425</v>
      </c>
      <c r="I28" s="46">
        <v>23439864.899999999</v>
      </c>
      <c r="J28" s="47">
        <f t="shared" si="0"/>
        <v>15287259.899999999</v>
      </c>
      <c r="K28" s="1"/>
      <c r="L28" s="44"/>
    </row>
    <row r="29" spans="2:12" x14ac:dyDescent="0.2">
      <c r="B29" s="48" t="s">
        <v>76</v>
      </c>
      <c r="C29" s="49">
        <v>222640</v>
      </c>
      <c r="D29" s="49">
        <v>9231406.9000000004</v>
      </c>
      <c r="E29" s="49">
        <v>30600</v>
      </c>
      <c r="F29" s="49">
        <v>102666</v>
      </c>
      <c r="G29" s="49">
        <v>960279.7</v>
      </c>
      <c r="H29" s="49">
        <v>119974</v>
      </c>
      <c r="I29" s="49">
        <v>8271127.2000000002</v>
      </c>
      <c r="J29" s="50">
        <f t="shared" si="0"/>
        <v>4599922.8</v>
      </c>
      <c r="K29" s="1"/>
      <c r="L29" s="44"/>
    </row>
    <row r="30" spans="2:12" x14ac:dyDescent="0.2">
      <c r="B30" s="45" t="s">
        <v>77</v>
      </c>
      <c r="C30" s="46">
        <v>102968</v>
      </c>
      <c r="D30" s="46">
        <v>5153650.4000000004</v>
      </c>
      <c r="E30" s="46">
        <v>30600</v>
      </c>
      <c r="F30" s="46">
        <v>37658</v>
      </c>
      <c r="G30" s="46">
        <v>462042.2</v>
      </c>
      <c r="H30" s="46">
        <v>65310</v>
      </c>
      <c r="I30" s="46">
        <v>4691608.2</v>
      </c>
      <c r="J30" s="47">
        <f t="shared" si="0"/>
        <v>2693122.2</v>
      </c>
      <c r="K30" s="1"/>
      <c r="L30" s="44"/>
    </row>
    <row r="31" spans="2:12" x14ac:dyDescent="0.2">
      <c r="B31" s="48" t="s">
        <v>78</v>
      </c>
      <c r="C31" s="49">
        <v>252059</v>
      </c>
      <c r="D31" s="49">
        <v>17873895.199999999</v>
      </c>
      <c r="E31" s="49">
        <v>30600</v>
      </c>
      <c r="F31" s="49">
        <v>90342</v>
      </c>
      <c r="G31" s="49">
        <v>1027601.5</v>
      </c>
      <c r="H31" s="49">
        <v>161717</v>
      </c>
      <c r="I31" s="49">
        <v>16846293.699999999</v>
      </c>
      <c r="J31" s="50">
        <f t="shared" si="0"/>
        <v>11897753.5</v>
      </c>
      <c r="K31" s="1"/>
      <c r="L31" s="44"/>
    </row>
    <row r="32" spans="2:12" x14ac:dyDescent="0.2">
      <c r="B32" s="45" t="s">
        <v>79</v>
      </c>
      <c r="C32" s="46">
        <v>43191</v>
      </c>
      <c r="D32" s="46">
        <v>1920061</v>
      </c>
      <c r="E32" s="46">
        <v>30600</v>
      </c>
      <c r="F32" s="46">
        <v>16875</v>
      </c>
      <c r="G32" s="46">
        <v>220522.6</v>
      </c>
      <c r="H32" s="46">
        <v>26316</v>
      </c>
      <c r="I32" s="46">
        <v>1699538.4</v>
      </c>
      <c r="J32" s="47">
        <f t="shared" si="0"/>
        <v>894268.79999999981</v>
      </c>
      <c r="K32" s="1"/>
      <c r="L32" s="44"/>
    </row>
    <row r="33" spans="1:12" s="51" customFormat="1" x14ac:dyDescent="0.2">
      <c r="A33" s="52"/>
      <c r="B33" s="53" t="s">
        <v>80</v>
      </c>
      <c r="C33" s="54">
        <f>SUM(C7:C32)</f>
        <v>4795463</v>
      </c>
      <c r="D33" s="54">
        <f>SUM(D7:D32)</f>
        <v>281495736.89999998</v>
      </c>
      <c r="E33" s="54">
        <f>AVERAGE(E7:E32)</f>
        <v>30600</v>
      </c>
      <c r="F33" s="54">
        <f>SUM(F7:F32)</f>
        <v>1605791</v>
      </c>
      <c r="G33" s="54">
        <f>SUM(G7:G32)</f>
        <v>19460381.400000002</v>
      </c>
      <c r="H33" s="54">
        <f>SUM(H7:H32)</f>
        <v>3189672</v>
      </c>
      <c r="I33" s="54">
        <f>SUM(I7:I32)</f>
        <v>262035355.49999997</v>
      </c>
      <c r="J33" s="55">
        <f>SUM(J7:J32)</f>
        <v>164431392.30000001</v>
      </c>
      <c r="L33" s="56"/>
    </row>
    <row r="34" spans="1:12" x14ac:dyDescent="0.2">
      <c r="B34" s="52"/>
      <c r="K34" s="1"/>
    </row>
    <row r="35" spans="1:12" x14ac:dyDescent="0.2">
      <c r="K35" s="1"/>
    </row>
    <row r="36" spans="1:12" x14ac:dyDescent="0.2">
      <c r="K36" s="1"/>
    </row>
  </sheetData>
  <conditionalFormatting sqref="C7:I32">
    <cfRule type="expression" dxfId="1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>
    <oddHeader>&amp;L&amp;F&amp;R&amp;A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2.42578125" style="1" customWidth="1"/>
    <col min="3" max="3" width="24.140625" style="1" customWidth="1"/>
  </cols>
  <sheetData>
    <row r="1" spans="1:4" ht="27" customHeight="1" x14ac:dyDescent="0.2">
      <c r="B1" s="57" t="str">
        <f>"Income taxed at source "&amp;Info!C31</f>
        <v>Income taxed at source 2011</v>
      </c>
      <c r="C1" s="58"/>
      <c r="D1" s="58"/>
    </row>
    <row r="2" spans="1:4" ht="15.75" customHeight="1" x14ac:dyDescent="0.25">
      <c r="B2" s="59" t="str">
        <f>Info!A4</f>
        <v>Reference year 2017</v>
      </c>
      <c r="C2" s="60"/>
    </row>
    <row r="3" spans="1:4" x14ac:dyDescent="0.2">
      <c r="B3" s="61"/>
      <c r="C3" s="20" t="str">
        <f>Info!$C$28</f>
        <v>FA_2017_20160519</v>
      </c>
    </row>
    <row r="4" spans="1:4" ht="30" customHeight="1" x14ac:dyDescent="0.2">
      <c r="B4" s="62"/>
      <c r="C4" s="63" t="s">
        <v>81</v>
      </c>
    </row>
    <row r="5" spans="1:4" x14ac:dyDescent="0.2">
      <c r="B5" s="64" t="s">
        <v>48</v>
      </c>
      <c r="C5" s="65" t="str">
        <f>"ITS_"&amp;Info!C30&amp;"_"&amp;Info!C31&amp;".xlsx"</f>
        <v>ITS_2017_2011.xlsx</v>
      </c>
    </row>
    <row r="6" spans="1:4" x14ac:dyDescent="0.2">
      <c r="A6" s="36"/>
      <c r="B6" s="66" t="s">
        <v>51</v>
      </c>
      <c r="C6" s="67" t="s">
        <v>52</v>
      </c>
    </row>
    <row r="7" spans="1:4" ht="15" customHeight="1" x14ac:dyDescent="0.2">
      <c r="A7" s="68"/>
      <c r="B7" s="69" t="s">
        <v>54</v>
      </c>
      <c r="C7" s="70">
        <v>1891254.2744175999</v>
      </c>
    </row>
    <row r="8" spans="1:4" ht="15" customHeight="1" x14ac:dyDescent="0.2">
      <c r="A8" s="68"/>
      <c r="B8" s="71" t="s">
        <v>55</v>
      </c>
      <c r="C8" s="72">
        <v>606658.48983581003</v>
      </c>
    </row>
    <row r="9" spans="1:4" ht="15" customHeight="1" x14ac:dyDescent="0.2">
      <c r="A9" s="68"/>
      <c r="B9" s="73" t="s">
        <v>56</v>
      </c>
      <c r="C9" s="74">
        <v>259977.49274804199</v>
      </c>
    </row>
    <row r="10" spans="1:4" ht="15" customHeight="1" x14ac:dyDescent="0.2">
      <c r="A10" s="68"/>
      <c r="B10" s="71" t="s">
        <v>57</v>
      </c>
      <c r="C10" s="72">
        <v>28068.967838749999</v>
      </c>
    </row>
    <row r="11" spans="1:4" ht="15" customHeight="1" x14ac:dyDescent="0.2">
      <c r="A11" s="68"/>
      <c r="B11" s="73" t="s">
        <v>58</v>
      </c>
      <c r="C11" s="74">
        <v>127666.719161345</v>
      </c>
    </row>
    <row r="12" spans="1:4" ht="15" customHeight="1" x14ac:dyDescent="0.2">
      <c r="A12" s="68"/>
      <c r="B12" s="71" t="s">
        <v>59</v>
      </c>
      <c r="C12" s="72">
        <v>30364.066558742099</v>
      </c>
    </row>
    <row r="13" spans="1:4" ht="15" customHeight="1" x14ac:dyDescent="0.2">
      <c r="A13" s="68"/>
      <c r="B13" s="73" t="s">
        <v>60</v>
      </c>
      <c r="C13" s="74">
        <v>28203.3334242091</v>
      </c>
    </row>
    <row r="14" spans="1:4" ht="15" customHeight="1" x14ac:dyDescent="0.2">
      <c r="A14" s="68"/>
      <c r="B14" s="71" t="s">
        <v>61</v>
      </c>
      <c r="C14" s="72">
        <v>43635.434370407798</v>
      </c>
    </row>
    <row r="15" spans="1:4" ht="15" customHeight="1" x14ac:dyDescent="0.2">
      <c r="A15" s="68"/>
      <c r="B15" s="73" t="s">
        <v>62</v>
      </c>
      <c r="C15" s="74">
        <v>250746.04726280199</v>
      </c>
    </row>
    <row r="16" spans="1:4" ht="15" customHeight="1" x14ac:dyDescent="0.2">
      <c r="A16" s="68"/>
      <c r="B16" s="71" t="s">
        <v>63</v>
      </c>
      <c r="C16" s="72">
        <v>219140.78156534399</v>
      </c>
    </row>
    <row r="17" spans="1:3" ht="15" customHeight="1" x14ac:dyDescent="0.2">
      <c r="A17" s="68"/>
      <c r="B17" s="73" t="s">
        <v>64</v>
      </c>
      <c r="C17" s="74">
        <v>156967.83355125101</v>
      </c>
    </row>
    <row r="18" spans="1:3" ht="15" customHeight="1" x14ac:dyDescent="0.2">
      <c r="A18" s="68"/>
      <c r="B18" s="71" t="s">
        <v>65</v>
      </c>
      <c r="C18" s="72">
        <v>671653.43474932597</v>
      </c>
    </row>
    <row r="19" spans="1:3" ht="15" customHeight="1" x14ac:dyDescent="0.2">
      <c r="A19" s="68"/>
      <c r="B19" s="73" t="s">
        <v>66</v>
      </c>
      <c r="C19" s="74">
        <v>366858.71123983298</v>
      </c>
    </row>
    <row r="20" spans="1:3" ht="15" customHeight="1" x14ac:dyDescent="0.2">
      <c r="A20" s="68"/>
      <c r="B20" s="71" t="s">
        <v>67</v>
      </c>
      <c r="C20" s="72">
        <v>158540.980029069</v>
      </c>
    </row>
    <row r="21" spans="1:3" ht="15" customHeight="1" x14ac:dyDescent="0.2">
      <c r="A21" s="68"/>
      <c r="B21" s="73" t="s">
        <v>68</v>
      </c>
      <c r="C21" s="74">
        <v>40675.905681378201</v>
      </c>
    </row>
    <row r="22" spans="1:3" ht="15" customHeight="1" x14ac:dyDescent="0.2">
      <c r="A22" s="68"/>
      <c r="B22" s="71" t="s">
        <v>69</v>
      </c>
      <c r="C22" s="72">
        <v>8006.9821406741903</v>
      </c>
    </row>
    <row r="23" spans="1:3" ht="15" customHeight="1" x14ac:dyDescent="0.2">
      <c r="A23" s="68"/>
      <c r="B23" s="73" t="s">
        <v>70</v>
      </c>
      <c r="C23" s="74">
        <v>474246.929969071</v>
      </c>
    </row>
    <row r="24" spans="1:3" ht="15" customHeight="1" x14ac:dyDescent="0.2">
      <c r="A24" s="68"/>
      <c r="B24" s="71" t="s">
        <v>71</v>
      </c>
      <c r="C24" s="72">
        <v>364775.90614212502</v>
      </c>
    </row>
    <row r="25" spans="1:3" ht="15" customHeight="1" x14ac:dyDescent="0.2">
      <c r="A25" s="68"/>
      <c r="B25" s="73" t="s">
        <v>72</v>
      </c>
      <c r="C25" s="74">
        <v>558453.18754673703</v>
      </c>
    </row>
    <row r="26" spans="1:3" ht="15" customHeight="1" x14ac:dyDescent="0.2">
      <c r="A26" s="68"/>
      <c r="B26" s="71" t="s">
        <v>73</v>
      </c>
      <c r="C26" s="72">
        <v>265230.18990909198</v>
      </c>
    </row>
    <row r="27" spans="1:3" ht="15" customHeight="1" x14ac:dyDescent="0.2">
      <c r="A27" s="68"/>
      <c r="B27" s="73" t="s">
        <v>74</v>
      </c>
      <c r="C27" s="74">
        <v>852223.47884246905</v>
      </c>
    </row>
    <row r="28" spans="1:3" ht="15" customHeight="1" x14ac:dyDescent="0.2">
      <c r="A28" s="68"/>
      <c r="B28" s="71" t="s">
        <v>75</v>
      </c>
      <c r="C28" s="72">
        <v>1216965.49147298</v>
      </c>
    </row>
    <row r="29" spans="1:3" ht="15" customHeight="1" x14ac:dyDescent="0.2">
      <c r="A29" s="68"/>
      <c r="B29" s="73" t="s">
        <v>76</v>
      </c>
      <c r="C29" s="74">
        <v>392050.37597749202</v>
      </c>
    </row>
    <row r="30" spans="1:3" ht="15" customHeight="1" x14ac:dyDescent="0.2">
      <c r="A30" s="68"/>
      <c r="B30" s="71" t="s">
        <v>77</v>
      </c>
      <c r="C30" s="72">
        <v>231578.37053703301</v>
      </c>
    </row>
    <row r="31" spans="1:3" ht="15" customHeight="1" x14ac:dyDescent="0.2">
      <c r="A31" s="68"/>
      <c r="B31" s="73" t="s">
        <v>78</v>
      </c>
      <c r="C31" s="74">
        <v>2350966.3747764099</v>
      </c>
    </row>
    <row r="32" spans="1:3" ht="15" customHeight="1" x14ac:dyDescent="0.2">
      <c r="A32" s="68"/>
      <c r="B32" s="71" t="s">
        <v>79</v>
      </c>
      <c r="C32" s="72">
        <v>82352.791321237499</v>
      </c>
    </row>
    <row r="33" spans="1:3" s="51" customFormat="1" ht="18.75" customHeight="1" x14ac:dyDescent="0.2">
      <c r="A33" s="75"/>
      <c r="B33" s="76" t="s">
        <v>80</v>
      </c>
      <c r="C33" s="77">
        <f>SUM(C7:C32)</f>
        <v>11677262.551069232</v>
      </c>
    </row>
  </sheetData>
  <conditionalFormatting sqref="C7:C32">
    <cfRule type="expression" dxfId="13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7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9.85546875" style="1" customWidth="1"/>
    <col min="2" max="3" width="17.140625" style="1" customWidth="1"/>
    <col min="4" max="4" width="19.7109375" style="1" customWidth="1"/>
  </cols>
  <sheetData>
    <row r="1" spans="1:5" s="15" customFormat="1" ht="28.5" customHeight="1" x14ac:dyDescent="0.2">
      <c r="A1" s="57" t="str">
        <f>"Wealth "&amp;Info!C31</f>
        <v>Wealth 2011</v>
      </c>
      <c r="B1" s="57"/>
      <c r="C1" s="57"/>
    </row>
    <row r="2" spans="1:5" ht="18.75" customHeight="1" x14ac:dyDescent="0.2">
      <c r="A2" s="78" t="str">
        <f>Info!A4</f>
        <v>Reference year 2017</v>
      </c>
      <c r="B2" s="79"/>
    </row>
    <row r="3" spans="1:5" ht="15.75" customHeight="1" x14ac:dyDescent="0.2">
      <c r="A3" s="80"/>
      <c r="B3" s="81"/>
      <c r="C3" s="82"/>
      <c r="D3" s="20" t="str">
        <f>Info!$C$28</f>
        <v>FA_2017_20160519</v>
      </c>
    </row>
    <row r="4" spans="1:5" s="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5" x14ac:dyDescent="0.2">
      <c r="A5" s="28" t="s">
        <v>38</v>
      </c>
      <c r="B5" s="29"/>
      <c r="C5" s="29"/>
      <c r="D5" s="31" t="s">
        <v>83</v>
      </c>
    </row>
    <row r="6" spans="1:5" ht="20.25" customHeight="1" x14ac:dyDescent="0.2">
      <c r="A6" s="32"/>
      <c r="B6" s="33" t="s">
        <v>84</v>
      </c>
      <c r="C6" s="33" t="s">
        <v>85</v>
      </c>
      <c r="D6" s="34" t="s">
        <v>86</v>
      </c>
      <c r="E6" s="51"/>
    </row>
    <row r="7" spans="1:5" x14ac:dyDescent="0.2">
      <c r="A7" s="37" t="s">
        <v>48</v>
      </c>
      <c r="B7" s="38" t="s">
        <v>49</v>
      </c>
      <c r="C7" s="38" t="s">
        <v>87</v>
      </c>
      <c r="D7" s="85"/>
    </row>
    <row r="8" spans="1:5" s="35" customFormat="1" ht="11.25" customHeight="1" x14ac:dyDescent="0.2">
      <c r="A8" s="86" t="s">
        <v>51</v>
      </c>
      <c r="B8" s="40" t="s">
        <v>52</v>
      </c>
      <c r="C8" s="40"/>
      <c r="D8" s="39" t="s">
        <v>52</v>
      </c>
    </row>
    <row r="9" spans="1:5" ht="15" customHeight="1" x14ac:dyDescent="0.2">
      <c r="A9" s="41" t="s">
        <v>54</v>
      </c>
      <c r="B9" s="87">
        <v>350291427</v>
      </c>
      <c r="C9" s="88">
        <f t="shared" ref="C9:C34" si="0">C$35</f>
        <v>1.4999999999999999E-2</v>
      </c>
      <c r="D9" s="89">
        <f t="shared" ref="D9:D34" si="1">B9*C9</f>
        <v>5254371.4050000003</v>
      </c>
    </row>
    <row r="10" spans="1:5" ht="15" customHeight="1" x14ac:dyDescent="0.2">
      <c r="A10" s="45" t="s">
        <v>55</v>
      </c>
      <c r="B10" s="90">
        <v>143358624.16600001</v>
      </c>
      <c r="C10" s="91">
        <f t="shared" si="0"/>
        <v>1.4999999999999999E-2</v>
      </c>
      <c r="D10" s="92">
        <f t="shared" si="1"/>
        <v>2150379.3624900002</v>
      </c>
    </row>
    <row r="11" spans="1:5" ht="15" customHeight="1" x14ac:dyDescent="0.2">
      <c r="A11" s="48" t="s">
        <v>56</v>
      </c>
      <c r="B11" s="93">
        <v>62777451.574000001</v>
      </c>
      <c r="C11" s="94">
        <f t="shared" si="0"/>
        <v>1.4999999999999999E-2</v>
      </c>
      <c r="D11" s="95">
        <f t="shared" si="1"/>
        <v>941661.77361000003</v>
      </c>
    </row>
    <row r="12" spans="1:5" ht="15" customHeight="1" x14ac:dyDescent="0.2">
      <c r="A12" s="45" t="s">
        <v>57</v>
      </c>
      <c r="B12" s="90">
        <v>5552345.8080000002</v>
      </c>
      <c r="C12" s="91">
        <f t="shared" si="0"/>
        <v>1.4999999999999999E-2</v>
      </c>
      <c r="D12" s="92">
        <f t="shared" si="1"/>
        <v>83285.187120000002</v>
      </c>
    </row>
    <row r="13" spans="1:5" ht="15" customHeight="1" x14ac:dyDescent="0.2">
      <c r="A13" s="48" t="s">
        <v>58</v>
      </c>
      <c r="B13" s="93">
        <v>85277695.217999995</v>
      </c>
      <c r="C13" s="94">
        <f t="shared" si="0"/>
        <v>1.4999999999999999E-2</v>
      </c>
      <c r="D13" s="95">
        <f t="shared" si="1"/>
        <v>1279165.4282699998</v>
      </c>
    </row>
    <row r="14" spans="1:5" ht="15" customHeight="1" x14ac:dyDescent="0.2">
      <c r="A14" s="45" t="s">
        <v>59</v>
      </c>
      <c r="B14" s="90">
        <v>7924571.858</v>
      </c>
      <c r="C14" s="91">
        <f t="shared" si="0"/>
        <v>1.4999999999999999E-2</v>
      </c>
      <c r="D14" s="92">
        <f t="shared" si="1"/>
        <v>118868.57786999999</v>
      </c>
    </row>
    <row r="15" spans="1:5" ht="15" customHeight="1" x14ac:dyDescent="0.2">
      <c r="A15" s="48" t="s">
        <v>60</v>
      </c>
      <c r="B15" s="93">
        <v>23999479.239</v>
      </c>
      <c r="C15" s="94">
        <f t="shared" si="0"/>
        <v>1.4999999999999999E-2</v>
      </c>
      <c r="D15" s="95">
        <f t="shared" si="1"/>
        <v>359992.188585</v>
      </c>
    </row>
    <row r="16" spans="1:5" ht="15" customHeight="1" x14ac:dyDescent="0.2">
      <c r="A16" s="45" t="s">
        <v>61</v>
      </c>
      <c r="B16" s="90">
        <v>6263338.165</v>
      </c>
      <c r="C16" s="91">
        <f t="shared" si="0"/>
        <v>1.4999999999999999E-2</v>
      </c>
      <c r="D16" s="92">
        <f t="shared" si="1"/>
        <v>93950.072474999994</v>
      </c>
    </row>
    <row r="17" spans="1:4" ht="15" customHeight="1" x14ac:dyDescent="0.2">
      <c r="A17" s="48" t="s">
        <v>62</v>
      </c>
      <c r="B17" s="93">
        <v>51939483.298355497</v>
      </c>
      <c r="C17" s="94">
        <f t="shared" si="0"/>
        <v>1.4999999999999999E-2</v>
      </c>
      <c r="D17" s="95">
        <f t="shared" si="1"/>
        <v>779092.24947533244</v>
      </c>
    </row>
    <row r="18" spans="1:4" ht="15" customHeight="1" x14ac:dyDescent="0.2">
      <c r="A18" s="45" t="s">
        <v>63</v>
      </c>
      <c r="B18" s="90">
        <v>25475104.752999999</v>
      </c>
      <c r="C18" s="91">
        <f t="shared" si="0"/>
        <v>1.4999999999999999E-2</v>
      </c>
      <c r="D18" s="92">
        <f t="shared" si="1"/>
        <v>382126.57129499997</v>
      </c>
    </row>
    <row r="19" spans="1:4" ht="15" customHeight="1" x14ac:dyDescent="0.2">
      <c r="A19" s="48" t="s">
        <v>64</v>
      </c>
      <c r="B19" s="93">
        <v>20714198.441</v>
      </c>
      <c r="C19" s="94">
        <f t="shared" si="0"/>
        <v>1.4999999999999999E-2</v>
      </c>
      <c r="D19" s="95">
        <f t="shared" si="1"/>
        <v>310712.97661499999</v>
      </c>
    </row>
    <row r="20" spans="1:4" ht="15" customHeight="1" x14ac:dyDescent="0.2">
      <c r="A20" s="45" t="s">
        <v>65</v>
      </c>
      <c r="B20" s="90">
        <v>45083677.425999999</v>
      </c>
      <c r="C20" s="91">
        <f t="shared" si="0"/>
        <v>1.4999999999999999E-2</v>
      </c>
      <c r="D20" s="92">
        <f t="shared" si="1"/>
        <v>676255.16138999991</v>
      </c>
    </row>
    <row r="21" spans="1:4" ht="15" customHeight="1" x14ac:dyDescent="0.2">
      <c r="A21" s="48" t="s">
        <v>66</v>
      </c>
      <c r="B21" s="93">
        <v>35335841.869000003</v>
      </c>
      <c r="C21" s="94">
        <f t="shared" si="0"/>
        <v>1.4999999999999999E-2</v>
      </c>
      <c r="D21" s="95">
        <f t="shared" si="1"/>
        <v>530037.62803500006</v>
      </c>
    </row>
    <row r="22" spans="1:4" ht="15" customHeight="1" x14ac:dyDescent="0.2">
      <c r="A22" s="45" t="s">
        <v>67</v>
      </c>
      <c r="B22" s="90">
        <v>11063837.334000001</v>
      </c>
      <c r="C22" s="91">
        <f t="shared" si="0"/>
        <v>1.4999999999999999E-2</v>
      </c>
      <c r="D22" s="92">
        <f t="shared" si="1"/>
        <v>165957.56001000002</v>
      </c>
    </row>
    <row r="23" spans="1:4" ht="15" customHeight="1" x14ac:dyDescent="0.2">
      <c r="A23" s="48" t="s">
        <v>68</v>
      </c>
      <c r="B23" s="93">
        <v>11549086.242000001</v>
      </c>
      <c r="C23" s="94">
        <f t="shared" si="0"/>
        <v>1.4999999999999999E-2</v>
      </c>
      <c r="D23" s="95">
        <f t="shared" si="1"/>
        <v>173236.29363</v>
      </c>
    </row>
    <row r="24" spans="1:4" ht="15" customHeight="1" x14ac:dyDescent="0.2">
      <c r="A24" s="45" t="s">
        <v>69</v>
      </c>
      <c r="B24" s="90">
        <v>4023457.7620000001</v>
      </c>
      <c r="C24" s="91">
        <f t="shared" si="0"/>
        <v>1.4999999999999999E-2</v>
      </c>
      <c r="D24" s="92">
        <f t="shared" si="1"/>
        <v>60351.866430000002</v>
      </c>
    </row>
    <row r="25" spans="1:4" ht="15" customHeight="1" x14ac:dyDescent="0.2">
      <c r="A25" s="48" t="s">
        <v>70</v>
      </c>
      <c r="B25" s="93">
        <v>84546695.022</v>
      </c>
      <c r="C25" s="94">
        <f t="shared" si="0"/>
        <v>1.4999999999999999E-2</v>
      </c>
      <c r="D25" s="95">
        <f t="shared" si="1"/>
        <v>1268200.42533</v>
      </c>
    </row>
    <row r="26" spans="1:4" ht="15" customHeight="1" x14ac:dyDescent="0.2">
      <c r="A26" s="45" t="s">
        <v>71</v>
      </c>
      <c r="B26" s="90">
        <v>49873353.435999997</v>
      </c>
      <c r="C26" s="91">
        <f t="shared" si="0"/>
        <v>1.4999999999999999E-2</v>
      </c>
      <c r="D26" s="92">
        <f t="shared" si="1"/>
        <v>748100.3015399999</v>
      </c>
    </row>
    <row r="27" spans="1:4" ht="15" customHeight="1" x14ac:dyDescent="0.2">
      <c r="A27" s="48" t="s">
        <v>72</v>
      </c>
      <c r="B27" s="93">
        <v>96702395.544011906</v>
      </c>
      <c r="C27" s="94">
        <f t="shared" si="0"/>
        <v>1.4999999999999999E-2</v>
      </c>
      <c r="D27" s="95">
        <f t="shared" si="1"/>
        <v>1450535.9331601786</v>
      </c>
    </row>
    <row r="28" spans="1:4" ht="15" customHeight="1" x14ac:dyDescent="0.2">
      <c r="A28" s="45" t="s">
        <v>73</v>
      </c>
      <c r="B28" s="90">
        <v>42497176.600000001</v>
      </c>
      <c r="C28" s="91">
        <f t="shared" si="0"/>
        <v>1.4999999999999999E-2</v>
      </c>
      <c r="D28" s="92">
        <f t="shared" si="1"/>
        <v>637457.64899999998</v>
      </c>
    </row>
    <row r="29" spans="1:4" ht="15" customHeight="1" x14ac:dyDescent="0.2">
      <c r="A29" s="48" t="s">
        <v>74</v>
      </c>
      <c r="B29" s="93">
        <v>49474002.952</v>
      </c>
      <c r="C29" s="94">
        <f t="shared" si="0"/>
        <v>1.4999999999999999E-2</v>
      </c>
      <c r="D29" s="95">
        <f t="shared" si="1"/>
        <v>742110.04427999991</v>
      </c>
    </row>
    <row r="30" spans="1:4" ht="15" customHeight="1" x14ac:dyDescent="0.2">
      <c r="A30" s="45" t="s">
        <v>75</v>
      </c>
      <c r="B30" s="90">
        <v>115254851.912</v>
      </c>
      <c r="C30" s="91">
        <f t="shared" si="0"/>
        <v>1.4999999999999999E-2</v>
      </c>
      <c r="D30" s="92">
        <f t="shared" si="1"/>
        <v>1728822.77868</v>
      </c>
    </row>
    <row r="31" spans="1:4" ht="15" customHeight="1" x14ac:dyDescent="0.2">
      <c r="A31" s="48" t="s">
        <v>76</v>
      </c>
      <c r="B31" s="93">
        <v>39695965.652999997</v>
      </c>
      <c r="C31" s="94">
        <f t="shared" si="0"/>
        <v>1.4999999999999999E-2</v>
      </c>
      <c r="D31" s="95">
        <f t="shared" si="1"/>
        <v>595439.48479499994</v>
      </c>
    </row>
    <row r="32" spans="1:4" ht="15" customHeight="1" x14ac:dyDescent="0.2">
      <c r="A32" s="45" t="s">
        <v>77</v>
      </c>
      <c r="B32" s="90">
        <v>15789151.523</v>
      </c>
      <c r="C32" s="91">
        <f t="shared" si="0"/>
        <v>1.4999999999999999E-2</v>
      </c>
      <c r="D32" s="92">
        <f t="shared" si="1"/>
        <v>236837.272845</v>
      </c>
    </row>
    <row r="33" spans="1:4" ht="15" customHeight="1" x14ac:dyDescent="0.2">
      <c r="A33" s="48" t="s">
        <v>78</v>
      </c>
      <c r="B33" s="93">
        <v>84817570.450000003</v>
      </c>
      <c r="C33" s="94">
        <f t="shared" si="0"/>
        <v>1.4999999999999999E-2</v>
      </c>
      <c r="D33" s="95">
        <f t="shared" si="1"/>
        <v>1272263.55675</v>
      </c>
    </row>
    <row r="34" spans="1:4" ht="15" customHeight="1" x14ac:dyDescent="0.2">
      <c r="A34" s="45" t="s">
        <v>79</v>
      </c>
      <c r="B34" s="90">
        <v>5717741</v>
      </c>
      <c r="C34" s="91">
        <f t="shared" si="0"/>
        <v>1.4999999999999999E-2</v>
      </c>
      <c r="D34" s="92">
        <f t="shared" si="1"/>
        <v>85766.114999999991</v>
      </c>
    </row>
    <row r="35" spans="1:4" s="51" customFormat="1" ht="18.75" customHeight="1" x14ac:dyDescent="0.2">
      <c r="A35" s="96" t="s">
        <v>80</v>
      </c>
      <c r="B35" s="97">
        <f>SUM(B9:B34)</f>
        <v>1474998524.2453671</v>
      </c>
      <c r="C35" s="98">
        <v>1.4999999999999999E-2</v>
      </c>
      <c r="D35" s="99">
        <f>SUM(D9:D34)</f>
        <v>22124977.863680508</v>
      </c>
    </row>
    <row r="37" spans="1:4" x14ac:dyDescent="0.2">
      <c r="B37" s="100"/>
    </row>
  </sheetData>
  <conditionalFormatting sqref="D9:D34">
    <cfRule type="expression" dxfId="12" priority="1" stopIfTrue="1">
      <formula>ISBLANK(D9)</formula>
    </cfRule>
  </conditionalFormatting>
  <conditionalFormatting sqref="B9:C34 C35">
    <cfRule type="expression" dxfId="11" priority="2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>
    <oddHeader>&amp;L&amp;F&amp;R&amp;A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5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2" width="19.85546875" style="1" customWidth="1"/>
    <col min="3" max="3" width="22.85546875" style="1" customWidth="1"/>
    <col min="4" max="4" width="21.85546875" style="1" customWidth="1"/>
    <col min="5" max="5" width="6.85546875" style="1" customWidth="1"/>
    <col min="6" max="6" width="16.85546875" style="1" customWidth="1"/>
    <col min="7" max="7" width="9.140625" style="1" customWidth="1"/>
    <col min="8" max="16384" width="9.140625" style="1"/>
  </cols>
  <sheetData>
    <row r="1" spans="1:7" ht="27.75" customHeight="1" x14ac:dyDescent="0.2">
      <c r="A1" s="101" t="str">
        <f>"Profit of legal entities "&amp;Info!C31</f>
        <v>Profit of legal entities 2011</v>
      </c>
      <c r="B1" s="101"/>
      <c r="D1" s="102"/>
      <c r="E1" s="102"/>
    </row>
    <row r="2" spans="1:7" ht="15.75" customHeight="1" x14ac:dyDescent="0.2">
      <c r="A2" s="103" t="str">
        <f>Info!A4</f>
        <v>Reference year 2017</v>
      </c>
      <c r="B2" s="104"/>
      <c r="C2" s="103"/>
      <c r="D2" s="102"/>
      <c r="E2" s="102"/>
    </row>
    <row r="3" spans="1:7" x14ac:dyDescent="0.2">
      <c r="D3" s="20" t="str">
        <f>Info!$C$28</f>
        <v>FA_2017_20160519</v>
      </c>
      <c r="G3" s="20"/>
    </row>
    <row r="4" spans="1:7" s="21" customFormat="1" x14ac:dyDescent="0.2">
      <c r="A4" s="83" t="s">
        <v>29</v>
      </c>
      <c r="B4" s="24" t="s">
        <v>82</v>
      </c>
      <c r="C4" s="24" t="s">
        <v>30</v>
      </c>
      <c r="D4" s="84" t="s">
        <v>31</v>
      </c>
    </row>
    <row r="5" spans="1:7" s="26" customFormat="1" ht="11.25" customHeight="1" x14ac:dyDescent="0.2">
      <c r="A5" s="28" t="s">
        <v>38</v>
      </c>
      <c r="B5" s="29"/>
      <c r="C5" s="29"/>
      <c r="D5" s="31" t="s">
        <v>88</v>
      </c>
    </row>
    <row r="6" spans="1:7" ht="42.75" customHeight="1" x14ac:dyDescent="0.3">
      <c r="A6" s="105"/>
      <c r="B6" s="106" t="s">
        <v>89</v>
      </c>
      <c r="C6" s="106" t="s">
        <v>90</v>
      </c>
      <c r="D6" s="107" t="s">
        <v>91</v>
      </c>
    </row>
    <row r="7" spans="1:7" s="35" customFormat="1" ht="11.25" customHeight="1" x14ac:dyDescent="0.2">
      <c r="A7" s="37" t="s">
        <v>48</v>
      </c>
      <c r="B7" s="38" t="s">
        <v>49</v>
      </c>
      <c r="C7" s="38" t="s">
        <v>49</v>
      </c>
      <c r="D7" s="108"/>
    </row>
    <row r="8" spans="1:7" s="109" customFormat="1" x14ac:dyDescent="0.2">
      <c r="A8" s="86" t="s">
        <v>51</v>
      </c>
      <c r="B8" s="40" t="s">
        <v>52</v>
      </c>
      <c r="C8" s="40" t="s">
        <v>52</v>
      </c>
      <c r="D8" s="39" t="s">
        <v>52</v>
      </c>
      <c r="F8" s="110" t="s">
        <v>92</v>
      </c>
      <c r="G8" s="111"/>
    </row>
    <row r="9" spans="1:7" x14ac:dyDescent="0.2">
      <c r="A9" s="41" t="s">
        <v>54</v>
      </c>
      <c r="B9" s="42">
        <v>11037003.1</v>
      </c>
      <c r="C9" s="42">
        <v>575716.46030000004</v>
      </c>
      <c r="D9" s="112">
        <f t="shared" ref="D9:D34" si="0">B9+C9</f>
        <v>11612719.5603</v>
      </c>
      <c r="F9" s="113" t="s">
        <v>93</v>
      </c>
      <c r="G9" s="114">
        <v>2.5999999999999999E-2</v>
      </c>
    </row>
    <row r="10" spans="1:7" x14ac:dyDescent="0.2">
      <c r="A10" s="45" t="s">
        <v>55</v>
      </c>
      <c r="B10" s="46">
        <v>4604726.0999999996</v>
      </c>
      <c r="C10" s="46">
        <v>106978.6924</v>
      </c>
      <c r="D10" s="115">
        <f t="shared" si="0"/>
        <v>4711704.7923999997</v>
      </c>
      <c r="F10" s="113" t="s">
        <v>94</v>
      </c>
      <c r="G10" s="114">
        <v>0.113</v>
      </c>
    </row>
    <row r="11" spans="1:7" x14ac:dyDescent="0.2">
      <c r="A11" s="48" t="s">
        <v>56</v>
      </c>
      <c r="B11" s="49">
        <v>2035843</v>
      </c>
      <c r="C11" s="49">
        <v>136307.2746</v>
      </c>
      <c r="D11" s="116">
        <f t="shared" si="0"/>
        <v>2172150.2746000001</v>
      </c>
      <c r="F11" s="113" t="s">
        <v>95</v>
      </c>
      <c r="G11" s="114">
        <v>0.123</v>
      </c>
    </row>
    <row r="12" spans="1:7" x14ac:dyDescent="0.2">
      <c r="A12" s="45" t="s">
        <v>57</v>
      </c>
      <c r="B12" s="46">
        <v>146157.1</v>
      </c>
      <c r="C12" s="46">
        <v>1126.8818000000001</v>
      </c>
      <c r="D12" s="115">
        <f t="shared" si="0"/>
        <v>147283.98180000001</v>
      </c>
      <c r="F12" s="117" t="s">
        <v>96</v>
      </c>
      <c r="G12" s="118">
        <v>1</v>
      </c>
    </row>
    <row r="13" spans="1:7" x14ac:dyDescent="0.2">
      <c r="A13" s="48" t="s">
        <v>58</v>
      </c>
      <c r="B13" s="49">
        <v>1013789.8</v>
      </c>
      <c r="C13" s="49">
        <v>107414.78539999999</v>
      </c>
      <c r="D13" s="116">
        <f t="shared" si="0"/>
        <v>1121204.5854</v>
      </c>
    </row>
    <row r="14" spans="1:7" x14ac:dyDescent="0.2">
      <c r="A14" s="45" t="s">
        <v>59</v>
      </c>
      <c r="B14" s="46">
        <v>233629.5</v>
      </c>
      <c r="C14" s="46">
        <v>5695.8761999999997</v>
      </c>
      <c r="D14" s="115">
        <f t="shared" si="0"/>
        <v>239325.3762</v>
      </c>
    </row>
    <row r="15" spans="1:7" x14ac:dyDescent="0.2">
      <c r="A15" s="48" t="s">
        <v>60</v>
      </c>
      <c r="B15" s="49">
        <v>335048.8</v>
      </c>
      <c r="C15" s="49">
        <v>13416.4769</v>
      </c>
      <c r="D15" s="116">
        <f t="shared" si="0"/>
        <v>348465.2769</v>
      </c>
    </row>
    <row r="16" spans="1:7" x14ac:dyDescent="0.2">
      <c r="A16" s="45" t="s">
        <v>61</v>
      </c>
      <c r="B16" s="46">
        <v>159325.20000000001</v>
      </c>
      <c r="C16" s="46">
        <v>6567.6713</v>
      </c>
      <c r="D16" s="115">
        <f t="shared" si="0"/>
        <v>165892.8713</v>
      </c>
    </row>
    <row r="17" spans="1:4" x14ac:dyDescent="0.2">
      <c r="A17" s="48" t="s">
        <v>62</v>
      </c>
      <c r="B17" s="49">
        <v>2166666.1</v>
      </c>
      <c r="C17" s="49">
        <v>1230448.4872999999</v>
      </c>
      <c r="D17" s="116">
        <f t="shared" si="0"/>
        <v>3397114.5872999998</v>
      </c>
    </row>
    <row r="18" spans="1:4" x14ac:dyDescent="0.2">
      <c r="A18" s="45" t="s">
        <v>63</v>
      </c>
      <c r="B18" s="46">
        <v>1535972.4</v>
      </c>
      <c r="C18" s="46">
        <v>404266.94780000002</v>
      </c>
      <c r="D18" s="115">
        <f t="shared" si="0"/>
        <v>1940239.3477999999</v>
      </c>
    </row>
    <row r="19" spans="1:4" x14ac:dyDescent="0.2">
      <c r="A19" s="48" t="s">
        <v>64</v>
      </c>
      <c r="B19" s="49">
        <v>1174094.5</v>
      </c>
      <c r="C19" s="49">
        <v>15998.415000000001</v>
      </c>
      <c r="D19" s="116">
        <f t="shared" si="0"/>
        <v>1190092.915</v>
      </c>
    </row>
    <row r="20" spans="1:4" x14ac:dyDescent="0.2">
      <c r="A20" s="45" t="s">
        <v>65</v>
      </c>
      <c r="B20" s="46">
        <v>1374348.6</v>
      </c>
      <c r="C20" s="46">
        <v>1277059.6935000001</v>
      </c>
      <c r="D20" s="115">
        <f t="shared" si="0"/>
        <v>2651408.2935000001</v>
      </c>
    </row>
    <row r="21" spans="1:4" x14ac:dyDescent="0.2">
      <c r="A21" s="48" t="s">
        <v>66</v>
      </c>
      <c r="B21" s="49">
        <v>1145633.1000000001</v>
      </c>
      <c r="C21" s="49">
        <v>155260.3321</v>
      </c>
      <c r="D21" s="116">
        <f t="shared" si="0"/>
        <v>1300893.4321000001</v>
      </c>
    </row>
    <row r="22" spans="1:4" x14ac:dyDescent="0.2">
      <c r="A22" s="45" t="s">
        <v>67</v>
      </c>
      <c r="B22" s="46">
        <v>733965.8</v>
      </c>
      <c r="C22" s="46">
        <v>149965.98000000001</v>
      </c>
      <c r="D22" s="115">
        <f t="shared" si="0"/>
        <v>883931.78</v>
      </c>
    </row>
    <row r="23" spans="1:4" x14ac:dyDescent="0.2">
      <c r="A23" s="48" t="s">
        <v>68</v>
      </c>
      <c r="B23" s="49">
        <v>308400.5</v>
      </c>
      <c r="C23" s="49">
        <v>2391.8368999999998</v>
      </c>
      <c r="D23" s="116">
        <f t="shared" si="0"/>
        <v>310792.33689999999</v>
      </c>
    </row>
    <row r="24" spans="1:4" x14ac:dyDescent="0.2">
      <c r="A24" s="45" t="s">
        <v>69</v>
      </c>
      <c r="B24" s="46">
        <v>73971.7</v>
      </c>
      <c r="C24" s="46">
        <v>12292.3765</v>
      </c>
      <c r="D24" s="115">
        <f t="shared" si="0"/>
        <v>86264.076499999996</v>
      </c>
    </row>
    <row r="25" spans="1:4" x14ac:dyDescent="0.2">
      <c r="A25" s="48" t="s">
        <v>70</v>
      </c>
      <c r="B25" s="49">
        <v>2895746.4</v>
      </c>
      <c r="C25" s="49">
        <v>204100.92600000001</v>
      </c>
      <c r="D25" s="116">
        <f t="shared" si="0"/>
        <v>3099847.3259999999</v>
      </c>
    </row>
    <row r="26" spans="1:4" x14ac:dyDescent="0.2">
      <c r="A26" s="45" t="s">
        <v>71</v>
      </c>
      <c r="B26" s="46">
        <v>773205.6</v>
      </c>
      <c r="C26" s="46">
        <v>29444.887599999998</v>
      </c>
      <c r="D26" s="115">
        <f t="shared" si="0"/>
        <v>802650.48759999999</v>
      </c>
    </row>
    <row r="27" spans="1:4" x14ac:dyDescent="0.2">
      <c r="A27" s="48" t="s">
        <v>72</v>
      </c>
      <c r="B27" s="49">
        <v>3878392.9</v>
      </c>
      <c r="C27" s="49">
        <v>22085.767899999999</v>
      </c>
      <c r="D27" s="116">
        <f t="shared" si="0"/>
        <v>3900478.6678999998</v>
      </c>
    </row>
    <row r="28" spans="1:4" x14ac:dyDescent="0.2">
      <c r="A28" s="45" t="s">
        <v>73</v>
      </c>
      <c r="B28" s="46">
        <v>1243932.3</v>
      </c>
      <c r="C28" s="46">
        <v>12606.894</v>
      </c>
      <c r="D28" s="115">
        <f t="shared" si="0"/>
        <v>1256539.1940000001</v>
      </c>
    </row>
    <row r="29" spans="1:4" x14ac:dyDescent="0.2">
      <c r="A29" s="48" t="s">
        <v>74</v>
      </c>
      <c r="B29" s="49">
        <v>2230496.5</v>
      </c>
      <c r="C29" s="49">
        <v>73914.905400000003</v>
      </c>
      <c r="D29" s="116">
        <f t="shared" si="0"/>
        <v>2304411.4054</v>
      </c>
    </row>
    <row r="30" spans="1:4" x14ac:dyDescent="0.2">
      <c r="A30" s="45" t="s">
        <v>75</v>
      </c>
      <c r="B30" s="46">
        <v>3667881.1</v>
      </c>
      <c r="C30" s="46">
        <v>2149064.8879999998</v>
      </c>
      <c r="D30" s="115">
        <f t="shared" si="0"/>
        <v>5816945.9879999999</v>
      </c>
    </row>
    <row r="31" spans="1:4" x14ac:dyDescent="0.2">
      <c r="A31" s="48" t="s">
        <v>76</v>
      </c>
      <c r="B31" s="49">
        <v>1158117.1000000001</v>
      </c>
      <c r="C31" s="49">
        <v>12491.278200000001</v>
      </c>
      <c r="D31" s="116">
        <f t="shared" si="0"/>
        <v>1170608.3782000002</v>
      </c>
    </row>
    <row r="32" spans="1:4" x14ac:dyDescent="0.2">
      <c r="A32" s="45" t="s">
        <v>77</v>
      </c>
      <c r="B32" s="46">
        <v>845042.4</v>
      </c>
      <c r="C32" s="46">
        <v>1083458.2825</v>
      </c>
      <c r="D32" s="115">
        <f t="shared" si="0"/>
        <v>1928500.6825000001</v>
      </c>
    </row>
    <row r="33" spans="1:6" x14ac:dyDescent="0.2">
      <c r="A33" s="48" t="s">
        <v>78</v>
      </c>
      <c r="B33" s="49">
        <v>4223663.7</v>
      </c>
      <c r="C33" s="49">
        <v>1260041.1569999999</v>
      </c>
      <c r="D33" s="116">
        <f t="shared" si="0"/>
        <v>5483704.8569999998</v>
      </c>
    </row>
    <row r="34" spans="1:6" x14ac:dyDescent="0.2">
      <c r="A34" s="119" t="s">
        <v>79</v>
      </c>
      <c r="B34" s="46">
        <v>372640.4</v>
      </c>
      <c r="C34" s="46">
        <v>12119.038399999999</v>
      </c>
      <c r="D34" s="115">
        <f t="shared" si="0"/>
        <v>384759.43840000004</v>
      </c>
    </row>
    <row r="35" spans="1:6" s="51" customFormat="1" x14ac:dyDescent="0.2">
      <c r="A35" s="53" t="s">
        <v>80</v>
      </c>
      <c r="B35" s="120">
        <f>SUM(B9:B34)</f>
        <v>49367693.700000003</v>
      </c>
      <c r="C35" s="120">
        <f>SUM(C9:C34)</f>
        <v>9060236.2129999995</v>
      </c>
      <c r="D35" s="55">
        <f>SUM(D9:D34)</f>
        <v>58427929.913000003</v>
      </c>
      <c r="F35" s="1"/>
    </row>
  </sheetData>
  <conditionalFormatting sqref="G9:G12 B6:C34 A6">
    <cfRule type="expression" dxfId="10" priority="1" stopIfTrue="1">
      <formula>ISBLANK(A1073741823)</formula>
    </cfRule>
  </conditionalFormatting>
  <conditionalFormatting sqref="G9:G12">
    <cfRule type="expression" dxfId="9" priority="2" stopIfTrue="1">
      <formula>ISBLANK(G9)</formula>
    </cfRule>
  </conditionalFormatting>
  <conditionalFormatting sqref="B9:C34">
    <cfRule type="expression" dxfId="8" priority="3" stopIfTrue="1">
      <formula>ISBLANK(A1073741823)</formula>
    </cfRule>
  </conditionalFormatting>
  <conditionalFormatting sqref="B9:C34">
    <cfRule type="expression" dxfId="7" priority="4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20.140625" style="1" customWidth="1"/>
    <col min="3" max="5" width="14.28515625" style="1" customWidth="1"/>
    <col min="6" max="6" width="21.5703125" style="1" customWidth="1"/>
    <col min="7" max="7" width="22" style="1" customWidth="1"/>
    <col min="8" max="8" width="14" style="1" customWidth="1"/>
    <col min="9" max="9" width="18.85546875" style="1" customWidth="1"/>
  </cols>
  <sheetData>
    <row r="1" spans="1:9" ht="28.5" customHeight="1" x14ac:dyDescent="0.2">
      <c r="B1" s="16" t="str">
        <f>"Tax repartition "&amp;Info!C31</f>
        <v>Tax repartition 2011</v>
      </c>
      <c r="D1" s="17"/>
      <c r="E1" s="18" t="str">
        <f>Info!A4</f>
        <v>Reference year 2017</v>
      </c>
      <c r="I1" s="20" t="str">
        <f>Info!$C$28</f>
        <v>FA_2017_20160519</v>
      </c>
    </row>
    <row r="2" spans="1:9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9" s="1" customFormat="1" x14ac:dyDescent="0.2">
      <c r="A3" s="27"/>
      <c r="B3" s="28" t="s">
        <v>38</v>
      </c>
      <c r="C3" s="29"/>
      <c r="D3" s="29"/>
      <c r="E3" s="29" t="s">
        <v>97</v>
      </c>
      <c r="F3" s="29"/>
      <c r="G3" s="29"/>
      <c r="H3" s="29" t="s">
        <v>98</v>
      </c>
      <c r="I3" s="121" t="s">
        <v>99</v>
      </c>
    </row>
    <row r="4" spans="1:9" ht="40.5" customHeight="1" x14ac:dyDescent="0.2">
      <c r="B4" s="32"/>
      <c r="C4" s="33" t="s">
        <v>100</v>
      </c>
      <c r="D4" s="33" t="s">
        <v>101</v>
      </c>
      <c r="E4" s="33" t="s">
        <v>102</v>
      </c>
      <c r="F4" s="33" t="s">
        <v>103</v>
      </c>
      <c r="G4" s="33" t="s">
        <v>104</v>
      </c>
      <c r="H4" s="33" t="s">
        <v>105</v>
      </c>
      <c r="I4" s="34" t="s">
        <v>106</v>
      </c>
    </row>
    <row r="5" spans="1:9" x14ac:dyDescent="0.2">
      <c r="A5" s="122"/>
      <c r="B5" s="123" t="s">
        <v>48</v>
      </c>
      <c r="C5" s="38" t="s">
        <v>49</v>
      </c>
      <c r="D5" s="38" t="s">
        <v>49</v>
      </c>
      <c r="E5" s="38"/>
      <c r="F5" s="38" t="s">
        <v>49</v>
      </c>
      <c r="G5" s="38" t="s">
        <v>107</v>
      </c>
      <c r="H5" s="38"/>
      <c r="I5" s="85"/>
    </row>
    <row r="6" spans="1:9" s="35" customFormat="1" ht="11.25" customHeight="1" x14ac:dyDescent="0.2">
      <c r="A6" s="36"/>
      <c r="B6" s="37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40"/>
      <c r="I6" s="39" t="s">
        <v>52</v>
      </c>
    </row>
    <row r="7" spans="1:9" x14ac:dyDescent="0.2">
      <c r="B7" s="41" t="s">
        <v>54</v>
      </c>
      <c r="C7" s="42">
        <v>19308.042000000001</v>
      </c>
      <c r="D7" s="42">
        <v>14318.65842</v>
      </c>
      <c r="E7" s="124">
        <f t="shared" ref="E7:E32" si="0">D7-C7</f>
        <v>-4989.3835800000015</v>
      </c>
      <c r="F7" s="42">
        <v>3592700.5364216901</v>
      </c>
      <c r="G7" s="124">
        <f>PI!J7+ITS!C7+LE!D9</f>
        <v>49948263.034717605</v>
      </c>
      <c r="H7" s="125">
        <f t="shared" ref="H7:H33" si="1">G7/F7</f>
        <v>13.90270703844017</v>
      </c>
      <c r="I7" s="126">
        <f t="shared" ref="I7:I32" si="2">E7*H7</f>
        <v>-69365.938215143833</v>
      </c>
    </row>
    <row r="8" spans="1:9" x14ac:dyDescent="0.2">
      <c r="B8" s="45" t="s">
        <v>55</v>
      </c>
      <c r="C8" s="46">
        <v>6880.143</v>
      </c>
      <c r="D8" s="46">
        <v>5031.8089099999997</v>
      </c>
      <c r="E8" s="127">
        <f t="shared" si="0"/>
        <v>-1848.3340900000003</v>
      </c>
      <c r="F8" s="46">
        <v>1204991.5951807201</v>
      </c>
      <c r="G8" s="127">
        <f>PI!J8+ITS!C8+LE!D10</f>
        <v>20889907.182235807</v>
      </c>
      <c r="H8" s="128">
        <f t="shared" si="1"/>
        <v>17.336143476671154</v>
      </c>
      <c r="I8" s="129">
        <f t="shared" si="2"/>
        <v>-32042.984977062417</v>
      </c>
    </row>
    <row r="9" spans="1:9" x14ac:dyDescent="0.2">
      <c r="B9" s="48" t="s">
        <v>56</v>
      </c>
      <c r="C9" s="49">
        <v>3565.7689999999998</v>
      </c>
      <c r="D9" s="49">
        <v>2723.74406</v>
      </c>
      <c r="E9" s="130">
        <f t="shared" si="0"/>
        <v>-842.02493999999979</v>
      </c>
      <c r="F9" s="49">
        <v>558451.43246987998</v>
      </c>
      <c r="G9" s="130">
        <f>PI!J9+ITS!C9+LE!D11</f>
        <v>8912124.5673480425</v>
      </c>
      <c r="H9" s="131">
        <f t="shared" si="1"/>
        <v>15.958638565814256</v>
      </c>
      <c r="I9" s="132">
        <f t="shared" si="2"/>
        <v>-13437.571680861432</v>
      </c>
    </row>
    <row r="10" spans="1:9" x14ac:dyDescent="0.2">
      <c r="B10" s="45" t="s">
        <v>57</v>
      </c>
      <c r="C10" s="46">
        <v>153.40504999999999</v>
      </c>
      <c r="D10" s="46">
        <v>307.4169</v>
      </c>
      <c r="E10" s="127">
        <f t="shared" si="0"/>
        <v>154.01185000000001</v>
      </c>
      <c r="F10" s="46">
        <v>33644.259216867496</v>
      </c>
      <c r="G10" s="127">
        <f>PI!J10+ITS!C10+LE!D12</f>
        <v>627541.34963874985</v>
      </c>
      <c r="H10" s="128">
        <f t="shared" si="1"/>
        <v>18.652256410036603</v>
      </c>
      <c r="I10" s="129">
        <f t="shared" si="2"/>
        <v>2872.6685163840962</v>
      </c>
    </row>
    <row r="11" spans="1:9" x14ac:dyDescent="0.2">
      <c r="B11" s="48" t="s">
        <v>58</v>
      </c>
      <c r="C11" s="49">
        <v>1179.5325</v>
      </c>
      <c r="D11" s="49">
        <v>1461.5768</v>
      </c>
      <c r="E11" s="130">
        <f t="shared" si="0"/>
        <v>282.04430000000002</v>
      </c>
      <c r="F11" s="49">
        <v>642359.818554217</v>
      </c>
      <c r="G11" s="130">
        <f>PI!J11+ITS!C11+LE!D13</f>
        <v>7359732.1045613447</v>
      </c>
      <c r="H11" s="131">
        <f t="shared" si="1"/>
        <v>11.45733573610841</v>
      </c>
      <c r="I11" s="132">
        <f t="shared" si="2"/>
        <v>3231.4762375556816</v>
      </c>
    </row>
    <row r="12" spans="1:9" x14ac:dyDescent="0.2">
      <c r="B12" s="45" t="s">
        <v>59</v>
      </c>
      <c r="C12" s="46">
        <v>210.26900000000001</v>
      </c>
      <c r="D12" s="46">
        <v>397.49795</v>
      </c>
      <c r="E12" s="127">
        <f t="shared" si="0"/>
        <v>187.22895</v>
      </c>
      <c r="F12" s="46">
        <v>60735.192168674701</v>
      </c>
      <c r="G12" s="127">
        <f>PI!J12+ITS!C12+LE!D14</f>
        <v>911332.34275874193</v>
      </c>
      <c r="H12" s="128">
        <f t="shared" si="1"/>
        <v>15.005012912905189</v>
      </c>
      <c r="I12" s="129">
        <f t="shared" si="2"/>
        <v>2809.37281241968</v>
      </c>
    </row>
    <row r="13" spans="1:9" x14ac:dyDescent="0.2">
      <c r="B13" s="48" t="s">
        <v>60</v>
      </c>
      <c r="C13" s="49">
        <v>1003.4841</v>
      </c>
      <c r="D13" s="49">
        <v>1270.50325</v>
      </c>
      <c r="E13" s="130">
        <f t="shared" si="0"/>
        <v>267.01914999999997</v>
      </c>
      <c r="F13" s="49">
        <v>109178.254939759</v>
      </c>
      <c r="G13" s="130">
        <f>PI!J13+ITS!C13+LE!D15</f>
        <v>1573266.7103242092</v>
      </c>
      <c r="H13" s="131">
        <f t="shared" si="1"/>
        <v>14.410073793470012</v>
      </c>
      <c r="I13" s="132">
        <f t="shared" si="2"/>
        <v>3847.7656557696378</v>
      </c>
    </row>
    <row r="14" spans="1:9" x14ac:dyDescent="0.2">
      <c r="B14" s="45" t="s">
        <v>61</v>
      </c>
      <c r="C14" s="46">
        <v>175.0693</v>
      </c>
      <c r="D14" s="46">
        <v>449.92619999999999</v>
      </c>
      <c r="E14" s="127">
        <f t="shared" si="0"/>
        <v>274.8569</v>
      </c>
      <c r="F14" s="46">
        <v>39990.662891566302</v>
      </c>
      <c r="G14" s="127">
        <f>PI!J14+ITS!C14+LE!D16</f>
        <v>771082.10567040776</v>
      </c>
      <c r="H14" s="128">
        <f t="shared" si="1"/>
        <v>19.281553490653003</v>
      </c>
      <c r="I14" s="129">
        <f t="shared" si="2"/>
        <v>5299.6680196250636</v>
      </c>
    </row>
    <row r="15" spans="1:9" x14ac:dyDescent="0.2">
      <c r="B15" s="48" t="s">
        <v>62</v>
      </c>
      <c r="C15" s="49">
        <v>2655.8829999999998</v>
      </c>
      <c r="D15" s="49">
        <v>3356.0527000000002</v>
      </c>
      <c r="E15" s="130">
        <f t="shared" si="0"/>
        <v>700.16970000000038</v>
      </c>
      <c r="F15" s="49">
        <v>1413029.9554819299</v>
      </c>
      <c r="G15" s="130">
        <f>PI!J15+ITS!C15+LE!D17</f>
        <v>10366698.834562801</v>
      </c>
      <c r="H15" s="131">
        <f t="shared" si="1"/>
        <v>7.3365032314740422</v>
      </c>
      <c r="I15" s="132">
        <f t="shared" si="2"/>
        <v>5136.797266630213</v>
      </c>
    </row>
    <row r="16" spans="1:9" x14ac:dyDescent="0.2">
      <c r="B16" s="45" t="s">
        <v>63</v>
      </c>
      <c r="C16" s="46">
        <v>4345.3969999999999</v>
      </c>
      <c r="D16" s="46">
        <v>1189.2781500000001</v>
      </c>
      <c r="E16" s="127">
        <f t="shared" si="0"/>
        <v>-3156.1188499999998</v>
      </c>
      <c r="F16" s="46">
        <v>462950.785795181</v>
      </c>
      <c r="G16" s="127">
        <f>PI!J16+ITS!C16+LE!D18</f>
        <v>6730280.529365343</v>
      </c>
      <c r="H16" s="128">
        <f t="shared" si="1"/>
        <v>14.537788326258417</v>
      </c>
      <c r="I16" s="129">
        <f t="shared" si="2"/>
        <v>-45882.987773814137</v>
      </c>
    </row>
    <row r="17" spans="2:9" x14ac:dyDescent="0.2">
      <c r="B17" s="48" t="s">
        <v>64</v>
      </c>
      <c r="C17" s="49">
        <v>2633.6959499999998</v>
      </c>
      <c r="D17" s="49">
        <v>3698.8122199999998</v>
      </c>
      <c r="E17" s="130">
        <f t="shared" si="0"/>
        <v>1065.11627</v>
      </c>
      <c r="F17" s="49">
        <v>365581.586650602</v>
      </c>
      <c r="G17" s="130">
        <f>PI!J17+ITS!C17+LE!D19</f>
        <v>5805625.0485512512</v>
      </c>
      <c r="H17" s="131">
        <f t="shared" si="1"/>
        <v>15.880518222324673</v>
      </c>
      <c r="I17" s="132">
        <f t="shared" si="2"/>
        <v>16914.598334629485</v>
      </c>
    </row>
    <row r="18" spans="2:9" x14ac:dyDescent="0.2">
      <c r="B18" s="45" t="s">
        <v>65</v>
      </c>
      <c r="C18" s="46">
        <v>10049.90755</v>
      </c>
      <c r="D18" s="46">
        <v>4216.4026400000002</v>
      </c>
      <c r="E18" s="127">
        <f t="shared" si="0"/>
        <v>-5833.5049099999997</v>
      </c>
      <c r="F18" s="46">
        <v>981531.39366265002</v>
      </c>
      <c r="G18" s="127">
        <f>PI!J18+ITS!C18+LE!D20</f>
        <v>7788230.0282493271</v>
      </c>
      <c r="H18" s="128">
        <f t="shared" si="1"/>
        <v>7.9347742502529908</v>
      </c>
      <c r="I18" s="129">
        <f t="shared" si="2"/>
        <v>-46287.544548592385</v>
      </c>
    </row>
    <row r="19" spans="2:9" x14ac:dyDescent="0.2">
      <c r="B19" s="48" t="s">
        <v>66</v>
      </c>
      <c r="C19" s="49">
        <v>6050.665</v>
      </c>
      <c r="D19" s="49">
        <v>2942.7635500000001</v>
      </c>
      <c r="E19" s="130">
        <f t="shared" si="0"/>
        <v>-3107.9014499999998</v>
      </c>
      <c r="F19" s="49">
        <v>585120.48192771105</v>
      </c>
      <c r="G19" s="130">
        <f>PI!J19+ITS!C19+LE!D21</f>
        <v>7962290.8433398334</v>
      </c>
      <c r="H19" s="131">
        <f t="shared" si="1"/>
        <v>13.607950993456315</v>
      </c>
      <c r="I19" s="132">
        <f t="shared" si="2"/>
        <v>-42292.170624091821</v>
      </c>
    </row>
    <row r="20" spans="2:9" x14ac:dyDescent="0.2">
      <c r="B20" s="45" t="s">
        <v>67</v>
      </c>
      <c r="C20" s="46">
        <v>510.3664</v>
      </c>
      <c r="D20" s="46">
        <v>507.52404999999999</v>
      </c>
      <c r="E20" s="127">
        <f t="shared" si="0"/>
        <v>-2.8423500000000104</v>
      </c>
      <c r="F20" s="46">
        <v>182034.702891566</v>
      </c>
      <c r="G20" s="127">
        <f>PI!J20+ITS!C20+LE!D22</f>
        <v>2280105.060029069</v>
      </c>
      <c r="H20" s="128">
        <f t="shared" si="1"/>
        <v>12.52566144702242</v>
      </c>
      <c r="I20" s="129">
        <f t="shared" si="2"/>
        <v>-35.602313813944306</v>
      </c>
    </row>
    <row r="21" spans="2:9" x14ac:dyDescent="0.2">
      <c r="B21" s="48" t="s">
        <v>68</v>
      </c>
      <c r="C21" s="49">
        <v>644.9896</v>
      </c>
      <c r="D21" s="49">
        <v>279.137</v>
      </c>
      <c r="E21" s="130">
        <f t="shared" si="0"/>
        <v>-365.8526</v>
      </c>
      <c r="F21" s="49">
        <v>85119.487999999998</v>
      </c>
      <c r="G21" s="130">
        <f>PI!J21+ITS!C21+LE!D23</f>
        <v>1262037.0425813782</v>
      </c>
      <c r="H21" s="131">
        <f t="shared" si="1"/>
        <v>14.826652183121428</v>
      </c>
      <c r="I21" s="132">
        <f t="shared" si="2"/>
        <v>-5424.3692504906503</v>
      </c>
    </row>
    <row r="22" spans="2:9" x14ac:dyDescent="0.2">
      <c r="B22" s="45" t="s">
        <v>69</v>
      </c>
      <c r="C22" s="46">
        <v>9.0820000000000007</v>
      </c>
      <c r="D22" s="46">
        <v>84.972049999999996</v>
      </c>
      <c r="E22" s="127">
        <f t="shared" si="0"/>
        <v>75.890050000000002</v>
      </c>
      <c r="F22" s="46">
        <v>26498.0896987952</v>
      </c>
      <c r="G22" s="127">
        <f>PI!J22+ITS!C22+LE!D24</f>
        <v>371722.45864067425</v>
      </c>
      <c r="H22" s="128">
        <f t="shared" si="1"/>
        <v>14.028273844116978</v>
      </c>
      <c r="I22" s="129">
        <f t="shared" si="2"/>
        <v>1064.6064034437297</v>
      </c>
    </row>
    <row r="23" spans="2:9" x14ac:dyDescent="0.2">
      <c r="B23" s="48" t="s">
        <v>70</v>
      </c>
      <c r="C23" s="49">
        <v>1755.65175</v>
      </c>
      <c r="D23" s="49">
        <v>3775.0102200000001</v>
      </c>
      <c r="E23" s="130">
        <f t="shared" si="0"/>
        <v>2019.3584700000001</v>
      </c>
      <c r="F23" s="49">
        <v>666743.38163855404</v>
      </c>
      <c r="G23" s="130">
        <f>PI!J23+ITS!C23+LE!D25</f>
        <v>11044591.955969071</v>
      </c>
      <c r="H23" s="131">
        <f t="shared" si="1"/>
        <v>16.564981760788466</v>
      </c>
      <c r="I23" s="132">
        <f t="shared" si="2"/>
        <v>33450.636224043708</v>
      </c>
    </row>
    <row r="24" spans="2:9" x14ac:dyDescent="0.2">
      <c r="B24" s="45" t="s">
        <v>71</v>
      </c>
      <c r="C24" s="46">
        <v>682.43899999999996</v>
      </c>
      <c r="D24" s="46">
        <v>3711.5008499999999</v>
      </c>
      <c r="E24" s="127">
        <f t="shared" si="0"/>
        <v>3029.06185</v>
      </c>
      <c r="F24" s="46">
        <v>274379.40274698799</v>
      </c>
      <c r="G24" s="127">
        <f>PI!J24+ITS!C24+LE!D26</f>
        <v>4436191.1937421244</v>
      </c>
      <c r="H24" s="128">
        <f t="shared" si="1"/>
        <v>16.168091151626442</v>
      </c>
      <c r="I24" s="129">
        <f t="shared" si="2"/>
        <v>48974.148094714219</v>
      </c>
    </row>
    <row r="25" spans="2:9" x14ac:dyDescent="0.2">
      <c r="B25" s="48" t="s">
        <v>72</v>
      </c>
      <c r="C25" s="49">
        <v>2854.3396499999999</v>
      </c>
      <c r="D25" s="49">
        <v>7747.2615500000002</v>
      </c>
      <c r="E25" s="130">
        <f t="shared" si="0"/>
        <v>4892.9219000000003</v>
      </c>
      <c r="F25" s="49">
        <v>914683.81680722896</v>
      </c>
      <c r="G25" s="130">
        <f>PI!J25+ITS!C25+LE!D27</f>
        <v>16059532.855446737</v>
      </c>
      <c r="H25" s="131">
        <f t="shared" si="1"/>
        <v>17.557469106104573</v>
      </c>
      <c r="I25" s="132">
        <f t="shared" si="2"/>
        <v>85907.325097832494</v>
      </c>
    </row>
    <row r="26" spans="2:9" x14ac:dyDescent="0.2">
      <c r="B26" s="45" t="s">
        <v>73</v>
      </c>
      <c r="C26" s="46">
        <v>2389.9740000000002</v>
      </c>
      <c r="D26" s="46">
        <v>1007.4538</v>
      </c>
      <c r="E26" s="127">
        <f t="shared" si="0"/>
        <v>-1382.5202000000002</v>
      </c>
      <c r="F26" s="46">
        <v>319011.189759036</v>
      </c>
      <c r="G26" s="127">
        <f>PI!J26+ITS!C26+LE!D28</f>
        <v>5660320.5839090925</v>
      </c>
      <c r="H26" s="128">
        <f t="shared" si="1"/>
        <v>17.743329280031197</v>
      </c>
      <c r="I26" s="129">
        <f t="shared" si="2"/>
        <v>-24530.51114489459</v>
      </c>
    </row>
    <row r="27" spans="2:9" x14ac:dyDescent="0.2">
      <c r="B27" s="48" t="s">
        <v>74</v>
      </c>
      <c r="C27" s="49">
        <v>1463.9449999999999</v>
      </c>
      <c r="D27" s="49">
        <v>3775.0192000000002</v>
      </c>
      <c r="E27" s="130">
        <f t="shared" si="0"/>
        <v>2311.0742</v>
      </c>
      <c r="F27" s="49">
        <v>658057.53844578296</v>
      </c>
      <c r="G27" s="130">
        <f>PI!J27+ITS!C27+LE!D29</f>
        <v>9344948.9842424691</v>
      </c>
      <c r="H27" s="131">
        <f t="shared" si="1"/>
        <v>14.200808346202685</v>
      </c>
      <c r="I27" s="132">
        <f t="shared" si="2"/>
        <v>32819.121788053693</v>
      </c>
    </row>
    <row r="28" spans="2:9" x14ac:dyDescent="0.2">
      <c r="B28" s="45" t="s">
        <v>75</v>
      </c>
      <c r="C28" s="46">
        <v>11083.59965</v>
      </c>
      <c r="D28" s="46">
        <v>10768.36299</v>
      </c>
      <c r="E28" s="127">
        <f t="shared" si="0"/>
        <v>-315.23666000000048</v>
      </c>
      <c r="F28" s="46">
        <v>1846034.622</v>
      </c>
      <c r="G28" s="127">
        <f>PI!J28+ITS!C28+LE!D30</f>
        <v>22321171.379472978</v>
      </c>
      <c r="H28" s="128">
        <f t="shared" si="1"/>
        <v>12.091415357795483</v>
      </c>
      <c r="I28" s="129">
        <f t="shared" si="2"/>
        <v>-3811.657392064159</v>
      </c>
    </row>
    <row r="29" spans="2:9" x14ac:dyDescent="0.2">
      <c r="B29" s="48" t="s">
        <v>76</v>
      </c>
      <c r="C29" s="49">
        <v>269.89</v>
      </c>
      <c r="D29" s="49">
        <v>2242.56756</v>
      </c>
      <c r="E29" s="130">
        <f t="shared" si="0"/>
        <v>1972.6775600000001</v>
      </c>
      <c r="F29" s="49">
        <v>365479.02316867502</v>
      </c>
      <c r="G29" s="130">
        <f>PI!J29+ITS!C29+LE!D31</f>
        <v>6162581.5541774919</v>
      </c>
      <c r="H29" s="131">
        <f t="shared" si="1"/>
        <v>16.861655973435585</v>
      </c>
      <c r="I29" s="132">
        <f t="shared" si="2"/>
        <v>33262.610363236337</v>
      </c>
    </row>
    <row r="30" spans="2:9" x14ac:dyDescent="0.2">
      <c r="B30" s="45" t="s">
        <v>77</v>
      </c>
      <c r="C30" s="46">
        <v>4267.4740000000002</v>
      </c>
      <c r="D30" s="46">
        <v>4714.8715899999997</v>
      </c>
      <c r="E30" s="127">
        <f t="shared" si="0"/>
        <v>447.39758999999958</v>
      </c>
      <c r="F30" s="46">
        <v>297038.63357831299</v>
      </c>
      <c r="G30" s="127">
        <f>PI!J30+ITS!C30+LE!D32</f>
        <v>4853201.2530370336</v>
      </c>
      <c r="H30" s="128">
        <f t="shared" si="1"/>
        <v>16.338619642072612</v>
      </c>
      <c r="I30" s="129">
        <f t="shared" si="2"/>
        <v>7309.859051789942</v>
      </c>
    </row>
    <row r="31" spans="2:9" x14ac:dyDescent="0.2">
      <c r="B31" s="48" t="s">
        <v>78</v>
      </c>
      <c r="C31" s="49">
        <v>5365.9473600000001</v>
      </c>
      <c r="D31" s="49">
        <v>9358.7622499999998</v>
      </c>
      <c r="E31" s="130">
        <f t="shared" si="0"/>
        <v>3992.8148899999997</v>
      </c>
      <c r="F31" s="49">
        <v>2298604.7043253002</v>
      </c>
      <c r="G31" s="130">
        <f>PI!J31+ITS!C31+LE!D33</f>
        <v>19732424.731776409</v>
      </c>
      <c r="H31" s="131">
        <f t="shared" si="1"/>
        <v>8.584522904110381</v>
      </c>
      <c r="I31" s="132">
        <f t="shared" si="2"/>
        <v>34276.410875077971</v>
      </c>
    </row>
    <row r="32" spans="2:9" x14ac:dyDescent="0.2">
      <c r="B32" s="45" t="s">
        <v>79</v>
      </c>
      <c r="C32" s="46">
        <v>231.55375000000001</v>
      </c>
      <c r="D32" s="46">
        <v>403.62975</v>
      </c>
      <c r="E32" s="127">
        <f t="shared" si="0"/>
        <v>172.07599999999999</v>
      </c>
      <c r="F32" s="46">
        <v>77198.137168674701</v>
      </c>
      <c r="G32" s="127">
        <f>PI!J32+ITS!C32+LE!D34</f>
        <v>1361381.0297212373</v>
      </c>
      <c r="H32" s="128">
        <f t="shared" si="1"/>
        <v>17.634894825851518</v>
      </c>
      <c r="I32" s="129">
        <f t="shared" si="2"/>
        <v>3034.5421620532256</v>
      </c>
    </row>
    <row r="33" spans="1:9" s="51" customFormat="1" x14ac:dyDescent="0.2">
      <c r="A33" s="52"/>
      <c r="B33" s="53" t="s">
        <v>80</v>
      </c>
      <c r="C33" s="54">
        <f>SUM(C7:C32)</f>
        <v>89740.514610000027</v>
      </c>
      <c r="D33" s="54">
        <f>SUM(D7:D32)</f>
        <v>89740.514609999984</v>
      </c>
      <c r="E33" s="54">
        <f>SUM(E7:E32)</f>
        <v>2.7000623958883807E-12</v>
      </c>
      <c r="F33" s="54">
        <f>SUM(F7:F32)</f>
        <v>18061148.685590368</v>
      </c>
      <c r="G33" s="54">
        <f>SUM(G7:G32)</f>
        <v>234536584.76406923</v>
      </c>
      <c r="H33" s="133">
        <f t="shared" si="1"/>
        <v>12.985695918177582</v>
      </c>
      <c r="I33" s="55">
        <f>SUM(I7:I32)</f>
        <v>37100.26898242977</v>
      </c>
    </row>
  </sheetData>
  <conditionalFormatting sqref="G7:I32 E7:E32">
    <cfRule type="expression" dxfId="6" priority="1" stopIfTrue="1">
      <formula>ISBLANK(E7)</formula>
    </cfRule>
  </conditionalFormatting>
  <conditionalFormatting sqref="C7:D32 F7:F32">
    <cfRule type="expression" dxfId="5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>
    <oddHeader>&amp;L&amp;F&amp;R&amp;A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15" customWidth="1"/>
    <col min="2" max="2" width="15.28515625" style="1" customWidth="1"/>
    <col min="3" max="3" width="18.42578125" style="1" customWidth="1"/>
    <col min="4" max="4" width="20" style="1" customWidth="1"/>
    <col min="5" max="5" width="17.28515625" style="1" customWidth="1"/>
    <col min="6" max="7" width="18.5703125" style="1" customWidth="1"/>
    <col min="8" max="8" width="19.42578125" style="1" customWidth="1"/>
  </cols>
  <sheetData>
    <row r="1" spans="1:10" s="1" customFormat="1" ht="30" customHeight="1" x14ac:dyDescent="0.2">
      <c r="A1" s="15"/>
      <c r="B1" s="134" t="str">
        <f>"Total ATB "&amp;Info!C31</f>
        <v>Total ATB 2011</v>
      </c>
      <c r="C1" s="134"/>
      <c r="D1" s="135" t="str">
        <f>Info!A4</f>
        <v>Reference year 2017</v>
      </c>
      <c r="E1" s="135"/>
      <c r="H1" s="20" t="str">
        <f>Info!$C$28</f>
        <v>FA_2017_20160519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5" t="s">
        <v>35</v>
      </c>
    </row>
    <row r="3" spans="1:10" x14ac:dyDescent="0.2">
      <c r="A3" s="27"/>
      <c r="B3" s="28" t="s">
        <v>38</v>
      </c>
      <c r="C3" s="29"/>
      <c r="D3" s="29"/>
      <c r="E3" s="29"/>
      <c r="F3" s="29"/>
      <c r="G3" s="29"/>
      <c r="H3" s="31" t="s">
        <v>108</v>
      </c>
    </row>
    <row r="4" spans="1:10" ht="30" customHeight="1" x14ac:dyDescent="0.2">
      <c r="A4" s="58"/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4" t="s">
        <v>110</v>
      </c>
    </row>
    <row r="5" spans="1:10" s="35" customFormat="1" ht="11.25" customHeight="1" x14ac:dyDescent="0.2">
      <c r="A5" s="36"/>
      <c r="B5" s="37" t="s">
        <v>111</v>
      </c>
      <c r="C5" s="38">
        <f>Info!$C$31</f>
        <v>2011</v>
      </c>
      <c r="D5" s="38">
        <f>Info!$C$31</f>
        <v>2011</v>
      </c>
      <c r="E5" s="38">
        <f>Info!$C$31</f>
        <v>2011</v>
      </c>
      <c r="F5" s="136">
        <f>Info!$C$31</f>
        <v>2011</v>
      </c>
      <c r="G5" s="38">
        <f>Info!$C$31</f>
        <v>2011</v>
      </c>
      <c r="H5" s="85">
        <f>Info!$C$31</f>
        <v>2011</v>
      </c>
    </row>
    <row r="6" spans="1:10" s="35" customFormat="1" ht="11.25" customHeight="1" x14ac:dyDescent="0.2">
      <c r="A6" s="36"/>
      <c r="B6" s="86" t="s">
        <v>51</v>
      </c>
      <c r="C6" s="40" t="s">
        <v>52</v>
      </c>
      <c r="D6" s="40" t="s">
        <v>52</v>
      </c>
      <c r="E6" s="40" t="s">
        <v>52</v>
      </c>
      <c r="F6" s="40" t="s">
        <v>52</v>
      </c>
      <c r="G6" s="40" t="s">
        <v>52</v>
      </c>
      <c r="H6" s="39" t="s">
        <v>52</v>
      </c>
    </row>
    <row r="7" spans="1:10" x14ac:dyDescent="0.2">
      <c r="B7" s="41" t="s">
        <v>54</v>
      </c>
      <c r="C7" s="124">
        <f>PI!J7</f>
        <v>36444289.200000003</v>
      </c>
      <c r="D7" s="124">
        <f>ITS!C7</f>
        <v>1891254.2744175999</v>
      </c>
      <c r="E7" s="124">
        <f>Wealth!D9</f>
        <v>5254371.4050000003</v>
      </c>
      <c r="F7" s="137">
        <f>LE!D9</f>
        <v>11612719.5603</v>
      </c>
      <c r="G7" s="124">
        <f>REPART!I7</f>
        <v>-69365.938215143833</v>
      </c>
      <c r="H7" s="126">
        <f t="shared" ref="H7:H32" si="0">SUM(C7:G7)</f>
        <v>55133268.501502462</v>
      </c>
      <c r="J7" s="138"/>
    </row>
    <row r="8" spans="1:10" x14ac:dyDescent="0.2">
      <c r="B8" s="45" t="s">
        <v>55</v>
      </c>
      <c r="C8" s="127">
        <f>PI!J8</f>
        <v>15571543.899999999</v>
      </c>
      <c r="D8" s="127">
        <f>ITS!C8</f>
        <v>606658.48983581003</v>
      </c>
      <c r="E8" s="127">
        <f>Wealth!D10</f>
        <v>2150379.3624900002</v>
      </c>
      <c r="F8" s="139">
        <f>LE!D10</f>
        <v>4711704.7923999997</v>
      </c>
      <c r="G8" s="127">
        <f>REPART!I8</f>
        <v>-32042.984977062417</v>
      </c>
      <c r="H8" s="129">
        <f t="shared" si="0"/>
        <v>23008243.559748746</v>
      </c>
      <c r="J8" s="138"/>
    </row>
    <row r="9" spans="1:10" x14ac:dyDescent="0.2">
      <c r="B9" s="48" t="s">
        <v>56</v>
      </c>
      <c r="C9" s="130">
        <f>PI!J9</f>
        <v>6479996.8000000007</v>
      </c>
      <c r="D9" s="130">
        <f>ITS!C9</f>
        <v>259977.49274804199</v>
      </c>
      <c r="E9" s="130">
        <f>Wealth!D11</f>
        <v>941661.77361000003</v>
      </c>
      <c r="F9" s="140">
        <f>LE!D11</f>
        <v>2172150.2746000001</v>
      </c>
      <c r="G9" s="130">
        <f>REPART!I9</f>
        <v>-13437.571680861432</v>
      </c>
      <c r="H9" s="132">
        <f t="shared" si="0"/>
        <v>9840348.7692771833</v>
      </c>
      <c r="J9" s="138"/>
    </row>
    <row r="10" spans="1:10" x14ac:dyDescent="0.2">
      <c r="B10" s="45" t="s">
        <v>57</v>
      </c>
      <c r="C10" s="127">
        <f>PI!J10</f>
        <v>452188.39999999991</v>
      </c>
      <c r="D10" s="127">
        <f>ITS!C10</f>
        <v>28068.967838749999</v>
      </c>
      <c r="E10" s="127">
        <f>Wealth!D12</f>
        <v>83285.187120000002</v>
      </c>
      <c r="F10" s="139">
        <f>LE!D12</f>
        <v>147283.98180000001</v>
      </c>
      <c r="G10" s="127">
        <f>REPART!I10</f>
        <v>2872.6685163840962</v>
      </c>
      <c r="H10" s="129">
        <f t="shared" si="0"/>
        <v>713699.20527513407</v>
      </c>
      <c r="J10" s="138"/>
    </row>
    <row r="11" spans="1:10" x14ac:dyDescent="0.2">
      <c r="B11" s="48" t="s">
        <v>58</v>
      </c>
      <c r="C11" s="130">
        <f>PI!J11</f>
        <v>6110860.7999999998</v>
      </c>
      <c r="D11" s="130">
        <f>ITS!C11</f>
        <v>127666.719161345</v>
      </c>
      <c r="E11" s="130">
        <f>Wealth!D13</f>
        <v>1279165.4282699998</v>
      </c>
      <c r="F11" s="140">
        <f>LE!D13</f>
        <v>1121204.5854</v>
      </c>
      <c r="G11" s="130">
        <f>REPART!I11</f>
        <v>3231.4762375556816</v>
      </c>
      <c r="H11" s="132">
        <f t="shared" si="0"/>
        <v>8642129.0090689007</v>
      </c>
      <c r="J11" s="138"/>
    </row>
    <row r="12" spans="1:10" x14ac:dyDescent="0.2">
      <c r="B12" s="45" t="s">
        <v>59</v>
      </c>
      <c r="C12" s="127">
        <f>PI!J12</f>
        <v>641642.89999999991</v>
      </c>
      <c r="D12" s="127">
        <f>ITS!C12</f>
        <v>30364.066558742099</v>
      </c>
      <c r="E12" s="127">
        <f>Wealth!D14</f>
        <v>118868.57786999999</v>
      </c>
      <c r="F12" s="139">
        <f>LE!D14</f>
        <v>239325.3762</v>
      </c>
      <c r="G12" s="127">
        <f>REPART!I12</f>
        <v>2809.37281241968</v>
      </c>
      <c r="H12" s="129">
        <f t="shared" si="0"/>
        <v>1033010.2934411617</v>
      </c>
      <c r="J12" s="138"/>
    </row>
    <row r="13" spans="1:10" x14ac:dyDescent="0.2">
      <c r="B13" s="48" t="s">
        <v>60</v>
      </c>
      <c r="C13" s="130">
        <f>PI!J13</f>
        <v>1196598.1000000001</v>
      </c>
      <c r="D13" s="130">
        <f>ITS!C13</f>
        <v>28203.3334242091</v>
      </c>
      <c r="E13" s="130">
        <f>Wealth!D15</f>
        <v>359992.188585</v>
      </c>
      <c r="F13" s="140">
        <f>LE!D15</f>
        <v>348465.2769</v>
      </c>
      <c r="G13" s="130">
        <f>REPART!I13</f>
        <v>3847.7656557696378</v>
      </c>
      <c r="H13" s="132">
        <f t="shared" si="0"/>
        <v>1937106.664564979</v>
      </c>
      <c r="J13" s="138"/>
    </row>
    <row r="14" spans="1:10" x14ac:dyDescent="0.2">
      <c r="B14" s="45" t="s">
        <v>61</v>
      </c>
      <c r="C14" s="127">
        <f>PI!J14</f>
        <v>561553.79999999993</v>
      </c>
      <c r="D14" s="127">
        <f>ITS!C14</f>
        <v>43635.434370407798</v>
      </c>
      <c r="E14" s="127">
        <f>Wealth!D16</f>
        <v>93950.072474999994</v>
      </c>
      <c r="F14" s="139">
        <f>LE!D16</f>
        <v>165892.8713</v>
      </c>
      <c r="G14" s="127">
        <f>REPART!I14</f>
        <v>5299.6680196250636</v>
      </c>
      <c r="H14" s="129">
        <f t="shared" si="0"/>
        <v>870331.84616503271</v>
      </c>
      <c r="J14" s="138"/>
    </row>
    <row r="15" spans="1:10" x14ac:dyDescent="0.2">
      <c r="B15" s="48" t="s">
        <v>62</v>
      </c>
      <c r="C15" s="130">
        <f>PI!J15</f>
        <v>6718838.1999999993</v>
      </c>
      <c r="D15" s="130">
        <f>ITS!C15</f>
        <v>250746.04726280199</v>
      </c>
      <c r="E15" s="130">
        <f>Wealth!D17</f>
        <v>779092.24947533244</v>
      </c>
      <c r="F15" s="140">
        <f>LE!D17</f>
        <v>3397114.5872999998</v>
      </c>
      <c r="G15" s="130">
        <f>REPART!I15</f>
        <v>5136.797266630213</v>
      </c>
      <c r="H15" s="132">
        <f t="shared" si="0"/>
        <v>11150927.881304765</v>
      </c>
      <c r="J15" s="138"/>
    </row>
    <row r="16" spans="1:10" x14ac:dyDescent="0.2">
      <c r="B16" s="45" t="s">
        <v>63</v>
      </c>
      <c r="C16" s="127">
        <f>PI!J16</f>
        <v>4570900.3999999994</v>
      </c>
      <c r="D16" s="127">
        <f>ITS!C16</f>
        <v>219140.78156534399</v>
      </c>
      <c r="E16" s="127">
        <f>Wealth!D18</f>
        <v>382126.57129499997</v>
      </c>
      <c r="F16" s="139">
        <f>LE!D18</f>
        <v>1940239.3477999999</v>
      </c>
      <c r="G16" s="127">
        <f>REPART!I16</f>
        <v>-45882.987773814137</v>
      </c>
      <c r="H16" s="129">
        <f t="shared" si="0"/>
        <v>7066524.1128865285</v>
      </c>
      <c r="J16" s="138"/>
    </row>
    <row r="17" spans="2:10" x14ac:dyDescent="0.2">
      <c r="B17" s="48" t="s">
        <v>64</v>
      </c>
      <c r="C17" s="130">
        <f>PI!J17</f>
        <v>4458564.3</v>
      </c>
      <c r="D17" s="130">
        <f>ITS!C17</f>
        <v>156967.83355125101</v>
      </c>
      <c r="E17" s="130">
        <f>Wealth!D19</f>
        <v>310712.97661499999</v>
      </c>
      <c r="F17" s="140">
        <f>LE!D19</f>
        <v>1190092.915</v>
      </c>
      <c r="G17" s="130">
        <f>REPART!I17</f>
        <v>16914.598334629485</v>
      </c>
      <c r="H17" s="132">
        <f t="shared" si="0"/>
        <v>6133252.6235008799</v>
      </c>
      <c r="J17" s="138"/>
    </row>
    <row r="18" spans="2:10" x14ac:dyDescent="0.2">
      <c r="B18" s="45" t="s">
        <v>65</v>
      </c>
      <c r="C18" s="127">
        <f>PI!J18</f>
        <v>4465168.3000000007</v>
      </c>
      <c r="D18" s="127">
        <f>ITS!C18</f>
        <v>671653.43474932597</v>
      </c>
      <c r="E18" s="127">
        <f>Wealth!D20</f>
        <v>676255.16138999991</v>
      </c>
      <c r="F18" s="139">
        <f>LE!D20</f>
        <v>2651408.2935000001</v>
      </c>
      <c r="G18" s="127">
        <f>REPART!I18</f>
        <v>-46287.544548592385</v>
      </c>
      <c r="H18" s="129">
        <f t="shared" si="0"/>
        <v>8418197.6450907346</v>
      </c>
      <c r="J18" s="138"/>
    </row>
    <row r="19" spans="2:10" x14ac:dyDescent="0.2">
      <c r="B19" s="48" t="s">
        <v>66</v>
      </c>
      <c r="C19" s="130">
        <f>PI!J19</f>
        <v>6294538.7000000002</v>
      </c>
      <c r="D19" s="130">
        <f>ITS!C19</f>
        <v>366858.71123983298</v>
      </c>
      <c r="E19" s="130">
        <f>Wealth!D21</f>
        <v>530037.62803500006</v>
      </c>
      <c r="F19" s="140">
        <f>LE!D21</f>
        <v>1300893.4321000001</v>
      </c>
      <c r="G19" s="130">
        <f>REPART!I19</f>
        <v>-42292.170624091821</v>
      </c>
      <c r="H19" s="132">
        <f t="shared" si="0"/>
        <v>8450036.3007507417</v>
      </c>
      <c r="J19" s="138"/>
    </row>
    <row r="20" spans="2:10" x14ac:dyDescent="0.2">
      <c r="B20" s="45" t="s">
        <v>67</v>
      </c>
      <c r="C20" s="127">
        <f>PI!J20</f>
        <v>1237632.2999999998</v>
      </c>
      <c r="D20" s="127">
        <f>ITS!C20</f>
        <v>158540.980029069</v>
      </c>
      <c r="E20" s="127">
        <f>Wealth!D22</f>
        <v>165957.56001000002</v>
      </c>
      <c r="F20" s="139">
        <f>LE!D22</f>
        <v>883931.78</v>
      </c>
      <c r="G20" s="127">
        <f>REPART!I20</f>
        <v>-35.602313813944306</v>
      </c>
      <c r="H20" s="129">
        <f t="shared" si="0"/>
        <v>2446027.0177252553</v>
      </c>
      <c r="J20" s="138"/>
    </row>
    <row r="21" spans="2:10" x14ac:dyDescent="0.2">
      <c r="B21" s="48" t="s">
        <v>68</v>
      </c>
      <c r="C21" s="130">
        <f>PI!J21</f>
        <v>910568.8</v>
      </c>
      <c r="D21" s="130">
        <f>ITS!C21</f>
        <v>40675.905681378201</v>
      </c>
      <c r="E21" s="130">
        <f>Wealth!D23</f>
        <v>173236.29363</v>
      </c>
      <c r="F21" s="140">
        <f>LE!D23</f>
        <v>310792.33689999999</v>
      </c>
      <c r="G21" s="130">
        <f>REPART!I21</f>
        <v>-5424.3692504906503</v>
      </c>
      <c r="H21" s="132">
        <f t="shared" si="0"/>
        <v>1429848.9669608877</v>
      </c>
      <c r="J21" s="138"/>
    </row>
    <row r="22" spans="2:10" x14ac:dyDescent="0.2">
      <c r="B22" s="45" t="s">
        <v>69</v>
      </c>
      <c r="C22" s="127">
        <f>PI!J22</f>
        <v>277451.40000000002</v>
      </c>
      <c r="D22" s="127">
        <f>ITS!C22</f>
        <v>8006.9821406741903</v>
      </c>
      <c r="E22" s="127">
        <f>Wealth!D24</f>
        <v>60351.866430000002</v>
      </c>
      <c r="F22" s="139">
        <f>LE!D24</f>
        <v>86264.076499999996</v>
      </c>
      <c r="G22" s="127">
        <f>REPART!I22</f>
        <v>1064.6064034437297</v>
      </c>
      <c r="H22" s="129">
        <f t="shared" si="0"/>
        <v>433138.93147411791</v>
      </c>
      <c r="J22" s="138"/>
    </row>
    <row r="23" spans="2:10" x14ac:dyDescent="0.2">
      <c r="B23" s="48" t="s">
        <v>70</v>
      </c>
      <c r="C23" s="130">
        <f>PI!J23</f>
        <v>7470497.7000000002</v>
      </c>
      <c r="D23" s="130">
        <f>ITS!C23</f>
        <v>474246.929969071</v>
      </c>
      <c r="E23" s="130">
        <f>Wealth!D25</f>
        <v>1268200.42533</v>
      </c>
      <c r="F23" s="140">
        <f>LE!D25</f>
        <v>3099847.3259999999</v>
      </c>
      <c r="G23" s="130">
        <f>REPART!I23</f>
        <v>33450.636224043708</v>
      </c>
      <c r="H23" s="132">
        <f t="shared" si="0"/>
        <v>12346243.017523116</v>
      </c>
      <c r="J23" s="138"/>
    </row>
    <row r="24" spans="2:10" x14ac:dyDescent="0.2">
      <c r="B24" s="45" t="s">
        <v>71</v>
      </c>
      <c r="C24" s="127">
        <f>PI!J24</f>
        <v>3268764.8</v>
      </c>
      <c r="D24" s="127">
        <f>ITS!C24</f>
        <v>364775.90614212502</v>
      </c>
      <c r="E24" s="127">
        <f>Wealth!D26</f>
        <v>748100.3015399999</v>
      </c>
      <c r="F24" s="139">
        <f>LE!D26</f>
        <v>802650.48759999999</v>
      </c>
      <c r="G24" s="127">
        <f>REPART!I24</f>
        <v>48974.148094714219</v>
      </c>
      <c r="H24" s="129">
        <f t="shared" si="0"/>
        <v>5233265.6433768384</v>
      </c>
      <c r="J24" s="138"/>
    </row>
    <row r="25" spans="2:10" x14ac:dyDescent="0.2">
      <c r="B25" s="48" t="s">
        <v>72</v>
      </c>
      <c r="C25" s="130">
        <f>PI!J25</f>
        <v>11600601</v>
      </c>
      <c r="D25" s="130">
        <f>ITS!C25</f>
        <v>558453.18754673703</v>
      </c>
      <c r="E25" s="130">
        <f>Wealth!D27</f>
        <v>1450535.9331601786</v>
      </c>
      <c r="F25" s="140">
        <f>LE!D27</f>
        <v>3900478.6678999998</v>
      </c>
      <c r="G25" s="130">
        <f>REPART!I25</f>
        <v>85907.325097832494</v>
      </c>
      <c r="H25" s="132">
        <f t="shared" si="0"/>
        <v>17595976.113704748</v>
      </c>
      <c r="J25" s="138"/>
    </row>
    <row r="26" spans="2:10" x14ac:dyDescent="0.2">
      <c r="B26" s="45" t="s">
        <v>73</v>
      </c>
      <c r="C26" s="127">
        <f>PI!J26</f>
        <v>4138551.2</v>
      </c>
      <c r="D26" s="127">
        <f>ITS!C26</f>
        <v>265230.18990909198</v>
      </c>
      <c r="E26" s="127">
        <f>Wealth!D28</f>
        <v>637457.64899999998</v>
      </c>
      <c r="F26" s="139">
        <f>LE!D28</f>
        <v>1256539.1940000001</v>
      </c>
      <c r="G26" s="127">
        <f>REPART!I26</f>
        <v>-24530.51114489459</v>
      </c>
      <c r="H26" s="129">
        <f t="shared" si="0"/>
        <v>6273247.7217641985</v>
      </c>
      <c r="J26" s="138"/>
    </row>
    <row r="27" spans="2:10" x14ac:dyDescent="0.2">
      <c r="B27" s="48" t="s">
        <v>74</v>
      </c>
      <c r="C27" s="130">
        <f>PI!J27</f>
        <v>6188314.0999999996</v>
      </c>
      <c r="D27" s="130">
        <f>ITS!C27</f>
        <v>852223.47884246905</v>
      </c>
      <c r="E27" s="130">
        <f>Wealth!D29</f>
        <v>742110.04427999991</v>
      </c>
      <c r="F27" s="140">
        <f>LE!D29</f>
        <v>2304411.4054</v>
      </c>
      <c r="G27" s="130">
        <f>REPART!I27</f>
        <v>32819.121788053693</v>
      </c>
      <c r="H27" s="132">
        <f t="shared" si="0"/>
        <v>10119878.150310522</v>
      </c>
      <c r="J27" s="138"/>
    </row>
    <row r="28" spans="2:10" x14ac:dyDescent="0.2">
      <c r="B28" s="45" t="s">
        <v>75</v>
      </c>
      <c r="C28" s="127">
        <f>PI!J28</f>
        <v>15287259.899999999</v>
      </c>
      <c r="D28" s="127">
        <f>ITS!C28</f>
        <v>1216965.49147298</v>
      </c>
      <c r="E28" s="127">
        <f>Wealth!D30</f>
        <v>1728822.77868</v>
      </c>
      <c r="F28" s="139">
        <f>LE!D30</f>
        <v>5816945.9879999999</v>
      </c>
      <c r="G28" s="127">
        <f>REPART!I28</f>
        <v>-3811.657392064159</v>
      </c>
      <c r="H28" s="129">
        <f t="shared" si="0"/>
        <v>24046182.500760909</v>
      </c>
      <c r="J28" s="138"/>
    </row>
    <row r="29" spans="2:10" x14ac:dyDescent="0.2">
      <c r="B29" s="48" t="s">
        <v>76</v>
      </c>
      <c r="C29" s="130">
        <f>PI!J29</f>
        <v>4599922.8</v>
      </c>
      <c r="D29" s="130">
        <f>ITS!C29</f>
        <v>392050.37597749202</v>
      </c>
      <c r="E29" s="130">
        <f>Wealth!D31</f>
        <v>595439.48479499994</v>
      </c>
      <c r="F29" s="140">
        <f>LE!D31</f>
        <v>1170608.3782000002</v>
      </c>
      <c r="G29" s="130">
        <f>REPART!I29</f>
        <v>33262.610363236337</v>
      </c>
      <c r="H29" s="132">
        <f t="shared" si="0"/>
        <v>6791283.649335728</v>
      </c>
      <c r="J29" s="138"/>
    </row>
    <row r="30" spans="2:10" x14ac:dyDescent="0.2">
      <c r="B30" s="45" t="s">
        <v>77</v>
      </c>
      <c r="C30" s="127">
        <f>PI!J30</f>
        <v>2693122.2</v>
      </c>
      <c r="D30" s="127">
        <f>ITS!C30</f>
        <v>231578.37053703301</v>
      </c>
      <c r="E30" s="127">
        <f>Wealth!D32</f>
        <v>236837.272845</v>
      </c>
      <c r="F30" s="139">
        <f>LE!D32</f>
        <v>1928500.6825000001</v>
      </c>
      <c r="G30" s="127">
        <f>REPART!I30</f>
        <v>7309.859051789942</v>
      </c>
      <c r="H30" s="129">
        <f t="shared" si="0"/>
        <v>5097348.3849338237</v>
      </c>
      <c r="J30" s="138"/>
    </row>
    <row r="31" spans="2:10" x14ac:dyDescent="0.2">
      <c r="B31" s="48" t="s">
        <v>78</v>
      </c>
      <c r="C31" s="130">
        <f>PI!J31</f>
        <v>11897753.5</v>
      </c>
      <c r="D31" s="130">
        <f>ITS!C31</f>
        <v>2350966.3747764099</v>
      </c>
      <c r="E31" s="130">
        <f>Wealth!D33</f>
        <v>1272263.55675</v>
      </c>
      <c r="F31" s="140">
        <f>LE!D33</f>
        <v>5483704.8569999998</v>
      </c>
      <c r="G31" s="130">
        <f>REPART!I31</f>
        <v>34276.410875077971</v>
      </c>
      <c r="H31" s="132">
        <f t="shared" si="0"/>
        <v>21038964.699401487</v>
      </c>
      <c r="J31" s="138"/>
    </row>
    <row r="32" spans="2:10" x14ac:dyDescent="0.2">
      <c r="B32" s="45" t="s">
        <v>79</v>
      </c>
      <c r="C32" s="127">
        <f>PI!J32</f>
        <v>894268.79999999981</v>
      </c>
      <c r="D32" s="127">
        <f>ITS!C32</f>
        <v>82352.791321237499</v>
      </c>
      <c r="E32" s="127">
        <f>Wealth!D34</f>
        <v>85766.114999999991</v>
      </c>
      <c r="F32" s="139">
        <f>LE!D34</f>
        <v>384759.43840000004</v>
      </c>
      <c r="G32" s="127">
        <f>REPART!I32</f>
        <v>3034.5421620532256</v>
      </c>
      <c r="H32" s="129">
        <f t="shared" si="0"/>
        <v>1450181.6868832905</v>
      </c>
      <c r="J32" s="138"/>
    </row>
    <row r="33" spans="1:10" x14ac:dyDescent="0.2">
      <c r="A33" s="52"/>
      <c r="B33" s="53" t="s">
        <v>80</v>
      </c>
      <c r="C33" s="54">
        <f t="shared" ref="C33:H33" si="1">SUM(C7:C32)</f>
        <v>164431392.30000001</v>
      </c>
      <c r="D33" s="54">
        <f t="shared" si="1"/>
        <v>11677262.551069232</v>
      </c>
      <c r="E33" s="54">
        <f t="shared" si="1"/>
        <v>22124977.863680508</v>
      </c>
      <c r="F33" s="54">
        <f t="shared" si="1"/>
        <v>58427929.913000003</v>
      </c>
      <c r="G33" s="54">
        <f t="shared" si="1"/>
        <v>37100.26898242977</v>
      </c>
      <c r="H33" s="55">
        <f t="shared" si="1"/>
        <v>256698662.89673221</v>
      </c>
      <c r="J33" s="138"/>
    </row>
  </sheetData>
  <conditionalFormatting sqref="C7:H32">
    <cfRule type="expression" dxfId="4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>
    <oddHeader>&amp;L&amp;F&amp;R&amp;A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28515625" style="15" customWidth="1"/>
    <col min="2" max="2" width="16" style="1" customWidth="1"/>
    <col min="3" max="3" width="16.28515625" style="1" customWidth="1"/>
    <col min="4" max="4" width="18" style="1" customWidth="1"/>
    <col min="5" max="6" width="17.140625" style="1" customWidth="1"/>
    <col min="7" max="7" width="19.140625" style="1" customWidth="1"/>
    <col min="8" max="9" width="15.7109375" style="1" customWidth="1"/>
  </cols>
  <sheetData>
    <row r="1" spans="1:10" ht="30" customHeight="1" x14ac:dyDescent="0.2">
      <c r="B1" s="134" t="str">
        <f>"ATB per capita "&amp;Info!C31</f>
        <v>ATB per capita 2011</v>
      </c>
      <c r="C1" s="134"/>
      <c r="E1" s="135" t="str">
        <f>Info!A4</f>
        <v>Reference year 2017</v>
      </c>
      <c r="I1" s="20" t="str">
        <f>Info!$C$28</f>
        <v>FA_2017_20160519</v>
      </c>
    </row>
    <row r="2" spans="1:10" s="1" customFormat="1" x14ac:dyDescent="0.2">
      <c r="A2" s="22"/>
      <c r="B2" s="23" t="s">
        <v>29</v>
      </c>
      <c r="C2" s="24" t="s">
        <v>30</v>
      </c>
      <c r="D2" s="24" t="s">
        <v>31</v>
      </c>
      <c r="E2" s="24" t="s">
        <v>32</v>
      </c>
      <c r="F2" s="24" t="s">
        <v>33</v>
      </c>
      <c r="G2" s="24" t="s">
        <v>34</v>
      </c>
      <c r="H2" s="24" t="s">
        <v>35</v>
      </c>
      <c r="I2" s="25" t="s">
        <v>36</v>
      </c>
    </row>
    <row r="3" spans="1:10" s="1" customFormat="1" x14ac:dyDescent="0.2">
      <c r="A3" s="27"/>
      <c r="B3" s="28" t="s">
        <v>38</v>
      </c>
      <c r="C3" s="29"/>
      <c r="D3" s="29"/>
      <c r="E3" s="29"/>
      <c r="F3" s="29"/>
      <c r="G3" s="29"/>
      <c r="H3" s="29"/>
      <c r="I3" s="121"/>
    </row>
    <row r="4" spans="1:10" ht="38.25" customHeight="1" x14ac:dyDescent="0.2">
      <c r="B4" s="32"/>
      <c r="C4" s="33" t="s">
        <v>47</v>
      </c>
      <c r="D4" s="33" t="s">
        <v>109</v>
      </c>
      <c r="E4" s="33" t="s">
        <v>86</v>
      </c>
      <c r="F4" s="33" t="s">
        <v>91</v>
      </c>
      <c r="G4" s="33" t="s">
        <v>106</v>
      </c>
      <c r="H4" s="33" t="s">
        <v>112</v>
      </c>
      <c r="I4" s="34" t="s">
        <v>113</v>
      </c>
    </row>
    <row r="5" spans="1:10" s="35" customFormat="1" ht="11.25" customHeight="1" x14ac:dyDescent="0.2">
      <c r="A5" s="36"/>
      <c r="B5" s="37" t="s">
        <v>111</v>
      </c>
      <c r="C5" s="38">
        <f>Info!$C$31</f>
        <v>2011</v>
      </c>
      <c r="D5" s="38">
        <f>Info!$C$31</f>
        <v>2011</v>
      </c>
      <c r="E5" s="38">
        <f>Info!$C$31</f>
        <v>2011</v>
      </c>
      <c r="F5" s="38">
        <f>Info!$C$31</f>
        <v>2011</v>
      </c>
      <c r="G5" s="38">
        <f>Info!$C$31</f>
        <v>2011</v>
      </c>
      <c r="H5" s="38">
        <f>Info!$C$31</f>
        <v>2011</v>
      </c>
      <c r="I5" s="85"/>
    </row>
    <row r="6" spans="1:10" s="35" customFormat="1" ht="11.25" customHeight="1" x14ac:dyDescent="0.2">
      <c r="A6" s="36"/>
      <c r="B6" s="86" t="s">
        <v>51</v>
      </c>
      <c r="C6" s="38" t="s">
        <v>114</v>
      </c>
      <c r="D6" s="38" t="s">
        <v>114</v>
      </c>
      <c r="E6" s="38" t="s">
        <v>114</v>
      </c>
      <c r="F6" s="38" t="s">
        <v>114</v>
      </c>
      <c r="G6" s="38" t="s">
        <v>114</v>
      </c>
      <c r="H6" s="38" t="s">
        <v>114</v>
      </c>
      <c r="I6" s="39" t="s">
        <v>115</v>
      </c>
    </row>
    <row r="7" spans="1:10" x14ac:dyDescent="0.2">
      <c r="B7" s="41" t="s">
        <v>54</v>
      </c>
      <c r="C7" s="124">
        <f>ATB_Total!C7/ATB_per_capita!$I7*1000</f>
        <v>26133.556011301222</v>
      </c>
      <c r="D7" s="124">
        <f>ATB_Total!D7/ATB_per_capita!$I7*1000</f>
        <v>1356.1850319227844</v>
      </c>
      <c r="E7" s="124">
        <f>ATB_Total!E7/ATB_per_capita!$I7*1000</f>
        <v>3767.8169181235394</v>
      </c>
      <c r="F7" s="124">
        <f>ATB_Total!F7/ATB_per_capita!$I7*1000</f>
        <v>8327.2760625726041</v>
      </c>
      <c r="G7" s="124">
        <f>ATB_Total!G7/ATB_per_capita!$I7*1000</f>
        <v>-49.741088972093898</v>
      </c>
      <c r="H7" s="141">
        <f>ATB_Total!H7/ATB_per_capita!$I7*1000</f>
        <v>39535.09293494805</v>
      </c>
      <c r="I7" s="142">
        <v>1394540</v>
      </c>
      <c r="J7" s="138"/>
    </row>
    <row r="8" spans="1:10" x14ac:dyDescent="0.2">
      <c r="B8" s="45" t="s">
        <v>55</v>
      </c>
      <c r="C8" s="127">
        <f>ATB_Total!C8/ATB_per_capita!$I8*1000</f>
        <v>15733.401265519025</v>
      </c>
      <c r="D8" s="127">
        <f>ATB_Total!D8/ATB_per_capita!$I8*1000</f>
        <v>612.96436069647496</v>
      </c>
      <c r="E8" s="127">
        <f>ATB_Total!E8/ATB_per_capita!$I8*1000</f>
        <v>2172.7313361102342</v>
      </c>
      <c r="F8" s="127">
        <f>ATB_Total!F8/ATB_per_capita!$I8*1000</f>
        <v>4760.6802908925565</v>
      </c>
      <c r="G8" s="127">
        <f>ATB_Total!G8/ATB_per_capita!$I8*1000</f>
        <v>-32.376053628768375</v>
      </c>
      <c r="H8" s="143">
        <f>ATB_Total!H8/ATB_per_capita!$I8*1000</f>
        <v>23247.401199589527</v>
      </c>
      <c r="I8" s="144">
        <v>989712.5</v>
      </c>
      <c r="J8" s="138"/>
    </row>
    <row r="9" spans="1:10" x14ac:dyDescent="0.2">
      <c r="B9" s="48" t="s">
        <v>56</v>
      </c>
      <c r="C9" s="130">
        <f>ATB_Total!C9/ATB_per_capita!$I9*1000</f>
        <v>16951.294564203716</v>
      </c>
      <c r="D9" s="130">
        <f>ATB_Total!D9/ATB_per_capita!$I9*1000</f>
        <v>680.08599319604525</v>
      </c>
      <c r="E9" s="130">
        <f>ATB_Total!E9/ATB_per_capita!$I9*1000</f>
        <v>2463.3324053977344</v>
      </c>
      <c r="F9" s="130">
        <f>ATB_Total!F9/ATB_per_capita!$I9*1000</f>
        <v>5682.2187230803247</v>
      </c>
      <c r="G9" s="130">
        <f>ATB_Total!G9/ATB_per_capita!$I9*1000</f>
        <v>-35.151905598145383</v>
      </c>
      <c r="H9" s="145">
        <f>ATB_Total!H9/ATB_per_capita!$I9*1000</f>
        <v>25741.779780279678</v>
      </c>
      <c r="I9" s="146">
        <v>382271.5</v>
      </c>
      <c r="J9" s="138"/>
    </row>
    <row r="10" spans="1:10" x14ac:dyDescent="0.2">
      <c r="B10" s="45" t="s">
        <v>57</v>
      </c>
      <c r="C10" s="127">
        <f>ATB_Total!C10/ATB_per_capita!$I10*1000</f>
        <v>12645.619922535898</v>
      </c>
      <c r="D10" s="127">
        <f>ATB_Total!D10/ATB_per_capita!$I10*1000</f>
        <v>784.95931984702941</v>
      </c>
      <c r="E10" s="127">
        <f>ATB_Total!E10/ATB_per_capita!$I10*1000</f>
        <v>2329.1018113175887</v>
      </c>
      <c r="F10" s="127">
        <f>ATB_Total!F10/ATB_per_capita!$I10*1000</f>
        <v>4118.8523511892281</v>
      </c>
      <c r="G10" s="127">
        <f>ATB_Total!G10/ATB_per_capita!$I10*1000</f>
        <v>80.335263402662193</v>
      </c>
      <c r="H10" s="143">
        <f>ATB_Total!H10/ATB_per_capita!$I10*1000</f>
        <v>19958.868668292405</v>
      </c>
      <c r="I10" s="144">
        <v>35758.5</v>
      </c>
      <c r="J10" s="138"/>
    </row>
    <row r="11" spans="1:10" x14ac:dyDescent="0.2">
      <c r="B11" s="48" t="s">
        <v>58</v>
      </c>
      <c r="C11" s="130">
        <f>ATB_Total!C11/ATB_per_capita!$I11*1000</f>
        <v>41141.435236614088</v>
      </c>
      <c r="D11" s="130">
        <f>ATB_Total!D11/ATB_per_capita!$I11*1000</f>
        <v>859.51754264267879</v>
      </c>
      <c r="E11" s="130">
        <f>ATB_Total!E11/ATB_per_capita!$I11*1000</f>
        <v>8611.9948312496199</v>
      </c>
      <c r="F11" s="130">
        <f>ATB_Total!F11/ATB_per_capita!$I11*1000</f>
        <v>7548.5217789986064</v>
      </c>
      <c r="G11" s="130">
        <f>ATB_Total!G11/ATB_per_capita!$I11*1000</f>
        <v>21.755948089351737</v>
      </c>
      <c r="H11" s="145">
        <f>ATB_Total!H11/ATB_per_capita!$I11*1000</f>
        <v>58183.225337594347</v>
      </c>
      <c r="I11" s="146">
        <v>148533</v>
      </c>
      <c r="J11" s="138"/>
    </row>
    <row r="12" spans="1:10" x14ac:dyDescent="0.2">
      <c r="B12" s="45" t="s">
        <v>59</v>
      </c>
      <c r="C12" s="127">
        <f>ATB_Total!C12/ATB_per_capita!$I12*1000</f>
        <v>17747.984952839317</v>
      </c>
      <c r="D12" s="127">
        <f>ATB_Total!D12/ATB_per_capita!$I12*1000</f>
        <v>839.87681682687742</v>
      </c>
      <c r="E12" s="127">
        <f>ATB_Total!E12/ATB_per_capita!$I12*1000</f>
        <v>3287.9312330926891</v>
      </c>
      <c r="F12" s="127">
        <f>ATB_Total!F12/ATB_per_capita!$I12*1000</f>
        <v>6619.7929964318319</v>
      </c>
      <c r="G12" s="127">
        <f>ATB_Total!G12/ATB_per_capita!$I12*1000</f>
        <v>77.707875208687526</v>
      </c>
      <c r="H12" s="143">
        <f>ATB_Total!H12/ATB_per_capita!$I12*1000</f>
        <v>28573.293874399409</v>
      </c>
      <c r="I12" s="144">
        <v>36153</v>
      </c>
      <c r="J12" s="138"/>
    </row>
    <row r="13" spans="1:10" x14ac:dyDescent="0.2">
      <c r="B13" s="48" t="s">
        <v>60</v>
      </c>
      <c r="C13" s="130">
        <f>ATB_Total!C13/ATB_per_capita!$I13*1000</f>
        <v>28883.452212848646</v>
      </c>
      <c r="D13" s="130">
        <f>ATB_Total!D13/ATB_per_capita!$I13*1000</f>
        <v>680.77129087968672</v>
      </c>
      <c r="E13" s="130">
        <f>ATB_Total!E13/ATB_per_capita!$I13*1000</f>
        <v>8689.4816028820733</v>
      </c>
      <c r="F13" s="130">
        <f>ATB_Total!F13/ATB_per_capita!$I13*1000</f>
        <v>8411.2453238712478</v>
      </c>
      <c r="G13" s="130">
        <f>ATB_Total!G13/ATB_per_capita!$I13*1000</f>
        <v>92.877262169029478</v>
      </c>
      <c r="H13" s="145">
        <f>ATB_Total!H13/ATB_per_capita!$I13*1000</f>
        <v>46757.827692650688</v>
      </c>
      <c r="I13" s="146">
        <v>41428.5</v>
      </c>
      <c r="J13" s="138"/>
    </row>
    <row r="14" spans="1:10" x14ac:dyDescent="0.2">
      <c r="B14" s="45" t="s">
        <v>61</v>
      </c>
      <c r="C14" s="127">
        <f>ATB_Total!C14/ATB_per_capita!$I14*1000</f>
        <v>14216.911820552417</v>
      </c>
      <c r="D14" s="127">
        <f>ATB_Total!D14/ATB_per_capita!$I14*1000</f>
        <v>1104.7225086814299</v>
      </c>
      <c r="E14" s="127">
        <f>ATB_Total!E14/ATB_per_capita!$I14*1000</f>
        <v>2378.5430637484492</v>
      </c>
      <c r="F14" s="127">
        <f>ATB_Total!F14/ATB_per_capita!$I14*1000</f>
        <v>4199.9258538190843</v>
      </c>
      <c r="G14" s="127">
        <f>ATB_Total!G14/ATB_per_capita!$I14*1000</f>
        <v>134.17220738816332</v>
      </c>
      <c r="H14" s="143">
        <f>ATB_Total!H14/ATB_per_capita!$I14*1000</f>
        <v>22034.275454189541</v>
      </c>
      <c r="I14" s="144">
        <v>39499</v>
      </c>
      <c r="J14" s="138"/>
    </row>
    <row r="15" spans="1:10" x14ac:dyDescent="0.2">
      <c r="B15" s="48" t="s">
        <v>62</v>
      </c>
      <c r="C15" s="130">
        <f>ATB_Total!C15/ATB_per_capita!$I15*1000</f>
        <v>58234.783965330433</v>
      </c>
      <c r="D15" s="130">
        <f>ATB_Total!D15/ATB_per_capita!$I15*1000</f>
        <v>2173.3135190708731</v>
      </c>
      <c r="E15" s="130">
        <f>ATB_Total!E15/ATB_per_capita!$I15*1000</f>
        <v>6752.695553415665</v>
      </c>
      <c r="F15" s="130">
        <f>ATB_Total!F15/ATB_per_capita!$I15*1000</f>
        <v>29444.11343271939</v>
      </c>
      <c r="G15" s="130">
        <f>ATB_Total!G15/ATB_per_capita!$I15*1000</f>
        <v>44.522619862450384</v>
      </c>
      <c r="H15" s="145">
        <f>ATB_Total!H15/ATB_per_capita!$I15*1000</f>
        <v>96649.429090398829</v>
      </c>
      <c r="I15" s="146">
        <v>115375</v>
      </c>
      <c r="J15" s="138"/>
    </row>
    <row r="16" spans="1:10" x14ac:dyDescent="0.2">
      <c r="B16" s="45" t="s">
        <v>63</v>
      </c>
      <c r="C16" s="127">
        <f>ATB_Total!C16/ATB_per_capita!$I16*1000</f>
        <v>16108.644620613944</v>
      </c>
      <c r="D16" s="127">
        <f>ATB_Total!D16/ATB_per_capita!$I16*1000</f>
        <v>772.29006611470118</v>
      </c>
      <c r="E16" s="127">
        <f>ATB_Total!E16/ATB_per_capita!$I16*1000</f>
        <v>1346.6802158027449</v>
      </c>
      <c r="F16" s="127">
        <f>ATB_Total!F16/ATB_per_capita!$I16*1000</f>
        <v>6837.7394818408166</v>
      </c>
      <c r="G16" s="127">
        <f>ATB_Total!G16/ATB_per_capita!$I16*1000</f>
        <v>-161.6995951564262</v>
      </c>
      <c r="H16" s="143">
        <f>ATB_Total!H16/ATB_per_capita!$I16*1000</f>
        <v>24903.65478921578</v>
      </c>
      <c r="I16" s="144">
        <v>283754.5</v>
      </c>
      <c r="J16" s="138"/>
    </row>
    <row r="17" spans="2:10" x14ac:dyDescent="0.2">
      <c r="B17" s="48" t="s">
        <v>64</v>
      </c>
      <c r="C17" s="130">
        <f>ATB_Total!C17/ATB_per_capita!$I17*1000</f>
        <v>17296.844249178037</v>
      </c>
      <c r="D17" s="130">
        <f>ATB_Total!D17/ATB_per_capita!$I17*1000</f>
        <v>608.95121980564272</v>
      </c>
      <c r="E17" s="130">
        <f>ATB_Total!E17/ATB_per_capita!$I17*1000</f>
        <v>1205.400124589019</v>
      </c>
      <c r="F17" s="130">
        <f>ATB_Total!F17/ATB_per_capita!$I17*1000</f>
        <v>4616.9238364029598</v>
      </c>
      <c r="G17" s="130">
        <f>ATB_Total!G17/ATB_per_capita!$I17*1000</f>
        <v>65.619592596543328</v>
      </c>
      <c r="H17" s="145">
        <f>ATB_Total!H17/ATB_per_capita!$I17*1000</f>
        <v>23793.739022572201</v>
      </c>
      <c r="I17" s="146">
        <v>257767.5</v>
      </c>
      <c r="J17" s="138"/>
    </row>
    <row r="18" spans="2:10" x14ac:dyDescent="0.2">
      <c r="B18" s="45" t="s">
        <v>65</v>
      </c>
      <c r="C18" s="127">
        <f>ATB_Total!C18/ATB_per_capita!$I18*1000</f>
        <v>23677.344313409412</v>
      </c>
      <c r="D18" s="127">
        <f>ATB_Total!D18/ATB_per_capita!$I18*1000</f>
        <v>3561.5610802047149</v>
      </c>
      <c r="E18" s="127">
        <f>ATB_Total!E18/ATB_per_capita!$I18*1000</f>
        <v>3585.962549261867</v>
      </c>
      <c r="F18" s="127">
        <f>ATB_Total!F18/ATB_per_capita!$I18*1000</f>
        <v>14059.561222054894</v>
      </c>
      <c r="G18" s="127">
        <f>ATB_Total!G18/ATB_per_capita!$I18*1000</f>
        <v>-245.44788820150376</v>
      </c>
      <c r="H18" s="143">
        <f>ATB_Total!H18/ATB_per_capita!$I18*1000</f>
        <v>44638.981276729392</v>
      </c>
      <c r="I18" s="144">
        <v>188584</v>
      </c>
      <c r="J18" s="138"/>
    </row>
    <row r="19" spans="2:10" x14ac:dyDescent="0.2">
      <c r="B19" s="48" t="s">
        <v>66</v>
      </c>
      <c r="C19" s="130">
        <f>ATB_Total!C19/ATB_per_capita!$I19*1000</f>
        <v>22774.778024618099</v>
      </c>
      <c r="D19" s="130">
        <f>ATB_Total!D19/ATB_per_capita!$I19*1000</f>
        <v>1327.3610844404952</v>
      </c>
      <c r="E19" s="130">
        <f>ATB_Total!E19/ATB_per_capita!$I19*1000</f>
        <v>1917.7718810740209</v>
      </c>
      <c r="F19" s="130">
        <f>ATB_Total!F19/ATB_per_capita!$I19*1000</f>
        <v>4706.8674229870257</v>
      </c>
      <c r="G19" s="130">
        <f>ATB_Total!G19/ATB_per_capita!$I19*1000</f>
        <v>-153.02071272402623</v>
      </c>
      <c r="H19" s="145">
        <f>ATB_Total!H19/ATB_per_capita!$I19*1000</f>
        <v>30573.757700395618</v>
      </c>
      <c r="I19" s="146">
        <v>276382</v>
      </c>
      <c r="J19" s="138"/>
    </row>
    <row r="20" spans="2:10" x14ac:dyDescent="0.2">
      <c r="B20" s="45" t="s">
        <v>67</v>
      </c>
      <c r="C20" s="127">
        <f>ATB_Total!C20/ATB_per_capita!$I20*1000</f>
        <v>15965.328947368418</v>
      </c>
      <c r="D20" s="127">
        <f>ATB_Total!D20/ATB_per_capita!$I20*1000</f>
        <v>2045.1622810767415</v>
      </c>
      <c r="E20" s="127">
        <f>ATB_Total!E20/ATB_per_capita!$I20*1000</f>
        <v>2140.8353974458209</v>
      </c>
      <c r="F20" s="127">
        <f>ATB_Total!F20/ATB_per_capita!$I20*1000</f>
        <v>11402.628740970073</v>
      </c>
      <c r="G20" s="127">
        <f>ATB_Total!G20/ATB_per_capita!$I20*1000</f>
        <v>-0.45926617407048898</v>
      </c>
      <c r="H20" s="143">
        <f>ATB_Total!H20/ATB_per_capita!$I20*1000</f>
        <v>31553.496100686989</v>
      </c>
      <c r="I20" s="144">
        <v>77520</v>
      </c>
      <c r="J20" s="138"/>
    </row>
    <row r="21" spans="2:10" x14ac:dyDescent="0.2">
      <c r="B21" s="48" t="s">
        <v>68</v>
      </c>
      <c r="C21" s="130">
        <f>ATB_Total!C21/ATB_per_capita!$I21*1000</f>
        <v>17058.239040839264</v>
      </c>
      <c r="D21" s="130">
        <f>ATB_Total!D21/ATB_per_capita!$I21*1000</f>
        <v>762.00647585946422</v>
      </c>
      <c r="E21" s="130">
        <f>ATB_Total!E21/ATB_per_capita!$I21*1000</f>
        <v>3245.3408323342073</v>
      </c>
      <c r="F21" s="130">
        <f>ATB_Total!F21/ATB_per_capita!$I21*1000</f>
        <v>5822.2618377669542</v>
      </c>
      <c r="G21" s="130">
        <f>ATB_Total!G21/ATB_per_capita!$I21*1000</f>
        <v>-101.61800768997097</v>
      </c>
      <c r="H21" s="145">
        <f>ATB_Total!H21/ATB_per_capita!$I21*1000</f>
        <v>26786.23017910992</v>
      </c>
      <c r="I21" s="146">
        <v>53380</v>
      </c>
      <c r="J21" s="138"/>
    </row>
    <row r="22" spans="2:10" x14ac:dyDescent="0.2">
      <c r="B22" s="45" t="s">
        <v>69</v>
      </c>
      <c r="C22" s="127">
        <f>ATB_Total!C22/ATB_per_capita!$I22*1000</f>
        <v>17603.108841163597</v>
      </c>
      <c r="D22" s="127">
        <f>ATB_Total!D22/ATB_per_capita!$I22*1000</f>
        <v>508.00889132850233</v>
      </c>
      <c r="E22" s="127">
        <f>ATB_Total!E22/ATB_per_capita!$I22*1000</f>
        <v>3829.0687072930878</v>
      </c>
      <c r="F22" s="127">
        <f>ATB_Total!F22/ATB_per_capita!$I22*1000</f>
        <v>5473.0879992386508</v>
      </c>
      <c r="G22" s="127">
        <f>ATB_Total!G22/ATB_per_capita!$I22*1000</f>
        <v>67.544738980663624</v>
      </c>
      <c r="H22" s="143">
        <f>ATB_Total!H22/ATB_per_capita!$I22*1000</f>
        <v>27480.819178004498</v>
      </c>
      <c r="I22" s="144">
        <v>15761.5</v>
      </c>
      <c r="J22" s="138"/>
    </row>
    <row r="23" spans="2:10" x14ac:dyDescent="0.2">
      <c r="B23" s="48" t="s">
        <v>70</v>
      </c>
      <c r="C23" s="130">
        <f>ATB_Total!C23/ATB_per_capita!$I23*1000</f>
        <v>15436.98575221879</v>
      </c>
      <c r="D23" s="130">
        <f>ATB_Total!D23/ATB_per_capita!$I23*1000</f>
        <v>979.98063783167368</v>
      </c>
      <c r="E23" s="130">
        <f>ATB_Total!E23/ATB_per_capita!$I23*1000</f>
        <v>2620.6007528490395</v>
      </c>
      <c r="F23" s="130">
        <f>ATB_Total!F23/ATB_per_capita!$I23*1000</f>
        <v>6405.5034787729755</v>
      </c>
      <c r="G23" s="130">
        <f>ATB_Total!G23/ATB_per_capita!$I23*1000</f>
        <v>69.122167696165207</v>
      </c>
      <c r="H23" s="145">
        <f>ATB_Total!H23/ATB_per_capita!$I23*1000</f>
        <v>25512.192789368644</v>
      </c>
      <c r="I23" s="146">
        <v>483935</v>
      </c>
      <c r="J23" s="138"/>
    </row>
    <row r="24" spans="2:10" x14ac:dyDescent="0.2">
      <c r="B24" s="45" t="s">
        <v>71</v>
      </c>
      <c r="C24" s="127">
        <f>ATB_Total!C24/ATB_per_capita!$I24*1000</f>
        <v>16222.761641252155</v>
      </c>
      <c r="D24" s="127">
        <f>ATB_Total!D24/ATB_per_capita!$I24*1000</f>
        <v>1810.3696472182589</v>
      </c>
      <c r="E24" s="127">
        <f>ATB_Total!E24/ATB_per_capita!$I24*1000</f>
        <v>3712.7947766790326</v>
      </c>
      <c r="F24" s="127">
        <f>ATB_Total!F24/ATB_per_capita!$I24*1000</f>
        <v>3983.5253798528479</v>
      </c>
      <c r="G24" s="127">
        <f>ATB_Total!G24/ATB_per_capita!$I24*1000</f>
        <v>243.05692814727209</v>
      </c>
      <c r="H24" s="143">
        <f>ATB_Total!H24/ATB_per_capita!$I24*1000</f>
        <v>25972.508373149562</v>
      </c>
      <c r="I24" s="144">
        <v>201492.5</v>
      </c>
      <c r="J24" s="138"/>
    </row>
    <row r="25" spans="2:10" x14ac:dyDescent="0.2">
      <c r="B25" s="48" t="s">
        <v>72</v>
      </c>
      <c r="C25" s="130">
        <f>ATB_Total!C25/ATB_per_capita!$I25*1000</f>
        <v>18745.265045931599</v>
      </c>
      <c r="D25" s="130">
        <f>ATB_Total!D25/ATB_per_capita!$I25*1000</f>
        <v>902.39747201967668</v>
      </c>
      <c r="E25" s="130">
        <f>ATB_Total!E25/ATB_per_capita!$I25*1000</f>
        <v>2343.9027448435882</v>
      </c>
      <c r="F25" s="130">
        <f>ATB_Total!F25/ATB_per_capita!$I25*1000</f>
        <v>6302.7343527966968</v>
      </c>
      <c r="G25" s="130">
        <f>ATB_Total!G25/ATB_per_capita!$I25*1000</f>
        <v>138.81656461987461</v>
      </c>
      <c r="H25" s="145">
        <f>ATB_Total!H25/ATB_per_capita!$I25*1000</f>
        <v>28433.116180211437</v>
      </c>
      <c r="I25" s="146">
        <v>618855</v>
      </c>
      <c r="J25" s="138"/>
    </row>
    <row r="26" spans="2:10" x14ac:dyDescent="0.2">
      <c r="B26" s="45" t="s">
        <v>73</v>
      </c>
      <c r="C26" s="127">
        <f>ATB_Total!C26/ATB_per_capita!$I26*1000</f>
        <v>16394.814414264521</v>
      </c>
      <c r="D26" s="127">
        <f>ATB_Total!D26/ATB_per_capita!$I26*1000</f>
        <v>1050.7057978694806</v>
      </c>
      <c r="E26" s="127">
        <f>ATB_Total!E26/ATB_per_capita!$I26*1000</f>
        <v>2525.2798255361377</v>
      </c>
      <c r="F26" s="127">
        <f>ATB_Total!F26/ATB_per_capita!$I26*1000</f>
        <v>4977.7629644595245</v>
      </c>
      <c r="G26" s="127">
        <f>ATB_Total!G26/ATB_per_capita!$I26*1000</f>
        <v>-97.177286995408991</v>
      </c>
      <c r="H26" s="143">
        <f>ATB_Total!H26/ATB_per_capita!$I26*1000</f>
        <v>24851.38571513426</v>
      </c>
      <c r="I26" s="144">
        <v>252430.5</v>
      </c>
      <c r="J26" s="138"/>
    </row>
    <row r="27" spans="2:10" x14ac:dyDescent="0.2">
      <c r="B27" s="48" t="s">
        <v>74</v>
      </c>
      <c r="C27" s="130">
        <f>ATB_Total!C27/ATB_per_capita!$I27*1000</f>
        <v>18328.169837948462</v>
      </c>
      <c r="D27" s="130">
        <f>ATB_Total!D27/ATB_per_capita!$I27*1000</f>
        <v>2524.0633244702381</v>
      </c>
      <c r="E27" s="130">
        <f>ATB_Total!E27/ATB_per_capita!$I27*1000</f>
        <v>2197.9360953916826</v>
      </c>
      <c r="F27" s="130">
        <f>ATB_Total!F27/ATB_per_capita!$I27*1000</f>
        <v>6825.0646189204763</v>
      </c>
      <c r="G27" s="130">
        <f>ATB_Total!G27/ATB_per_capita!$I27*1000</f>
        <v>97.201665646506683</v>
      </c>
      <c r="H27" s="145">
        <f>ATB_Total!H27/ATB_per_capita!$I27*1000</f>
        <v>29972.435542377367</v>
      </c>
      <c r="I27" s="146">
        <v>337639.5</v>
      </c>
      <c r="J27" s="138"/>
    </row>
    <row r="28" spans="2:10" x14ac:dyDescent="0.2">
      <c r="B28" s="45" t="s">
        <v>75</v>
      </c>
      <c r="C28" s="127">
        <f>ATB_Total!C28/ATB_per_capita!$I28*1000</f>
        <v>21008.058976027416</v>
      </c>
      <c r="D28" s="127">
        <f>ATB_Total!D28/ATB_per_capita!$I28*1000</f>
        <v>1672.3783715258585</v>
      </c>
      <c r="E28" s="127">
        <f>ATB_Total!E28/ATB_per_capita!$I28*1000</f>
        <v>2375.7829153940816</v>
      </c>
      <c r="F28" s="127">
        <f>ATB_Total!F28/ATB_per_capita!$I28*1000</f>
        <v>7993.763772948616</v>
      </c>
      <c r="G28" s="127">
        <f>ATB_Total!G28/ATB_per_capita!$I28*1000</f>
        <v>-5.2380559899354306</v>
      </c>
      <c r="H28" s="143">
        <f>ATB_Total!H28/ATB_per_capita!$I28*1000</f>
        <v>33044.745979906031</v>
      </c>
      <c r="I28" s="144">
        <v>727685.5</v>
      </c>
      <c r="J28" s="138"/>
    </row>
    <row r="29" spans="2:10" x14ac:dyDescent="0.2">
      <c r="B29" s="48" t="s">
        <v>76</v>
      </c>
      <c r="C29" s="130">
        <f>ATB_Total!C29/ATB_per_capita!$I29*1000</f>
        <v>14258.396864339926</v>
      </c>
      <c r="D29" s="130">
        <f>ATB_Total!D29/ATB_per_capita!$I29*1000</f>
        <v>1215.2399278311282</v>
      </c>
      <c r="E29" s="130">
        <f>ATB_Total!E29/ATB_per_capita!$I29*1000</f>
        <v>1845.6858630117028</v>
      </c>
      <c r="F29" s="130">
        <f>ATB_Total!F29/ATB_per_capita!$I29*1000</f>
        <v>3628.5389026739599</v>
      </c>
      <c r="G29" s="130">
        <f>ATB_Total!G29/ATB_per_capita!$I29*1000</f>
        <v>103.1042302064134</v>
      </c>
      <c r="H29" s="145">
        <f>ATB_Total!H29/ATB_per_capita!$I29*1000</f>
        <v>21050.965788063128</v>
      </c>
      <c r="I29" s="146">
        <v>322611.5</v>
      </c>
      <c r="J29" s="138"/>
    </row>
    <row r="30" spans="2:10" x14ac:dyDescent="0.2">
      <c r="B30" s="45" t="s">
        <v>77</v>
      </c>
      <c r="C30" s="127">
        <f>ATB_Total!C30/ATB_per_capita!$I30*1000</f>
        <v>15505.159707988854</v>
      </c>
      <c r="D30" s="127">
        <f>ATB_Total!D30/ATB_per_capita!$I30*1000</f>
        <v>1333.2702170337898</v>
      </c>
      <c r="E30" s="127">
        <f>ATB_Total!E30/ATB_per_capita!$I30*1000</f>
        <v>1363.5473875883747</v>
      </c>
      <c r="F30" s="127">
        <f>ATB_Total!F30/ATB_per_capita!$I30*1000</f>
        <v>11102.990825714483</v>
      </c>
      <c r="G30" s="127">
        <f>ATB_Total!G30/ATB_per_capita!$I30*1000</f>
        <v>42.085179811332367</v>
      </c>
      <c r="H30" s="143">
        <f>ATB_Total!H30/ATB_per_capita!$I30*1000</f>
        <v>29347.053318136837</v>
      </c>
      <c r="I30" s="144">
        <v>173692</v>
      </c>
      <c r="J30" s="138"/>
    </row>
    <row r="31" spans="2:10" x14ac:dyDescent="0.2">
      <c r="B31" s="48" t="s">
        <v>78</v>
      </c>
      <c r="C31" s="130">
        <f>ATB_Total!C31/ATB_per_capita!$I31*1000</f>
        <v>25706.94704773428</v>
      </c>
      <c r="D31" s="130">
        <f>ATB_Total!D31/ATB_per_capita!$I31*1000</f>
        <v>5079.6285288126874</v>
      </c>
      <c r="E31" s="130">
        <f>ATB_Total!E31/ATB_per_capita!$I31*1000</f>
        <v>2748.9233059110134</v>
      </c>
      <c r="F31" s="130">
        <f>ATB_Total!F31/ATB_per_capita!$I31*1000</f>
        <v>11848.397294859258</v>
      </c>
      <c r="G31" s="130">
        <f>ATB_Total!G31/ATB_per_capita!$I31*1000</f>
        <v>74.059517147671016</v>
      </c>
      <c r="H31" s="145">
        <f>ATB_Total!H31/ATB_per_capita!$I31*1000</f>
        <v>45457.955694464916</v>
      </c>
      <c r="I31" s="146">
        <v>462822.5</v>
      </c>
      <c r="J31" s="138"/>
    </row>
    <row r="32" spans="2:10" x14ac:dyDescent="0.2">
      <c r="B32" s="45" t="s">
        <v>79</v>
      </c>
      <c r="C32" s="127">
        <f>ATB_Total!C32/ATB_per_capita!$I32*1000</f>
        <v>12667.504302682179</v>
      </c>
      <c r="D32" s="127">
        <f>ATB_Total!D32/ATB_per_capita!$I32*1000</f>
        <v>1166.5444868474267</v>
      </c>
      <c r="E32" s="127">
        <f>ATB_Total!E32/ATB_per_capita!$I32*1000</f>
        <v>1214.8949295634991</v>
      </c>
      <c r="F32" s="127">
        <f>ATB_Total!F32/ATB_per_capita!$I32*1000</f>
        <v>5450.197794476986</v>
      </c>
      <c r="G32" s="127">
        <f>ATB_Total!G32/ATB_per_capita!$I32*1000</f>
        <v>42.984923430717615</v>
      </c>
      <c r="H32" s="143">
        <f>ATB_Total!H32/ATB_per_capita!$I32*1000</f>
        <v>20542.126437000807</v>
      </c>
      <c r="I32" s="144">
        <v>70595.5</v>
      </c>
      <c r="J32" s="138"/>
    </row>
    <row r="33" spans="1:10" x14ac:dyDescent="0.2">
      <c r="A33" s="52"/>
      <c r="B33" s="53" t="s">
        <v>80</v>
      </c>
      <c r="C33" s="54">
        <f>ATB_Total!C33/ATB_per_capita!$I33*1000</f>
        <v>20584.337396002597</v>
      </c>
      <c r="D33" s="54">
        <f>ATB_Total!D33/ATB_per_capita!$I33*1000</f>
        <v>1461.8176544681307</v>
      </c>
      <c r="E33" s="54">
        <f>ATB_Total!E33/ATB_per_capita!$I33*1000</f>
        <v>2769.7144861132961</v>
      </c>
      <c r="F33" s="54">
        <f>ATB_Total!F33/ATB_per_capita!$I33*1000</f>
        <v>7314.2981145893064</v>
      </c>
      <c r="G33" s="54">
        <f>ATB_Total!G33/ATB_per_capita!$I33*1000</f>
        <v>4.6443957174762929</v>
      </c>
      <c r="H33" s="54">
        <f>ATB_Total!H33/ATB_per_capita!$I33*1000</f>
        <v>32134.812046890809</v>
      </c>
      <c r="I33" s="55">
        <f>SUM(I7:I32)</f>
        <v>7988180</v>
      </c>
      <c r="J33" s="138"/>
    </row>
  </sheetData>
  <conditionalFormatting sqref="C7:H32">
    <cfRule type="expression" dxfId="3" priority="1" stopIfTrue="1">
      <formula>ISBLANK(C7)</formula>
    </cfRule>
  </conditionalFormatting>
  <conditionalFormatting sqref="I7:I32">
    <cfRule type="expression" dxfId="2" priority="2" stopIfTrue="1">
      <formula>ISBLANK(I7)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0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16.140625" style="1" customWidth="1"/>
    <col min="2" max="3" width="18.42578125" style="1" customWidth="1"/>
    <col min="4" max="4" width="17.28515625" style="1" customWidth="1"/>
    <col min="5" max="6" width="18.5703125" style="1" customWidth="1"/>
    <col min="7" max="7" width="14" style="1" customWidth="1"/>
    <col min="8" max="8" width="13" style="1" customWidth="1"/>
    <col min="9" max="9" width="15.28515625" style="1" hidden="1" customWidth="1"/>
  </cols>
  <sheetData>
    <row r="1" spans="1:10" ht="26.25" customHeight="1" x14ac:dyDescent="0.2">
      <c r="A1" s="101" t="str">
        <f>"ATB in percent "&amp;Info!C31</f>
        <v>ATB in percent 2011</v>
      </c>
      <c r="B1" s="57"/>
      <c r="C1" s="57"/>
    </row>
    <row r="2" spans="1:10" ht="18.75" customHeight="1" x14ac:dyDescent="0.2">
      <c r="A2" s="147" t="str">
        <f>Info!A4</f>
        <v>Reference year 2017</v>
      </c>
      <c r="H2" s="20" t="str">
        <f>Info!C28</f>
        <v>FA_2017_20160519</v>
      </c>
    </row>
    <row r="3" spans="1:10" s="1" customFormat="1" x14ac:dyDescent="0.2">
      <c r="A3" s="23" t="s">
        <v>29</v>
      </c>
      <c r="B3" s="24" t="s">
        <v>82</v>
      </c>
      <c r="C3" s="24" t="s">
        <v>30</v>
      </c>
      <c r="D3" s="24" t="s">
        <v>31</v>
      </c>
      <c r="E3" s="24" t="s">
        <v>32</v>
      </c>
      <c r="F3" s="24" t="s">
        <v>33</v>
      </c>
      <c r="G3" s="24" t="s">
        <v>34</v>
      </c>
      <c r="H3" s="84" t="s">
        <v>35</v>
      </c>
      <c r="I3" s="7"/>
    </row>
    <row r="4" spans="1:10" ht="52.5" customHeight="1" x14ac:dyDescent="0.2">
      <c r="A4" s="148"/>
      <c r="B4" s="33" t="s">
        <v>47</v>
      </c>
      <c r="C4" s="33" t="s">
        <v>109</v>
      </c>
      <c r="D4" s="33" t="s">
        <v>86</v>
      </c>
      <c r="E4" s="106" t="s">
        <v>89</v>
      </c>
      <c r="F4" s="106" t="s">
        <v>90</v>
      </c>
      <c r="G4" s="33" t="s">
        <v>106</v>
      </c>
      <c r="H4" s="34" t="s">
        <v>112</v>
      </c>
      <c r="I4" s="7"/>
    </row>
    <row r="5" spans="1:10" s="35" customFormat="1" ht="11.25" customHeight="1" x14ac:dyDescent="0.2">
      <c r="A5" s="86" t="s">
        <v>51</v>
      </c>
      <c r="B5" s="38" t="s">
        <v>116</v>
      </c>
      <c r="C5" s="38" t="s">
        <v>116</v>
      </c>
      <c r="D5" s="38" t="s">
        <v>116</v>
      </c>
      <c r="E5" s="38" t="s">
        <v>116</v>
      </c>
      <c r="F5" s="38" t="s">
        <v>116</v>
      </c>
      <c r="G5" s="38" t="s">
        <v>116</v>
      </c>
      <c r="H5" s="39" t="s">
        <v>116</v>
      </c>
      <c r="I5" s="149"/>
    </row>
    <row r="6" spans="1:10" x14ac:dyDescent="0.2">
      <c r="A6" s="41" t="s">
        <v>54</v>
      </c>
      <c r="B6" s="150">
        <f>ATB_Total!C7/ATB_Total!$H7</f>
        <v>0.66102174223548604</v>
      </c>
      <c r="C6" s="150">
        <f>ATB_Total!D7/ATB_Total!$H7</f>
        <v>3.4303322219433816E-2</v>
      </c>
      <c r="D6" s="150">
        <f>ATB_Total!E7/ATB_Total!$H7</f>
        <v>9.5303100066646898E-2</v>
      </c>
      <c r="E6" s="150">
        <f>LE!B9/ATB_Total!$H7</f>
        <v>0.20018771605567381</v>
      </c>
      <c r="F6" s="150">
        <f>LE!C9/ATB_Total!$H7</f>
        <v>1.0442269721126926E-2</v>
      </c>
      <c r="G6" s="150">
        <f>ATB_Total!G7/ATB_Total!$H7</f>
        <v>-1.2581502983675548E-3</v>
      </c>
      <c r="H6" s="151">
        <f t="shared" ref="H6:H32" si="0">SUM(B6:G6)</f>
        <v>0.99999999999999978</v>
      </c>
      <c r="I6" s="152" t="s">
        <v>54</v>
      </c>
      <c r="J6" s="138"/>
    </row>
    <row r="7" spans="1:10" x14ac:dyDescent="0.2">
      <c r="A7" s="45" t="s">
        <v>55</v>
      </c>
      <c r="B7" s="153">
        <f>ATB_Total!C8/ATB_Total!$H8</f>
        <v>0.67678107890170658</v>
      </c>
      <c r="C7" s="153">
        <f>ATB_Total!D8/ATB_Total!$H8</f>
        <v>2.6367005732550356E-2</v>
      </c>
      <c r="D7" s="153">
        <f>ATB_Total!E8/ATB_Total!$H8</f>
        <v>9.3461256914540533E-2</v>
      </c>
      <c r="E7" s="153">
        <f>LE!B10/ATB_Total!$H8</f>
        <v>0.20013375154180105</v>
      </c>
      <c r="F7" s="153">
        <f>LE!C10/ATB_Total!$H8</f>
        <v>4.6495810130918235E-3</v>
      </c>
      <c r="G7" s="153">
        <f>ATB_Total!G8/ATB_Total!$H8</f>
        <v>-1.3926741036903527E-3</v>
      </c>
      <c r="H7" s="154">
        <f t="shared" si="0"/>
        <v>0.99999999999999989</v>
      </c>
      <c r="I7" s="155" t="s">
        <v>55</v>
      </c>
      <c r="J7" s="138"/>
    </row>
    <row r="8" spans="1:10" x14ac:dyDescent="0.2">
      <c r="A8" s="48" t="s">
        <v>56</v>
      </c>
      <c r="B8" s="156">
        <f>ATB_Total!C9/ATB_Total!$H9</f>
        <v>0.65851291980944537</v>
      </c>
      <c r="C8" s="156">
        <f>ATB_Total!D9/ATB_Total!$H9</f>
        <v>2.6419540490244073E-2</v>
      </c>
      <c r="D8" s="156">
        <f>ATB_Total!E9/ATB_Total!$H9</f>
        <v>9.5693942937265339E-2</v>
      </c>
      <c r="E8" s="156">
        <f>LE!B11/ATB_Total!$H9</f>
        <v>0.20688728090168512</v>
      </c>
      <c r="F8" s="156">
        <f>LE!C11/ATB_Total!$H9</f>
        <v>1.3851874338597489E-2</v>
      </c>
      <c r="G8" s="156">
        <f>ATB_Total!G9/ATB_Total!$H9</f>
        <v>-1.3655584772376396E-3</v>
      </c>
      <c r="H8" s="157">
        <f t="shared" si="0"/>
        <v>0.99999999999999978</v>
      </c>
      <c r="I8" s="158" t="s">
        <v>56</v>
      </c>
      <c r="J8" s="138"/>
    </row>
    <row r="9" spans="1:10" x14ac:dyDescent="0.2">
      <c r="A9" s="45" t="s">
        <v>57</v>
      </c>
      <c r="B9" s="153">
        <f>ATB_Total!C10/ATB_Total!$H10</f>
        <v>0.63358400381807822</v>
      </c>
      <c r="C9" s="153">
        <f>ATB_Total!D10/ATB_Total!$H10</f>
        <v>3.9328848387787253E-2</v>
      </c>
      <c r="D9" s="153">
        <f>ATB_Total!E10/ATB_Total!$H10</f>
        <v>0.11669508177172933</v>
      </c>
      <c r="E9" s="153">
        <f>LE!B12/ATB_Total!$H10</f>
        <v>0.20478809408741855</v>
      </c>
      <c r="F9" s="153">
        <f>LE!C12/ATB_Total!$H10</f>
        <v>1.5789310001621515E-3</v>
      </c>
      <c r="G9" s="153">
        <f>ATB_Total!G10/ATB_Total!$H10</f>
        <v>4.0250409348244545E-3</v>
      </c>
      <c r="H9" s="154">
        <f t="shared" si="0"/>
        <v>0.99999999999999989</v>
      </c>
      <c r="I9" s="155" t="s">
        <v>57</v>
      </c>
      <c r="J9" s="138"/>
    </row>
    <row r="10" spans="1:10" x14ac:dyDescent="0.2">
      <c r="A10" s="48" t="s">
        <v>58</v>
      </c>
      <c r="B10" s="156">
        <f>ATB_Total!C11/ATB_Total!$H11</f>
        <v>0.70710131653755326</v>
      </c>
      <c r="C10" s="156">
        <f>ATB_Total!D11/ATB_Total!$H11</f>
        <v>1.4772600481591255E-2</v>
      </c>
      <c r="D10" s="156">
        <f>ATB_Total!E11/ATB_Total!$H11</f>
        <v>0.1480150813448475</v>
      </c>
      <c r="E10" s="156">
        <f>LE!B13/ATB_Total!$H11</f>
        <v>0.11730787621153844</v>
      </c>
      <c r="F10" s="156">
        <f>LE!C13/ATB_Total!$H11</f>
        <v>1.2429204110153965E-2</v>
      </c>
      <c r="G10" s="156">
        <f>ATB_Total!G11/ATB_Total!$H11</f>
        <v>3.7392131431556114E-4</v>
      </c>
      <c r="H10" s="157">
        <f t="shared" si="0"/>
        <v>1</v>
      </c>
      <c r="I10" s="158" t="s">
        <v>58</v>
      </c>
      <c r="J10" s="138"/>
    </row>
    <row r="11" spans="1:10" x14ac:dyDescent="0.2">
      <c r="A11" s="45" t="s">
        <v>59</v>
      </c>
      <c r="B11" s="153">
        <f>ATB_Total!C12/ATB_Total!$H12</f>
        <v>0.62113892191970366</v>
      </c>
      <c r="C11" s="153">
        <f>ATB_Total!D12/ATB_Total!$H12</f>
        <v>2.9393769598939218E-2</v>
      </c>
      <c r="D11" s="153">
        <f>ATB_Total!E12/ATB_Total!$H12</f>
        <v>0.11507008073852316</v>
      </c>
      <c r="E11" s="153">
        <f>LE!B14/ATB_Total!$H12</f>
        <v>0.22616376766366372</v>
      </c>
      <c r="F11" s="153">
        <f>LE!C14/ATB_Total!$H12</f>
        <v>5.5138619974694622E-3</v>
      </c>
      <c r="G11" s="153">
        <f>ATB_Total!G12/ATB_Total!$H12</f>
        <v>2.7195980817007188E-3</v>
      </c>
      <c r="H11" s="154">
        <f t="shared" si="0"/>
        <v>1</v>
      </c>
      <c r="I11" s="155" t="s">
        <v>59</v>
      </c>
      <c r="J11" s="138"/>
    </row>
    <row r="12" spans="1:10" x14ac:dyDescent="0.2">
      <c r="A12" s="48" t="s">
        <v>60</v>
      </c>
      <c r="B12" s="156">
        <f>ATB_Total!C13/ATB_Total!$H13</f>
        <v>0.61772442472532774</v>
      </c>
      <c r="C12" s="156">
        <f>ATB_Total!D13/ATB_Total!$H13</f>
        <v>1.4559514940568745E-2</v>
      </c>
      <c r="D12" s="156">
        <f>ATB_Total!E13/ATB_Total!$H13</f>
        <v>0.1858401476646844</v>
      </c>
      <c r="E12" s="156">
        <f>LE!B15/ATB_Total!$H13</f>
        <v>0.17296352654655842</v>
      </c>
      <c r="F12" s="156">
        <f>LE!C15/ATB_Total!$H13</f>
        <v>6.9260393066754387E-3</v>
      </c>
      <c r="G12" s="156">
        <f>ATB_Total!G13/ATB_Total!$H13</f>
        <v>1.9863468161851277E-3</v>
      </c>
      <c r="H12" s="157">
        <f t="shared" si="0"/>
        <v>0.99999999999999989</v>
      </c>
      <c r="I12" s="158" t="s">
        <v>60</v>
      </c>
      <c r="J12" s="138"/>
    </row>
    <row r="13" spans="1:10" x14ac:dyDescent="0.2">
      <c r="A13" s="45" t="s">
        <v>61</v>
      </c>
      <c r="B13" s="153">
        <f>ATB_Total!C14/ATB_Total!$H14</f>
        <v>0.64521803088602347</v>
      </c>
      <c r="C13" s="153">
        <f>ATB_Total!D14/ATB_Total!$H14</f>
        <v>5.0136547987620836E-2</v>
      </c>
      <c r="D13" s="153">
        <f>ATB_Total!E14/ATB_Total!$H14</f>
        <v>0.10794741441322042</v>
      </c>
      <c r="E13" s="153">
        <f>LE!B16/ATB_Total!$H14</f>
        <v>0.18306258779572304</v>
      </c>
      <c r="F13" s="153">
        <f>LE!C16/ATB_Total!$H14</f>
        <v>7.5461691180660709E-3</v>
      </c>
      <c r="G13" s="153">
        <f>ATB_Total!G14/ATB_Total!$H14</f>
        <v>6.0892497993462347E-3</v>
      </c>
      <c r="H13" s="154">
        <f t="shared" si="0"/>
        <v>1</v>
      </c>
      <c r="I13" s="155" t="s">
        <v>61</v>
      </c>
      <c r="J13" s="138"/>
    </row>
    <row r="14" spans="1:10" x14ac:dyDescent="0.2">
      <c r="A14" s="48" t="s">
        <v>62</v>
      </c>
      <c r="B14" s="156">
        <f>ATB_Total!C15/ATB_Total!$H15</f>
        <v>0.60253624375641024</v>
      </c>
      <c r="C14" s="156">
        <f>ATB_Total!D15/ATB_Total!$H15</f>
        <v>2.248656344403353E-2</v>
      </c>
      <c r="D14" s="156">
        <f>ATB_Total!E15/ATB_Total!$H15</f>
        <v>6.986793007436895E-2</v>
      </c>
      <c r="E14" s="156">
        <f>LE!B17/ATB_Total!$H15</f>
        <v>0.19430366002389385</v>
      </c>
      <c r="F14" s="156">
        <f>LE!C17/ATB_Total!$H15</f>
        <v>0.11034494173017875</v>
      </c>
      <c r="G14" s="156">
        <f>ATB_Total!G15/ATB_Total!$H15</f>
        <v>4.6066097111455433E-4</v>
      </c>
      <c r="H14" s="157">
        <f t="shared" si="0"/>
        <v>0.99999999999999989</v>
      </c>
      <c r="I14" s="158" t="s">
        <v>62</v>
      </c>
      <c r="J14" s="138"/>
    </row>
    <row r="15" spans="1:10" x14ac:dyDescent="0.2">
      <c r="A15" s="45" t="s">
        <v>63</v>
      </c>
      <c r="B15" s="153">
        <f>ATB_Total!C16/ATB_Total!$H16</f>
        <v>0.64683857678550838</v>
      </c>
      <c r="C15" s="153">
        <f>ATB_Total!D16/ATB_Total!$H16</f>
        <v>3.10111135353969E-2</v>
      </c>
      <c r="D15" s="153">
        <f>ATB_Total!E16/ATB_Total!$H16</f>
        <v>5.4075605657122591E-2</v>
      </c>
      <c r="E15" s="153">
        <f>LE!B18/ATB_Total!$H16</f>
        <v>0.21735896962397644</v>
      </c>
      <c r="F15" s="153">
        <f>LE!C18/ATB_Total!$H16</f>
        <v>5.7208741007870892E-2</v>
      </c>
      <c r="G15" s="153">
        <f>ATB_Total!G16/ATB_Total!$H16</f>
        <v>-6.4930066098751182E-3</v>
      </c>
      <c r="H15" s="154">
        <f t="shared" si="0"/>
        <v>1</v>
      </c>
      <c r="I15" s="155" t="s">
        <v>63</v>
      </c>
      <c r="J15" s="138"/>
    </row>
    <row r="16" spans="1:10" x14ac:dyDescent="0.2">
      <c r="A16" s="48" t="s">
        <v>64</v>
      </c>
      <c r="B16" s="156">
        <f>ATB_Total!C17/ATB_Total!$H17</f>
        <v>0.7269493976028395</v>
      </c>
      <c r="C16" s="156">
        <f>ATB_Total!D17/ATB_Total!$H17</f>
        <v>2.5592918339902536E-2</v>
      </c>
      <c r="D16" s="156">
        <f>ATB_Total!E17/ATB_Total!$H17</f>
        <v>5.0660391098914827E-2</v>
      </c>
      <c r="E16" s="156">
        <f>LE!B19/ATB_Total!$H17</f>
        <v>0.19143097016764055</v>
      </c>
      <c r="F16" s="156">
        <f>LE!C19/ATB_Total!$H17</f>
        <v>2.6084715536905533E-3</v>
      </c>
      <c r="G16" s="156">
        <f>ATB_Total!G17/ATB_Total!$H17</f>
        <v>2.7578512370120796E-3</v>
      </c>
      <c r="H16" s="157">
        <f t="shared" si="0"/>
        <v>1</v>
      </c>
      <c r="I16" s="158" t="s">
        <v>64</v>
      </c>
      <c r="J16" s="138"/>
    </row>
    <row r="17" spans="1:10" x14ac:dyDescent="0.2">
      <c r="A17" s="45" t="s">
        <v>65</v>
      </c>
      <c r="B17" s="153">
        <f>ATB_Total!C18/ATB_Total!$H18</f>
        <v>0.53041856324244963</v>
      </c>
      <c r="C17" s="153">
        <f>ATB_Total!D18/ATB_Total!$H18</f>
        <v>7.9785895160232559E-2</v>
      </c>
      <c r="D17" s="153">
        <f>ATB_Total!E18/ATB_Total!$H18</f>
        <v>8.0332535526102034E-2</v>
      </c>
      <c r="E17" s="153">
        <f>LE!B20/ATB_Total!$H18</f>
        <v>0.16325924597428323</v>
      </c>
      <c r="F17" s="153">
        <f>LE!C20/ATB_Total!$H18</f>
        <v>0.15170227016999854</v>
      </c>
      <c r="G17" s="153">
        <f>ATB_Total!G18/ATB_Total!$H18</f>
        <v>-5.4985100730660591E-3</v>
      </c>
      <c r="H17" s="154">
        <f t="shared" si="0"/>
        <v>1</v>
      </c>
      <c r="I17" s="155" t="s">
        <v>65</v>
      </c>
      <c r="J17" s="138"/>
    </row>
    <row r="18" spans="1:10" x14ac:dyDescent="0.2">
      <c r="A18" s="48" t="s">
        <v>66</v>
      </c>
      <c r="B18" s="156">
        <f>ATB_Total!C19/ATB_Total!$H19</f>
        <v>0.74491262238018585</v>
      </c>
      <c r="C18" s="156">
        <f>ATB_Total!D19/ATB_Total!$H19</f>
        <v>4.3415045590660895E-2</v>
      </c>
      <c r="D18" s="156">
        <f>ATB_Total!E19/ATB_Total!$H19</f>
        <v>6.2726077045125714E-2</v>
      </c>
      <c r="E18" s="156">
        <f>LE!B21/ATB_Total!$H19</f>
        <v>0.13557729922393547</v>
      </c>
      <c r="F18" s="156">
        <f>LE!C21/ATB_Total!$H19</f>
        <v>1.8373924865412228E-2</v>
      </c>
      <c r="G18" s="156">
        <f>ATB_Total!G19/ATB_Total!$H19</f>
        <v>-5.0049691053202202E-3</v>
      </c>
      <c r="H18" s="157">
        <f t="shared" si="0"/>
        <v>0.99999999999999978</v>
      </c>
      <c r="I18" s="158" t="s">
        <v>66</v>
      </c>
      <c r="J18" s="138"/>
    </row>
    <row r="19" spans="1:10" x14ac:dyDescent="0.2">
      <c r="A19" s="45" t="s">
        <v>67</v>
      </c>
      <c r="B19" s="153">
        <f>ATB_Total!C20/ATB_Total!$H20</f>
        <v>0.50597654524313773</v>
      </c>
      <c r="C19" s="153">
        <f>ATB_Total!D20/ATB_Total!$H20</f>
        <v>6.48157108977922E-2</v>
      </c>
      <c r="D19" s="153">
        <f>ATB_Total!E20/ATB_Total!$H20</f>
        <v>6.7847803318352731E-2</v>
      </c>
      <c r="E19" s="153">
        <f>LE!B22/ATB_Total!$H20</f>
        <v>0.30006446972223966</v>
      </c>
      <c r="F19" s="153">
        <f>LE!C22/ATB_Total!$H20</f>
        <v>6.1310025978153201E-2</v>
      </c>
      <c r="G19" s="153">
        <f>ATB_Total!G20/ATB_Total!$H20</f>
        <v>-1.455515967564969E-5</v>
      </c>
      <c r="H19" s="154">
        <f t="shared" si="0"/>
        <v>0.99999999999999989</v>
      </c>
      <c r="I19" s="155" t="s">
        <v>67</v>
      </c>
      <c r="J19" s="138"/>
    </row>
    <row r="20" spans="1:10" x14ac:dyDescent="0.2">
      <c r="A20" s="48" t="s">
        <v>68</v>
      </c>
      <c r="B20" s="156">
        <f>ATB_Total!C21/ATB_Total!$H21</f>
        <v>0.63682865885856033</v>
      </c>
      <c r="C20" s="156">
        <f>ATB_Total!D21/ATB_Total!$H21</f>
        <v>2.8447693862264305E-2</v>
      </c>
      <c r="D20" s="156">
        <f>ATB_Total!E21/ATB_Total!$H21</f>
        <v>0.12115705758644559</v>
      </c>
      <c r="E20" s="156">
        <f>LE!B23/ATB_Total!$H21</f>
        <v>0.21568746568772115</v>
      </c>
      <c r="F20" s="156">
        <f>LE!C23/ATB_Total!$H21</f>
        <v>1.6727898926862158E-3</v>
      </c>
      <c r="G20" s="156">
        <f>ATB_Total!G21/ATB_Total!$H21</f>
        <v>-3.7936658876776526E-3</v>
      </c>
      <c r="H20" s="157">
        <f t="shared" si="0"/>
        <v>1</v>
      </c>
      <c r="I20" s="158" t="s">
        <v>68</v>
      </c>
      <c r="J20" s="138"/>
    </row>
    <row r="21" spans="1:10" x14ac:dyDescent="0.2">
      <c r="A21" s="45" t="s">
        <v>69</v>
      </c>
      <c r="B21" s="153">
        <f>ATB_Total!C22/ATB_Total!$H22</f>
        <v>0.64055982928096378</v>
      </c>
      <c r="C21" s="153">
        <f>ATB_Total!D22/ATB_Total!$H22</f>
        <v>1.8485944252168072E-2</v>
      </c>
      <c r="D21" s="153">
        <f>ATB_Total!E22/ATB_Total!$H22</f>
        <v>0.13933604680743483</v>
      </c>
      <c r="E21" s="153">
        <f>LE!B24/ATB_Total!$H22</f>
        <v>0.17078053858665937</v>
      </c>
      <c r="F21" s="153">
        <f>LE!C24/ATB_Total!$H22</f>
        <v>2.8379754408510212E-2</v>
      </c>
      <c r="G21" s="153">
        <f>ATB_Total!G22/ATB_Total!$H22</f>
        <v>2.4578866642638538E-3</v>
      </c>
      <c r="H21" s="154">
        <f t="shared" si="0"/>
        <v>1.0000000000000002</v>
      </c>
      <c r="I21" s="155" t="s">
        <v>69</v>
      </c>
      <c r="J21" s="138"/>
    </row>
    <row r="22" spans="1:10" x14ac:dyDescent="0.2">
      <c r="A22" s="48" t="s">
        <v>70</v>
      </c>
      <c r="B22" s="156">
        <f>ATB_Total!C23/ATB_Total!$H23</f>
        <v>0.60508267084950995</v>
      </c>
      <c r="C22" s="156">
        <f>ATB_Total!D23/ATB_Total!$H23</f>
        <v>3.8412246486317234E-2</v>
      </c>
      <c r="D22" s="156">
        <f>ATB_Total!E23/ATB_Total!$H23</f>
        <v>0.10271954176910608</v>
      </c>
      <c r="E22" s="156">
        <f>LE!B25/ATB_Total!$H23</f>
        <v>0.23454474335958278</v>
      </c>
      <c r="F22" s="156">
        <f>LE!C25/ATB_Total!$H23</f>
        <v>1.6531419777686056E-2</v>
      </c>
      <c r="G22" s="156">
        <f>ATB_Total!G23/ATB_Total!$H23</f>
        <v>2.7093777577978152E-3</v>
      </c>
      <c r="H22" s="157">
        <f t="shared" si="0"/>
        <v>0.99999999999999989</v>
      </c>
      <c r="I22" s="158" t="s">
        <v>70</v>
      </c>
      <c r="J22" s="138"/>
    </row>
    <row r="23" spans="1:10" x14ac:dyDescent="0.2">
      <c r="A23" s="45" t="s">
        <v>71</v>
      </c>
      <c r="B23" s="153">
        <f>ATB_Total!C24/ATB_Total!$H24</f>
        <v>0.62461281783715894</v>
      </c>
      <c r="C23" s="153">
        <f>ATB_Total!D24/ATB_Total!$H24</f>
        <v>6.970330401702067E-2</v>
      </c>
      <c r="D23" s="153">
        <f>ATB_Total!E24/ATB_Total!$H24</f>
        <v>0.14295095118796181</v>
      </c>
      <c r="E23" s="153">
        <f>LE!B26/ATB_Total!$H24</f>
        <v>0.14774820402601962</v>
      </c>
      <c r="F23" s="153">
        <f>LE!C26/ATB_Total!$H24</f>
        <v>5.6264844184367203E-3</v>
      </c>
      <c r="G23" s="153">
        <f>ATB_Total!G24/ATB_Total!$H24</f>
        <v>9.3582385134023047E-3</v>
      </c>
      <c r="H23" s="154">
        <f t="shared" si="0"/>
        <v>1</v>
      </c>
      <c r="I23" s="155" t="s">
        <v>71</v>
      </c>
      <c r="J23" s="138"/>
    </row>
    <row r="24" spans="1:10" x14ac:dyDescent="0.2">
      <c r="A24" s="48" t="s">
        <v>72</v>
      </c>
      <c r="B24" s="156">
        <f>ATB_Total!C25/ATB_Total!$H25</f>
        <v>0.65927578697750056</v>
      </c>
      <c r="C24" s="156">
        <f>ATB_Total!D25/ATB_Total!$H25</f>
        <v>3.1737550900161879E-2</v>
      </c>
      <c r="D24" s="156">
        <f>ATB_Total!E25/ATB_Total!$H25</f>
        <v>8.2435661641437369E-2</v>
      </c>
      <c r="E24" s="156">
        <f>LE!B27/ATB_Total!$H25</f>
        <v>0.22041362610053139</v>
      </c>
      <c r="F24" s="156">
        <f>LE!C27/ATB_Total!$H25</f>
        <v>1.2551601432783455E-3</v>
      </c>
      <c r="G24" s="156">
        <f>ATB_Total!G25/ATB_Total!$H25</f>
        <v>4.8822142370904317E-3</v>
      </c>
      <c r="H24" s="157">
        <f t="shared" si="0"/>
        <v>0.99999999999999989</v>
      </c>
      <c r="I24" s="158" t="s">
        <v>72</v>
      </c>
      <c r="J24" s="138"/>
    </row>
    <row r="25" spans="1:10" x14ac:dyDescent="0.2">
      <c r="A25" s="45" t="s">
        <v>73</v>
      </c>
      <c r="B25" s="153">
        <f>ATB_Total!C26/ATB_Total!$H26</f>
        <v>0.6597142952990438</v>
      </c>
      <c r="C25" s="153">
        <f>ATB_Total!D26/ATB_Total!$H26</f>
        <v>4.22795658122843E-2</v>
      </c>
      <c r="D25" s="153">
        <f>ATB_Total!E26/ATB_Total!$H26</f>
        <v>0.10161525214259043</v>
      </c>
      <c r="E25" s="153">
        <f>LE!B28/ATB_Total!$H26</f>
        <v>0.19829159554537315</v>
      </c>
      <c r="F25" s="153">
        <f>LE!C28/ATB_Total!$H26</f>
        <v>2.0096279565466639E-3</v>
      </c>
      <c r="G25" s="153">
        <f>ATB_Total!G26/ATB_Total!$H26</f>
        <v>-3.9103367558384859E-3</v>
      </c>
      <c r="H25" s="154">
        <f t="shared" si="0"/>
        <v>0.99999999999999989</v>
      </c>
      <c r="I25" s="155" t="s">
        <v>73</v>
      </c>
      <c r="J25" s="138"/>
    </row>
    <row r="26" spans="1:10" x14ac:dyDescent="0.2">
      <c r="A26" s="48" t="s">
        <v>74</v>
      </c>
      <c r="B26" s="156">
        <f>ATB_Total!C27/ATB_Total!$H27</f>
        <v>0.61150085090798401</v>
      </c>
      <c r="C26" s="156">
        <f>ATB_Total!D27/ATB_Total!$H27</f>
        <v>8.4212820172772443E-2</v>
      </c>
      <c r="D26" s="156">
        <f>ATB_Total!E27/ATB_Total!$H27</f>
        <v>7.3331914995165115E-2</v>
      </c>
      <c r="E26" s="156">
        <f>LE!B29/ATB_Total!$H27</f>
        <v>0.22040744630226192</v>
      </c>
      <c r="F26" s="156">
        <f>LE!C29/ATB_Total!$H27</f>
        <v>7.3039323499890134E-3</v>
      </c>
      <c r="G26" s="156">
        <f>ATB_Total!G27/ATB_Total!$H27</f>
        <v>3.2430352718275227E-3</v>
      </c>
      <c r="H26" s="157">
        <f t="shared" si="0"/>
        <v>1</v>
      </c>
      <c r="I26" s="158" t="s">
        <v>74</v>
      </c>
      <c r="J26" s="138"/>
    </row>
    <row r="27" spans="1:10" x14ac:dyDescent="0.2">
      <c r="A27" s="45" t="s">
        <v>75</v>
      </c>
      <c r="B27" s="153">
        <f>ATB_Total!C28/ATB_Total!$H28</f>
        <v>0.63574581534995223</v>
      </c>
      <c r="C27" s="153">
        <f>ATB_Total!D28/ATB_Total!$H28</f>
        <v>5.0609509074235413E-2</v>
      </c>
      <c r="D27" s="153">
        <f>ATB_Total!E28/ATB_Total!$H28</f>
        <v>7.1895935191596164E-2</v>
      </c>
      <c r="E27" s="153">
        <f>LE!B30/ATB_Total!$H28</f>
        <v>0.15253486077816863</v>
      </c>
      <c r="F27" s="153">
        <f>LE!C30/ATB_Total!$H28</f>
        <v>8.9372393640112957E-2</v>
      </c>
      <c r="G27" s="153">
        <f>ATB_Total!G28/ATB_Total!$H28</f>
        <v>-1.5851403406522195E-4</v>
      </c>
      <c r="H27" s="154">
        <f t="shared" si="0"/>
        <v>1.0000000000000002</v>
      </c>
      <c r="I27" s="155" t="s">
        <v>75</v>
      </c>
      <c r="J27" s="138"/>
    </row>
    <row r="28" spans="1:10" x14ac:dyDescent="0.2">
      <c r="A28" s="48" t="s">
        <v>76</v>
      </c>
      <c r="B28" s="156">
        <f>ATB_Total!C29/ATB_Total!$H29</f>
        <v>0.67732744463558514</v>
      </c>
      <c r="C28" s="156">
        <f>ATB_Total!D29/ATB_Total!$H29</f>
        <v>5.7728464340587426E-2</v>
      </c>
      <c r="D28" s="156">
        <f>ATB_Total!E29/ATB_Total!$H29</f>
        <v>8.7677015942816836E-2</v>
      </c>
      <c r="E28" s="156">
        <f>LE!B31/ATB_Total!$H29</f>
        <v>0.17052992627001795</v>
      </c>
      <c r="F28" s="156">
        <f>LE!C31/ATB_Total!$H29</f>
        <v>1.8393103343904364E-3</v>
      </c>
      <c r="G28" s="156">
        <f>ATB_Total!G29/ATB_Total!$H29</f>
        <v>4.8978384766022601E-3</v>
      </c>
      <c r="H28" s="157">
        <f t="shared" si="0"/>
        <v>1</v>
      </c>
      <c r="I28" s="158" t="s">
        <v>76</v>
      </c>
      <c r="J28" s="138"/>
    </row>
    <row r="29" spans="1:10" x14ac:dyDescent="0.2">
      <c r="A29" s="45" t="s">
        <v>77</v>
      </c>
      <c r="B29" s="153">
        <f>ATB_Total!C30/ATB_Total!$H30</f>
        <v>0.52833787228670337</v>
      </c>
      <c r="C29" s="153">
        <f>ATB_Total!D30/ATB_Total!$H30</f>
        <v>4.5431144400784267E-2</v>
      </c>
      <c r="D29" s="153">
        <f>ATB_Total!E30/ATB_Total!$H30</f>
        <v>4.6462838118935978E-2</v>
      </c>
      <c r="E29" s="153">
        <f>LE!B32/ATB_Total!$H30</f>
        <v>0.16578078172912067</v>
      </c>
      <c r="F29" s="153">
        <f>LE!C32/ATB_Total!$H30</f>
        <v>0.21255331216959109</v>
      </c>
      <c r="G29" s="153">
        <f>ATB_Total!G30/ATB_Total!$H30</f>
        <v>1.4340512948645243E-3</v>
      </c>
      <c r="H29" s="154">
        <f t="shared" si="0"/>
        <v>0.99999999999999989</v>
      </c>
      <c r="I29" s="155" t="s">
        <v>77</v>
      </c>
      <c r="J29" s="138"/>
    </row>
    <row r="30" spans="1:10" x14ac:dyDescent="0.2">
      <c r="A30" s="48" t="s">
        <v>78</v>
      </c>
      <c r="B30" s="156">
        <f>ATB_Total!C31/ATB_Total!$H31</f>
        <v>0.56551040747449255</v>
      </c>
      <c r="C30" s="156">
        <f>ATB_Total!D31/ATB_Total!$H31</f>
        <v>0.11174344405089903</v>
      </c>
      <c r="D30" s="156">
        <f>ATB_Total!E31/ATB_Total!$H31</f>
        <v>6.0471775818236588E-2</v>
      </c>
      <c r="E30" s="156">
        <f>LE!B33/ATB_Total!$H31</f>
        <v>0.20075435081271628</v>
      </c>
      <c r="F30" s="156">
        <f>LE!C33/ATB_Total!$H31</f>
        <v>5.9890834696625796E-2</v>
      </c>
      <c r="G30" s="156">
        <f>ATB_Total!G31/ATB_Total!$H31</f>
        <v>1.629187147029771E-3</v>
      </c>
      <c r="H30" s="157">
        <f t="shared" si="0"/>
        <v>1.0000000000000002</v>
      </c>
      <c r="I30" s="158" t="s">
        <v>78</v>
      </c>
      <c r="J30" s="138"/>
    </row>
    <row r="31" spans="1:10" x14ac:dyDescent="0.2">
      <c r="A31" s="45" t="s">
        <v>79</v>
      </c>
      <c r="B31" s="153">
        <f>ATB_Total!C32/ATB_Total!$H32</f>
        <v>0.61665983516999812</v>
      </c>
      <c r="C31" s="153">
        <f>ATB_Total!D32/ATB_Total!$H32</f>
        <v>5.6787912898161694E-2</v>
      </c>
      <c r="D31" s="153">
        <f>ATB_Total!E32/ATB_Total!$H32</f>
        <v>5.9141634303993509E-2</v>
      </c>
      <c r="E31" s="153">
        <f>LE!B34/ATB_Total!$H32</f>
        <v>0.25696118174052618</v>
      </c>
      <c r="F31" s="153">
        <f>LE!C34/ATB_Total!$H32</f>
        <v>8.3569103855159425E-3</v>
      </c>
      <c r="G31" s="153">
        <f>ATB_Total!G32/ATB_Total!$H32</f>
        <v>2.0925255018045493E-3</v>
      </c>
      <c r="H31" s="154">
        <f t="shared" si="0"/>
        <v>0.99999999999999989</v>
      </c>
      <c r="I31" s="159" t="s">
        <v>79</v>
      </c>
      <c r="J31" s="138"/>
    </row>
    <row r="32" spans="1:10" x14ac:dyDescent="0.2">
      <c r="A32" s="53" t="s">
        <v>80</v>
      </c>
      <c r="B32" s="160">
        <f>ATB_Total!C33/ATB_Total!$H33</f>
        <v>0.64056193532316696</v>
      </c>
      <c r="C32" s="160">
        <f>ATB_Total!D33/ATB_Total!$H33</f>
        <v>4.5490157289081401E-2</v>
      </c>
      <c r="D32" s="160">
        <f>ATB_Total!E33/ATB_Total!$H33</f>
        <v>8.6190467897299519E-2</v>
      </c>
      <c r="E32" s="160">
        <f>LE!B35/ATB_Total!$H33</f>
        <v>0.19231768932064996</v>
      </c>
      <c r="F32" s="160">
        <f>LE!C35/ATB_Total!$H33</f>
        <v>3.5295221684286136E-2</v>
      </c>
      <c r="G32" s="160">
        <f>ATB_Total!G33/ATB_Total!$H33</f>
        <v>1.4452848551593317E-4</v>
      </c>
      <c r="H32" s="161">
        <f t="shared" si="0"/>
        <v>1</v>
      </c>
      <c r="I32" s="162" t="s">
        <v>80</v>
      </c>
      <c r="J32" s="138"/>
    </row>
    <row r="33" spans="1:7" x14ac:dyDescent="0.2">
      <c r="A33" s="163"/>
    </row>
    <row r="34" spans="1:7" x14ac:dyDescent="0.2">
      <c r="A34" s="174" t="s">
        <v>117</v>
      </c>
      <c r="B34" s="164">
        <f t="shared" ref="B34:G34" si="1">MIN(B6:B32)</f>
        <v>0.50597654524313773</v>
      </c>
      <c r="C34" s="164">
        <f t="shared" si="1"/>
        <v>1.4559514940568745E-2</v>
      </c>
      <c r="D34" s="164">
        <f t="shared" si="1"/>
        <v>4.6462838118935978E-2</v>
      </c>
      <c r="E34" s="164">
        <f t="shared" si="1"/>
        <v>0.11730787621153844</v>
      </c>
      <c r="F34" s="164">
        <f t="shared" si="1"/>
        <v>1.2551601432783455E-3</v>
      </c>
      <c r="G34" s="165">
        <f t="shared" si="1"/>
        <v>-6.4930066098751182E-3</v>
      </c>
    </row>
    <row r="35" spans="1:7" x14ac:dyDescent="0.2">
      <c r="A35" s="175"/>
      <c r="B35" s="166" t="str">
        <f>VLOOKUP(B34,B$6:$I$32,B$36,FALSE)</f>
        <v>Schaffhausen</v>
      </c>
      <c r="C35" s="166" t="str">
        <f>VLOOKUP(C34,C$6:$I$32,C$36,FALSE)</f>
        <v>Nidwalden</v>
      </c>
      <c r="D35" s="166" t="str">
        <f>VLOOKUP(D34,D$6:$I$32,D$36,FALSE)</f>
        <v>Neuchâtel</v>
      </c>
      <c r="E35" s="166" t="str">
        <f>VLOOKUP(E34,E$6:$I$32,E$36,FALSE)</f>
        <v>Schwyz</v>
      </c>
      <c r="F35" s="166" t="str">
        <f>VLOOKUP(F34,F$6:$I$32,F$36,FALSE)</f>
        <v>Aargau</v>
      </c>
      <c r="G35" s="167" t="str">
        <f>VLOOKUP(G34,G$6:$I$32,G$36,FALSE)</f>
        <v>Fribourg</v>
      </c>
    </row>
    <row r="36" spans="1:7" ht="3.75" customHeight="1" x14ac:dyDescent="0.2">
      <c r="A36" s="168"/>
      <c r="B36" s="169">
        <v>8</v>
      </c>
      <c r="C36" s="169">
        <v>7</v>
      </c>
      <c r="D36" s="169">
        <v>6</v>
      </c>
      <c r="E36" s="169">
        <v>5</v>
      </c>
      <c r="F36" s="169">
        <v>4</v>
      </c>
      <c r="G36" s="169">
        <v>3</v>
      </c>
    </row>
    <row r="37" spans="1:7" x14ac:dyDescent="0.2">
      <c r="A37" s="174" t="s">
        <v>118</v>
      </c>
      <c r="B37" s="164">
        <f t="shared" ref="B37:G37" si="2">MAX(B6:B31)</f>
        <v>0.74491262238018585</v>
      </c>
      <c r="C37" s="164">
        <f t="shared" si="2"/>
        <v>0.11174344405089903</v>
      </c>
      <c r="D37" s="164">
        <f t="shared" si="2"/>
        <v>0.1858401476646844</v>
      </c>
      <c r="E37" s="164">
        <f t="shared" si="2"/>
        <v>0.30006446972223966</v>
      </c>
      <c r="F37" s="164">
        <f t="shared" si="2"/>
        <v>0.21255331216959109</v>
      </c>
      <c r="G37" s="165">
        <f t="shared" si="2"/>
        <v>9.3582385134023047E-3</v>
      </c>
    </row>
    <row r="38" spans="1:7" x14ac:dyDescent="0.2">
      <c r="A38" s="175"/>
      <c r="B38" s="166" t="str">
        <f>VLOOKUP(B37,B$6:$I$32,B$36,FALSE)</f>
        <v>Basel-Landschaft</v>
      </c>
      <c r="C38" s="166" t="str">
        <f>VLOOKUP(C37,C$6:$I$32,C$36,FALSE)</f>
        <v>Geneva</v>
      </c>
      <c r="D38" s="166" t="str">
        <f>VLOOKUP(D37,D$6:$I$32,D$36,FALSE)</f>
        <v>Nidwalden</v>
      </c>
      <c r="E38" s="166" t="str">
        <f>VLOOKUP(E37,E$6:$I$32,E$36,FALSE)</f>
        <v>Schaffhausen</v>
      </c>
      <c r="F38" s="166" t="str">
        <f>VLOOKUP(F37,F$6:$I$32,F$36,FALSE)</f>
        <v>Neuchâtel</v>
      </c>
      <c r="G38" s="167" t="str">
        <f>VLOOKUP(G37,G$6:$I$32,G$36,FALSE)</f>
        <v>Graubünden</v>
      </c>
    </row>
    <row r="40" spans="1:7" x14ac:dyDescent="0.2">
      <c r="G40" s="170"/>
    </row>
  </sheetData>
  <mergeCells count="2">
    <mergeCell ref="A34:A35"/>
    <mergeCell ref="A37:A38"/>
  </mergeCells>
  <conditionalFormatting sqref="C6:I28 C3:H3">
    <cfRule type="expression" dxfId="1" priority="1" stopIfTrue="1">
      <formula>ISBLANK(C3)</formula>
    </cfRule>
  </conditionalFormatting>
  <conditionalFormatting sqref="E4:F4">
    <cfRule type="expression" dxfId="0" priority="2" stopIfTrue="1">
      <formula>ISBLANK(A1073741823)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9" orientation="landscape" r:id="rId1"/>
  <headerFooter>
    <oddHeader>&amp;L&amp;F&amp;R&amp;A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PI</vt:lpstr>
      <vt:lpstr>ITS</vt:lpstr>
      <vt:lpstr>Wealth</vt:lpstr>
      <vt:lpstr>LE</vt:lpstr>
      <vt:lpstr>REPART</vt:lpstr>
      <vt:lpstr>ATB_Total</vt:lpstr>
      <vt:lpstr>ATB_per_capita</vt:lpstr>
      <vt:lpstr>ATB_in_percent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2015-02-03T10:18:04Z</cp:lastPrinted>
  <dcterms:created xsi:type="dcterms:W3CDTF">2010-11-03T16:06:04Z</dcterms:created>
  <dcterms:modified xsi:type="dcterms:W3CDTF">2016-06-10T09:02:10Z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ATB_2017_2011.xlsx</vt:lpwstr>
  </property>
</Properties>
</file>