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E\"/>
    </mc:Choice>
  </mc:AlternateContent>
  <bookViews>
    <workbookView xWindow="-15" yWindow="-120" windowWidth="20730" windowHeight="6030"/>
  </bookViews>
  <sheets>
    <sheet name="Info" sheetId="1" r:id="rId1"/>
    <sheet name="PI" sheetId="2" r:id="rId2"/>
    <sheet name="ITS" sheetId="3" r:id="rId3"/>
    <sheet name="Wealth" sheetId="4" r:id="rId4"/>
    <sheet name="LE" sheetId="5" r:id="rId5"/>
    <sheet name="REPART" sheetId="6" r:id="rId6"/>
    <sheet name="ATB_Total" sheetId="7" r:id="rId7"/>
    <sheet name="ATB_per_capita" sheetId="8" r:id="rId8"/>
    <sheet name="ATB_in_percent" sheetId="9" r:id="rId9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H2" i="9" l="1"/>
  <c r="A1" i="9"/>
  <c r="I33" i="8"/>
  <c r="C27" i="8"/>
  <c r="D26" i="8"/>
  <c r="C25" i="8"/>
  <c r="D24" i="8"/>
  <c r="D23" i="8"/>
  <c r="F21" i="8"/>
  <c r="D18" i="8"/>
  <c r="D16" i="8"/>
  <c r="D12" i="8"/>
  <c r="D10" i="8"/>
  <c r="H5" i="8"/>
  <c r="G5" i="8"/>
  <c r="F5" i="8"/>
  <c r="E5" i="8"/>
  <c r="D5" i="8"/>
  <c r="C5" i="8"/>
  <c r="I1" i="8"/>
  <c r="B1" i="8"/>
  <c r="D32" i="7"/>
  <c r="C32" i="7"/>
  <c r="D31" i="7"/>
  <c r="F30" i="7"/>
  <c r="F30" i="8" s="1"/>
  <c r="D30" i="7"/>
  <c r="D30" i="8" s="1"/>
  <c r="D29" i="7"/>
  <c r="D28" i="7"/>
  <c r="D27" i="7"/>
  <c r="D26" i="7"/>
  <c r="D25" i="7"/>
  <c r="C24" i="9" s="1"/>
  <c r="D24" i="7"/>
  <c r="C24" i="7"/>
  <c r="D23" i="7"/>
  <c r="F22" i="7"/>
  <c r="F22" i="8" s="1"/>
  <c r="D22" i="7"/>
  <c r="D22" i="8" s="1"/>
  <c r="D21" i="7"/>
  <c r="D20" i="7"/>
  <c r="D19" i="7"/>
  <c r="D18" i="7"/>
  <c r="D17" i="7"/>
  <c r="D17" i="8" s="1"/>
  <c r="D16" i="7"/>
  <c r="C16" i="7"/>
  <c r="D15" i="7"/>
  <c r="F14" i="7"/>
  <c r="F14" i="8" s="1"/>
  <c r="D14" i="7"/>
  <c r="D14" i="8" s="1"/>
  <c r="D13" i="7"/>
  <c r="D12" i="7"/>
  <c r="D11" i="7"/>
  <c r="F10" i="7"/>
  <c r="F10" i="8" s="1"/>
  <c r="D10" i="7"/>
  <c r="D9" i="7"/>
  <c r="D9" i="8" s="1"/>
  <c r="C9" i="7"/>
  <c r="C9" i="8" s="1"/>
  <c r="D8" i="7"/>
  <c r="D7" i="7"/>
  <c r="C7" i="7"/>
  <c r="H5" i="7"/>
  <c r="G5" i="7"/>
  <c r="F5" i="7"/>
  <c r="E5" i="7"/>
  <c r="D5" i="7"/>
  <c r="C5" i="7"/>
  <c r="H1" i="7"/>
  <c r="D1" i="7"/>
  <c r="B1" i="7"/>
  <c r="F33" i="6"/>
  <c r="D33" i="6"/>
  <c r="C33" i="6"/>
  <c r="E32" i="6"/>
  <c r="E31" i="6"/>
  <c r="E30" i="6"/>
  <c r="G29" i="6"/>
  <c r="H29" i="6" s="1"/>
  <c r="E29" i="6"/>
  <c r="E28" i="6"/>
  <c r="I28" i="6" s="1"/>
  <c r="G28" i="7" s="1"/>
  <c r="E27" i="6"/>
  <c r="E26" i="6"/>
  <c r="G25" i="6"/>
  <c r="H25" i="6" s="1"/>
  <c r="E25" i="6"/>
  <c r="I25" i="6" s="1"/>
  <c r="G25" i="7" s="1"/>
  <c r="E24" i="6"/>
  <c r="E23" i="6"/>
  <c r="E22" i="6"/>
  <c r="G21" i="6"/>
  <c r="H21" i="6" s="1"/>
  <c r="E21" i="6"/>
  <c r="I21" i="6" s="1"/>
  <c r="G21" i="7" s="1"/>
  <c r="E20" i="6"/>
  <c r="E19" i="6"/>
  <c r="E18" i="6"/>
  <c r="I18" i="6" s="1"/>
  <c r="G18" i="7" s="1"/>
  <c r="G17" i="6"/>
  <c r="H17" i="6" s="1"/>
  <c r="E17" i="6"/>
  <c r="E16" i="6"/>
  <c r="E15" i="6"/>
  <c r="E14" i="6"/>
  <c r="I14" i="6" s="1"/>
  <c r="G14" i="7" s="1"/>
  <c r="G13" i="6"/>
  <c r="H13" i="6" s="1"/>
  <c r="E13" i="6"/>
  <c r="E12" i="6"/>
  <c r="E11" i="6"/>
  <c r="E10" i="6"/>
  <c r="G9" i="6"/>
  <c r="H9" i="6" s="1"/>
  <c r="E9" i="6"/>
  <c r="I9" i="6" s="1"/>
  <c r="G9" i="7" s="1"/>
  <c r="E8" i="6"/>
  <c r="E7" i="6"/>
  <c r="I1" i="6"/>
  <c r="B1" i="6"/>
  <c r="C35" i="5"/>
  <c r="B35" i="5"/>
  <c r="D34" i="5"/>
  <c r="F32" i="7" s="1"/>
  <c r="F32" i="8" s="1"/>
  <c r="D33" i="5"/>
  <c r="F31" i="7" s="1"/>
  <c r="F31" i="8" s="1"/>
  <c r="D32" i="5"/>
  <c r="D31" i="5"/>
  <c r="F29" i="7" s="1"/>
  <c r="F29" i="8" s="1"/>
  <c r="D30" i="5"/>
  <c r="G28" i="6" s="1"/>
  <c r="H28" i="6" s="1"/>
  <c r="D29" i="5"/>
  <c r="F27" i="7" s="1"/>
  <c r="F27" i="8" s="1"/>
  <c r="D28" i="5"/>
  <c r="F26" i="7" s="1"/>
  <c r="F26" i="8" s="1"/>
  <c r="D27" i="5"/>
  <c r="F25" i="7" s="1"/>
  <c r="F25" i="8" s="1"/>
  <c r="D26" i="5"/>
  <c r="F24" i="7" s="1"/>
  <c r="F24" i="8" s="1"/>
  <c r="D25" i="5"/>
  <c r="F23" i="7" s="1"/>
  <c r="F23" i="8" s="1"/>
  <c r="D24" i="5"/>
  <c r="D23" i="5"/>
  <c r="F21" i="7" s="1"/>
  <c r="D22" i="5"/>
  <c r="F20" i="7" s="1"/>
  <c r="F20" i="8" s="1"/>
  <c r="D21" i="5"/>
  <c r="F19" i="7" s="1"/>
  <c r="F19" i="8" s="1"/>
  <c r="D20" i="5"/>
  <c r="F18" i="7" s="1"/>
  <c r="F18" i="8" s="1"/>
  <c r="D19" i="5"/>
  <c r="F17" i="7" s="1"/>
  <c r="F17" i="8" s="1"/>
  <c r="D18" i="5"/>
  <c r="F16" i="7" s="1"/>
  <c r="F16" i="8" s="1"/>
  <c r="D17" i="5"/>
  <c r="F15" i="7" s="1"/>
  <c r="F15" i="8" s="1"/>
  <c r="D16" i="5"/>
  <c r="D15" i="5"/>
  <c r="F13" i="7" s="1"/>
  <c r="F13" i="8" s="1"/>
  <c r="D14" i="5"/>
  <c r="F12" i="7" s="1"/>
  <c r="F12" i="8" s="1"/>
  <c r="D13" i="5"/>
  <c r="F11" i="7" s="1"/>
  <c r="F11" i="8" s="1"/>
  <c r="D12" i="5"/>
  <c r="D11" i="5"/>
  <c r="F9" i="7" s="1"/>
  <c r="F9" i="8" s="1"/>
  <c r="D10" i="5"/>
  <c r="F8" i="7" s="1"/>
  <c r="F8" i="8" s="1"/>
  <c r="D9" i="5"/>
  <c r="F7" i="7" s="1"/>
  <c r="D3" i="5"/>
  <c r="A1" i="5"/>
  <c r="B35" i="4"/>
  <c r="C34" i="4"/>
  <c r="D34" i="4" s="1"/>
  <c r="E32" i="7" s="1"/>
  <c r="D33" i="4"/>
  <c r="E31" i="7" s="1"/>
  <c r="C33" i="4"/>
  <c r="C32" i="4"/>
  <c r="D32" i="4" s="1"/>
  <c r="E30" i="7" s="1"/>
  <c r="D31" i="4"/>
  <c r="E29" i="7" s="1"/>
  <c r="C31" i="4"/>
  <c r="C30" i="4"/>
  <c r="D30" i="4" s="1"/>
  <c r="E28" i="7" s="1"/>
  <c r="D29" i="4"/>
  <c r="E27" i="7" s="1"/>
  <c r="C29" i="4"/>
  <c r="C28" i="4"/>
  <c r="D28" i="4" s="1"/>
  <c r="E26" i="7" s="1"/>
  <c r="D27" i="4"/>
  <c r="E25" i="7" s="1"/>
  <c r="C27" i="4"/>
  <c r="C26" i="4"/>
  <c r="D26" i="4" s="1"/>
  <c r="E24" i="7" s="1"/>
  <c r="D25" i="4"/>
  <c r="E23" i="7" s="1"/>
  <c r="C25" i="4"/>
  <c r="C24" i="4"/>
  <c r="D24" i="4" s="1"/>
  <c r="E22" i="7" s="1"/>
  <c r="D23" i="4"/>
  <c r="E21" i="7" s="1"/>
  <c r="C23" i="4"/>
  <c r="C22" i="4"/>
  <c r="D22" i="4" s="1"/>
  <c r="E20" i="7" s="1"/>
  <c r="D21" i="4"/>
  <c r="E19" i="7" s="1"/>
  <c r="C21" i="4"/>
  <c r="C20" i="4"/>
  <c r="D20" i="4" s="1"/>
  <c r="E18" i="7" s="1"/>
  <c r="D19" i="4"/>
  <c r="E17" i="7" s="1"/>
  <c r="C19" i="4"/>
  <c r="C18" i="4"/>
  <c r="D18" i="4" s="1"/>
  <c r="E16" i="7" s="1"/>
  <c r="D17" i="4"/>
  <c r="E15" i="7" s="1"/>
  <c r="C17" i="4"/>
  <c r="C16" i="4"/>
  <c r="D16" i="4" s="1"/>
  <c r="E14" i="7" s="1"/>
  <c r="D15" i="4"/>
  <c r="E13" i="7" s="1"/>
  <c r="C15" i="4"/>
  <c r="C14" i="4"/>
  <c r="D14" i="4" s="1"/>
  <c r="E12" i="7" s="1"/>
  <c r="D13" i="4"/>
  <c r="E11" i="7" s="1"/>
  <c r="C13" i="4"/>
  <c r="C12" i="4"/>
  <c r="D12" i="4" s="1"/>
  <c r="E10" i="7" s="1"/>
  <c r="D11" i="4"/>
  <c r="E9" i="7" s="1"/>
  <c r="C11" i="4"/>
  <c r="C10" i="4"/>
  <c r="D10" i="4" s="1"/>
  <c r="E8" i="7" s="1"/>
  <c r="D9" i="4"/>
  <c r="D35" i="4" s="1"/>
  <c r="C9" i="4"/>
  <c r="D3" i="4"/>
  <c r="A1" i="4"/>
  <c r="C33" i="3"/>
  <c r="C5" i="3"/>
  <c r="C3" i="3"/>
  <c r="B2" i="3"/>
  <c r="B1" i="3"/>
  <c r="I33" i="2"/>
  <c r="H33" i="2"/>
  <c r="G33" i="2"/>
  <c r="F33" i="2"/>
  <c r="E33" i="2"/>
  <c r="D33" i="2"/>
  <c r="C33" i="2"/>
  <c r="J32" i="2"/>
  <c r="J31" i="2"/>
  <c r="C31" i="7" s="1"/>
  <c r="J30" i="2"/>
  <c r="C30" i="7" s="1"/>
  <c r="J29" i="2"/>
  <c r="C29" i="7" s="1"/>
  <c r="J28" i="2"/>
  <c r="C28" i="7" s="1"/>
  <c r="J27" i="2"/>
  <c r="C27" i="7" s="1"/>
  <c r="J26" i="2"/>
  <c r="G26" i="6" s="1"/>
  <c r="H26" i="6" s="1"/>
  <c r="J25" i="2"/>
  <c r="C25" i="7" s="1"/>
  <c r="H25" i="7" s="1"/>
  <c r="J24" i="2"/>
  <c r="J23" i="2"/>
  <c r="C23" i="7" s="1"/>
  <c r="J22" i="2"/>
  <c r="C22" i="7" s="1"/>
  <c r="J21" i="2"/>
  <c r="C21" i="7" s="1"/>
  <c r="J20" i="2"/>
  <c r="C20" i="7" s="1"/>
  <c r="J19" i="2"/>
  <c r="C19" i="7" s="1"/>
  <c r="J18" i="2"/>
  <c r="G18" i="6" s="1"/>
  <c r="H18" i="6" s="1"/>
  <c r="J17" i="2"/>
  <c r="C17" i="7" s="1"/>
  <c r="J16" i="2"/>
  <c r="J15" i="2"/>
  <c r="C15" i="7" s="1"/>
  <c r="J14" i="2"/>
  <c r="G14" i="6" s="1"/>
  <c r="H14" i="6" s="1"/>
  <c r="J13" i="2"/>
  <c r="C13" i="7" s="1"/>
  <c r="J12" i="2"/>
  <c r="C12" i="7" s="1"/>
  <c r="J11" i="2"/>
  <c r="C11" i="7" s="1"/>
  <c r="J10" i="2"/>
  <c r="C10" i="7" s="1"/>
  <c r="J9" i="2"/>
  <c r="J8" i="2"/>
  <c r="C8" i="7" s="1"/>
  <c r="J7" i="2"/>
  <c r="J33" i="2" s="1"/>
  <c r="J1" i="2"/>
  <c r="B1" i="2"/>
  <c r="A4" i="1"/>
  <c r="E1" i="8" s="1"/>
  <c r="A3" i="1"/>
  <c r="C12" i="8" l="1"/>
  <c r="E18" i="8"/>
  <c r="E23" i="8"/>
  <c r="E31" i="8"/>
  <c r="I8" i="6"/>
  <c r="G8" i="7" s="1"/>
  <c r="G21" i="8"/>
  <c r="I27" i="6"/>
  <c r="G27" i="7" s="1"/>
  <c r="H27" i="7" s="1"/>
  <c r="E16" i="8"/>
  <c r="E24" i="8"/>
  <c r="E29" i="8"/>
  <c r="F7" i="8"/>
  <c r="I15" i="6"/>
  <c r="G15" i="7" s="1"/>
  <c r="G28" i="8"/>
  <c r="D8" i="9"/>
  <c r="E9" i="8"/>
  <c r="E12" i="8"/>
  <c r="E17" i="8"/>
  <c r="E20" i="8"/>
  <c r="D24" i="9"/>
  <c r="E25" i="8"/>
  <c r="E28" i="8"/>
  <c r="I17" i="6"/>
  <c r="G17" i="7" s="1"/>
  <c r="I23" i="6"/>
  <c r="G23" i="7" s="1"/>
  <c r="I26" i="6"/>
  <c r="G26" i="7" s="1"/>
  <c r="C8" i="8"/>
  <c r="C20" i="8"/>
  <c r="C28" i="8"/>
  <c r="H28" i="7"/>
  <c r="E10" i="8"/>
  <c r="E15" i="8"/>
  <c r="H15" i="7"/>
  <c r="B14" i="9" s="1"/>
  <c r="E26" i="8"/>
  <c r="G14" i="8"/>
  <c r="E24" i="9"/>
  <c r="F24" i="9"/>
  <c r="H25" i="8"/>
  <c r="E8" i="8"/>
  <c r="E13" i="8"/>
  <c r="D20" i="9"/>
  <c r="E21" i="8"/>
  <c r="H21" i="7"/>
  <c r="G20" i="9" s="1"/>
  <c r="E32" i="8"/>
  <c r="G8" i="9"/>
  <c r="G9" i="8"/>
  <c r="G18" i="8"/>
  <c r="G24" i="9"/>
  <c r="G25" i="8"/>
  <c r="C10" i="8"/>
  <c r="C22" i="8"/>
  <c r="C30" i="8"/>
  <c r="E11" i="8"/>
  <c r="E14" i="8"/>
  <c r="E19" i="8"/>
  <c r="E22" i="8"/>
  <c r="E27" i="8"/>
  <c r="E30" i="8"/>
  <c r="I13" i="6"/>
  <c r="G13" i="7" s="1"/>
  <c r="I29" i="6"/>
  <c r="G29" i="7" s="1"/>
  <c r="D35" i="5"/>
  <c r="C18" i="7"/>
  <c r="C26" i="7"/>
  <c r="C11" i="8"/>
  <c r="C15" i="8"/>
  <c r="C23" i="8"/>
  <c r="A2" i="4"/>
  <c r="G7" i="6"/>
  <c r="G8" i="6"/>
  <c r="H8" i="6" s="1"/>
  <c r="G10" i="6"/>
  <c r="H10" i="6" s="1"/>
  <c r="I10" i="6" s="1"/>
  <c r="G10" i="7" s="1"/>
  <c r="G15" i="6"/>
  <c r="H15" i="6" s="1"/>
  <c r="G19" i="6"/>
  <c r="H19" i="6" s="1"/>
  <c r="I19" i="6" s="1"/>
  <c r="G19" i="7" s="1"/>
  <c r="G20" i="6"/>
  <c r="H20" i="6" s="1"/>
  <c r="I20" i="6" s="1"/>
  <c r="G20" i="7" s="1"/>
  <c r="G22" i="6"/>
  <c r="H22" i="6" s="1"/>
  <c r="I22" i="6" s="1"/>
  <c r="G22" i="7" s="1"/>
  <c r="G30" i="6"/>
  <c r="H30" i="6" s="1"/>
  <c r="I30" i="6" s="1"/>
  <c r="G30" i="7" s="1"/>
  <c r="G32" i="6"/>
  <c r="H32" i="6" s="1"/>
  <c r="I32" i="6" s="1"/>
  <c r="G32" i="7" s="1"/>
  <c r="D7" i="8"/>
  <c r="H9" i="7"/>
  <c r="C16" i="8"/>
  <c r="C24" i="8"/>
  <c r="F28" i="7"/>
  <c r="F28" i="8" s="1"/>
  <c r="D33" i="7"/>
  <c r="D25" i="8"/>
  <c r="A2" i="5"/>
  <c r="E1" i="6"/>
  <c r="E33" i="6"/>
  <c r="E7" i="7"/>
  <c r="C14" i="7"/>
  <c r="D15" i="8"/>
  <c r="C17" i="8"/>
  <c r="C31" i="8"/>
  <c r="A2" i="9"/>
  <c r="B8" i="9"/>
  <c r="B24" i="9"/>
  <c r="C33" i="7"/>
  <c r="C7" i="8"/>
  <c r="D19" i="8"/>
  <c r="G11" i="6"/>
  <c r="H11" i="6" s="1"/>
  <c r="I11" i="6" s="1"/>
  <c r="G11" i="7" s="1"/>
  <c r="G12" i="6"/>
  <c r="H12" i="6" s="1"/>
  <c r="I12" i="6" s="1"/>
  <c r="G12" i="7" s="1"/>
  <c r="G16" i="6"/>
  <c r="H16" i="6" s="1"/>
  <c r="I16" i="6" s="1"/>
  <c r="G16" i="7" s="1"/>
  <c r="G23" i="6"/>
  <c r="H23" i="6" s="1"/>
  <c r="G24" i="6"/>
  <c r="H24" i="6" s="1"/>
  <c r="I24" i="6" s="1"/>
  <c r="G24" i="7" s="1"/>
  <c r="G27" i="6"/>
  <c r="H27" i="6" s="1"/>
  <c r="G31" i="6"/>
  <c r="H31" i="6" s="1"/>
  <c r="I31" i="6" s="1"/>
  <c r="G31" i="7" s="1"/>
  <c r="C32" i="8"/>
  <c r="D27" i="8"/>
  <c r="E1" i="2"/>
  <c r="C13" i="8"/>
  <c r="B20" i="9"/>
  <c r="C21" i="8"/>
  <c r="C29" i="8"/>
  <c r="D11" i="8"/>
  <c r="D13" i="8"/>
  <c r="C20" i="9"/>
  <c r="D21" i="8"/>
  <c r="D29" i="8"/>
  <c r="D8" i="8"/>
  <c r="C19" i="8"/>
  <c r="D31" i="8"/>
  <c r="C8" i="9"/>
  <c r="C27" i="9"/>
  <c r="D28" i="8"/>
  <c r="D32" i="8"/>
  <c r="D20" i="8"/>
  <c r="G11" i="8" l="1"/>
  <c r="H11" i="7"/>
  <c r="G22" i="8"/>
  <c r="H22" i="7"/>
  <c r="G15" i="9"/>
  <c r="G16" i="8"/>
  <c r="H16" i="7"/>
  <c r="G31" i="9"/>
  <c r="G32" i="8"/>
  <c r="H32" i="7"/>
  <c r="G24" i="8"/>
  <c r="H24" i="7"/>
  <c r="G10" i="8"/>
  <c r="H10" i="7"/>
  <c r="G19" i="9"/>
  <c r="G20" i="8"/>
  <c r="H20" i="7"/>
  <c r="F26" i="9"/>
  <c r="H27" i="8"/>
  <c r="E26" i="9"/>
  <c r="D26" i="9"/>
  <c r="B26" i="9"/>
  <c r="C26" i="9"/>
  <c r="G31" i="8"/>
  <c r="H31" i="7"/>
  <c r="G18" i="9"/>
  <c r="G19" i="8"/>
  <c r="H19" i="7"/>
  <c r="G11" i="9"/>
  <c r="G12" i="8"/>
  <c r="H12" i="7"/>
  <c r="G30" i="8"/>
  <c r="H30" i="7"/>
  <c r="C14" i="8"/>
  <c r="H14" i="7"/>
  <c r="C26" i="8"/>
  <c r="H26" i="7"/>
  <c r="B25" i="9" s="1"/>
  <c r="G12" i="9"/>
  <c r="G13" i="8"/>
  <c r="G23" i="8"/>
  <c r="G14" i="9"/>
  <c r="G15" i="8"/>
  <c r="G8" i="8"/>
  <c r="H23" i="7"/>
  <c r="D33" i="8"/>
  <c r="H28" i="8"/>
  <c r="E27" i="9"/>
  <c r="F27" i="9"/>
  <c r="H8" i="7"/>
  <c r="H24" i="9"/>
  <c r="E33" i="7"/>
  <c r="E7" i="8"/>
  <c r="H7" i="6"/>
  <c r="I7" i="6" s="1"/>
  <c r="G33" i="6"/>
  <c r="H33" i="6" s="1"/>
  <c r="H13" i="7"/>
  <c r="B27" i="9"/>
  <c r="G16" i="9"/>
  <c r="G17" i="8"/>
  <c r="D27" i="9"/>
  <c r="C33" i="8"/>
  <c r="G29" i="8"/>
  <c r="F14" i="9"/>
  <c r="E14" i="9"/>
  <c r="H15" i="8"/>
  <c r="H29" i="7"/>
  <c r="G26" i="9"/>
  <c r="G27" i="8"/>
  <c r="C18" i="8"/>
  <c r="H18" i="7"/>
  <c r="D14" i="9"/>
  <c r="H14" i="9" s="1"/>
  <c r="C14" i="9"/>
  <c r="E8" i="9"/>
  <c r="H8" i="9" s="1"/>
  <c r="H9" i="8"/>
  <c r="F8" i="9"/>
  <c r="E20" i="9"/>
  <c r="H20" i="9" s="1"/>
  <c r="H21" i="8"/>
  <c r="F20" i="9"/>
  <c r="G26" i="8"/>
  <c r="G27" i="9"/>
  <c r="F33" i="7"/>
  <c r="F33" i="8" s="1"/>
  <c r="H17" i="7"/>
  <c r="F22" i="9" l="1"/>
  <c r="E22" i="9"/>
  <c r="H23" i="8"/>
  <c r="B22" i="9"/>
  <c r="D22" i="9"/>
  <c r="C22" i="9"/>
  <c r="E29" i="9"/>
  <c r="F29" i="9"/>
  <c r="H30" i="8"/>
  <c r="C29" i="9"/>
  <c r="B29" i="9"/>
  <c r="D29" i="9"/>
  <c r="F23" i="9"/>
  <c r="H24" i="8"/>
  <c r="E23" i="9"/>
  <c r="B23" i="9"/>
  <c r="C23" i="9"/>
  <c r="D23" i="9"/>
  <c r="E17" i="9"/>
  <c r="F17" i="9"/>
  <c r="C17" i="9"/>
  <c r="H18" i="8"/>
  <c r="D17" i="9"/>
  <c r="G17" i="9"/>
  <c r="I33" i="6"/>
  <c r="G7" i="7"/>
  <c r="F30" i="9"/>
  <c r="E30" i="9"/>
  <c r="H31" i="8"/>
  <c r="C30" i="9"/>
  <c r="D30" i="9"/>
  <c r="B30" i="9"/>
  <c r="F10" i="9"/>
  <c r="H11" i="8"/>
  <c r="E10" i="9"/>
  <c r="D10" i="9"/>
  <c r="B10" i="9"/>
  <c r="C10" i="9"/>
  <c r="B17" i="9"/>
  <c r="H27" i="9"/>
  <c r="F7" i="9"/>
  <c r="E7" i="9"/>
  <c r="H8" i="8"/>
  <c r="B7" i="9"/>
  <c r="C7" i="9"/>
  <c r="D7" i="9"/>
  <c r="G7" i="9"/>
  <c r="G22" i="9"/>
  <c r="F18" i="9"/>
  <c r="H19" i="8"/>
  <c r="E18" i="9"/>
  <c r="D18" i="9"/>
  <c r="B18" i="9"/>
  <c r="C18" i="9"/>
  <c r="F19" i="9"/>
  <c r="H20" i="8"/>
  <c r="E19" i="9"/>
  <c r="B19" i="9"/>
  <c r="H19" i="9" s="1"/>
  <c r="D19" i="9"/>
  <c r="C19" i="9"/>
  <c r="G23" i="9"/>
  <c r="F15" i="9"/>
  <c r="H16" i="8"/>
  <c r="E15" i="9"/>
  <c r="C15" i="9"/>
  <c r="D15" i="9"/>
  <c r="B15" i="9"/>
  <c r="E21" i="9"/>
  <c r="F21" i="9"/>
  <c r="H22" i="8"/>
  <c r="D21" i="9"/>
  <c r="C21" i="9"/>
  <c r="B21" i="9"/>
  <c r="E13" i="9"/>
  <c r="F13" i="9"/>
  <c r="H14" i="8"/>
  <c r="C13" i="9"/>
  <c r="D13" i="9"/>
  <c r="G13" i="9"/>
  <c r="E25" i="9"/>
  <c r="F25" i="9"/>
  <c r="H26" i="8"/>
  <c r="C25" i="9"/>
  <c r="H25" i="9" s="1"/>
  <c r="D25" i="9"/>
  <c r="B13" i="9"/>
  <c r="G29" i="9"/>
  <c r="H26" i="9"/>
  <c r="E9" i="9"/>
  <c r="F9" i="9"/>
  <c r="H10" i="8"/>
  <c r="C9" i="9"/>
  <c r="D9" i="9"/>
  <c r="B9" i="9"/>
  <c r="H9" i="9" s="1"/>
  <c r="G25" i="9"/>
  <c r="E28" i="9"/>
  <c r="F28" i="9"/>
  <c r="H29" i="8"/>
  <c r="C28" i="9"/>
  <c r="D28" i="9"/>
  <c r="B28" i="9"/>
  <c r="E16" i="9"/>
  <c r="F16" i="9"/>
  <c r="H17" i="8"/>
  <c r="B16" i="9"/>
  <c r="C16" i="9"/>
  <c r="D16" i="9"/>
  <c r="G28" i="9"/>
  <c r="E12" i="9"/>
  <c r="H13" i="8"/>
  <c r="F12" i="9"/>
  <c r="C12" i="9"/>
  <c r="B12" i="9"/>
  <c r="D12" i="9"/>
  <c r="E33" i="8"/>
  <c r="H12" i="8"/>
  <c r="F11" i="9"/>
  <c r="E11" i="9"/>
  <c r="B11" i="9"/>
  <c r="C11" i="9"/>
  <c r="D11" i="9"/>
  <c r="G30" i="9"/>
  <c r="G9" i="9"/>
  <c r="H32" i="8"/>
  <c r="F31" i="9"/>
  <c r="E31" i="9"/>
  <c r="D31" i="9"/>
  <c r="C31" i="9"/>
  <c r="B31" i="9"/>
  <c r="G21" i="9"/>
  <c r="G10" i="9"/>
  <c r="G33" i="7" l="1"/>
  <c r="G7" i="8"/>
  <c r="H7" i="7"/>
  <c r="H31" i="9"/>
  <c r="H10" i="9"/>
  <c r="H11" i="9"/>
  <c r="H15" i="9"/>
  <c r="H17" i="9"/>
  <c r="H29" i="9"/>
  <c r="H13" i="9"/>
  <c r="H21" i="9"/>
  <c r="H18" i="9"/>
  <c r="H12" i="9"/>
  <c r="H16" i="9"/>
  <c r="H28" i="9"/>
  <c r="H7" i="9"/>
  <c r="H30" i="9"/>
  <c r="H23" i="9"/>
  <c r="H22" i="9"/>
  <c r="F6" i="9" l="1"/>
  <c r="E6" i="9"/>
  <c r="H7" i="8"/>
  <c r="H33" i="7"/>
  <c r="B6" i="9"/>
  <c r="C6" i="9"/>
  <c r="D6" i="9"/>
  <c r="G33" i="8"/>
  <c r="G6" i="9"/>
  <c r="H33" i="8" l="1"/>
  <c r="E32" i="9"/>
  <c r="F32" i="9"/>
  <c r="F34" i="9" s="1"/>
  <c r="F35" i="9" s="1"/>
  <c r="C32" i="9"/>
  <c r="B32" i="9"/>
  <c r="D32" i="9"/>
  <c r="C37" i="9"/>
  <c r="C38" i="9" s="1"/>
  <c r="C34" i="9"/>
  <c r="C35" i="9" s="1"/>
  <c r="G32" i="9"/>
  <c r="D37" i="9"/>
  <c r="D38" i="9" s="1"/>
  <c r="D34" i="9"/>
  <c r="D35" i="9" s="1"/>
  <c r="G34" i="9"/>
  <c r="G35" i="9" s="1"/>
  <c r="G37" i="9"/>
  <c r="G38" i="9" s="1"/>
  <c r="E37" i="9"/>
  <c r="E38" i="9" s="1"/>
  <c r="E34" i="9"/>
  <c r="E35" i="9" s="1"/>
  <c r="B37" i="9"/>
  <c r="B38" i="9" s="1"/>
  <c r="B34" i="9"/>
  <c r="B35" i="9" s="1"/>
  <c r="H6" i="9"/>
  <c r="F37" i="9"/>
  <c r="F38" i="9" s="1"/>
  <c r="H32" i="9" l="1"/>
</calcChain>
</file>

<file path=xl/sharedStrings.xml><?xml version="1.0" encoding="utf-8"?>
<sst xmlns="http://schemas.openxmlformats.org/spreadsheetml/2006/main" count="450" uniqueCount="119">
  <si>
    <t>Aggregate tax base (ATB)</t>
  </si>
  <si>
    <t>Worksheet</t>
  </si>
  <si>
    <t>Content</t>
  </si>
  <si>
    <t>PI</t>
  </si>
  <si>
    <t>Personal income</t>
  </si>
  <si>
    <t>ITS</t>
  </si>
  <si>
    <t>Income taxed at source</t>
  </si>
  <si>
    <t>Wealth</t>
  </si>
  <si>
    <t>LE</t>
  </si>
  <si>
    <t>Profit of legal entities</t>
  </si>
  <si>
    <t>REPART</t>
  </si>
  <si>
    <t>Tax repartition</t>
  </si>
  <si>
    <t>ATB_Total</t>
  </si>
  <si>
    <t>ATB summary</t>
  </si>
  <si>
    <t>ATB_per_capita</t>
  </si>
  <si>
    <t>ATB summary per capita</t>
  </si>
  <si>
    <t>ATB_in_percent</t>
  </si>
  <si>
    <t>ATB summary in percent</t>
  </si>
  <si>
    <t>Informations</t>
  </si>
  <si>
    <t>Environment</t>
  </si>
  <si>
    <t>Produktion</t>
  </si>
  <si>
    <t>Type</t>
  </si>
  <si>
    <t>Berechnung</t>
  </si>
  <si>
    <t>WS</t>
  </si>
  <si>
    <t>FA_2018_20170823</t>
  </si>
  <si>
    <t>SWS</t>
  </si>
  <si>
    <t>RA_2018_20170823</t>
  </si>
  <si>
    <t>RefYear</t>
  </si>
  <si>
    <t>AssesYear</t>
  </si>
  <si>
    <t>Column</t>
  </si>
  <si>
    <t>C</t>
  </si>
  <si>
    <t>D</t>
  </si>
  <si>
    <t>E</t>
  </si>
  <si>
    <t>F</t>
  </si>
  <si>
    <t>G</t>
  </si>
  <si>
    <t>H</t>
  </si>
  <si>
    <t>I</t>
  </si>
  <si>
    <t>J</t>
  </si>
  <si>
    <t>Formula</t>
  </si>
  <si>
    <t>J = I - (E / 1000 * H)</t>
  </si>
  <si>
    <t>Total number of taxpayers</t>
  </si>
  <si>
    <t>Total taxable income</t>
  </si>
  <si>
    <t>Relevant minimum income per taxpayer</t>
  </si>
  <si>
    <t>Number of taxpayers whose taxable income is lower than the relevant minimum income</t>
  </si>
  <si>
    <t>Taxable income of taxpayers whose taxable income is lower than the relevant minimum income</t>
  </si>
  <si>
    <t>Number of taxpayers whose taxable income is equal to or higher than the relevant minimum income</t>
  </si>
  <si>
    <t>Taxable income of taxpayers whose taxable income is equal to or higher than the relevant minimum income</t>
  </si>
  <si>
    <t>Relevant personal income</t>
  </si>
  <si>
    <t>Data source</t>
  </si>
  <si>
    <t>FTA</t>
  </si>
  <si>
    <t>DFTA Art. 214
paras. 2 und 3</t>
  </si>
  <si>
    <t>Unit</t>
  </si>
  <si>
    <t>CHF 1,000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</si>
  <si>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</si>
  <si>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</si>
  <si>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</si>
  <si>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</si>
  <si>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</si>
  <si>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</si>
  <si>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</si>
  <si>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</si>
  <si>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</si>
  <si>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</si>
  <si>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</si>
  <si>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</si>
  <si>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</si>
  <si>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</si>
  <si>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</si>
  <si>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</si>
  <si>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</si>
  <si>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</si>
  <si>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</si>
  <si>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</si>
  <si>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</si>
  <si>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</si>
  <si>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</si>
  <si>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</si>
  <si>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</si>
  <si>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</si>
  <si>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</si>
  <si>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Total</t>
  </si>
  <si>
    <t>Relevant income
taxed at source</t>
  </si>
  <si>
    <t>B</t>
  </si>
  <si>
    <t>D = B * C</t>
  </si>
  <si>
    <t>Net wealth</t>
  </si>
  <si>
    <t>Alpha factor</t>
  </si>
  <si>
    <t>Relevant wealth</t>
  </si>
  <si>
    <t>Art. 13 EFBRO</t>
  </si>
  <si>
    <t>D = B + C</t>
  </si>
  <si>
    <t>Relevant profit of legal entities without a special tax status</t>
  </si>
  <si>
    <t>Relevant profit of legal entities with 
a special tax status</t>
  </si>
  <si>
    <t>Relevant profit of legal entities</t>
  </si>
  <si>
    <t>Factors</t>
  </si>
  <si>
    <t>Beta (Holding)</t>
  </si>
  <si>
    <t>Beta (Domiciliary)</t>
  </si>
  <si>
    <t>Beta (Mixed)</t>
  </si>
  <si>
    <t>Epsilon</t>
  </si>
  <si>
    <t>E = D - C</t>
  </si>
  <si>
    <t>H = G / F</t>
  </si>
  <si>
    <t>I = H * E</t>
  </si>
  <si>
    <t>In favor of other cantons</t>
  </si>
  <si>
    <t>Received from other cantons</t>
  </si>
  <si>
    <t>Balance</t>
  </si>
  <si>
    <t>Direct federal tax revenue (= payments to the FTA)</t>
  </si>
  <si>
    <t>Relevant direct federal tax base</t>
  </si>
  <si>
    <t>Weighting factor</t>
  </si>
  <si>
    <t>Relevant tax repartition</t>
  </si>
  <si>
    <t>Worksheet "PI"; "ITS"; "LE"</t>
  </si>
  <si>
    <t>H = C + D + E + F + G</t>
  </si>
  <si>
    <t>Relevant income taxed at source</t>
  </si>
  <si>
    <t>Total ATB</t>
  </si>
  <si>
    <t>Assessment year</t>
  </si>
  <si>
    <t>ATB</t>
  </si>
  <si>
    <t>Average resident population</t>
  </si>
  <si>
    <t>CHF per capita</t>
  </si>
  <si>
    <t>Persons</t>
  </si>
  <si>
    <t>%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</si>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</sst>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.0"/>
  </numFmts>
  <fonts count="24" x14ac:knownFonts="1">
    <font>
      <sz val="10"/>
      <name val="Arial"/>
    </font>
    <font>
      <b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31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1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2" fillId="0" borderId="4" xfId="0" applyFont="1" applyFill="1" applyBorder="1"/>
    <xf numFmtId="1" fontId="3" fillId="0" borderId="5" xfId="0" applyNumberFormat="1" applyFont="1" applyFill="1" applyBorder="1" applyAlignment="1" applyProtection="1">
      <alignment horizontal="left" vertical="top"/>
      <protection locked="0"/>
    </xf>
    <xf numFmtId="1" fontId="3" fillId="0" borderId="6" xfId="0" applyNumberFormat="1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/>
    <xf numFmtId="1" fontId="3" fillId="0" borderId="8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" fontId="8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10" fillId="0" borderId="0" xfId="0" applyFont="1" applyFill="1" applyBorder="1"/>
    <xf numFmtId="0" fontId="10" fillId="0" borderId="9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/>
    <xf numFmtId="0" fontId="11" fillId="0" borderId="9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 applyAlignment="1">
      <alignment horizontal="center"/>
    </xf>
    <xf numFmtId="0" fontId="12" fillId="0" borderId="2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3" fillId="0" borderId="0" xfId="0" applyFont="1" applyFill="1"/>
    <xf numFmtId="0" fontId="13" fillId="0" borderId="0" xfId="0" applyFont="1" applyFill="1" applyBorder="1"/>
    <xf numFmtId="0" fontId="14" fillId="0" borderId="9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0" fillId="0" borderId="12" xfId="0" applyFont="1" applyFill="1" applyBorder="1"/>
    <xf numFmtId="164" fontId="15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/>
    <xf numFmtId="1" fontId="0" fillId="0" borderId="0" xfId="0" applyNumberFormat="1" applyFont="1" applyFill="1"/>
    <xf numFmtId="0" fontId="0" fillId="3" borderId="4" xfId="0" applyFont="1" applyFill="1" applyBorder="1"/>
    <xf numFmtId="164" fontId="15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/>
    <xf numFmtId="0" fontId="0" fillId="0" borderId="4" xfId="0" applyFont="1" applyFill="1" applyBorder="1"/>
    <xf numFmtId="164" fontId="15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9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1" fontId="1" fillId="0" borderId="0" xfId="0" applyNumberFormat="1" applyFont="1" applyFill="1"/>
    <xf numFmtId="0" fontId="5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vertical="top"/>
    </xf>
    <xf numFmtId="1" fontId="16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1" fillId="0" borderId="17" xfId="0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horizontal="right" wrapText="1"/>
    </xf>
    <xf numFmtId="0" fontId="14" fillId="0" borderId="17" xfId="0" applyFont="1" applyFill="1" applyBorder="1" applyAlignment="1">
      <alignment horizontal="right" wrapText="1"/>
    </xf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64" fontId="17" fillId="0" borderId="2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vertical="center"/>
    </xf>
    <xf numFmtId="164" fontId="17" fillId="3" borderId="24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>
      <alignment vertical="center"/>
    </xf>
    <xf numFmtId="164" fontId="17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16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horizontal="left" vertical="top"/>
    </xf>
    <xf numFmtId="1" fontId="16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/>
    </xf>
    <xf numFmtId="164" fontId="15" fillId="0" borderId="13" xfId="0" applyNumberFormat="1" applyFont="1" applyFill="1" applyBorder="1" applyAlignment="1" applyProtection="1">
      <alignment vertical="center"/>
      <protection locked="0"/>
    </xf>
    <xf numFmtId="165" fontId="10" fillId="0" borderId="13" xfId="0" applyNumberFormat="1" applyFont="1" applyFill="1" applyBorder="1" applyAlignment="1" applyProtection="1">
      <alignment vertical="center"/>
      <protection locked="0"/>
    </xf>
    <xf numFmtId="3" fontId="1" fillId="0" borderId="14" xfId="0" applyNumberFormat="1" applyFont="1" applyFill="1" applyBorder="1" applyAlignment="1" applyProtection="1">
      <alignment vertical="center"/>
      <protection locked="0"/>
    </xf>
    <xf numFmtId="164" fontId="15" fillId="3" borderId="0" xfId="0" applyNumberFormat="1" applyFont="1" applyFill="1" applyBorder="1" applyAlignment="1" applyProtection="1">
      <alignment vertical="center"/>
      <protection locked="0"/>
    </xf>
    <xf numFmtId="165" fontId="10" fillId="3" borderId="0" xfId="0" applyNumberFormat="1" applyFont="1" applyFill="1" applyBorder="1" applyAlignment="1" applyProtection="1">
      <alignment vertical="center"/>
      <protection locked="0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164" fontId="15" fillId="0" borderId="0" xfId="0" applyNumberFormat="1" applyFont="1" applyFill="1" applyBorder="1" applyAlignment="1" applyProtection="1">
      <alignment vertical="center"/>
      <protection locked="0"/>
    </xf>
    <xf numFmtId="165" fontId="10" fillId="0" borderId="0" xfId="0" applyNumberFormat="1" applyFont="1" applyFill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5" fontId="19" fillId="0" borderId="10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43" fontId="0" fillId="0" borderId="0" xfId="0" applyNumberFormat="1" applyFont="1" applyFill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1" fontId="20" fillId="0" borderId="12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" fillId="4" borderId="9" xfId="0" applyFont="1" applyFill="1" applyBorder="1"/>
    <xf numFmtId="0" fontId="13" fillId="4" borderId="11" xfId="0" applyFont="1" applyFill="1" applyBorder="1"/>
    <xf numFmtId="3" fontId="21" fillId="0" borderId="14" xfId="0" applyNumberFormat="1" applyFont="1" applyFill="1" applyBorder="1"/>
    <xf numFmtId="0" fontId="0" fillId="0" borderId="27" xfId="0" applyFont="1" applyFill="1" applyBorder="1"/>
    <xf numFmtId="165" fontId="15" fillId="0" borderId="6" xfId="0" applyNumberFormat="1" applyFont="1" applyFill="1" applyBorder="1" applyProtection="1">
      <protection locked="0"/>
    </xf>
    <xf numFmtId="3" fontId="21" fillId="3" borderId="15" xfId="0" applyNumberFormat="1" applyFont="1" applyFill="1" applyBorder="1"/>
    <xf numFmtId="3" fontId="21" fillId="0" borderId="15" xfId="0" applyNumberFormat="1" applyFont="1" applyFill="1" applyBorder="1"/>
    <xf numFmtId="0" fontId="0" fillId="0" borderId="28" xfId="0" applyFont="1" applyFill="1" applyBorder="1"/>
    <xf numFmtId="9" fontId="15" fillId="0" borderId="8" xfId="0" applyNumberFormat="1" applyFont="1" applyFill="1" applyBorder="1" applyProtection="1">
      <protection locked="0"/>
    </xf>
    <xf numFmtId="0" fontId="0" fillId="3" borderId="28" xfId="0" applyFont="1" applyFill="1" applyBorder="1"/>
    <xf numFmtId="3" fontId="22" fillId="0" borderId="10" xfId="0" applyNumberFormat="1" applyFont="1" applyFill="1" applyBorder="1"/>
    <xf numFmtId="0" fontId="14" fillId="0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horizontal="right" wrapText="1"/>
    </xf>
    <xf numFmtId="3" fontId="0" fillId="0" borderId="13" xfId="0" applyNumberFormat="1" applyFont="1" applyFill="1" applyBorder="1" applyProtection="1">
      <protection locked="0"/>
    </xf>
    <xf numFmtId="166" fontId="0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 applyProtection="1">
      <protection locked="0"/>
    </xf>
    <xf numFmtId="166" fontId="1" fillId="0" borderId="10" xfId="0" applyNumberFormat="1" applyFont="1" applyFill="1" applyBorder="1"/>
    <xf numFmtId="0" fontId="5" fillId="0" borderId="29" xfId="0" applyFont="1" applyFill="1" applyBorder="1" applyAlignment="1" applyProtection="1">
      <alignment vertical="center"/>
      <protection locked="0"/>
    </xf>
    <xf numFmtId="0" fontId="7" fillId="0" borderId="29" xfId="0" applyFont="1" applyFill="1" applyBorder="1" applyAlignment="1" applyProtection="1">
      <alignment vertical="center"/>
      <protection locked="0"/>
    </xf>
    <xf numFmtId="1" fontId="14" fillId="0" borderId="10" xfId="0" applyNumberFormat="1" applyFont="1" applyFill="1" applyBorder="1" applyAlignment="1">
      <alignment horizontal="right" wrapText="1"/>
    </xf>
    <xf numFmtId="3" fontId="0" fillId="0" borderId="13" xfId="0" applyNumberFormat="1" applyFont="1" applyFill="1" applyBorder="1"/>
    <xf numFmtId="3" fontId="0" fillId="0" borderId="0" xfId="0" applyNumberFormat="1" applyFont="1" applyFill="1"/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3" fontId="1" fillId="0" borderId="13" xfId="0" applyNumberFormat="1" applyFont="1" applyFill="1" applyBorder="1" applyProtection="1">
      <protection locked="0"/>
    </xf>
    <xf numFmtId="164" fontId="15" fillId="0" borderId="14" xfId="0" applyNumberFormat="1" applyFont="1" applyFill="1" applyBorder="1" applyProtection="1">
      <protection locked="0"/>
    </xf>
    <xf numFmtId="3" fontId="1" fillId="3" borderId="0" xfId="0" applyNumberFormat="1" applyFont="1" applyFill="1" applyBorder="1" applyProtection="1">
      <protection locked="0"/>
    </xf>
    <xf numFmtId="164" fontId="15" fillId="3" borderId="15" xfId="0" applyNumberFormat="1" applyFont="1" applyFill="1" applyBorder="1" applyProtection="1">
      <protection locked="0"/>
    </xf>
    <xf numFmtId="3" fontId="1" fillId="0" borderId="0" xfId="0" applyNumberFormat="1" applyFont="1" applyFill="1" applyBorder="1" applyProtection="1">
      <protection locked="0"/>
    </xf>
    <xf numFmtId="164" fontId="15" fillId="0" borderId="15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12" fillId="0" borderId="9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/>
    <xf numFmtId="165" fontId="0" fillId="0" borderId="13" xfId="0" applyNumberFormat="1" applyFont="1" applyFill="1" applyBorder="1" applyProtection="1">
      <protection locked="0"/>
    </xf>
    <xf numFmtId="165" fontId="0" fillId="0" borderId="5" xfId="0" applyNumberFormat="1" applyFont="1" applyFill="1" applyBorder="1" applyProtection="1">
      <protection locked="0"/>
    </xf>
    <xf numFmtId="0" fontId="0" fillId="0" borderId="5" xfId="0" applyFont="1" applyFill="1" applyBorder="1" applyAlignment="1">
      <alignment horizontal="left"/>
    </xf>
    <xf numFmtId="165" fontId="0" fillId="3" borderId="0" xfId="0" applyNumberFormat="1" applyFont="1" applyFill="1" applyBorder="1" applyProtection="1">
      <protection locked="0"/>
    </xf>
    <xf numFmtId="165" fontId="0" fillId="3" borderId="6" xfId="0" applyNumberFormat="1" applyFont="1" applyFill="1" applyBorder="1" applyProtection="1">
      <protection locked="0"/>
    </xf>
    <xf numFmtId="0" fontId="0" fillId="3" borderId="6" xfId="0" applyFont="1" applyFill="1" applyBorder="1" applyAlignment="1">
      <alignment horizontal="left"/>
    </xf>
    <xf numFmtId="165" fontId="0" fillId="0" borderId="0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165" fontId="1" fillId="0" borderId="10" xfId="0" applyNumberFormat="1" applyFont="1" applyFill="1" applyBorder="1"/>
    <xf numFmtId="165" fontId="1" fillId="0" borderId="3" xfId="0" applyNumberFormat="1" applyFont="1" applyFill="1" applyBorder="1"/>
    <xf numFmtId="0" fontId="1" fillId="0" borderId="3" xfId="0" applyFont="1" applyFill="1" applyBorder="1" applyAlignment="1">
      <alignment horizontal="left"/>
    </xf>
    <xf numFmtId="0" fontId="21" fillId="0" borderId="0" xfId="0" applyFont="1" applyFill="1"/>
    <xf numFmtId="165" fontId="0" fillId="3" borderId="10" xfId="0" applyNumberFormat="1" applyFont="1" applyFill="1" applyBorder="1"/>
    <xf numFmtId="165" fontId="0" fillId="3" borderId="3" xfId="0" applyNumberFormat="1" applyFont="1" applyFill="1" applyBorder="1"/>
    <xf numFmtId="0" fontId="0" fillId="3" borderId="10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0" fontId="21" fillId="0" borderId="0" xfId="0" applyFont="1" applyFill="1" applyBorder="1"/>
    <xf numFmtId="0" fontId="23" fillId="0" borderId="0" xfId="0" applyFont="1" applyFill="1"/>
    <xf numFmtId="165" fontId="0" fillId="0" borderId="0" xfId="0" applyNumberFormat="1" applyFont="1" applyFill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3" borderId="30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1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5.5703125" style="1" customWidth="1"/>
    <col min="2" max="2" width="14.8554687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27.75" customHeight="1" x14ac:dyDescent="0.4">
      <c r="A1" s="171" t="s">
        <v>0</v>
      </c>
      <c r="B1" s="171"/>
      <c r="C1" s="171"/>
      <c r="D1" s="171"/>
      <c r="E1" s="171"/>
    </row>
    <row r="2" spans="1:5" ht="24.75" customHeight="1" x14ac:dyDescent="0.35">
      <c r="A2" s="172"/>
      <c r="B2" s="172"/>
      <c r="C2" s="172"/>
      <c r="D2" s="172"/>
      <c r="E2" s="172"/>
    </row>
    <row r="3" spans="1:5" ht="18" customHeight="1" x14ac:dyDescent="0.25">
      <c r="A3" s="173" t="str">
        <f>"Assessment year "&amp;C31</f>
        <v>Assessment year 2013</v>
      </c>
      <c r="B3" s="173"/>
      <c r="C3" s="173"/>
      <c r="D3" s="173"/>
      <c r="E3" s="173"/>
    </row>
    <row r="4" spans="1:5" ht="18" customHeight="1" x14ac:dyDescent="0.25">
      <c r="A4" s="173" t="str">
        <f>"Reference year "&amp;C30</f>
        <v>Reference year 2018</v>
      </c>
      <c r="B4" s="173"/>
      <c r="C4" s="173"/>
      <c r="D4" s="173"/>
      <c r="E4" s="173"/>
    </row>
    <row r="12" spans="1:5" x14ac:dyDescent="0.2">
      <c r="B12" s="2" t="s">
        <v>1</v>
      </c>
      <c r="C12" s="3" t="s">
        <v>2</v>
      </c>
      <c r="D12" s="4"/>
    </row>
    <row r="13" spans="1:5" x14ac:dyDescent="0.2">
      <c r="B13" s="5" t="s">
        <v>3</v>
      </c>
      <c r="C13" s="6" t="s">
        <v>4</v>
      </c>
      <c r="D13" s="7"/>
    </row>
    <row r="14" spans="1:5" x14ac:dyDescent="0.2">
      <c r="B14" s="5" t="s">
        <v>5</v>
      </c>
      <c r="C14" s="6" t="s">
        <v>6</v>
      </c>
      <c r="D14" s="7"/>
    </row>
    <row r="15" spans="1:5" x14ac:dyDescent="0.2">
      <c r="B15" s="5" t="s">
        <v>7</v>
      </c>
      <c r="C15" s="6" t="s">
        <v>7</v>
      </c>
      <c r="D15" s="7"/>
    </row>
    <row r="16" spans="1:5" x14ac:dyDescent="0.2">
      <c r="B16" s="5" t="s">
        <v>8</v>
      </c>
      <c r="C16" s="6" t="s">
        <v>9</v>
      </c>
      <c r="D16" s="7"/>
    </row>
    <row r="17" spans="2:4" x14ac:dyDescent="0.2">
      <c r="B17" s="5" t="s">
        <v>10</v>
      </c>
      <c r="C17" s="6" t="s">
        <v>11</v>
      </c>
      <c r="D17" s="7"/>
    </row>
    <row r="18" spans="2:4" x14ac:dyDescent="0.2">
      <c r="B18" s="5" t="s">
        <v>12</v>
      </c>
      <c r="C18" s="6" t="s">
        <v>13</v>
      </c>
      <c r="D18" s="7"/>
    </row>
    <row r="19" spans="2:4" x14ac:dyDescent="0.2">
      <c r="B19" s="5" t="s">
        <v>14</v>
      </c>
      <c r="C19" s="6" t="s">
        <v>15</v>
      </c>
      <c r="D19" s="7"/>
    </row>
    <row r="20" spans="2:4" x14ac:dyDescent="0.2">
      <c r="B20" s="5" t="s">
        <v>16</v>
      </c>
      <c r="C20" s="6" t="s">
        <v>17</v>
      </c>
      <c r="D20" s="7"/>
    </row>
    <row r="25" spans="2:4" x14ac:dyDescent="0.2">
      <c r="B25" s="8" t="s">
        <v>18</v>
      </c>
      <c r="C25" s="9"/>
    </row>
    <row r="26" spans="2:4" x14ac:dyDescent="0.2">
      <c r="B26" s="10" t="s">
        <v>19</v>
      </c>
      <c r="C26" s="11" t="s">
        <v>20</v>
      </c>
    </row>
    <row r="27" spans="2:4" x14ac:dyDescent="0.2">
      <c r="B27" s="10" t="s">
        <v>21</v>
      </c>
      <c r="C27" s="12" t="s">
        <v>22</v>
      </c>
    </row>
    <row r="28" spans="2:4" x14ac:dyDescent="0.2">
      <c r="B28" s="10" t="s">
        <v>23</v>
      </c>
      <c r="C28" s="12" t="s">
        <v>24</v>
      </c>
    </row>
    <row r="29" spans="2:4" x14ac:dyDescent="0.2">
      <c r="B29" s="10" t="s">
        <v>25</v>
      </c>
      <c r="C29" s="12" t="s">
        <v>26</v>
      </c>
    </row>
    <row r="30" spans="2:4" x14ac:dyDescent="0.2">
      <c r="B30" s="10" t="s">
        <v>27</v>
      </c>
      <c r="C30" s="12">
        <v>2018</v>
      </c>
    </row>
    <row r="31" spans="2:4" x14ac:dyDescent="0.2">
      <c r="B31" s="13" t="s">
        <v>28</v>
      </c>
      <c r="C31" s="14">
        <v>2013</v>
      </c>
    </row>
  </sheetData>
  <mergeCells count="4">
    <mergeCell ref="A1:E1"/>
    <mergeCell ref="A2:E2"/>
    <mergeCell ref="A3:E3"/>
    <mergeCell ref="A4:E4"/>
  </mergeCells>
  <conditionalFormatting sqref="C26:C31">
    <cfRule type="expression" dxfId="15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6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85546875" style="1" customWidth="1"/>
    <col min="3" max="3" width="15.42578125" style="1" customWidth="1"/>
    <col min="4" max="4" width="18.5703125" style="1" customWidth="1"/>
    <col min="5" max="10" width="20.42578125" style="1" customWidth="1"/>
  </cols>
  <sheetData>
    <row r="1" spans="1:12" ht="32.25" customHeight="1" x14ac:dyDescent="0.2">
      <c r="B1" s="16" t="str">
        <f>"Personal income "&amp;Info!C31</f>
        <v>Personal income 2013</v>
      </c>
      <c r="D1" s="17"/>
      <c r="E1" s="18" t="str">
        <f>Info!A4</f>
        <v>Reference year 2018</v>
      </c>
      <c r="F1" s="19"/>
      <c r="J1" s="20" t="str">
        <f>Info!$C$28</f>
        <v>FA_2018_20170823</v>
      </c>
    </row>
    <row r="2" spans="1:12" s="2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4" t="s">
        <v>36</v>
      </c>
      <c r="J2" s="25" t="s">
        <v>37</v>
      </c>
    </row>
    <row r="3" spans="1:12" s="26" customFormat="1" ht="11.25" customHeight="1" x14ac:dyDescent="0.2">
      <c r="A3" s="27"/>
      <c r="B3" s="28" t="s">
        <v>38</v>
      </c>
      <c r="C3" s="29"/>
      <c r="D3" s="29"/>
      <c r="E3" s="29"/>
      <c r="F3" s="29"/>
      <c r="G3" s="30"/>
      <c r="H3" s="30"/>
      <c r="I3" s="29"/>
      <c r="J3" s="31" t="s">
        <v>39</v>
      </c>
    </row>
    <row r="4" spans="1:12" ht="80.25" customHeight="1" x14ac:dyDescent="0.2">
      <c r="B4" s="32"/>
      <c r="C4" s="33" t="s">
        <v>40</v>
      </c>
      <c r="D4" s="33" t="s">
        <v>41</v>
      </c>
      <c r="E4" s="33" t="s">
        <v>42</v>
      </c>
      <c r="F4" s="33" t="s">
        <v>43</v>
      </c>
      <c r="G4" s="33" t="s">
        <v>44</v>
      </c>
      <c r="H4" s="33" t="s">
        <v>45</v>
      </c>
      <c r="I4" s="33" t="s">
        <v>46</v>
      </c>
      <c r="J4" s="34" t="s">
        <v>47</v>
      </c>
    </row>
    <row r="5" spans="1:12" s="35" customFormat="1" ht="22.5" customHeight="1" x14ac:dyDescent="0.2">
      <c r="A5" s="36"/>
      <c r="B5" s="37" t="s">
        <v>48</v>
      </c>
      <c r="C5" s="38" t="s">
        <v>49</v>
      </c>
      <c r="D5" s="38" t="s">
        <v>49</v>
      </c>
      <c r="E5" s="38" t="s">
        <v>50</v>
      </c>
      <c r="F5" s="38" t="s">
        <v>49</v>
      </c>
      <c r="G5" s="38" t="s">
        <v>49</v>
      </c>
      <c r="H5" s="38" t="s">
        <v>49</v>
      </c>
      <c r="I5" s="38" t="s">
        <v>49</v>
      </c>
      <c r="J5" s="39"/>
    </row>
    <row r="6" spans="1:12" s="35" customFormat="1" ht="11.25" customHeight="1" x14ac:dyDescent="0.2">
      <c r="A6" s="36"/>
      <c r="B6" s="37" t="s">
        <v>51</v>
      </c>
      <c r="C6" s="40"/>
      <c r="D6" s="40" t="s">
        <v>52</v>
      </c>
      <c r="E6" s="40" t="s">
        <v>53</v>
      </c>
      <c r="F6" s="40"/>
      <c r="G6" s="40" t="s">
        <v>52</v>
      </c>
      <c r="H6" s="40"/>
      <c r="I6" s="40" t="s">
        <v>52</v>
      </c>
      <c r="J6" s="39" t="s">
        <v>52</v>
      </c>
    </row>
    <row r="7" spans="1:12" x14ac:dyDescent="0.2">
      <c r="B7" s="41" t="s">
        <v>54</v>
      </c>
      <c r="C7" s="42">
        <v>872228</v>
      </c>
      <c r="D7" s="42">
        <v>57686139.799999997</v>
      </c>
      <c r="E7" s="42">
        <v>30800</v>
      </c>
      <c r="F7" s="42">
        <v>259510</v>
      </c>
      <c r="G7" s="42">
        <v>3164329.9</v>
      </c>
      <c r="H7" s="42">
        <v>612718</v>
      </c>
      <c r="I7" s="42">
        <v>54521809.899999999</v>
      </c>
      <c r="J7" s="43">
        <f t="shared" ref="J7:J32" si="0">I7-(E7/1000*H7)</f>
        <v>35650095.5</v>
      </c>
      <c r="K7" s="1"/>
      <c r="L7" s="44"/>
    </row>
    <row r="8" spans="1:12" x14ac:dyDescent="0.2">
      <c r="B8" s="45" t="s">
        <v>55</v>
      </c>
      <c r="C8" s="46">
        <v>635951</v>
      </c>
      <c r="D8" s="46">
        <v>31355087.199999999</v>
      </c>
      <c r="E8" s="46">
        <v>30800</v>
      </c>
      <c r="F8" s="46">
        <v>226857</v>
      </c>
      <c r="G8" s="46">
        <v>2563771.5</v>
      </c>
      <c r="H8" s="46">
        <v>409094</v>
      </c>
      <c r="I8" s="46">
        <v>28791315.699999999</v>
      </c>
      <c r="J8" s="47">
        <f t="shared" si="0"/>
        <v>16191220.499999998</v>
      </c>
      <c r="K8" s="1"/>
      <c r="L8" s="44"/>
    </row>
    <row r="9" spans="1:12" x14ac:dyDescent="0.2">
      <c r="B9" s="48" t="s">
        <v>56</v>
      </c>
      <c r="C9" s="49">
        <v>230186</v>
      </c>
      <c r="D9" s="49">
        <v>12858113.199999999</v>
      </c>
      <c r="E9" s="49">
        <v>30800</v>
      </c>
      <c r="F9" s="49">
        <v>71099</v>
      </c>
      <c r="G9" s="49">
        <v>970089.1</v>
      </c>
      <c r="H9" s="49">
        <v>159087</v>
      </c>
      <c r="I9" s="49">
        <v>11888024.1</v>
      </c>
      <c r="J9" s="50">
        <f t="shared" si="0"/>
        <v>6988144.4999999991</v>
      </c>
      <c r="K9" s="1"/>
      <c r="L9" s="44"/>
    </row>
    <row r="10" spans="1:12" x14ac:dyDescent="0.2">
      <c r="B10" s="45" t="s">
        <v>57</v>
      </c>
      <c r="C10" s="46">
        <v>20659</v>
      </c>
      <c r="D10" s="46">
        <v>1012838.4</v>
      </c>
      <c r="E10" s="46">
        <v>30800</v>
      </c>
      <c r="F10" s="46">
        <v>6607</v>
      </c>
      <c r="G10" s="46">
        <v>95209.9</v>
      </c>
      <c r="H10" s="46">
        <v>14052</v>
      </c>
      <c r="I10" s="46">
        <v>917628.5</v>
      </c>
      <c r="J10" s="47">
        <f t="shared" si="0"/>
        <v>484826.89999999997</v>
      </c>
      <c r="K10" s="1"/>
      <c r="L10" s="44"/>
    </row>
    <row r="11" spans="1:12" x14ac:dyDescent="0.2">
      <c r="B11" s="48" t="s">
        <v>58</v>
      </c>
      <c r="C11" s="49">
        <v>90670</v>
      </c>
      <c r="D11" s="49">
        <v>7691905.2999999998</v>
      </c>
      <c r="E11" s="49">
        <v>30800</v>
      </c>
      <c r="F11" s="49">
        <v>26276</v>
      </c>
      <c r="G11" s="49">
        <v>344654.8</v>
      </c>
      <c r="H11" s="49">
        <v>64394</v>
      </c>
      <c r="I11" s="49">
        <v>7347250.5</v>
      </c>
      <c r="J11" s="50">
        <f t="shared" si="0"/>
        <v>5363915.3</v>
      </c>
      <c r="K11" s="1"/>
      <c r="L11" s="44"/>
    </row>
    <row r="12" spans="1:12" x14ac:dyDescent="0.2">
      <c r="B12" s="45" t="s">
        <v>59</v>
      </c>
      <c r="C12" s="46">
        <v>22142</v>
      </c>
      <c r="D12" s="46">
        <v>1422268.3</v>
      </c>
      <c r="E12" s="46">
        <v>30800</v>
      </c>
      <c r="F12" s="46">
        <v>7198</v>
      </c>
      <c r="G12" s="46">
        <v>97907.8</v>
      </c>
      <c r="H12" s="46">
        <v>14944</v>
      </c>
      <c r="I12" s="46">
        <v>1324360.5</v>
      </c>
      <c r="J12" s="47">
        <f t="shared" si="0"/>
        <v>864085.3</v>
      </c>
      <c r="K12" s="1"/>
      <c r="L12" s="44"/>
    </row>
    <row r="13" spans="1:12" x14ac:dyDescent="0.2">
      <c r="B13" s="48" t="s">
        <v>60</v>
      </c>
      <c r="C13" s="49">
        <v>25361</v>
      </c>
      <c r="D13" s="49">
        <v>1907571.9</v>
      </c>
      <c r="E13" s="49">
        <v>30800</v>
      </c>
      <c r="F13" s="49">
        <v>6888</v>
      </c>
      <c r="G13" s="49">
        <v>99271.1</v>
      </c>
      <c r="H13" s="49">
        <v>18473</v>
      </c>
      <c r="I13" s="49">
        <v>1808300.8</v>
      </c>
      <c r="J13" s="50">
        <f t="shared" si="0"/>
        <v>1239332.3999999999</v>
      </c>
      <c r="K13" s="1"/>
      <c r="L13" s="44"/>
    </row>
    <row r="14" spans="1:12" x14ac:dyDescent="0.2">
      <c r="B14" s="45" t="s">
        <v>61</v>
      </c>
      <c r="C14" s="46">
        <v>23411</v>
      </c>
      <c r="D14" s="46">
        <v>1204450.7</v>
      </c>
      <c r="E14" s="46">
        <v>30800</v>
      </c>
      <c r="F14" s="46">
        <v>7769</v>
      </c>
      <c r="G14" s="46">
        <v>111347.9</v>
      </c>
      <c r="H14" s="46">
        <v>15642</v>
      </c>
      <c r="I14" s="46">
        <v>1093102.8</v>
      </c>
      <c r="J14" s="47">
        <f t="shared" si="0"/>
        <v>611329.19999999995</v>
      </c>
      <c r="K14" s="1"/>
      <c r="L14" s="44"/>
    </row>
    <row r="15" spans="1:12" x14ac:dyDescent="0.2">
      <c r="B15" s="48" t="s">
        <v>62</v>
      </c>
      <c r="C15" s="49">
        <v>69522</v>
      </c>
      <c r="D15" s="49">
        <v>6503004.2999999998</v>
      </c>
      <c r="E15" s="49">
        <v>30800</v>
      </c>
      <c r="F15" s="49">
        <v>17515</v>
      </c>
      <c r="G15" s="49">
        <v>208607.9</v>
      </c>
      <c r="H15" s="49">
        <v>52007</v>
      </c>
      <c r="I15" s="49">
        <v>6294396.4000000004</v>
      </c>
      <c r="J15" s="50">
        <f t="shared" si="0"/>
        <v>4692580.8000000007</v>
      </c>
      <c r="K15" s="1"/>
      <c r="L15" s="44"/>
    </row>
    <row r="16" spans="1:12" x14ac:dyDescent="0.2">
      <c r="B16" s="45" t="s">
        <v>63</v>
      </c>
      <c r="C16" s="46">
        <v>170328</v>
      </c>
      <c r="D16" s="46">
        <v>9061062.1999999993</v>
      </c>
      <c r="E16" s="46">
        <v>30800</v>
      </c>
      <c r="F16" s="46">
        <v>58511</v>
      </c>
      <c r="G16" s="46">
        <v>736968.5</v>
      </c>
      <c r="H16" s="46">
        <v>111817</v>
      </c>
      <c r="I16" s="46">
        <v>8324093.7000000002</v>
      </c>
      <c r="J16" s="47">
        <f t="shared" si="0"/>
        <v>4880130.0999999996</v>
      </c>
      <c r="K16" s="1"/>
      <c r="L16" s="44"/>
    </row>
    <row r="17" spans="2:12" x14ac:dyDescent="0.2">
      <c r="B17" s="48" t="s">
        <v>64</v>
      </c>
      <c r="C17" s="49">
        <v>163910</v>
      </c>
      <c r="D17" s="49">
        <v>8649023.3000000007</v>
      </c>
      <c r="E17" s="49">
        <v>30800</v>
      </c>
      <c r="F17" s="49">
        <v>52014</v>
      </c>
      <c r="G17" s="49">
        <v>629842.4</v>
      </c>
      <c r="H17" s="49">
        <v>111896</v>
      </c>
      <c r="I17" s="49">
        <v>8019180.9000000004</v>
      </c>
      <c r="J17" s="50">
        <f t="shared" si="0"/>
        <v>4572784.0999999996</v>
      </c>
      <c r="K17" s="1"/>
      <c r="L17" s="44"/>
    </row>
    <row r="18" spans="2:12" x14ac:dyDescent="0.2">
      <c r="B18" s="45" t="s">
        <v>65</v>
      </c>
      <c r="C18" s="46">
        <v>123212</v>
      </c>
      <c r="D18" s="46">
        <v>7744870.2000000002</v>
      </c>
      <c r="E18" s="46">
        <v>30800</v>
      </c>
      <c r="F18" s="46">
        <v>43496</v>
      </c>
      <c r="G18" s="46">
        <v>551566.9</v>
      </c>
      <c r="H18" s="46">
        <v>79716</v>
      </c>
      <c r="I18" s="46">
        <v>7193303.2999999998</v>
      </c>
      <c r="J18" s="47">
        <f t="shared" si="0"/>
        <v>4738050.5</v>
      </c>
      <c r="K18" s="1"/>
      <c r="L18" s="44"/>
    </row>
    <row r="19" spans="2:12" x14ac:dyDescent="0.2">
      <c r="B19" s="48" t="s">
        <v>66</v>
      </c>
      <c r="C19" s="49">
        <v>167319</v>
      </c>
      <c r="D19" s="49">
        <v>10781786.5</v>
      </c>
      <c r="E19" s="49">
        <v>30800</v>
      </c>
      <c r="F19" s="49">
        <v>46280</v>
      </c>
      <c r="G19" s="49">
        <v>539853.80000000005</v>
      </c>
      <c r="H19" s="49">
        <v>121039</v>
      </c>
      <c r="I19" s="49">
        <v>10241932.699999999</v>
      </c>
      <c r="J19" s="50">
        <f t="shared" si="0"/>
        <v>6513931.4999999991</v>
      </c>
      <c r="K19" s="1"/>
      <c r="L19" s="44"/>
    </row>
    <row r="20" spans="2:12" x14ac:dyDescent="0.2">
      <c r="B20" s="45" t="s">
        <v>67</v>
      </c>
      <c r="C20" s="46">
        <v>47285</v>
      </c>
      <c r="D20" s="46">
        <v>2506838.4</v>
      </c>
      <c r="E20" s="46">
        <v>30800</v>
      </c>
      <c r="F20" s="46">
        <v>15279</v>
      </c>
      <c r="G20" s="46">
        <v>209487.6</v>
      </c>
      <c r="H20" s="46">
        <v>32006</v>
      </c>
      <c r="I20" s="46">
        <v>2297350.7999999998</v>
      </c>
      <c r="J20" s="47">
        <f t="shared" si="0"/>
        <v>1311565.9999999998</v>
      </c>
      <c r="K20" s="1"/>
      <c r="L20" s="44"/>
    </row>
    <row r="21" spans="2:12" x14ac:dyDescent="0.2">
      <c r="B21" s="48" t="s">
        <v>68</v>
      </c>
      <c r="C21" s="49">
        <v>32322</v>
      </c>
      <c r="D21" s="49">
        <v>1748969.2</v>
      </c>
      <c r="E21" s="49">
        <v>30800</v>
      </c>
      <c r="F21" s="49">
        <v>10867</v>
      </c>
      <c r="G21" s="49">
        <v>149661.9</v>
      </c>
      <c r="H21" s="49">
        <v>21455</v>
      </c>
      <c r="I21" s="49">
        <v>1599307.3</v>
      </c>
      <c r="J21" s="50">
        <f t="shared" si="0"/>
        <v>938493.3</v>
      </c>
      <c r="K21" s="1"/>
      <c r="L21" s="44"/>
    </row>
    <row r="22" spans="2:12" x14ac:dyDescent="0.2">
      <c r="B22" s="45" t="s">
        <v>69</v>
      </c>
      <c r="C22" s="46">
        <v>9236</v>
      </c>
      <c r="D22" s="46">
        <v>516322.4</v>
      </c>
      <c r="E22" s="46">
        <v>30800</v>
      </c>
      <c r="F22" s="46">
        <v>3044</v>
      </c>
      <c r="G22" s="46">
        <v>42384.1</v>
      </c>
      <c r="H22" s="46">
        <v>6192</v>
      </c>
      <c r="I22" s="46">
        <v>473938.3</v>
      </c>
      <c r="J22" s="47">
        <f t="shared" si="0"/>
        <v>283224.69999999995</v>
      </c>
      <c r="K22" s="1"/>
      <c r="L22" s="44"/>
    </row>
    <row r="23" spans="2:12" x14ac:dyDescent="0.2">
      <c r="B23" s="48" t="s">
        <v>70</v>
      </c>
      <c r="C23" s="49">
        <v>289841</v>
      </c>
      <c r="D23" s="49">
        <v>14983347.9</v>
      </c>
      <c r="E23" s="49">
        <v>30800</v>
      </c>
      <c r="F23" s="49">
        <v>95804</v>
      </c>
      <c r="G23" s="49">
        <v>1325579.7</v>
      </c>
      <c r="H23" s="49">
        <v>194037</v>
      </c>
      <c r="I23" s="49">
        <v>13657768.199999999</v>
      </c>
      <c r="J23" s="50">
        <f t="shared" si="0"/>
        <v>7681428.5999999987</v>
      </c>
      <c r="K23" s="1"/>
      <c r="L23" s="44"/>
    </row>
    <row r="24" spans="2:12" x14ac:dyDescent="0.2">
      <c r="B24" s="45" t="s">
        <v>71</v>
      </c>
      <c r="C24" s="46">
        <v>127631</v>
      </c>
      <c r="D24" s="46">
        <v>6320177.4000000004</v>
      </c>
      <c r="E24" s="46">
        <v>30800</v>
      </c>
      <c r="F24" s="46">
        <v>49388</v>
      </c>
      <c r="G24" s="46">
        <v>562346.80000000005</v>
      </c>
      <c r="H24" s="46">
        <v>78243</v>
      </c>
      <c r="I24" s="46">
        <v>5757830.5999999996</v>
      </c>
      <c r="J24" s="47">
        <f t="shared" si="0"/>
        <v>3347946.1999999997</v>
      </c>
      <c r="K24" s="1"/>
      <c r="L24" s="44"/>
    </row>
    <row r="25" spans="2:12" x14ac:dyDescent="0.2">
      <c r="B25" s="48" t="s">
        <v>72</v>
      </c>
      <c r="C25" s="49">
        <v>370463</v>
      </c>
      <c r="D25" s="49">
        <v>21744247.199999999</v>
      </c>
      <c r="E25" s="49">
        <v>30800</v>
      </c>
      <c r="F25" s="49">
        <v>98593</v>
      </c>
      <c r="G25" s="49">
        <v>1311836.5</v>
      </c>
      <c r="H25" s="49">
        <v>271870</v>
      </c>
      <c r="I25" s="49">
        <v>20432410.699999999</v>
      </c>
      <c r="J25" s="50">
        <f t="shared" si="0"/>
        <v>12058814.699999999</v>
      </c>
      <c r="K25" s="1"/>
      <c r="L25" s="44"/>
    </row>
    <row r="26" spans="2:12" x14ac:dyDescent="0.2">
      <c r="B26" s="45" t="s">
        <v>73</v>
      </c>
      <c r="C26" s="46">
        <v>152496</v>
      </c>
      <c r="D26" s="46">
        <v>8399348.0999999996</v>
      </c>
      <c r="E26" s="46">
        <v>30800</v>
      </c>
      <c r="F26" s="46">
        <v>46793</v>
      </c>
      <c r="G26" s="46">
        <v>649561.1</v>
      </c>
      <c r="H26" s="46">
        <v>105703</v>
      </c>
      <c r="I26" s="46">
        <v>7749787</v>
      </c>
      <c r="J26" s="47">
        <f t="shared" si="0"/>
        <v>4494134.5999999996</v>
      </c>
      <c r="K26" s="1"/>
      <c r="L26" s="44"/>
    </row>
    <row r="27" spans="2:12" x14ac:dyDescent="0.2">
      <c r="B27" s="48" t="s">
        <v>74</v>
      </c>
      <c r="C27" s="49">
        <v>220667</v>
      </c>
      <c r="D27" s="49">
        <v>11648889.199999999</v>
      </c>
      <c r="E27" s="49">
        <v>30800</v>
      </c>
      <c r="F27" s="49">
        <v>90543</v>
      </c>
      <c r="G27" s="49">
        <v>1129635.3</v>
      </c>
      <c r="H27" s="49">
        <v>130124</v>
      </c>
      <c r="I27" s="49">
        <v>10519253.9</v>
      </c>
      <c r="J27" s="50">
        <f t="shared" si="0"/>
        <v>6511434.7000000002</v>
      </c>
      <c r="K27" s="1"/>
      <c r="L27" s="44"/>
    </row>
    <row r="28" spans="2:12" x14ac:dyDescent="0.2">
      <c r="B28" s="45" t="s">
        <v>75</v>
      </c>
      <c r="C28" s="46">
        <v>429423</v>
      </c>
      <c r="D28" s="46">
        <v>26391601.399999999</v>
      </c>
      <c r="E28" s="46">
        <v>30800</v>
      </c>
      <c r="F28" s="46">
        <v>153452</v>
      </c>
      <c r="G28" s="46">
        <v>1733330</v>
      </c>
      <c r="H28" s="46">
        <v>275971</v>
      </c>
      <c r="I28" s="46">
        <v>24658271.399999999</v>
      </c>
      <c r="J28" s="47">
        <f t="shared" si="0"/>
        <v>16158364.599999998</v>
      </c>
      <c r="K28" s="1"/>
      <c r="L28" s="44"/>
    </row>
    <row r="29" spans="2:12" x14ac:dyDescent="0.2">
      <c r="B29" s="48" t="s">
        <v>76</v>
      </c>
      <c r="C29" s="49">
        <v>230829</v>
      </c>
      <c r="D29" s="49">
        <v>9728915.9000000004</v>
      </c>
      <c r="E29" s="49">
        <v>30800</v>
      </c>
      <c r="F29" s="49">
        <v>106618</v>
      </c>
      <c r="G29" s="49">
        <v>1004320.4</v>
      </c>
      <c r="H29" s="49">
        <v>124211</v>
      </c>
      <c r="I29" s="49">
        <v>8724595.5</v>
      </c>
      <c r="J29" s="50">
        <f t="shared" si="0"/>
        <v>4898896.6999999993</v>
      </c>
      <c r="K29" s="1"/>
      <c r="L29" s="44"/>
    </row>
    <row r="30" spans="2:12" x14ac:dyDescent="0.2">
      <c r="B30" s="45" t="s">
        <v>77</v>
      </c>
      <c r="C30" s="46">
        <v>104981</v>
      </c>
      <c r="D30" s="46">
        <v>5283623.3</v>
      </c>
      <c r="E30" s="46">
        <v>30800</v>
      </c>
      <c r="F30" s="46">
        <v>38790</v>
      </c>
      <c r="G30" s="46">
        <v>466180.4</v>
      </c>
      <c r="H30" s="46">
        <v>66191</v>
      </c>
      <c r="I30" s="46">
        <v>4817442.9000000004</v>
      </c>
      <c r="J30" s="47">
        <f t="shared" si="0"/>
        <v>2778760.1000000006</v>
      </c>
      <c r="K30" s="1"/>
      <c r="L30" s="44"/>
    </row>
    <row r="31" spans="2:12" x14ac:dyDescent="0.2">
      <c r="B31" s="48" t="s">
        <v>78</v>
      </c>
      <c r="C31" s="49">
        <v>258615</v>
      </c>
      <c r="D31" s="49">
        <v>18017955.5</v>
      </c>
      <c r="E31" s="49">
        <v>30800</v>
      </c>
      <c r="F31" s="49">
        <v>97521</v>
      </c>
      <c r="G31" s="49">
        <v>1027458</v>
      </c>
      <c r="H31" s="49">
        <v>161094</v>
      </c>
      <c r="I31" s="49">
        <v>16990497.5</v>
      </c>
      <c r="J31" s="50">
        <f t="shared" si="0"/>
        <v>12028802.300000001</v>
      </c>
      <c r="K31" s="1"/>
      <c r="L31" s="44"/>
    </row>
    <row r="32" spans="2:12" x14ac:dyDescent="0.2">
      <c r="B32" s="45" t="s">
        <v>79</v>
      </c>
      <c r="C32" s="46">
        <v>44245</v>
      </c>
      <c r="D32" s="46">
        <v>1973416.5</v>
      </c>
      <c r="E32" s="46">
        <v>30800</v>
      </c>
      <c r="F32" s="46">
        <v>17430</v>
      </c>
      <c r="G32" s="46">
        <v>222721.8</v>
      </c>
      <c r="H32" s="46">
        <v>26815</v>
      </c>
      <c r="I32" s="46">
        <v>1750694.7</v>
      </c>
      <c r="J32" s="47">
        <f t="shared" si="0"/>
        <v>924792.7</v>
      </c>
      <c r="K32" s="1"/>
      <c r="L32" s="44"/>
    </row>
    <row r="33" spans="1:12" s="51" customFormat="1" x14ac:dyDescent="0.2">
      <c r="A33" s="52"/>
      <c r="B33" s="53" t="s">
        <v>80</v>
      </c>
      <c r="C33" s="54">
        <f>SUM(C7:C32)</f>
        <v>4932933</v>
      </c>
      <c r="D33" s="54">
        <f>SUM(D7:D32)</f>
        <v>287141773.70000005</v>
      </c>
      <c r="E33" s="54">
        <f>AVERAGE(E7:E32)</f>
        <v>30800</v>
      </c>
      <c r="F33" s="54">
        <f>SUM(F7:F32)</f>
        <v>1654142</v>
      </c>
      <c r="G33" s="54">
        <f>SUM(G7:G32)</f>
        <v>19947925.099999998</v>
      </c>
      <c r="H33" s="54">
        <f>SUM(H7:H32)</f>
        <v>3278791</v>
      </c>
      <c r="I33" s="54">
        <f>SUM(I7:I32)</f>
        <v>267193848.59999999</v>
      </c>
      <c r="J33" s="55">
        <f>SUM(J7:J32)</f>
        <v>166207085.79999995</v>
      </c>
      <c r="L33" s="56"/>
    </row>
    <row r="34" spans="1:12" x14ac:dyDescent="0.2">
      <c r="B34" s="52"/>
      <c r="K34" s="1"/>
    </row>
    <row r="35" spans="1:12" x14ac:dyDescent="0.2">
      <c r="K35" s="1"/>
    </row>
    <row r="36" spans="1:12" x14ac:dyDescent="0.2">
      <c r="K36" s="1"/>
    </row>
  </sheetData>
  <conditionalFormatting sqref="C7:I32">
    <cfRule type="expression" dxfId="1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2.42578125" style="1" customWidth="1"/>
    <col min="3" max="3" width="24.140625" style="1" customWidth="1"/>
  </cols>
  <sheetData>
    <row r="1" spans="1:4" ht="27" customHeight="1" x14ac:dyDescent="0.2">
      <c r="B1" s="57" t="str">
        <f>"Income taxed at source "&amp;Info!C31</f>
        <v>Income taxed at source 2013</v>
      </c>
      <c r="C1" s="58"/>
      <c r="D1" s="58"/>
    </row>
    <row r="2" spans="1:4" ht="15.75" customHeight="1" x14ac:dyDescent="0.25">
      <c r="B2" s="59" t="str">
        <f>Info!A4</f>
        <v>Reference year 2018</v>
      </c>
      <c r="C2" s="60"/>
    </row>
    <row r="3" spans="1:4" x14ac:dyDescent="0.2">
      <c r="B3" s="61"/>
      <c r="C3" s="20" t="str">
        <f>Info!$C$28</f>
        <v>FA_2018_20170823</v>
      </c>
    </row>
    <row r="4" spans="1:4" ht="30" customHeight="1" x14ac:dyDescent="0.2">
      <c r="B4" s="62"/>
      <c r="C4" s="63" t="s">
        <v>81</v>
      </c>
    </row>
    <row r="5" spans="1:4" x14ac:dyDescent="0.2">
      <c r="B5" s="64" t="s">
        <v>48</v>
      </c>
      <c r="C5" s="65" t="str">
        <f>"ITS_"&amp;Info!C30&amp;"_"&amp;Info!C31&amp;".xlsx"</f>
        <v>ITS_2018_2013.xlsx</v>
      </c>
    </row>
    <row r="6" spans="1:4" x14ac:dyDescent="0.2">
      <c r="A6" s="36"/>
      <c r="B6" s="66" t="s">
        <v>51</v>
      </c>
      <c r="C6" s="67" t="s">
        <v>52</v>
      </c>
    </row>
    <row r="7" spans="1:4" ht="15" customHeight="1" x14ac:dyDescent="0.2">
      <c r="A7" s="68"/>
      <c r="B7" s="69" t="s">
        <v>54</v>
      </c>
      <c r="C7" s="70">
        <v>1987033.32505906</v>
      </c>
    </row>
    <row r="8" spans="1:4" ht="15" customHeight="1" x14ac:dyDescent="0.2">
      <c r="A8" s="68"/>
      <c r="B8" s="71" t="s">
        <v>55</v>
      </c>
      <c r="C8" s="72">
        <v>655960.55933360197</v>
      </c>
    </row>
    <row r="9" spans="1:4" ht="15" customHeight="1" x14ac:dyDescent="0.2">
      <c r="A9" s="68"/>
      <c r="B9" s="73" t="s">
        <v>56</v>
      </c>
      <c r="C9" s="74">
        <v>267305.58859205799</v>
      </c>
    </row>
    <row r="10" spans="1:4" ht="15" customHeight="1" x14ac:dyDescent="0.2">
      <c r="A10" s="68"/>
      <c r="B10" s="71" t="s">
        <v>57</v>
      </c>
      <c r="C10" s="72">
        <v>29404.372751325001</v>
      </c>
    </row>
    <row r="11" spans="1:4" ht="15" customHeight="1" x14ac:dyDescent="0.2">
      <c r="A11" s="68"/>
      <c r="B11" s="73" t="s">
        <v>58</v>
      </c>
      <c r="C11" s="74">
        <v>138474.43532954299</v>
      </c>
    </row>
    <row r="12" spans="1:4" ht="15" customHeight="1" x14ac:dyDescent="0.2">
      <c r="A12" s="68"/>
      <c r="B12" s="71" t="s">
        <v>59</v>
      </c>
      <c r="C12" s="72">
        <v>32183.152448656099</v>
      </c>
    </row>
    <row r="13" spans="1:4" ht="15" customHeight="1" x14ac:dyDescent="0.2">
      <c r="A13" s="68"/>
      <c r="B13" s="73" t="s">
        <v>60</v>
      </c>
      <c r="C13" s="74">
        <v>33061.786554162398</v>
      </c>
    </row>
    <row r="14" spans="1:4" ht="15" customHeight="1" x14ac:dyDescent="0.2">
      <c r="A14" s="68"/>
      <c r="B14" s="71" t="s">
        <v>61</v>
      </c>
      <c r="C14" s="72">
        <v>48525.861084616598</v>
      </c>
    </row>
    <row r="15" spans="1:4" ht="15" customHeight="1" x14ac:dyDescent="0.2">
      <c r="A15" s="68"/>
      <c r="B15" s="73" t="s">
        <v>62</v>
      </c>
      <c r="C15" s="74">
        <v>214431.78942173999</v>
      </c>
    </row>
    <row r="16" spans="1:4" ht="15" customHeight="1" x14ac:dyDescent="0.2">
      <c r="A16" s="68"/>
      <c r="B16" s="71" t="s">
        <v>63</v>
      </c>
      <c r="C16" s="72">
        <v>236541.63051675001</v>
      </c>
    </row>
    <row r="17" spans="1:3" ht="15" customHeight="1" x14ac:dyDescent="0.2">
      <c r="A17" s="68"/>
      <c r="B17" s="73" t="s">
        <v>64</v>
      </c>
      <c r="C17" s="74">
        <v>159604.40485099101</v>
      </c>
    </row>
    <row r="18" spans="1:3" ht="15" customHeight="1" x14ac:dyDescent="0.2">
      <c r="A18" s="68"/>
      <c r="B18" s="71" t="s">
        <v>65</v>
      </c>
      <c r="C18" s="72">
        <v>711649.88875728799</v>
      </c>
    </row>
    <row r="19" spans="1:3" ht="15" customHeight="1" x14ac:dyDescent="0.2">
      <c r="A19" s="68"/>
      <c r="B19" s="73" t="s">
        <v>66</v>
      </c>
      <c r="C19" s="74">
        <v>381081.83931429102</v>
      </c>
    </row>
    <row r="20" spans="1:3" ht="15" customHeight="1" x14ac:dyDescent="0.2">
      <c r="A20" s="68"/>
      <c r="B20" s="71" t="s">
        <v>67</v>
      </c>
      <c r="C20" s="72">
        <v>160330.03667660899</v>
      </c>
    </row>
    <row r="21" spans="1:3" ht="15" customHeight="1" x14ac:dyDescent="0.2">
      <c r="A21" s="68"/>
      <c r="B21" s="73" t="s">
        <v>68</v>
      </c>
      <c r="C21" s="74">
        <v>38626.439371444998</v>
      </c>
    </row>
    <row r="22" spans="1:3" ht="15" customHeight="1" x14ac:dyDescent="0.2">
      <c r="A22" s="68"/>
      <c r="B22" s="71" t="s">
        <v>69</v>
      </c>
      <c r="C22" s="72">
        <v>8939.3310107099005</v>
      </c>
    </row>
    <row r="23" spans="1:3" ht="15" customHeight="1" x14ac:dyDescent="0.2">
      <c r="A23" s="68"/>
      <c r="B23" s="73" t="s">
        <v>70</v>
      </c>
      <c r="C23" s="74">
        <v>519537.34981954203</v>
      </c>
    </row>
    <row r="24" spans="1:3" ht="15" customHeight="1" x14ac:dyDescent="0.2">
      <c r="A24" s="68"/>
      <c r="B24" s="71" t="s">
        <v>71</v>
      </c>
      <c r="C24" s="72">
        <v>390902.57678046101</v>
      </c>
    </row>
    <row r="25" spans="1:3" ht="15" customHeight="1" x14ac:dyDescent="0.2">
      <c r="A25" s="68"/>
      <c r="B25" s="73" t="s">
        <v>72</v>
      </c>
      <c r="C25" s="74">
        <v>609443.52764504799</v>
      </c>
    </row>
    <row r="26" spans="1:3" ht="15" customHeight="1" x14ac:dyDescent="0.2">
      <c r="A26" s="68"/>
      <c r="B26" s="71" t="s">
        <v>73</v>
      </c>
      <c r="C26" s="72">
        <v>278544.44083387201</v>
      </c>
    </row>
    <row r="27" spans="1:3" ht="15" customHeight="1" x14ac:dyDescent="0.2">
      <c r="A27" s="68"/>
      <c r="B27" s="73" t="s">
        <v>74</v>
      </c>
      <c r="C27" s="74">
        <v>893394.08419428696</v>
      </c>
    </row>
    <row r="28" spans="1:3" ht="15" customHeight="1" x14ac:dyDescent="0.2">
      <c r="A28" s="68"/>
      <c r="B28" s="71" t="s">
        <v>75</v>
      </c>
      <c r="C28" s="72">
        <v>1263036.9326866099</v>
      </c>
    </row>
    <row r="29" spans="1:3" ht="15" customHeight="1" x14ac:dyDescent="0.2">
      <c r="A29" s="68"/>
      <c r="B29" s="73" t="s">
        <v>76</v>
      </c>
      <c r="C29" s="74">
        <v>409186.07720474101</v>
      </c>
    </row>
    <row r="30" spans="1:3" ht="15" customHeight="1" x14ac:dyDescent="0.2">
      <c r="A30" s="68"/>
      <c r="B30" s="71" t="s">
        <v>77</v>
      </c>
      <c r="C30" s="72">
        <v>264314.02785218699</v>
      </c>
    </row>
    <row r="31" spans="1:3" ht="15" customHeight="1" x14ac:dyDescent="0.2">
      <c r="A31" s="68"/>
      <c r="B31" s="73" t="s">
        <v>78</v>
      </c>
      <c r="C31" s="74">
        <v>2519325.6135055502</v>
      </c>
    </row>
    <row r="32" spans="1:3" ht="15" customHeight="1" x14ac:dyDescent="0.2">
      <c r="A32" s="68"/>
      <c r="B32" s="71" t="s">
        <v>79</v>
      </c>
      <c r="C32" s="72">
        <v>95077.664059590199</v>
      </c>
    </row>
    <row r="33" spans="1:3" s="51" customFormat="1" ht="18.75" customHeight="1" x14ac:dyDescent="0.2">
      <c r="A33" s="75"/>
      <c r="B33" s="76" t="s">
        <v>80</v>
      </c>
      <c r="C33" s="77">
        <f>SUM(C7:C32)</f>
        <v>12345916.735654734</v>
      </c>
    </row>
  </sheetData>
  <conditionalFormatting sqref="C7:C32">
    <cfRule type="expression" dxfId="13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7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9.85546875" style="1" customWidth="1"/>
    <col min="2" max="3" width="17.140625" style="1" customWidth="1"/>
    <col min="4" max="4" width="19.7109375" style="1" customWidth="1"/>
  </cols>
  <sheetData>
    <row r="1" spans="1:5" s="15" customFormat="1" ht="28.5" customHeight="1" x14ac:dyDescent="0.2">
      <c r="A1" s="57" t="str">
        <f>"Wealth "&amp;Info!C31</f>
        <v>Wealth 2013</v>
      </c>
      <c r="B1" s="57"/>
      <c r="C1" s="57"/>
    </row>
    <row r="2" spans="1:5" ht="18.75" customHeight="1" x14ac:dyDescent="0.2">
      <c r="A2" s="78" t="str">
        <f>Info!A4</f>
        <v>Reference year 2018</v>
      </c>
      <c r="B2" s="79"/>
    </row>
    <row r="3" spans="1:5" ht="15.75" customHeight="1" x14ac:dyDescent="0.2">
      <c r="A3" s="80"/>
      <c r="B3" s="81"/>
      <c r="C3" s="82"/>
      <c r="D3" s="20" t="str">
        <f>Info!$C$28</f>
        <v>FA_2018_20170823</v>
      </c>
    </row>
    <row r="4" spans="1:5" s="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5" x14ac:dyDescent="0.2">
      <c r="A5" s="28" t="s">
        <v>38</v>
      </c>
      <c r="B5" s="29"/>
      <c r="C5" s="29"/>
      <c r="D5" s="31" t="s">
        <v>83</v>
      </c>
    </row>
    <row r="6" spans="1:5" ht="20.25" customHeight="1" x14ac:dyDescent="0.2">
      <c r="A6" s="32"/>
      <c r="B6" s="33" t="s">
        <v>84</v>
      </c>
      <c r="C6" s="33" t="s">
        <v>85</v>
      </c>
      <c r="D6" s="34" t="s">
        <v>86</v>
      </c>
      <c r="E6" s="51"/>
    </row>
    <row r="7" spans="1:5" x14ac:dyDescent="0.2">
      <c r="A7" s="37" t="s">
        <v>48</v>
      </c>
      <c r="B7" s="38" t="s">
        <v>49</v>
      </c>
      <c r="C7" s="38" t="s">
        <v>87</v>
      </c>
      <c r="D7" s="85"/>
    </row>
    <row r="8" spans="1:5" s="35" customFormat="1" ht="11.25" customHeight="1" x14ac:dyDescent="0.2">
      <c r="A8" s="86" t="s">
        <v>51</v>
      </c>
      <c r="B8" s="40" t="s">
        <v>52</v>
      </c>
      <c r="C8" s="40"/>
      <c r="D8" s="39" t="s">
        <v>52</v>
      </c>
    </row>
    <row r="9" spans="1:5" ht="15" customHeight="1" x14ac:dyDescent="0.2">
      <c r="A9" s="41" t="s">
        <v>54</v>
      </c>
      <c r="B9" s="87">
        <v>382507147</v>
      </c>
      <c r="C9" s="88">
        <f t="shared" ref="C9:C34" si="0">C$35</f>
        <v>1.4999999999999999E-2</v>
      </c>
      <c r="D9" s="89">
        <f t="shared" ref="D9:D34" si="1">B9*C9</f>
        <v>5737607.2050000001</v>
      </c>
    </row>
    <row r="10" spans="1:5" ht="15" customHeight="1" x14ac:dyDescent="0.2">
      <c r="A10" s="45" t="s">
        <v>55</v>
      </c>
      <c r="B10" s="90">
        <v>156426268.13699999</v>
      </c>
      <c r="C10" s="91">
        <f t="shared" si="0"/>
        <v>1.4999999999999999E-2</v>
      </c>
      <c r="D10" s="92">
        <f t="shared" si="1"/>
        <v>2346394.0220549996</v>
      </c>
    </row>
    <row r="11" spans="1:5" ht="15" customHeight="1" x14ac:dyDescent="0.2">
      <c r="A11" s="48" t="s">
        <v>56</v>
      </c>
      <c r="B11" s="93">
        <v>75252755.562999994</v>
      </c>
      <c r="C11" s="94">
        <f t="shared" si="0"/>
        <v>1.4999999999999999E-2</v>
      </c>
      <c r="D11" s="95">
        <f t="shared" si="1"/>
        <v>1128791.3334449998</v>
      </c>
    </row>
    <row r="12" spans="1:5" ht="15" customHeight="1" x14ac:dyDescent="0.2">
      <c r="A12" s="45" t="s">
        <v>57</v>
      </c>
      <c r="B12" s="90">
        <v>6106405.9840000002</v>
      </c>
      <c r="C12" s="91">
        <f t="shared" si="0"/>
        <v>1.4999999999999999E-2</v>
      </c>
      <c r="D12" s="92">
        <f t="shared" si="1"/>
        <v>91596.089760000003</v>
      </c>
    </row>
    <row r="13" spans="1:5" ht="15" customHeight="1" x14ac:dyDescent="0.2">
      <c r="A13" s="48" t="s">
        <v>58</v>
      </c>
      <c r="B13" s="93">
        <v>96490559.600999996</v>
      </c>
      <c r="C13" s="94">
        <f t="shared" si="0"/>
        <v>1.4999999999999999E-2</v>
      </c>
      <c r="D13" s="95">
        <f t="shared" si="1"/>
        <v>1447358.394015</v>
      </c>
    </row>
    <row r="14" spans="1:5" ht="15" customHeight="1" x14ac:dyDescent="0.2">
      <c r="A14" s="45" t="s">
        <v>59</v>
      </c>
      <c r="B14" s="90">
        <v>10446743.108999999</v>
      </c>
      <c r="C14" s="91">
        <f t="shared" si="0"/>
        <v>1.4999999999999999E-2</v>
      </c>
      <c r="D14" s="92">
        <f t="shared" si="1"/>
        <v>156701.14663499998</v>
      </c>
    </row>
    <row r="15" spans="1:5" ht="15" customHeight="1" x14ac:dyDescent="0.2">
      <c r="A15" s="48" t="s">
        <v>60</v>
      </c>
      <c r="B15" s="93">
        <v>27875579.976</v>
      </c>
      <c r="C15" s="94">
        <f t="shared" si="0"/>
        <v>1.4999999999999999E-2</v>
      </c>
      <c r="D15" s="95">
        <f t="shared" si="1"/>
        <v>418133.69964000001</v>
      </c>
    </row>
    <row r="16" spans="1:5" ht="15" customHeight="1" x14ac:dyDescent="0.2">
      <c r="A16" s="45" t="s">
        <v>61</v>
      </c>
      <c r="B16" s="90">
        <v>6967770.2350000003</v>
      </c>
      <c r="C16" s="91">
        <f t="shared" si="0"/>
        <v>1.4999999999999999E-2</v>
      </c>
      <c r="D16" s="92">
        <f t="shared" si="1"/>
        <v>104516.553525</v>
      </c>
    </row>
    <row r="17" spans="1:4" ht="15" customHeight="1" x14ac:dyDescent="0.2">
      <c r="A17" s="48" t="s">
        <v>62</v>
      </c>
      <c r="B17" s="93">
        <v>57395318.804218002</v>
      </c>
      <c r="C17" s="94">
        <f t="shared" si="0"/>
        <v>1.4999999999999999E-2</v>
      </c>
      <c r="D17" s="95">
        <f t="shared" si="1"/>
        <v>860929.78206326999</v>
      </c>
    </row>
    <row r="18" spans="1:4" ht="15" customHeight="1" x14ac:dyDescent="0.2">
      <c r="A18" s="45" t="s">
        <v>63</v>
      </c>
      <c r="B18" s="90">
        <v>27962351.065000001</v>
      </c>
      <c r="C18" s="91">
        <f t="shared" si="0"/>
        <v>1.4999999999999999E-2</v>
      </c>
      <c r="D18" s="92">
        <f t="shared" si="1"/>
        <v>419435.26597499999</v>
      </c>
    </row>
    <row r="19" spans="1:4" ht="15" customHeight="1" x14ac:dyDescent="0.2">
      <c r="A19" s="48" t="s">
        <v>64</v>
      </c>
      <c r="B19" s="93">
        <v>24130890.631000001</v>
      </c>
      <c r="C19" s="94">
        <f t="shared" si="0"/>
        <v>1.4999999999999999E-2</v>
      </c>
      <c r="D19" s="95">
        <f t="shared" si="1"/>
        <v>361963.35946499999</v>
      </c>
    </row>
    <row r="20" spans="1:4" ht="15" customHeight="1" x14ac:dyDescent="0.2">
      <c r="A20" s="45" t="s">
        <v>65</v>
      </c>
      <c r="B20" s="90">
        <v>54535126.140000001</v>
      </c>
      <c r="C20" s="91">
        <f t="shared" si="0"/>
        <v>1.4999999999999999E-2</v>
      </c>
      <c r="D20" s="92">
        <f t="shared" si="1"/>
        <v>818026.89209999994</v>
      </c>
    </row>
    <row r="21" spans="1:4" ht="15" customHeight="1" x14ac:dyDescent="0.2">
      <c r="A21" s="48" t="s">
        <v>66</v>
      </c>
      <c r="B21" s="93">
        <v>40733054.185999997</v>
      </c>
      <c r="C21" s="94">
        <f t="shared" si="0"/>
        <v>1.4999999999999999E-2</v>
      </c>
      <c r="D21" s="95">
        <f t="shared" si="1"/>
        <v>610995.81278999988</v>
      </c>
    </row>
    <row r="22" spans="1:4" ht="15" customHeight="1" x14ac:dyDescent="0.2">
      <c r="A22" s="45" t="s">
        <v>67</v>
      </c>
      <c r="B22" s="90">
        <v>12491979.541999999</v>
      </c>
      <c r="C22" s="91">
        <f t="shared" si="0"/>
        <v>1.4999999999999999E-2</v>
      </c>
      <c r="D22" s="92">
        <f t="shared" si="1"/>
        <v>187379.69312999997</v>
      </c>
    </row>
    <row r="23" spans="1:4" ht="15" customHeight="1" x14ac:dyDescent="0.2">
      <c r="A23" s="48" t="s">
        <v>68</v>
      </c>
      <c r="B23" s="93">
        <v>13352528.439999999</v>
      </c>
      <c r="C23" s="94">
        <f t="shared" si="0"/>
        <v>1.4999999999999999E-2</v>
      </c>
      <c r="D23" s="95">
        <f t="shared" si="1"/>
        <v>200287.92659999998</v>
      </c>
    </row>
    <row r="24" spans="1:4" ht="15" customHeight="1" x14ac:dyDescent="0.2">
      <c r="A24" s="45" t="s">
        <v>69</v>
      </c>
      <c r="B24" s="90">
        <v>4323102.8380000005</v>
      </c>
      <c r="C24" s="91">
        <f t="shared" si="0"/>
        <v>1.4999999999999999E-2</v>
      </c>
      <c r="D24" s="92">
        <f t="shared" si="1"/>
        <v>64846.542570000005</v>
      </c>
    </row>
    <row r="25" spans="1:4" ht="15" customHeight="1" x14ac:dyDescent="0.2">
      <c r="A25" s="48" t="s">
        <v>70</v>
      </c>
      <c r="B25" s="93">
        <v>94055640.180000007</v>
      </c>
      <c r="C25" s="94">
        <f t="shared" si="0"/>
        <v>1.4999999999999999E-2</v>
      </c>
      <c r="D25" s="95">
        <f t="shared" si="1"/>
        <v>1410834.6027000002</v>
      </c>
    </row>
    <row r="26" spans="1:4" ht="15" customHeight="1" x14ac:dyDescent="0.2">
      <c r="A26" s="45" t="s">
        <v>71</v>
      </c>
      <c r="B26" s="90">
        <v>55359319.880000003</v>
      </c>
      <c r="C26" s="91">
        <f t="shared" si="0"/>
        <v>1.4999999999999999E-2</v>
      </c>
      <c r="D26" s="92">
        <f t="shared" si="1"/>
        <v>830389.79819999996</v>
      </c>
    </row>
    <row r="27" spans="1:4" ht="15" customHeight="1" x14ac:dyDescent="0.2">
      <c r="A27" s="48" t="s">
        <v>72</v>
      </c>
      <c r="B27" s="93">
        <v>108448880.633249</v>
      </c>
      <c r="C27" s="94">
        <f t="shared" si="0"/>
        <v>1.4999999999999999E-2</v>
      </c>
      <c r="D27" s="95">
        <f t="shared" si="1"/>
        <v>1626733.2094987349</v>
      </c>
    </row>
    <row r="28" spans="1:4" ht="15" customHeight="1" x14ac:dyDescent="0.2">
      <c r="A28" s="45" t="s">
        <v>73</v>
      </c>
      <c r="B28" s="90">
        <v>48930008.299999997</v>
      </c>
      <c r="C28" s="91">
        <f t="shared" si="0"/>
        <v>1.4999999999999999E-2</v>
      </c>
      <c r="D28" s="92">
        <f t="shared" si="1"/>
        <v>733950.12449999992</v>
      </c>
    </row>
    <row r="29" spans="1:4" ht="15" customHeight="1" x14ac:dyDescent="0.2">
      <c r="A29" s="48" t="s">
        <v>74</v>
      </c>
      <c r="B29" s="93">
        <v>55730658.695</v>
      </c>
      <c r="C29" s="94">
        <f t="shared" si="0"/>
        <v>1.4999999999999999E-2</v>
      </c>
      <c r="D29" s="95">
        <f t="shared" si="1"/>
        <v>835959.88042499998</v>
      </c>
    </row>
    <row r="30" spans="1:4" ht="15" customHeight="1" x14ac:dyDescent="0.2">
      <c r="A30" s="45" t="s">
        <v>75</v>
      </c>
      <c r="B30" s="90">
        <v>132785568.399</v>
      </c>
      <c r="C30" s="91">
        <f t="shared" si="0"/>
        <v>1.4999999999999999E-2</v>
      </c>
      <c r="D30" s="92">
        <f t="shared" si="1"/>
        <v>1991783.525985</v>
      </c>
    </row>
    <row r="31" spans="1:4" ht="15" customHeight="1" x14ac:dyDescent="0.2">
      <c r="A31" s="48" t="s">
        <v>76</v>
      </c>
      <c r="B31" s="93">
        <v>45412925.236000001</v>
      </c>
      <c r="C31" s="94">
        <f t="shared" si="0"/>
        <v>1.4999999999999999E-2</v>
      </c>
      <c r="D31" s="95">
        <f t="shared" si="1"/>
        <v>681193.87853999995</v>
      </c>
    </row>
    <row r="32" spans="1:4" ht="15" customHeight="1" x14ac:dyDescent="0.2">
      <c r="A32" s="45" t="s">
        <v>77</v>
      </c>
      <c r="B32" s="90">
        <v>17244244.807</v>
      </c>
      <c r="C32" s="91">
        <f t="shared" si="0"/>
        <v>1.4999999999999999E-2</v>
      </c>
      <c r="D32" s="92">
        <f t="shared" si="1"/>
        <v>258663.67210500001</v>
      </c>
    </row>
    <row r="33" spans="1:4" ht="15" customHeight="1" x14ac:dyDescent="0.2">
      <c r="A33" s="48" t="s">
        <v>78</v>
      </c>
      <c r="B33" s="93">
        <v>105443863.031</v>
      </c>
      <c r="C33" s="94">
        <f t="shared" si="0"/>
        <v>1.4999999999999999E-2</v>
      </c>
      <c r="D33" s="95">
        <f t="shared" si="1"/>
        <v>1581657.9454649999</v>
      </c>
    </row>
    <row r="34" spans="1:4" ht="15" customHeight="1" x14ac:dyDescent="0.2">
      <c r="A34" s="45" t="s">
        <v>79</v>
      </c>
      <c r="B34" s="90">
        <v>6668102</v>
      </c>
      <c r="C34" s="91">
        <f t="shared" si="0"/>
        <v>1.4999999999999999E-2</v>
      </c>
      <c r="D34" s="92">
        <f t="shared" si="1"/>
        <v>100021.53</v>
      </c>
    </row>
    <row r="35" spans="1:4" s="51" customFormat="1" ht="18.75" customHeight="1" x14ac:dyDescent="0.2">
      <c r="A35" s="96" t="s">
        <v>80</v>
      </c>
      <c r="B35" s="97">
        <f>SUM(B9:B34)</f>
        <v>1667076792.412467</v>
      </c>
      <c r="C35" s="98">
        <v>1.4999999999999999E-2</v>
      </c>
      <c r="D35" s="99">
        <f>SUM(D9:D34)</f>
        <v>25006151.886187002</v>
      </c>
    </row>
    <row r="37" spans="1:4" x14ac:dyDescent="0.2">
      <c r="B37" s="100"/>
    </row>
  </sheetData>
  <conditionalFormatting sqref="D9:D34">
    <cfRule type="expression" dxfId="12" priority="1" stopIfTrue="1">
      <formula>ISBLANK(D9)</formula>
    </cfRule>
  </conditionalFormatting>
  <conditionalFormatting sqref="B9:C34 C35">
    <cfRule type="expression" dxfId="11" priority="2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5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2" width="19.85546875" style="1" customWidth="1"/>
    <col min="3" max="3" width="22.85546875" style="1" customWidth="1"/>
    <col min="4" max="4" width="21.85546875" style="1" customWidth="1"/>
    <col min="5" max="5" width="6.85546875" style="1" customWidth="1"/>
    <col min="6" max="6" width="16.85546875" style="1" customWidth="1"/>
    <col min="7" max="7" width="9.140625" style="1" customWidth="1"/>
    <col min="8" max="16384" width="9.140625" style="1"/>
  </cols>
  <sheetData>
    <row r="1" spans="1:7" ht="27.75" customHeight="1" x14ac:dyDescent="0.2">
      <c r="A1" s="101" t="str">
        <f>"Profit of legal entities "&amp;Info!C31</f>
        <v>Profit of legal entities 2013</v>
      </c>
      <c r="B1" s="101"/>
      <c r="D1" s="102"/>
      <c r="E1" s="102"/>
    </row>
    <row r="2" spans="1:7" ht="15.75" customHeight="1" x14ac:dyDescent="0.2">
      <c r="A2" s="103" t="str">
        <f>Info!A4</f>
        <v>Reference year 2018</v>
      </c>
      <c r="B2" s="104"/>
      <c r="C2" s="103"/>
      <c r="D2" s="102"/>
      <c r="E2" s="102"/>
    </row>
    <row r="3" spans="1:7" x14ac:dyDescent="0.2">
      <c r="D3" s="20" t="str">
        <f>Info!$C$28</f>
        <v>FA_2018_20170823</v>
      </c>
      <c r="G3" s="20"/>
    </row>
    <row r="4" spans="1:7" s="2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7" s="26" customFormat="1" ht="11.25" customHeight="1" x14ac:dyDescent="0.2">
      <c r="A5" s="28" t="s">
        <v>38</v>
      </c>
      <c r="B5" s="29"/>
      <c r="C5" s="29"/>
      <c r="D5" s="31" t="s">
        <v>88</v>
      </c>
    </row>
    <row r="6" spans="1:7" ht="42.75" customHeight="1" x14ac:dyDescent="0.3">
      <c r="A6" s="105"/>
      <c r="B6" s="106" t="s">
        <v>89</v>
      </c>
      <c r="C6" s="106" t="s">
        <v>90</v>
      </c>
      <c r="D6" s="107" t="s">
        <v>91</v>
      </c>
    </row>
    <row r="7" spans="1:7" s="35" customFormat="1" ht="11.25" customHeight="1" x14ac:dyDescent="0.2">
      <c r="A7" s="37" t="s">
        <v>48</v>
      </c>
      <c r="B7" s="38" t="s">
        <v>49</v>
      </c>
      <c r="C7" s="38" t="s">
        <v>49</v>
      </c>
      <c r="D7" s="108"/>
    </row>
    <row r="8" spans="1:7" s="109" customFormat="1" x14ac:dyDescent="0.2">
      <c r="A8" s="86" t="s">
        <v>51</v>
      </c>
      <c r="B8" s="40" t="s">
        <v>52</v>
      </c>
      <c r="C8" s="40" t="s">
        <v>52</v>
      </c>
      <c r="D8" s="39" t="s">
        <v>52</v>
      </c>
      <c r="F8" s="110" t="s">
        <v>92</v>
      </c>
      <c r="G8" s="111"/>
    </row>
    <row r="9" spans="1:7" x14ac:dyDescent="0.2">
      <c r="A9" s="41" t="s">
        <v>54</v>
      </c>
      <c r="B9" s="42">
        <v>12384068</v>
      </c>
      <c r="C9" s="42">
        <v>474734.15379999997</v>
      </c>
      <c r="D9" s="112">
        <f t="shared" ref="D9:D34" si="0">B9+C9</f>
        <v>12858802.1538</v>
      </c>
      <c r="F9" s="113" t="s">
        <v>93</v>
      </c>
      <c r="G9" s="114">
        <v>2.5999999999999999E-2</v>
      </c>
    </row>
    <row r="10" spans="1:7" x14ac:dyDescent="0.2">
      <c r="A10" s="45" t="s">
        <v>55</v>
      </c>
      <c r="B10" s="46">
        <v>6043023.9000000004</v>
      </c>
      <c r="C10" s="46">
        <v>67819.942599999995</v>
      </c>
      <c r="D10" s="115">
        <f t="shared" si="0"/>
        <v>6110843.8426000001</v>
      </c>
      <c r="F10" s="113" t="s">
        <v>94</v>
      </c>
      <c r="G10" s="114">
        <v>0.113</v>
      </c>
    </row>
    <row r="11" spans="1:7" x14ac:dyDescent="0.2">
      <c r="A11" s="48" t="s">
        <v>56</v>
      </c>
      <c r="B11" s="49">
        <v>3124346.8</v>
      </c>
      <c r="C11" s="49">
        <v>117910.2046</v>
      </c>
      <c r="D11" s="116">
        <f t="shared" si="0"/>
        <v>3242257.0045999996</v>
      </c>
      <c r="F11" s="113" t="s">
        <v>95</v>
      </c>
      <c r="G11" s="114">
        <v>0.123</v>
      </c>
    </row>
    <row r="12" spans="1:7" x14ac:dyDescent="0.2">
      <c r="A12" s="45" t="s">
        <v>57</v>
      </c>
      <c r="B12" s="46">
        <v>226102.8</v>
      </c>
      <c r="C12" s="46">
        <v>865.3723</v>
      </c>
      <c r="D12" s="115">
        <f t="shared" si="0"/>
        <v>226968.17229999998</v>
      </c>
      <c r="F12" s="117" t="s">
        <v>96</v>
      </c>
      <c r="G12" s="118">
        <v>1</v>
      </c>
    </row>
    <row r="13" spans="1:7" x14ac:dyDescent="0.2">
      <c r="A13" s="48" t="s">
        <v>58</v>
      </c>
      <c r="B13" s="49">
        <v>1242681.2</v>
      </c>
      <c r="C13" s="49">
        <v>108202.0707</v>
      </c>
      <c r="D13" s="116">
        <f t="shared" si="0"/>
        <v>1350883.2707</v>
      </c>
    </row>
    <row r="14" spans="1:7" x14ac:dyDescent="0.2">
      <c r="A14" s="45" t="s">
        <v>59</v>
      </c>
      <c r="B14" s="46">
        <v>289711</v>
      </c>
      <c r="C14" s="46">
        <v>12891.083000000001</v>
      </c>
      <c r="D14" s="115">
        <f t="shared" si="0"/>
        <v>302602.08299999998</v>
      </c>
    </row>
    <row r="15" spans="1:7" x14ac:dyDescent="0.2">
      <c r="A15" s="48" t="s">
        <v>60</v>
      </c>
      <c r="B15" s="49">
        <v>473069.4</v>
      </c>
      <c r="C15" s="49">
        <v>28624.992200000001</v>
      </c>
      <c r="D15" s="116">
        <f t="shared" si="0"/>
        <v>501694.3922</v>
      </c>
    </row>
    <row r="16" spans="1:7" x14ac:dyDescent="0.2">
      <c r="A16" s="45" t="s">
        <v>61</v>
      </c>
      <c r="B16" s="46">
        <v>174142.3</v>
      </c>
      <c r="C16" s="46">
        <v>48409.7114</v>
      </c>
      <c r="D16" s="115">
        <f t="shared" si="0"/>
        <v>222552.01139999999</v>
      </c>
    </row>
    <row r="17" spans="1:4" x14ac:dyDescent="0.2">
      <c r="A17" s="48" t="s">
        <v>62</v>
      </c>
      <c r="B17" s="49">
        <v>2391716.2000000002</v>
      </c>
      <c r="C17" s="49">
        <v>1324225.5571999999</v>
      </c>
      <c r="D17" s="116">
        <f t="shared" si="0"/>
        <v>3715941.7571999999</v>
      </c>
    </row>
    <row r="18" spans="1:4" x14ac:dyDescent="0.2">
      <c r="A18" s="45" t="s">
        <v>63</v>
      </c>
      <c r="B18" s="46">
        <v>1844640.4</v>
      </c>
      <c r="C18" s="46">
        <v>416419.89549999998</v>
      </c>
      <c r="D18" s="115">
        <f t="shared" si="0"/>
        <v>2261060.2955</v>
      </c>
    </row>
    <row r="19" spans="1:4" x14ac:dyDescent="0.2">
      <c r="A19" s="48" t="s">
        <v>64</v>
      </c>
      <c r="B19" s="49">
        <v>1276613</v>
      </c>
      <c r="C19" s="49">
        <v>10214.543100000001</v>
      </c>
      <c r="D19" s="116">
        <f t="shared" si="0"/>
        <v>1286827.5430999999</v>
      </c>
    </row>
    <row r="20" spans="1:4" x14ac:dyDescent="0.2">
      <c r="A20" s="45" t="s">
        <v>65</v>
      </c>
      <c r="B20" s="46">
        <v>1599994.3</v>
      </c>
      <c r="C20" s="46">
        <v>1628169.4021000001</v>
      </c>
      <c r="D20" s="115">
        <f t="shared" si="0"/>
        <v>3228163.7021000003</v>
      </c>
    </row>
    <row r="21" spans="1:4" x14ac:dyDescent="0.2">
      <c r="A21" s="48" t="s">
        <v>66</v>
      </c>
      <c r="B21" s="49">
        <v>1260805.3</v>
      </c>
      <c r="C21" s="49">
        <v>166432.45189999999</v>
      </c>
      <c r="D21" s="116">
        <f t="shared" si="0"/>
        <v>1427237.7519</v>
      </c>
    </row>
    <row r="22" spans="1:4" x14ac:dyDescent="0.2">
      <c r="A22" s="45" t="s">
        <v>67</v>
      </c>
      <c r="B22" s="46">
        <v>357571.5</v>
      </c>
      <c r="C22" s="46">
        <v>366402.8676</v>
      </c>
      <c r="D22" s="115">
        <f t="shared" si="0"/>
        <v>723974.3676</v>
      </c>
    </row>
    <row r="23" spans="1:4" x14ac:dyDescent="0.2">
      <c r="A23" s="48" t="s">
        <v>68</v>
      </c>
      <c r="B23" s="49">
        <v>335901.7</v>
      </c>
      <c r="C23" s="49">
        <v>11719.9036</v>
      </c>
      <c r="D23" s="116">
        <f t="shared" si="0"/>
        <v>347621.60360000003</v>
      </c>
    </row>
    <row r="24" spans="1:4" x14ac:dyDescent="0.2">
      <c r="A24" s="45" t="s">
        <v>69</v>
      </c>
      <c r="B24" s="46">
        <v>81436</v>
      </c>
      <c r="C24" s="46">
        <v>2609.2673</v>
      </c>
      <c r="D24" s="115">
        <f t="shared" si="0"/>
        <v>84045.267300000007</v>
      </c>
    </row>
    <row r="25" spans="1:4" x14ac:dyDescent="0.2">
      <c r="A25" s="48" t="s">
        <v>70</v>
      </c>
      <c r="B25" s="49">
        <v>2966628.1</v>
      </c>
      <c r="C25" s="49">
        <v>242716.94209999999</v>
      </c>
      <c r="D25" s="116">
        <f t="shared" si="0"/>
        <v>3209345.0421000002</v>
      </c>
    </row>
    <row r="26" spans="1:4" x14ac:dyDescent="0.2">
      <c r="A26" s="45" t="s">
        <v>71</v>
      </c>
      <c r="B26" s="46">
        <v>895355.2</v>
      </c>
      <c r="C26" s="46">
        <v>24018.070800000001</v>
      </c>
      <c r="D26" s="115">
        <f t="shared" si="0"/>
        <v>919373.27079999994</v>
      </c>
    </row>
    <row r="27" spans="1:4" x14ac:dyDescent="0.2">
      <c r="A27" s="48" t="s">
        <v>72</v>
      </c>
      <c r="B27" s="49">
        <v>3784886.4</v>
      </c>
      <c r="C27" s="49">
        <v>28463.435700000002</v>
      </c>
      <c r="D27" s="116">
        <f t="shared" si="0"/>
        <v>3813349.8356999997</v>
      </c>
    </row>
    <row r="28" spans="1:4" x14ac:dyDescent="0.2">
      <c r="A28" s="45" t="s">
        <v>73</v>
      </c>
      <c r="B28" s="46">
        <v>1371524.3</v>
      </c>
      <c r="C28" s="46">
        <v>19735.963899999999</v>
      </c>
      <c r="D28" s="115">
        <f t="shared" si="0"/>
        <v>1391260.2639000001</v>
      </c>
    </row>
    <row r="29" spans="1:4" x14ac:dyDescent="0.2">
      <c r="A29" s="48" t="s">
        <v>74</v>
      </c>
      <c r="B29" s="49">
        <v>2664224.1</v>
      </c>
      <c r="C29" s="49">
        <v>247541.42790000001</v>
      </c>
      <c r="D29" s="116">
        <f t="shared" si="0"/>
        <v>2911765.5279000001</v>
      </c>
    </row>
    <row r="30" spans="1:4" x14ac:dyDescent="0.2">
      <c r="A30" s="45" t="s">
        <v>75</v>
      </c>
      <c r="B30" s="46">
        <v>3383486.2</v>
      </c>
      <c r="C30" s="46">
        <v>1745162.2438999999</v>
      </c>
      <c r="D30" s="115">
        <f t="shared" si="0"/>
        <v>5128648.4439000003</v>
      </c>
    </row>
    <row r="31" spans="1:4" x14ac:dyDescent="0.2">
      <c r="A31" s="48" t="s">
        <v>76</v>
      </c>
      <c r="B31" s="49">
        <v>1359967.4</v>
      </c>
      <c r="C31" s="49">
        <v>10787.941000000001</v>
      </c>
      <c r="D31" s="116">
        <f t="shared" si="0"/>
        <v>1370755.341</v>
      </c>
    </row>
    <row r="32" spans="1:4" x14ac:dyDescent="0.2">
      <c r="A32" s="45" t="s">
        <v>77</v>
      </c>
      <c r="B32" s="46">
        <v>937885.3</v>
      </c>
      <c r="C32" s="46">
        <v>1823664.4916000001</v>
      </c>
      <c r="D32" s="115">
        <f t="shared" si="0"/>
        <v>2761549.7916000001</v>
      </c>
    </row>
    <row r="33" spans="1:6" x14ac:dyDescent="0.2">
      <c r="A33" s="48" t="s">
        <v>78</v>
      </c>
      <c r="B33" s="49">
        <v>4549114.7</v>
      </c>
      <c r="C33" s="49">
        <v>1132143.1895000001</v>
      </c>
      <c r="D33" s="116">
        <f t="shared" si="0"/>
        <v>5681257.8895000005</v>
      </c>
    </row>
    <row r="34" spans="1:6" x14ac:dyDescent="0.2">
      <c r="A34" s="119" t="s">
        <v>79</v>
      </c>
      <c r="B34" s="46">
        <v>410907.2</v>
      </c>
      <c r="C34" s="46">
        <v>5599.4288999999999</v>
      </c>
      <c r="D34" s="115">
        <f t="shared" si="0"/>
        <v>416506.62890000001</v>
      </c>
    </row>
    <row r="35" spans="1:6" s="51" customFormat="1" x14ac:dyDescent="0.2">
      <c r="A35" s="53" t="s">
        <v>80</v>
      </c>
      <c r="B35" s="120">
        <f>SUM(B9:B34)</f>
        <v>55429802.700000003</v>
      </c>
      <c r="C35" s="120">
        <f>SUM(C9:C34)</f>
        <v>10065484.554199999</v>
      </c>
      <c r="D35" s="55">
        <f>SUM(D9:D34)</f>
        <v>65495287.254199997</v>
      </c>
      <c r="F35" s="1"/>
    </row>
  </sheetData>
  <conditionalFormatting sqref="G9:G12 B6:C34 A6">
    <cfRule type="expression" dxfId="10" priority="1" stopIfTrue="1">
      <formula>ISBLANK(A1073741823)</formula>
    </cfRule>
  </conditionalFormatting>
  <conditionalFormatting sqref="G9:G12">
    <cfRule type="expression" dxfId="9" priority="2" stopIfTrue="1">
      <formula>ISBLANK(G9)</formula>
    </cfRule>
  </conditionalFormatting>
  <conditionalFormatting sqref="B9:C34">
    <cfRule type="expression" dxfId="8" priority="3" stopIfTrue="1">
      <formula>ISBLANK(A1073741823)</formula>
    </cfRule>
  </conditionalFormatting>
  <conditionalFormatting sqref="B9:C34">
    <cfRule type="expression" dxfId="7" priority="4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0.140625" style="1" customWidth="1"/>
    <col min="3" max="5" width="14.28515625" style="1" customWidth="1"/>
    <col min="6" max="6" width="21.5703125" style="1" customWidth="1"/>
    <col min="7" max="7" width="22" style="1" customWidth="1"/>
    <col min="8" max="8" width="14" style="1" customWidth="1"/>
    <col min="9" max="9" width="18.85546875" style="1" customWidth="1"/>
  </cols>
  <sheetData>
    <row r="1" spans="1:9" ht="28.5" customHeight="1" x14ac:dyDescent="0.2">
      <c r="B1" s="16" t="str">
        <f>"Tax repartition "&amp;Info!C31</f>
        <v>Tax repartition 2013</v>
      </c>
      <c r="D1" s="17"/>
      <c r="E1" s="18" t="str">
        <f>Info!A4</f>
        <v>Reference year 2018</v>
      </c>
      <c r="I1" s="20" t="str">
        <f>Info!$C$28</f>
        <v>FA_2018_20170823</v>
      </c>
    </row>
    <row r="2" spans="1:9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9" s="1" customFormat="1" x14ac:dyDescent="0.2">
      <c r="A3" s="27"/>
      <c r="B3" s="28" t="s">
        <v>38</v>
      </c>
      <c r="C3" s="29"/>
      <c r="D3" s="29"/>
      <c r="E3" s="29" t="s">
        <v>97</v>
      </c>
      <c r="F3" s="29"/>
      <c r="G3" s="29"/>
      <c r="H3" s="29" t="s">
        <v>98</v>
      </c>
      <c r="I3" s="121" t="s">
        <v>99</v>
      </c>
    </row>
    <row r="4" spans="1:9" ht="40.5" customHeight="1" x14ac:dyDescent="0.2">
      <c r="B4" s="32"/>
      <c r="C4" s="33" t="s">
        <v>100</v>
      </c>
      <c r="D4" s="33" t="s">
        <v>101</v>
      </c>
      <c r="E4" s="33" t="s">
        <v>102</v>
      </c>
      <c r="F4" s="33" t="s">
        <v>103</v>
      </c>
      <c r="G4" s="33" t="s">
        <v>104</v>
      </c>
      <c r="H4" s="33" t="s">
        <v>105</v>
      </c>
      <c r="I4" s="34" t="s">
        <v>106</v>
      </c>
    </row>
    <row r="5" spans="1:9" x14ac:dyDescent="0.2">
      <c r="A5" s="122"/>
      <c r="B5" s="123" t="s">
        <v>48</v>
      </c>
      <c r="C5" s="38" t="s">
        <v>49</v>
      </c>
      <c r="D5" s="38" t="s">
        <v>49</v>
      </c>
      <c r="E5" s="38"/>
      <c r="F5" s="38" t="s">
        <v>49</v>
      </c>
      <c r="G5" s="38" t="s">
        <v>107</v>
      </c>
      <c r="H5" s="38"/>
      <c r="I5" s="85"/>
    </row>
    <row r="6" spans="1:9" s="35" customFormat="1" ht="11.25" customHeight="1" x14ac:dyDescent="0.2">
      <c r="A6" s="36"/>
      <c r="B6" s="37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40"/>
      <c r="I6" s="39" t="s">
        <v>52</v>
      </c>
    </row>
    <row r="7" spans="1:9" x14ac:dyDescent="0.2">
      <c r="B7" s="41" t="s">
        <v>54</v>
      </c>
      <c r="C7" s="42">
        <v>33841.822</v>
      </c>
      <c r="D7" s="42">
        <v>13513.6507</v>
      </c>
      <c r="E7" s="124">
        <f t="shared" ref="E7:E32" si="0">D7-C7</f>
        <v>-20328.171300000002</v>
      </c>
      <c r="F7" s="42">
        <v>3495440.5429277099</v>
      </c>
      <c r="G7" s="124">
        <f>PI!J7+ITS!C7+LE!D9</f>
        <v>50495930.978859052</v>
      </c>
      <c r="H7" s="125">
        <f t="shared" ref="H7:H33" si="1">G7/F7</f>
        <v>14.446227981484899</v>
      </c>
      <c r="I7" s="126">
        <f t="shared" ref="I7:I32" si="2">E7*H7</f>
        <v>-293665.39704647829</v>
      </c>
    </row>
    <row r="8" spans="1:9" x14ac:dyDescent="0.2">
      <c r="B8" s="45" t="s">
        <v>55</v>
      </c>
      <c r="C8" s="46">
        <v>9210.8420000000006</v>
      </c>
      <c r="D8" s="46">
        <v>10878.57245</v>
      </c>
      <c r="E8" s="127">
        <f t="shared" si="0"/>
        <v>1667.7304499999991</v>
      </c>
      <c r="F8" s="46">
        <v>1171413.7739156601</v>
      </c>
      <c r="G8" s="127">
        <f>PI!J8+ITS!C8+LE!D10</f>
        <v>22958024.901933599</v>
      </c>
      <c r="H8" s="128">
        <f t="shared" si="1"/>
        <v>19.59856151015904</v>
      </c>
      <c r="I8" s="129">
        <f t="shared" si="2"/>
        <v>32685.117806690199</v>
      </c>
    </row>
    <row r="9" spans="1:9" x14ac:dyDescent="0.2">
      <c r="B9" s="48" t="s">
        <v>56</v>
      </c>
      <c r="C9" s="49">
        <v>609.29999999999995</v>
      </c>
      <c r="D9" s="49">
        <v>4155.4952499999999</v>
      </c>
      <c r="E9" s="130">
        <f t="shared" si="0"/>
        <v>3546.1952499999998</v>
      </c>
      <c r="F9" s="49">
        <v>655348.66975903604</v>
      </c>
      <c r="G9" s="130">
        <f>PI!J9+ITS!C9+LE!D11</f>
        <v>10497707.093192056</v>
      </c>
      <c r="H9" s="131">
        <f t="shared" si="1"/>
        <v>16.018506754659224</v>
      </c>
      <c r="I9" s="132">
        <f t="shared" si="2"/>
        <v>56804.752565465453</v>
      </c>
    </row>
    <row r="10" spans="1:9" x14ac:dyDescent="0.2">
      <c r="B10" s="45" t="s">
        <v>57</v>
      </c>
      <c r="C10" s="46">
        <v>659.40200000000004</v>
      </c>
      <c r="D10" s="46">
        <v>280.82015000000001</v>
      </c>
      <c r="E10" s="127">
        <f t="shared" si="0"/>
        <v>-378.58185000000003</v>
      </c>
      <c r="F10" s="46">
        <v>32866.0264457831</v>
      </c>
      <c r="G10" s="127">
        <f>PI!J10+ITS!C10+LE!D12</f>
        <v>741199.44505132502</v>
      </c>
      <c r="H10" s="128">
        <f t="shared" si="1"/>
        <v>22.552146553950855</v>
      </c>
      <c r="I10" s="129">
        <f t="shared" si="2"/>
        <v>-8537.8333638658405</v>
      </c>
    </row>
    <row r="11" spans="1:9" x14ac:dyDescent="0.2">
      <c r="B11" s="48" t="s">
        <v>58</v>
      </c>
      <c r="C11" s="49">
        <v>2485.1640000000002</v>
      </c>
      <c r="D11" s="49">
        <v>1387.3993</v>
      </c>
      <c r="E11" s="130">
        <f t="shared" si="0"/>
        <v>-1097.7647000000002</v>
      </c>
      <c r="F11" s="49">
        <v>631501.98879518104</v>
      </c>
      <c r="G11" s="130">
        <f>PI!J11+ITS!C11+LE!D13</f>
        <v>6853273.0060295435</v>
      </c>
      <c r="H11" s="131">
        <f t="shared" si="1"/>
        <v>10.852337961919401</v>
      </c>
      <c r="I11" s="132">
        <f t="shared" si="2"/>
        <v>-11913.313527065066</v>
      </c>
    </row>
    <row r="12" spans="1:9" x14ac:dyDescent="0.2">
      <c r="B12" s="45" t="s">
        <v>59</v>
      </c>
      <c r="C12" s="46">
        <v>1044.1251999999999</v>
      </c>
      <c r="D12" s="46">
        <v>397.90820000000002</v>
      </c>
      <c r="E12" s="127">
        <f t="shared" si="0"/>
        <v>-646.21699999999987</v>
      </c>
      <c r="F12" s="46">
        <v>66569.063277108406</v>
      </c>
      <c r="G12" s="127">
        <f>PI!J12+ITS!C12+LE!D14</f>
        <v>1198870.5354486562</v>
      </c>
      <c r="H12" s="128">
        <f t="shared" si="1"/>
        <v>18.009424745216755</v>
      </c>
      <c r="I12" s="129">
        <f t="shared" si="2"/>
        <v>-11637.996430579733</v>
      </c>
    </row>
    <row r="13" spans="1:9" x14ac:dyDescent="0.2">
      <c r="B13" s="48" t="s">
        <v>60</v>
      </c>
      <c r="C13" s="49">
        <v>1515.5813000000001</v>
      </c>
      <c r="D13" s="49">
        <v>609.53420000000006</v>
      </c>
      <c r="E13" s="130">
        <f t="shared" si="0"/>
        <v>-906.0471</v>
      </c>
      <c r="F13" s="49">
        <v>132851.559698795</v>
      </c>
      <c r="G13" s="130">
        <f>PI!J13+ITS!C13+LE!D15</f>
        <v>1774088.5787541624</v>
      </c>
      <c r="H13" s="131">
        <f t="shared" si="1"/>
        <v>13.35391607577983</v>
      </c>
      <c r="I13" s="132">
        <f t="shared" si="2"/>
        <v>-12099.276934103695</v>
      </c>
    </row>
    <row r="14" spans="1:9" x14ac:dyDescent="0.2">
      <c r="B14" s="45" t="s">
        <v>61</v>
      </c>
      <c r="C14" s="46">
        <v>277.63</v>
      </c>
      <c r="D14" s="46">
        <v>449.84519999999998</v>
      </c>
      <c r="E14" s="127">
        <f t="shared" si="0"/>
        <v>172.21519999999998</v>
      </c>
      <c r="F14" s="46">
        <v>78918.773373493997</v>
      </c>
      <c r="G14" s="127">
        <f>PI!J14+ITS!C14+LE!D16</f>
        <v>882407.07248461654</v>
      </c>
      <c r="H14" s="128">
        <f t="shared" si="1"/>
        <v>11.181206128337843</v>
      </c>
      <c r="I14" s="129">
        <f t="shared" si="2"/>
        <v>1925.5736496329271</v>
      </c>
    </row>
    <row r="15" spans="1:9" x14ac:dyDescent="0.2">
      <c r="B15" s="48" t="s">
        <v>62</v>
      </c>
      <c r="C15" s="49">
        <v>1971.54</v>
      </c>
      <c r="D15" s="49">
        <v>2434.4854</v>
      </c>
      <c r="E15" s="130">
        <f t="shared" si="0"/>
        <v>462.94540000000006</v>
      </c>
      <c r="F15" s="49">
        <v>1444725.8026747</v>
      </c>
      <c r="G15" s="130">
        <f>PI!J15+ITS!C15+LE!D17</f>
        <v>8622954.3466217406</v>
      </c>
      <c r="H15" s="131">
        <f t="shared" si="1"/>
        <v>5.9685750269411626</v>
      </c>
      <c r="I15" s="132">
        <f t="shared" si="2"/>
        <v>2763.1243532772878</v>
      </c>
    </row>
    <row r="16" spans="1:9" x14ac:dyDescent="0.2">
      <c r="B16" s="45" t="s">
        <v>63</v>
      </c>
      <c r="C16" s="46">
        <v>7448.4979999999996</v>
      </c>
      <c r="D16" s="46">
        <v>2740.5097999999998</v>
      </c>
      <c r="E16" s="127">
        <f t="shared" si="0"/>
        <v>-4707.9881999999998</v>
      </c>
      <c r="F16" s="46">
        <v>485274.16416867502</v>
      </c>
      <c r="G16" s="127">
        <f>PI!J16+ITS!C16+LE!D18</f>
        <v>7377732.0260167494</v>
      </c>
      <c r="H16" s="128">
        <f t="shared" si="1"/>
        <v>15.203224426042894</v>
      </c>
      <c r="I16" s="129">
        <f t="shared" si="2"/>
        <v>-71576.601199761717</v>
      </c>
    </row>
    <row r="17" spans="2:9" x14ac:dyDescent="0.2">
      <c r="B17" s="48" t="s">
        <v>64</v>
      </c>
      <c r="C17" s="49">
        <v>6200.0083999999997</v>
      </c>
      <c r="D17" s="49">
        <v>2171.4476500000001</v>
      </c>
      <c r="E17" s="130">
        <f t="shared" si="0"/>
        <v>-4028.5607499999996</v>
      </c>
      <c r="F17" s="49">
        <v>309328.317927711</v>
      </c>
      <c r="G17" s="130">
        <f>PI!J17+ITS!C17+LE!D19</f>
        <v>6019216.0479509905</v>
      </c>
      <c r="H17" s="131">
        <f t="shared" si="1"/>
        <v>19.458988068973568</v>
      </c>
      <c r="I17" s="132">
        <f t="shared" si="2"/>
        <v>-78391.715569385196</v>
      </c>
    </row>
    <row r="18" spans="2:9" x14ac:dyDescent="0.2">
      <c r="B18" s="45" t="s">
        <v>65</v>
      </c>
      <c r="C18" s="46">
        <v>6182.3661000000002</v>
      </c>
      <c r="D18" s="46">
        <v>5015.3685999999998</v>
      </c>
      <c r="E18" s="127">
        <f t="shared" si="0"/>
        <v>-1166.9975000000004</v>
      </c>
      <c r="F18" s="46">
        <v>1049530.94679518</v>
      </c>
      <c r="G18" s="127">
        <f>PI!J18+ITS!C18+LE!D20</f>
        <v>8677864.0908572897</v>
      </c>
      <c r="H18" s="128">
        <f t="shared" si="1"/>
        <v>8.2683260720951459</v>
      </c>
      <c r="I18" s="129">
        <f t="shared" si="2"/>
        <v>-9649.1158553198584</v>
      </c>
    </row>
    <row r="19" spans="2:9" x14ac:dyDescent="0.2">
      <c r="B19" s="48" t="s">
        <v>66</v>
      </c>
      <c r="C19" s="49">
        <v>4435.8628500000004</v>
      </c>
      <c r="D19" s="49">
        <v>2539.0239000000001</v>
      </c>
      <c r="E19" s="130">
        <f t="shared" si="0"/>
        <v>-1896.8389500000003</v>
      </c>
      <c r="F19" s="49">
        <v>572554.21686746995</v>
      </c>
      <c r="G19" s="130">
        <f>PI!J19+ITS!C19+LE!D21</f>
        <v>8322251.0912142899</v>
      </c>
      <c r="H19" s="131">
        <f t="shared" si="1"/>
        <v>14.535306606851268</v>
      </c>
      <c r="I19" s="132">
        <f t="shared" si="2"/>
        <v>-27571.135722067826</v>
      </c>
    </row>
    <row r="20" spans="2:9" x14ac:dyDescent="0.2">
      <c r="B20" s="45" t="s">
        <v>67</v>
      </c>
      <c r="C20" s="46">
        <v>616.32375000000002</v>
      </c>
      <c r="D20" s="46">
        <v>1479.8823500000001</v>
      </c>
      <c r="E20" s="127">
        <f t="shared" si="0"/>
        <v>863.55860000000007</v>
      </c>
      <c r="F20" s="46">
        <v>253405.374939759</v>
      </c>
      <c r="G20" s="127">
        <f>PI!J20+ITS!C20+LE!D22</f>
        <v>2195870.4042766085</v>
      </c>
      <c r="H20" s="128">
        <f t="shared" si="1"/>
        <v>8.6654452566312905</v>
      </c>
      <c r="I20" s="129">
        <f t="shared" si="2"/>
        <v>7483.1197741931583</v>
      </c>
    </row>
    <row r="21" spans="2:9" x14ac:dyDescent="0.2">
      <c r="B21" s="48" t="s">
        <v>68</v>
      </c>
      <c r="C21" s="49">
        <v>837.49855000000002</v>
      </c>
      <c r="D21" s="49">
        <v>394.51625000000001</v>
      </c>
      <c r="E21" s="130">
        <f t="shared" si="0"/>
        <v>-442.98230000000001</v>
      </c>
      <c r="F21" s="49">
        <v>76435.524325301201</v>
      </c>
      <c r="G21" s="130">
        <f>PI!J21+ITS!C21+LE!D23</f>
        <v>1324741.3429714451</v>
      </c>
      <c r="H21" s="131">
        <f t="shared" si="1"/>
        <v>17.331487612140808</v>
      </c>
      <c r="I21" s="132">
        <f t="shared" si="2"/>
        <v>-7677.5422448476438</v>
      </c>
    </row>
    <row r="22" spans="2:9" x14ac:dyDescent="0.2">
      <c r="B22" s="45" t="s">
        <v>69</v>
      </c>
      <c r="C22" s="46">
        <v>208.98</v>
      </c>
      <c r="D22" s="46">
        <v>186.05375000000001</v>
      </c>
      <c r="E22" s="127">
        <f t="shared" si="0"/>
        <v>-22.926249999999982</v>
      </c>
      <c r="F22" s="46">
        <v>31423.215120481898</v>
      </c>
      <c r="G22" s="127">
        <f>PI!J22+ITS!C22+LE!D24</f>
        <v>376209.29831070988</v>
      </c>
      <c r="H22" s="128">
        <f t="shared" si="1"/>
        <v>11.972336276484125</v>
      </c>
      <c r="I22" s="129">
        <f t="shared" si="2"/>
        <v>-274.48077455874397</v>
      </c>
    </row>
    <row r="23" spans="2:9" x14ac:dyDescent="0.2">
      <c r="B23" s="48" t="s">
        <v>70</v>
      </c>
      <c r="C23" s="49">
        <v>7137.1666500000001</v>
      </c>
      <c r="D23" s="49">
        <v>5592.0103499999996</v>
      </c>
      <c r="E23" s="130">
        <f t="shared" si="0"/>
        <v>-1545.1563000000006</v>
      </c>
      <c r="F23" s="49">
        <v>670910.11330120498</v>
      </c>
      <c r="G23" s="130">
        <f>PI!J23+ITS!C23+LE!D25</f>
        <v>11410310.99191954</v>
      </c>
      <c r="H23" s="131">
        <f t="shared" si="1"/>
        <v>17.007212688709139</v>
      </c>
      <c r="I23" s="132">
        <f t="shared" si="2"/>
        <v>-26278.801831398872</v>
      </c>
    </row>
    <row r="24" spans="2:9" x14ac:dyDescent="0.2">
      <c r="B24" s="45" t="s">
        <v>71</v>
      </c>
      <c r="C24" s="46">
        <v>853.40599999999995</v>
      </c>
      <c r="D24" s="46">
        <v>5410.9247999999998</v>
      </c>
      <c r="E24" s="127">
        <f t="shared" si="0"/>
        <v>4557.5187999999998</v>
      </c>
      <c r="F24" s="46">
        <v>261008.173566265</v>
      </c>
      <c r="G24" s="127">
        <f>PI!J24+ITS!C24+LE!D26</f>
        <v>4658222.047580461</v>
      </c>
      <c r="H24" s="128">
        <f t="shared" si="1"/>
        <v>17.847035148107448</v>
      </c>
      <c r="I24" s="129">
        <f t="shared" si="2"/>
        <v>81338.198211760478</v>
      </c>
    </row>
    <row r="25" spans="2:9" x14ac:dyDescent="0.2">
      <c r="B25" s="48" t="s">
        <v>72</v>
      </c>
      <c r="C25" s="49">
        <v>7895.5695500000002</v>
      </c>
      <c r="D25" s="49">
        <v>6734.6000999999997</v>
      </c>
      <c r="E25" s="130">
        <f t="shared" si="0"/>
        <v>-1160.9694500000005</v>
      </c>
      <c r="F25" s="49">
        <v>899062.02289156604</v>
      </c>
      <c r="G25" s="130">
        <f>PI!J25+ITS!C25+LE!D27</f>
        <v>16481608.063345047</v>
      </c>
      <c r="H25" s="131">
        <f t="shared" si="1"/>
        <v>18.332003403209992</v>
      </c>
      <c r="I25" s="132">
        <f t="shared" si="2"/>
        <v>-21282.895908422841</v>
      </c>
    </row>
    <row r="26" spans="2:9" x14ac:dyDescent="0.2">
      <c r="B26" s="45" t="s">
        <v>73</v>
      </c>
      <c r="C26" s="46">
        <v>1598.64</v>
      </c>
      <c r="D26" s="46">
        <v>2947.2078999999999</v>
      </c>
      <c r="E26" s="127">
        <f t="shared" si="0"/>
        <v>1348.5678999999998</v>
      </c>
      <c r="F26" s="46">
        <v>316059.53512048197</v>
      </c>
      <c r="G26" s="127">
        <f>PI!J26+ITS!C26+LE!D28</f>
        <v>6163939.3047338724</v>
      </c>
      <c r="H26" s="128">
        <f t="shared" si="1"/>
        <v>19.502462731852646</v>
      </c>
      <c r="I26" s="129">
        <f t="shared" si="2"/>
        <v>26300.395211122781</v>
      </c>
    </row>
    <row r="27" spans="2:9" x14ac:dyDescent="0.2">
      <c r="B27" s="48" t="s">
        <v>74</v>
      </c>
      <c r="C27" s="49">
        <v>1986.421</v>
      </c>
      <c r="D27" s="49">
        <v>6586.7147500000001</v>
      </c>
      <c r="E27" s="130">
        <f t="shared" si="0"/>
        <v>4600.2937499999998</v>
      </c>
      <c r="F27" s="49">
        <v>615211.57542168698</v>
      </c>
      <c r="G27" s="130">
        <f>PI!J27+ITS!C27+LE!D29</f>
        <v>10316594.312094286</v>
      </c>
      <c r="H27" s="131">
        <f t="shared" si="1"/>
        <v>16.769181082171514</v>
      </c>
      <c r="I27" s="132">
        <f t="shared" si="2"/>
        <v>77143.158924931849</v>
      </c>
    </row>
    <row r="28" spans="2:9" x14ac:dyDescent="0.2">
      <c r="B28" s="45" t="s">
        <v>75</v>
      </c>
      <c r="C28" s="46">
        <v>16883.565750000002</v>
      </c>
      <c r="D28" s="46">
        <v>8972.2799500000001</v>
      </c>
      <c r="E28" s="127">
        <f t="shared" si="0"/>
        <v>-7911.2858000000015</v>
      </c>
      <c r="F28" s="46">
        <v>2214161.8005373501</v>
      </c>
      <c r="G28" s="127">
        <f>PI!J28+ITS!C28+LE!D30</f>
        <v>22550049.976586606</v>
      </c>
      <c r="H28" s="128">
        <f t="shared" si="1"/>
        <v>10.184463471058883</v>
      </c>
      <c r="I28" s="129">
        <f t="shared" si="2"/>
        <v>-80572.201239206872</v>
      </c>
    </row>
    <row r="29" spans="2:9" x14ac:dyDescent="0.2">
      <c r="B29" s="48" t="s">
        <v>76</v>
      </c>
      <c r="C29" s="49">
        <v>1962.961</v>
      </c>
      <c r="D29" s="49">
        <v>7104.6723529999999</v>
      </c>
      <c r="E29" s="130">
        <f t="shared" si="0"/>
        <v>5141.7113529999997</v>
      </c>
      <c r="F29" s="49">
        <v>328241.86289156601</v>
      </c>
      <c r="G29" s="130">
        <f>PI!J29+ITS!C29+LE!D31</f>
        <v>6678838.1182047399</v>
      </c>
      <c r="H29" s="131">
        <f t="shared" si="1"/>
        <v>20.347307498711949</v>
      </c>
      <c r="I29" s="132">
        <f t="shared" si="2"/>
        <v>104619.98196910926</v>
      </c>
    </row>
    <row r="30" spans="2:9" x14ac:dyDescent="0.2">
      <c r="B30" s="45" t="s">
        <v>77</v>
      </c>
      <c r="C30" s="46">
        <v>623.476</v>
      </c>
      <c r="D30" s="46">
        <v>7543.9022999999997</v>
      </c>
      <c r="E30" s="127">
        <f t="shared" si="0"/>
        <v>6920.4263000000001</v>
      </c>
      <c r="F30" s="46">
        <v>428792.60012048198</v>
      </c>
      <c r="G30" s="127">
        <f>PI!J30+ITS!C30+LE!D32</f>
        <v>5804623.9194521876</v>
      </c>
      <c r="H30" s="128">
        <f t="shared" si="1"/>
        <v>13.537136410052801</v>
      </c>
      <c r="I30" s="129">
        <f t="shared" si="2"/>
        <v>93682.754838816982</v>
      </c>
    </row>
    <row r="31" spans="2:9" x14ac:dyDescent="0.2">
      <c r="B31" s="48" t="s">
        <v>78</v>
      </c>
      <c r="C31" s="49">
        <v>3121.6959029999998</v>
      </c>
      <c r="D31" s="49">
        <v>19434.352350000001</v>
      </c>
      <c r="E31" s="130">
        <f t="shared" si="0"/>
        <v>16312.656447000001</v>
      </c>
      <c r="F31" s="49">
        <v>2202370.8519518101</v>
      </c>
      <c r="G31" s="130">
        <f>PI!J31+ITS!C31+LE!D33</f>
        <v>20229385.80300555</v>
      </c>
      <c r="H31" s="131">
        <f t="shared" si="1"/>
        <v>9.1852767598507015</v>
      </c>
      <c r="I31" s="132">
        <f t="shared" si="2"/>
        <v>149836.26415405783</v>
      </c>
    </row>
    <row r="32" spans="2:9" x14ac:dyDescent="0.2">
      <c r="B32" s="45" t="s">
        <v>79</v>
      </c>
      <c r="C32" s="46">
        <v>362.12200000000001</v>
      </c>
      <c r="D32" s="46">
        <v>1008.79</v>
      </c>
      <c r="E32" s="127">
        <f t="shared" si="0"/>
        <v>646.66799999999989</v>
      </c>
      <c r="F32" s="46">
        <v>80331.764578313305</v>
      </c>
      <c r="G32" s="127">
        <f>PI!J32+ITS!C32+LE!D34</f>
        <v>1436376.9929595902</v>
      </c>
      <c r="H32" s="128">
        <f t="shared" si="1"/>
        <v>17.880560703472465</v>
      </c>
      <c r="I32" s="129">
        <f t="shared" si="2"/>
        <v>11562.786428993129</v>
      </c>
    </row>
    <row r="33" spans="1:9" s="51" customFormat="1" x14ac:dyDescent="0.2">
      <c r="A33" s="52"/>
      <c r="B33" s="53" t="s">
        <v>80</v>
      </c>
      <c r="C33" s="54">
        <f>SUM(C7:C32)</f>
        <v>119969.96800300002</v>
      </c>
      <c r="D33" s="54">
        <f>SUM(D7:D32)</f>
        <v>119969.96800299999</v>
      </c>
      <c r="E33" s="54">
        <f>SUM(E7:E32)</f>
        <v>-1.2505552149377763E-11</v>
      </c>
      <c r="F33" s="54">
        <f>SUM(F7:F32)</f>
        <v>18503738.261392768</v>
      </c>
      <c r="G33" s="54">
        <f>SUM(G7:G32)</f>
        <v>244048289.78985471</v>
      </c>
      <c r="H33" s="133">
        <f t="shared" si="1"/>
        <v>13.189134343682902</v>
      </c>
      <c r="I33" s="55">
        <f>SUM(I7:I32)</f>
        <v>-14983.079759010843</v>
      </c>
    </row>
  </sheetData>
  <conditionalFormatting sqref="G7:I32 E7:E32">
    <cfRule type="expression" dxfId="6" priority="1" stopIfTrue="1">
      <formula>ISBLANK(E7)</formula>
    </cfRule>
  </conditionalFormatting>
  <conditionalFormatting sqref="C7:D32 F7:F32">
    <cfRule type="expression" dxfId="5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28515625" style="1" customWidth="1"/>
    <col min="3" max="3" width="18.42578125" style="1" customWidth="1"/>
    <col min="4" max="4" width="20" style="1" customWidth="1"/>
    <col min="5" max="5" width="17.28515625" style="1" customWidth="1"/>
    <col min="6" max="7" width="18.5703125" style="1" customWidth="1"/>
    <col min="8" max="8" width="19.42578125" style="1" customWidth="1"/>
  </cols>
  <sheetData>
    <row r="1" spans="1:10" s="1" customFormat="1" ht="30" customHeight="1" x14ac:dyDescent="0.2">
      <c r="A1" s="15"/>
      <c r="B1" s="134" t="str">
        <f>"Total ATB "&amp;Info!C31</f>
        <v>Total ATB 2013</v>
      </c>
      <c r="C1" s="134"/>
      <c r="D1" s="135" t="str">
        <f>Info!A4</f>
        <v>Reference year 2018</v>
      </c>
      <c r="E1" s="135"/>
      <c r="H1" s="20" t="str">
        <f>Info!$C$28</f>
        <v>FA_2018_20170823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5" t="s">
        <v>35</v>
      </c>
    </row>
    <row r="3" spans="1:10" x14ac:dyDescent="0.2">
      <c r="A3" s="27"/>
      <c r="B3" s="28" t="s">
        <v>38</v>
      </c>
      <c r="C3" s="29"/>
      <c r="D3" s="29"/>
      <c r="E3" s="29"/>
      <c r="F3" s="29"/>
      <c r="G3" s="29"/>
      <c r="H3" s="31" t="s">
        <v>108</v>
      </c>
    </row>
    <row r="4" spans="1:10" ht="30" customHeight="1" x14ac:dyDescent="0.2">
      <c r="A4" s="58"/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4" t="s">
        <v>110</v>
      </c>
    </row>
    <row r="5" spans="1:10" s="35" customFormat="1" ht="11.25" customHeight="1" x14ac:dyDescent="0.2">
      <c r="A5" s="36"/>
      <c r="B5" s="37" t="s">
        <v>111</v>
      </c>
      <c r="C5" s="38">
        <f>Info!$C$31</f>
        <v>2013</v>
      </c>
      <c r="D5" s="38">
        <f>Info!$C$31</f>
        <v>2013</v>
      </c>
      <c r="E5" s="38">
        <f>Info!$C$31</f>
        <v>2013</v>
      </c>
      <c r="F5" s="136">
        <f>Info!$C$31</f>
        <v>2013</v>
      </c>
      <c r="G5" s="38">
        <f>Info!$C$31</f>
        <v>2013</v>
      </c>
      <c r="H5" s="85">
        <f>Info!$C$31</f>
        <v>2013</v>
      </c>
    </row>
    <row r="6" spans="1:10" s="35" customFormat="1" ht="11.25" customHeight="1" x14ac:dyDescent="0.2">
      <c r="A6" s="36"/>
      <c r="B6" s="86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39" t="s">
        <v>52</v>
      </c>
    </row>
    <row r="7" spans="1:10" x14ac:dyDescent="0.2">
      <c r="B7" s="41" t="s">
        <v>54</v>
      </c>
      <c r="C7" s="124">
        <f>PI!J7</f>
        <v>35650095.5</v>
      </c>
      <c r="D7" s="124">
        <f>ITS!C7</f>
        <v>1987033.32505906</v>
      </c>
      <c r="E7" s="124">
        <f>Wealth!D9</f>
        <v>5737607.2050000001</v>
      </c>
      <c r="F7" s="137">
        <f>LE!D9</f>
        <v>12858802.1538</v>
      </c>
      <c r="G7" s="124">
        <f>REPART!I7</f>
        <v>-293665.39704647829</v>
      </c>
      <c r="H7" s="126">
        <f t="shared" ref="H7:H32" si="0">SUM(C7:G7)</f>
        <v>55939872.786812574</v>
      </c>
      <c r="J7" s="138"/>
    </row>
    <row r="8" spans="1:10" x14ac:dyDescent="0.2">
      <c r="B8" s="45" t="s">
        <v>55</v>
      </c>
      <c r="C8" s="127">
        <f>PI!J8</f>
        <v>16191220.499999998</v>
      </c>
      <c r="D8" s="127">
        <f>ITS!C8</f>
        <v>655960.55933360197</v>
      </c>
      <c r="E8" s="127">
        <f>Wealth!D10</f>
        <v>2346394.0220549996</v>
      </c>
      <c r="F8" s="139">
        <f>LE!D10</f>
        <v>6110843.8426000001</v>
      </c>
      <c r="G8" s="127">
        <f>REPART!I8</f>
        <v>32685.117806690199</v>
      </c>
      <c r="H8" s="129">
        <f t="shared" si="0"/>
        <v>25337104.041795291</v>
      </c>
      <c r="J8" s="138"/>
    </row>
    <row r="9" spans="1:10" x14ac:dyDescent="0.2">
      <c r="B9" s="48" t="s">
        <v>56</v>
      </c>
      <c r="C9" s="130">
        <f>PI!J9</f>
        <v>6988144.4999999991</v>
      </c>
      <c r="D9" s="130">
        <f>ITS!C9</f>
        <v>267305.58859205799</v>
      </c>
      <c r="E9" s="130">
        <f>Wealth!D11</f>
        <v>1128791.3334449998</v>
      </c>
      <c r="F9" s="140">
        <f>LE!D11</f>
        <v>3242257.0045999996</v>
      </c>
      <c r="G9" s="130">
        <f>REPART!I9</f>
        <v>56804.752565465453</v>
      </c>
      <c r="H9" s="132">
        <f t="shared" si="0"/>
        <v>11683303.179202523</v>
      </c>
      <c r="J9" s="138"/>
    </row>
    <row r="10" spans="1:10" x14ac:dyDescent="0.2">
      <c r="B10" s="45" t="s">
        <v>57</v>
      </c>
      <c r="C10" s="127">
        <f>PI!J10</f>
        <v>484826.89999999997</v>
      </c>
      <c r="D10" s="127">
        <f>ITS!C10</f>
        <v>29404.372751325001</v>
      </c>
      <c r="E10" s="127">
        <f>Wealth!D12</f>
        <v>91596.089760000003</v>
      </c>
      <c r="F10" s="139">
        <f>LE!D12</f>
        <v>226968.17229999998</v>
      </c>
      <c r="G10" s="127">
        <f>REPART!I10</f>
        <v>-8537.8333638658405</v>
      </c>
      <c r="H10" s="129">
        <f t="shared" si="0"/>
        <v>824257.70144745905</v>
      </c>
      <c r="J10" s="138"/>
    </row>
    <row r="11" spans="1:10" x14ac:dyDescent="0.2">
      <c r="B11" s="48" t="s">
        <v>58</v>
      </c>
      <c r="C11" s="130">
        <f>PI!J11</f>
        <v>5363915.3</v>
      </c>
      <c r="D11" s="130">
        <f>ITS!C11</f>
        <v>138474.43532954299</v>
      </c>
      <c r="E11" s="130">
        <f>Wealth!D13</f>
        <v>1447358.394015</v>
      </c>
      <c r="F11" s="140">
        <f>LE!D13</f>
        <v>1350883.2707</v>
      </c>
      <c r="G11" s="130">
        <f>REPART!I11</f>
        <v>-11913.313527065066</v>
      </c>
      <c r="H11" s="132">
        <f t="shared" si="0"/>
        <v>8288718.0865174783</v>
      </c>
      <c r="J11" s="138"/>
    </row>
    <row r="12" spans="1:10" x14ac:dyDescent="0.2">
      <c r="B12" s="45" t="s">
        <v>59</v>
      </c>
      <c r="C12" s="127">
        <f>PI!J12</f>
        <v>864085.3</v>
      </c>
      <c r="D12" s="127">
        <f>ITS!C12</f>
        <v>32183.152448656099</v>
      </c>
      <c r="E12" s="127">
        <f>Wealth!D14</f>
        <v>156701.14663499998</v>
      </c>
      <c r="F12" s="139">
        <f>LE!D14</f>
        <v>302602.08299999998</v>
      </c>
      <c r="G12" s="127">
        <f>REPART!I12</f>
        <v>-11637.996430579733</v>
      </c>
      <c r="H12" s="129">
        <f t="shared" si="0"/>
        <v>1343933.6856530763</v>
      </c>
      <c r="J12" s="138"/>
    </row>
    <row r="13" spans="1:10" x14ac:dyDescent="0.2">
      <c r="B13" s="48" t="s">
        <v>60</v>
      </c>
      <c r="C13" s="130">
        <f>PI!J13</f>
        <v>1239332.3999999999</v>
      </c>
      <c r="D13" s="130">
        <f>ITS!C13</f>
        <v>33061.786554162398</v>
      </c>
      <c r="E13" s="130">
        <f>Wealth!D15</f>
        <v>418133.69964000001</v>
      </c>
      <c r="F13" s="140">
        <f>LE!D15</f>
        <v>501694.3922</v>
      </c>
      <c r="G13" s="130">
        <f>REPART!I13</f>
        <v>-12099.276934103695</v>
      </c>
      <c r="H13" s="132">
        <f t="shared" si="0"/>
        <v>2180123.0014600586</v>
      </c>
      <c r="J13" s="138"/>
    </row>
    <row r="14" spans="1:10" x14ac:dyDescent="0.2">
      <c r="B14" s="45" t="s">
        <v>61</v>
      </c>
      <c r="C14" s="127">
        <f>PI!J14</f>
        <v>611329.19999999995</v>
      </c>
      <c r="D14" s="127">
        <f>ITS!C14</f>
        <v>48525.861084616598</v>
      </c>
      <c r="E14" s="127">
        <f>Wealth!D16</f>
        <v>104516.553525</v>
      </c>
      <c r="F14" s="139">
        <f>LE!D16</f>
        <v>222552.01139999999</v>
      </c>
      <c r="G14" s="127">
        <f>REPART!I14</f>
        <v>1925.5736496329271</v>
      </c>
      <c r="H14" s="129">
        <f t="shared" si="0"/>
        <v>988849.19965924951</v>
      </c>
      <c r="J14" s="138"/>
    </row>
    <row r="15" spans="1:10" x14ac:dyDescent="0.2">
      <c r="B15" s="48" t="s">
        <v>62</v>
      </c>
      <c r="C15" s="130">
        <f>PI!J15</f>
        <v>4692580.8000000007</v>
      </c>
      <c r="D15" s="130">
        <f>ITS!C15</f>
        <v>214431.78942173999</v>
      </c>
      <c r="E15" s="130">
        <f>Wealth!D17</f>
        <v>860929.78206326999</v>
      </c>
      <c r="F15" s="140">
        <f>LE!D17</f>
        <v>3715941.7571999999</v>
      </c>
      <c r="G15" s="130">
        <f>REPART!I15</f>
        <v>2763.1243532772878</v>
      </c>
      <c r="H15" s="132">
        <f t="shared" si="0"/>
        <v>9486647.2530382872</v>
      </c>
      <c r="J15" s="138"/>
    </row>
    <row r="16" spans="1:10" x14ac:dyDescent="0.2">
      <c r="B16" s="45" t="s">
        <v>63</v>
      </c>
      <c r="C16" s="127">
        <f>PI!J16</f>
        <v>4880130.0999999996</v>
      </c>
      <c r="D16" s="127">
        <f>ITS!C16</f>
        <v>236541.63051675001</v>
      </c>
      <c r="E16" s="127">
        <f>Wealth!D18</f>
        <v>419435.26597499999</v>
      </c>
      <c r="F16" s="139">
        <f>LE!D18</f>
        <v>2261060.2955</v>
      </c>
      <c r="G16" s="127">
        <f>REPART!I16</f>
        <v>-71576.601199761717</v>
      </c>
      <c r="H16" s="129">
        <f t="shared" si="0"/>
        <v>7725590.6907919878</v>
      </c>
      <c r="J16" s="138"/>
    </row>
    <row r="17" spans="2:10" x14ac:dyDescent="0.2">
      <c r="B17" s="48" t="s">
        <v>64</v>
      </c>
      <c r="C17" s="130">
        <f>PI!J17</f>
        <v>4572784.0999999996</v>
      </c>
      <c r="D17" s="130">
        <f>ITS!C17</f>
        <v>159604.40485099101</v>
      </c>
      <c r="E17" s="130">
        <f>Wealth!D19</f>
        <v>361963.35946499999</v>
      </c>
      <c r="F17" s="140">
        <f>LE!D19</f>
        <v>1286827.5430999999</v>
      </c>
      <c r="G17" s="130">
        <f>REPART!I17</f>
        <v>-78391.715569385196</v>
      </c>
      <c r="H17" s="132">
        <f t="shared" si="0"/>
        <v>6302787.6918466063</v>
      </c>
      <c r="J17" s="138"/>
    </row>
    <row r="18" spans="2:10" x14ac:dyDescent="0.2">
      <c r="B18" s="45" t="s">
        <v>65</v>
      </c>
      <c r="C18" s="127">
        <f>PI!J18</f>
        <v>4738050.5</v>
      </c>
      <c r="D18" s="127">
        <f>ITS!C18</f>
        <v>711649.88875728799</v>
      </c>
      <c r="E18" s="127">
        <f>Wealth!D20</f>
        <v>818026.89209999994</v>
      </c>
      <c r="F18" s="139">
        <f>LE!D20</f>
        <v>3228163.7021000003</v>
      </c>
      <c r="G18" s="127">
        <f>REPART!I18</f>
        <v>-9649.1158553198584</v>
      </c>
      <c r="H18" s="129">
        <f t="shared" si="0"/>
        <v>9486241.8671019692</v>
      </c>
      <c r="J18" s="138"/>
    </row>
    <row r="19" spans="2:10" x14ac:dyDescent="0.2">
      <c r="B19" s="48" t="s">
        <v>66</v>
      </c>
      <c r="C19" s="130">
        <f>PI!J19</f>
        <v>6513931.4999999991</v>
      </c>
      <c r="D19" s="130">
        <f>ITS!C19</f>
        <v>381081.83931429102</v>
      </c>
      <c r="E19" s="130">
        <f>Wealth!D21</f>
        <v>610995.81278999988</v>
      </c>
      <c r="F19" s="140">
        <f>LE!D21</f>
        <v>1427237.7519</v>
      </c>
      <c r="G19" s="130">
        <f>REPART!I19</f>
        <v>-27571.135722067826</v>
      </c>
      <c r="H19" s="132">
        <f t="shared" si="0"/>
        <v>8905675.7682822235</v>
      </c>
      <c r="J19" s="138"/>
    </row>
    <row r="20" spans="2:10" x14ac:dyDescent="0.2">
      <c r="B20" s="45" t="s">
        <v>67</v>
      </c>
      <c r="C20" s="127">
        <f>PI!J20</f>
        <v>1311565.9999999998</v>
      </c>
      <c r="D20" s="127">
        <f>ITS!C20</f>
        <v>160330.03667660899</v>
      </c>
      <c r="E20" s="127">
        <f>Wealth!D22</f>
        <v>187379.69312999997</v>
      </c>
      <c r="F20" s="139">
        <f>LE!D22</f>
        <v>723974.3676</v>
      </c>
      <c r="G20" s="127">
        <f>REPART!I20</f>
        <v>7483.1197741931583</v>
      </c>
      <c r="H20" s="129">
        <f t="shared" si="0"/>
        <v>2390733.217180802</v>
      </c>
      <c r="J20" s="138"/>
    </row>
    <row r="21" spans="2:10" x14ac:dyDescent="0.2">
      <c r="B21" s="48" t="s">
        <v>68</v>
      </c>
      <c r="C21" s="130">
        <f>PI!J21</f>
        <v>938493.3</v>
      </c>
      <c r="D21" s="130">
        <f>ITS!C21</f>
        <v>38626.439371444998</v>
      </c>
      <c r="E21" s="130">
        <f>Wealth!D23</f>
        <v>200287.92659999998</v>
      </c>
      <c r="F21" s="140">
        <f>LE!D23</f>
        <v>347621.60360000003</v>
      </c>
      <c r="G21" s="130">
        <f>REPART!I21</f>
        <v>-7677.5422448476438</v>
      </c>
      <c r="H21" s="132">
        <f t="shared" si="0"/>
        <v>1517351.7273265973</v>
      </c>
      <c r="J21" s="138"/>
    </row>
    <row r="22" spans="2:10" x14ac:dyDescent="0.2">
      <c r="B22" s="45" t="s">
        <v>69</v>
      </c>
      <c r="C22" s="127">
        <f>PI!J22</f>
        <v>283224.69999999995</v>
      </c>
      <c r="D22" s="127">
        <f>ITS!C22</f>
        <v>8939.3310107099005</v>
      </c>
      <c r="E22" s="127">
        <f>Wealth!D24</f>
        <v>64846.542570000005</v>
      </c>
      <c r="F22" s="139">
        <f>LE!D24</f>
        <v>84045.267300000007</v>
      </c>
      <c r="G22" s="127">
        <f>REPART!I22</f>
        <v>-274.48077455874397</v>
      </c>
      <c r="H22" s="129">
        <f t="shared" si="0"/>
        <v>440781.36010615114</v>
      </c>
      <c r="J22" s="138"/>
    </row>
    <row r="23" spans="2:10" x14ac:dyDescent="0.2">
      <c r="B23" s="48" t="s">
        <v>70</v>
      </c>
      <c r="C23" s="130">
        <f>PI!J23</f>
        <v>7681428.5999999987</v>
      </c>
      <c r="D23" s="130">
        <f>ITS!C23</f>
        <v>519537.34981954203</v>
      </c>
      <c r="E23" s="130">
        <f>Wealth!D25</f>
        <v>1410834.6027000002</v>
      </c>
      <c r="F23" s="140">
        <f>LE!D25</f>
        <v>3209345.0421000002</v>
      </c>
      <c r="G23" s="130">
        <f>REPART!I23</f>
        <v>-26278.801831398872</v>
      </c>
      <c r="H23" s="132">
        <f t="shared" si="0"/>
        <v>12794866.792788144</v>
      </c>
      <c r="J23" s="138"/>
    </row>
    <row r="24" spans="2:10" x14ac:dyDescent="0.2">
      <c r="B24" s="45" t="s">
        <v>71</v>
      </c>
      <c r="C24" s="127">
        <f>PI!J24</f>
        <v>3347946.1999999997</v>
      </c>
      <c r="D24" s="127">
        <f>ITS!C24</f>
        <v>390902.57678046101</v>
      </c>
      <c r="E24" s="127">
        <f>Wealth!D26</f>
        <v>830389.79819999996</v>
      </c>
      <c r="F24" s="139">
        <f>LE!D26</f>
        <v>919373.27079999994</v>
      </c>
      <c r="G24" s="127">
        <f>REPART!I24</f>
        <v>81338.198211760478</v>
      </c>
      <c r="H24" s="129">
        <f t="shared" si="0"/>
        <v>5569950.0439922214</v>
      </c>
      <c r="J24" s="138"/>
    </row>
    <row r="25" spans="2:10" x14ac:dyDescent="0.2">
      <c r="B25" s="48" t="s">
        <v>72</v>
      </c>
      <c r="C25" s="130">
        <f>PI!J25</f>
        <v>12058814.699999999</v>
      </c>
      <c r="D25" s="130">
        <f>ITS!C25</f>
        <v>609443.52764504799</v>
      </c>
      <c r="E25" s="130">
        <f>Wealth!D27</f>
        <v>1626733.2094987349</v>
      </c>
      <c r="F25" s="140">
        <f>LE!D27</f>
        <v>3813349.8356999997</v>
      </c>
      <c r="G25" s="130">
        <f>REPART!I25</f>
        <v>-21282.895908422841</v>
      </c>
      <c r="H25" s="132">
        <f t="shared" si="0"/>
        <v>18087058.376935359</v>
      </c>
      <c r="J25" s="138"/>
    </row>
    <row r="26" spans="2:10" x14ac:dyDescent="0.2">
      <c r="B26" s="45" t="s">
        <v>73</v>
      </c>
      <c r="C26" s="127">
        <f>PI!J26</f>
        <v>4494134.5999999996</v>
      </c>
      <c r="D26" s="127">
        <f>ITS!C26</f>
        <v>278544.44083387201</v>
      </c>
      <c r="E26" s="127">
        <f>Wealth!D28</f>
        <v>733950.12449999992</v>
      </c>
      <c r="F26" s="139">
        <f>LE!D28</f>
        <v>1391260.2639000001</v>
      </c>
      <c r="G26" s="127">
        <f>REPART!I26</f>
        <v>26300.395211122781</v>
      </c>
      <c r="H26" s="129">
        <f t="shared" si="0"/>
        <v>6924189.8244449943</v>
      </c>
      <c r="J26" s="138"/>
    </row>
    <row r="27" spans="2:10" x14ac:dyDescent="0.2">
      <c r="B27" s="48" t="s">
        <v>74</v>
      </c>
      <c r="C27" s="130">
        <f>PI!J27</f>
        <v>6511434.7000000002</v>
      </c>
      <c r="D27" s="130">
        <f>ITS!C27</f>
        <v>893394.08419428696</v>
      </c>
      <c r="E27" s="130">
        <f>Wealth!D29</f>
        <v>835959.88042499998</v>
      </c>
      <c r="F27" s="140">
        <f>LE!D29</f>
        <v>2911765.5279000001</v>
      </c>
      <c r="G27" s="130">
        <f>REPART!I27</f>
        <v>77143.158924931849</v>
      </c>
      <c r="H27" s="132">
        <f t="shared" si="0"/>
        <v>11229697.351444218</v>
      </c>
      <c r="J27" s="138"/>
    </row>
    <row r="28" spans="2:10" x14ac:dyDescent="0.2">
      <c r="B28" s="45" t="s">
        <v>75</v>
      </c>
      <c r="C28" s="127">
        <f>PI!J28</f>
        <v>16158364.599999998</v>
      </c>
      <c r="D28" s="127">
        <f>ITS!C28</f>
        <v>1263036.9326866099</v>
      </c>
      <c r="E28" s="127">
        <f>Wealth!D30</f>
        <v>1991783.525985</v>
      </c>
      <c r="F28" s="139">
        <f>LE!D30</f>
        <v>5128648.4439000003</v>
      </c>
      <c r="G28" s="127">
        <f>REPART!I28</f>
        <v>-80572.201239206872</v>
      </c>
      <c r="H28" s="129">
        <f t="shared" si="0"/>
        <v>24461261.301332399</v>
      </c>
      <c r="J28" s="138"/>
    </row>
    <row r="29" spans="2:10" x14ac:dyDescent="0.2">
      <c r="B29" s="48" t="s">
        <v>76</v>
      </c>
      <c r="C29" s="130">
        <f>PI!J29</f>
        <v>4898896.6999999993</v>
      </c>
      <c r="D29" s="130">
        <f>ITS!C29</f>
        <v>409186.07720474101</v>
      </c>
      <c r="E29" s="130">
        <f>Wealth!D31</f>
        <v>681193.87853999995</v>
      </c>
      <c r="F29" s="140">
        <f>LE!D31</f>
        <v>1370755.341</v>
      </c>
      <c r="G29" s="130">
        <f>REPART!I29</f>
        <v>104619.98196910926</v>
      </c>
      <c r="H29" s="132">
        <f t="shared" si="0"/>
        <v>7464651.9787138486</v>
      </c>
      <c r="J29" s="138"/>
    </row>
    <row r="30" spans="2:10" x14ac:dyDescent="0.2">
      <c r="B30" s="45" t="s">
        <v>77</v>
      </c>
      <c r="C30" s="127">
        <f>PI!J30</f>
        <v>2778760.1000000006</v>
      </c>
      <c r="D30" s="127">
        <f>ITS!C30</f>
        <v>264314.02785218699</v>
      </c>
      <c r="E30" s="127">
        <f>Wealth!D32</f>
        <v>258663.67210500001</v>
      </c>
      <c r="F30" s="139">
        <f>LE!D32</f>
        <v>2761549.7916000001</v>
      </c>
      <c r="G30" s="127">
        <f>REPART!I30</f>
        <v>93682.754838816982</v>
      </c>
      <c r="H30" s="129">
        <f t="shared" si="0"/>
        <v>6156970.3463960048</v>
      </c>
      <c r="J30" s="138"/>
    </row>
    <row r="31" spans="2:10" x14ac:dyDescent="0.2">
      <c r="B31" s="48" t="s">
        <v>78</v>
      </c>
      <c r="C31" s="130">
        <f>PI!J31</f>
        <v>12028802.300000001</v>
      </c>
      <c r="D31" s="130">
        <f>ITS!C31</f>
        <v>2519325.6135055502</v>
      </c>
      <c r="E31" s="130">
        <f>Wealth!D33</f>
        <v>1581657.9454649999</v>
      </c>
      <c r="F31" s="140">
        <f>LE!D33</f>
        <v>5681257.8895000005</v>
      </c>
      <c r="G31" s="130">
        <f>REPART!I31</f>
        <v>149836.26415405783</v>
      </c>
      <c r="H31" s="132">
        <f t="shared" si="0"/>
        <v>21960880.01262461</v>
      </c>
      <c r="J31" s="138"/>
    </row>
    <row r="32" spans="2:10" x14ac:dyDescent="0.2">
      <c r="B32" s="45" t="s">
        <v>79</v>
      </c>
      <c r="C32" s="127">
        <f>PI!J32</f>
        <v>924792.7</v>
      </c>
      <c r="D32" s="127">
        <f>ITS!C32</f>
        <v>95077.664059590199</v>
      </c>
      <c r="E32" s="127">
        <f>Wealth!D34</f>
        <v>100021.53</v>
      </c>
      <c r="F32" s="139">
        <f>LE!D34</f>
        <v>416506.62890000001</v>
      </c>
      <c r="G32" s="127">
        <f>REPART!I32</f>
        <v>11562.786428993129</v>
      </c>
      <c r="H32" s="129">
        <f t="shared" si="0"/>
        <v>1547961.3093885831</v>
      </c>
      <c r="J32" s="138"/>
    </row>
    <row r="33" spans="1:10" x14ac:dyDescent="0.2">
      <c r="A33" s="52"/>
      <c r="B33" s="53" t="s">
        <v>80</v>
      </c>
      <c r="C33" s="54">
        <f t="shared" ref="C33:H33" si="1">SUM(C7:C32)</f>
        <v>166207085.79999995</v>
      </c>
      <c r="D33" s="54">
        <f t="shared" si="1"/>
        <v>12345916.735654734</v>
      </c>
      <c r="E33" s="54">
        <f t="shared" si="1"/>
        <v>25006151.886187002</v>
      </c>
      <c r="F33" s="54">
        <f t="shared" si="1"/>
        <v>65495287.254199997</v>
      </c>
      <c r="G33" s="54">
        <f t="shared" si="1"/>
        <v>-14983.079759010843</v>
      </c>
      <c r="H33" s="55">
        <f t="shared" si="1"/>
        <v>269039458.59628272</v>
      </c>
      <c r="J33" s="138"/>
    </row>
  </sheetData>
  <conditionalFormatting sqref="C7:H32">
    <cfRule type="expression" dxfId="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28515625" style="15" customWidth="1"/>
    <col min="2" max="2" width="16" style="1" customWidth="1"/>
    <col min="3" max="3" width="16.28515625" style="1" customWidth="1"/>
    <col min="4" max="4" width="18" style="1" customWidth="1"/>
    <col min="5" max="6" width="17.140625" style="1" customWidth="1"/>
    <col min="7" max="7" width="19.140625" style="1" customWidth="1"/>
    <col min="8" max="9" width="15.7109375" style="1" customWidth="1"/>
  </cols>
  <sheetData>
    <row r="1" spans="1:10" ht="30" customHeight="1" x14ac:dyDescent="0.2">
      <c r="B1" s="134" t="str">
        <f>"ATB per capita "&amp;Info!C31</f>
        <v>ATB per capita 2013</v>
      </c>
      <c r="C1" s="134"/>
      <c r="E1" s="135" t="str">
        <f>Info!A4</f>
        <v>Reference year 2018</v>
      </c>
      <c r="I1" s="20" t="str">
        <f>Info!$C$28</f>
        <v>FA_2018_20170823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10" s="1" customFormat="1" x14ac:dyDescent="0.2">
      <c r="A3" s="27"/>
      <c r="B3" s="28" t="s">
        <v>38</v>
      </c>
      <c r="C3" s="29"/>
      <c r="D3" s="29"/>
      <c r="E3" s="29"/>
      <c r="F3" s="29"/>
      <c r="G3" s="29"/>
      <c r="H3" s="29"/>
      <c r="I3" s="121"/>
    </row>
    <row r="4" spans="1:10" ht="38.25" customHeight="1" x14ac:dyDescent="0.2"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3" t="s">
        <v>112</v>
      </c>
      <c r="I4" s="34" t="s">
        <v>113</v>
      </c>
    </row>
    <row r="5" spans="1:10" s="35" customFormat="1" ht="11.25" customHeight="1" x14ac:dyDescent="0.2">
      <c r="A5" s="36"/>
      <c r="B5" s="37" t="s">
        <v>111</v>
      </c>
      <c r="C5" s="38">
        <f>Info!$C$31</f>
        <v>2013</v>
      </c>
      <c r="D5" s="38">
        <f>Info!$C$31</f>
        <v>2013</v>
      </c>
      <c r="E5" s="38">
        <f>Info!$C$31</f>
        <v>2013</v>
      </c>
      <c r="F5" s="38">
        <f>Info!$C$31</f>
        <v>2013</v>
      </c>
      <c r="G5" s="38">
        <f>Info!$C$31</f>
        <v>2013</v>
      </c>
      <c r="H5" s="38">
        <f>Info!$C$31</f>
        <v>2013</v>
      </c>
      <c r="I5" s="85"/>
    </row>
    <row r="6" spans="1:10" s="35" customFormat="1" ht="11.25" customHeight="1" x14ac:dyDescent="0.2">
      <c r="A6" s="36"/>
      <c r="B6" s="86" t="s">
        <v>51</v>
      </c>
      <c r="C6" s="38" t="s">
        <v>114</v>
      </c>
      <c r="D6" s="38" t="s">
        <v>114</v>
      </c>
      <c r="E6" s="38" t="s">
        <v>114</v>
      </c>
      <c r="F6" s="38" t="s">
        <v>114</v>
      </c>
      <c r="G6" s="38" t="s">
        <v>114</v>
      </c>
      <c r="H6" s="38" t="s">
        <v>114</v>
      </c>
      <c r="I6" s="39" t="s">
        <v>115</v>
      </c>
    </row>
    <row r="7" spans="1:10" x14ac:dyDescent="0.2">
      <c r="B7" s="41" t="s">
        <v>54</v>
      </c>
      <c r="C7" s="124">
        <f>ATB_Total!C7/ATB_per_capita!$I7*1000</f>
        <v>24928.323744287129</v>
      </c>
      <c r="D7" s="124">
        <f>ATB_Total!D7/ATB_per_capita!$I7*1000</f>
        <v>1389.4327440934785</v>
      </c>
      <c r="E7" s="124">
        <f>ATB_Total!E7/ATB_per_capita!$I7*1000</f>
        <v>4012.0209474276003</v>
      </c>
      <c r="F7" s="124">
        <f>ATB_Total!F7/ATB_per_capita!$I7*1000</f>
        <v>8991.5154099282281</v>
      </c>
      <c r="G7" s="124">
        <f>ATB_Total!G7/ATB_per_capita!$I7*1000</f>
        <v>-205.34548329805267</v>
      </c>
      <c r="H7" s="141">
        <f>ATB_Total!H7/ATB_per_capita!$I7*1000</f>
        <v>39115.947362438375</v>
      </c>
      <c r="I7" s="142">
        <v>1430104</v>
      </c>
      <c r="J7" s="138"/>
    </row>
    <row r="8" spans="1:10" x14ac:dyDescent="0.2">
      <c r="B8" s="45" t="s">
        <v>55</v>
      </c>
      <c r="C8" s="127">
        <f>ATB_Total!C8/ATB_per_capita!$I8*1000</f>
        <v>16112.045906415873</v>
      </c>
      <c r="D8" s="127">
        <f>ATB_Total!D8/ATB_per_capita!$I8*1000</f>
        <v>652.75293142856208</v>
      </c>
      <c r="E8" s="127">
        <f>ATB_Total!E8/ATB_per_capita!$I8*1000</f>
        <v>2334.9202240739005</v>
      </c>
      <c r="F8" s="127">
        <f>ATB_Total!F8/ATB_per_capita!$I8*1000</f>
        <v>6080.9619953548263</v>
      </c>
      <c r="G8" s="127">
        <f>ATB_Total!G8/ATB_per_capita!$I8*1000</f>
        <v>32.525288538810479</v>
      </c>
      <c r="H8" s="143">
        <f>ATB_Total!H8/ATB_per_capita!$I8*1000</f>
        <v>25213.206345811974</v>
      </c>
      <c r="I8" s="144">
        <v>1004914</v>
      </c>
      <c r="J8" s="138"/>
    </row>
    <row r="9" spans="1:10" x14ac:dyDescent="0.2">
      <c r="B9" s="48" t="s">
        <v>56</v>
      </c>
      <c r="C9" s="130">
        <f>ATB_Total!C9/ATB_per_capita!$I9*1000</f>
        <v>17858.881210739641</v>
      </c>
      <c r="D9" s="130">
        <f>ATB_Total!D9/ATB_per_capita!$I9*1000</f>
        <v>683.1253637689382</v>
      </c>
      <c r="E9" s="130">
        <f>ATB_Total!E9/ATB_per_capita!$I9*1000</f>
        <v>2884.7357600728851</v>
      </c>
      <c r="F9" s="130">
        <f>ATB_Total!F9/ATB_per_capita!$I9*1000</f>
        <v>8285.9023163931324</v>
      </c>
      <c r="G9" s="130">
        <f>ATB_Total!G9/ATB_per_capita!$I9*1000</f>
        <v>145.17005598154208</v>
      </c>
      <c r="H9" s="145">
        <f>ATB_Total!H9/ATB_per_capita!$I9*1000</f>
        <v>29857.814706956138</v>
      </c>
      <c r="I9" s="146">
        <v>391298</v>
      </c>
      <c r="J9" s="138"/>
    </row>
    <row r="10" spans="1:10" x14ac:dyDescent="0.2">
      <c r="B10" s="45" t="s">
        <v>57</v>
      </c>
      <c r="C10" s="127">
        <f>ATB_Total!C10/ATB_per_capita!$I10*1000</f>
        <v>13371.768599600082</v>
      </c>
      <c r="D10" s="127">
        <f>ATB_Total!D10/ATB_per_capita!$I10*1000</f>
        <v>810.9873199013997</v>
      </c>
      <c r="E10" s="127">
        <f>ATB_Total!E10/ATB_per_capita!$I10*1000</f>
        <v>2526.2660073088327</v>
      </c>
      <c r="F10" s="127">
        <f>ATB_Total!F10/ATB_per_capita!$I10*1000</f>
        <v>6259.8958091429349</v>
      </c>
      <c r="G10" s="127">
        <f>ATB_Total!G10/ATB_per_capita!$I10*1000</f>
        <v>-235.47771809600331</v>
      </c>
      <c r="H10" s="143">
        <f>ATB_Total!H10/ATB_per_capita!$I10*1000</f>
        <v>22733.440017857243</v>
      </c>
      <c r="I10" s="144">
        <v>36257.5</v>
      </c>
      <c r="J10" s="138"/>
    </row>
    <row r="11" spans="1:10" x14ac:dyDescent="0.2">
      <c r="B11" s="48" t="s">
        <v>58</v>
      </c>
      <c r="C11" s="130">
        <f>ATB_Total!C11/ATB_per_capita!$I11*1000</f>
        <v>35263.512798345932</v>
      </c>
      <c r="D11" s="130">
        <f>ATB_Total!D11/ATB_per_capita!$I11*1000</f>
        <v>910.36020320586806</v>
      </c>
      <c r="E11" s="130">
        <f>ATB_Total!E11/ATB_per_capita!$I11*1000</f>
        <v>9515.2399686738827</v>
      </c>
      <c r="F11" s="130">
        <f>ATB_Total!F11/ATB_per_capita!$I11*1000</f>
        <v>8880.9921188354438</v>
      </c>
      <c r="G11" s="130">
        <f>ATB_Total!G11/ATB_per_capita!$I11*1000</f>
        <v>-78.320640900568776</v>
      </c>
      <c r="H11" s="145">
        <f>ATB_Total!H11/ATB_per_capita!$I11*1000</f>
        <v>54491.784448160557</v>
      </c>
      <c r="I11" s="146">
        <v>152109.5</v>
      </c>
      <c r="J11" s="138"/>
    </row>
    <row r="12" spans="1:10" x14ac:dyDescent="0.2">
      <c r="B12" s="45" t="s">
        <v>59</v>
      </c>
      <c r="C12" s="127">
        <f>ATB_Total!C12/ATB_per_capita!$I12*1000</f>
        <v>23528.210643830582</v>
      </c>
      <c r="D12" s="127">
        <f>ATB_Total!D12/ATB_per_capita!$I12*1000</f>
        <v>876.31625025271546</v>
      </c>
      <c r="E12" s="127">
        <f>ATB_Total!E12/ATB_per_capita!$I12*1000</f>
        <v>4266.8213267348292</v>
      </c>
      <c r="F12" s="127">
        <f>ATB_Total!F12/ATB_per_capita!$I12*1000</f>
        <v>8239.5633279329086</v>
      </c>
      <c r="G12" s="127">
        <f>ATB_Total!G12/ATB_per_capita!$I12*1000</f>
        <v>-316.89143593905419</v>
      </c>
      <c r="H12" s="143">
        <f>ATB_Total!H12/ATB_per_capita!$I12*1000</f>
        <v>36594.020112811973</v>
      </c>
      <c r="I12" s="144">
        <v>36725.5</v>
      </c>
      <c r="J12" s="138"/>
    </row>
    <row r="13" spans="1:10" x14ac:dyDescent="0.2">
      <c r="B13" s="48" t="s">
        <v>60</v>
      </c>
      <c r="C13" s="130">
        <f>ATB_Total!C13/ATB_per_capita!$I13*1000</f>
        <v>29460.216791860796</v>
      </c>
      <c r="D13" s="130">
        <f>ATB_Total!D13/ATB_per_capita!$I13*1000</f>
        <v>785.91296363417314</v>
      </c>
      <c r="E13" s="130">
        <f>ATB_Total!E13/ATB_per_capita!$I13*1000</f>
        <v>9939.4717989921064</v>
      </c>
      <c r="F13" s="130">
        <f>ATB_Total!F13/ATB_per_capita!$I13*1000</f>
        <v>11925.796144337739</v>
      </c>
      <c r="G13" s="130">
        <f>ATB_Total!G13/ATB_per_capita!$I13*1000</f>
        <v>-287.61236412721536</v>
      </c>
      <c r="H13" s="145">
        <f>ATB_Total!H13/ATB_per_capita!$I13*1000</f>
        <v>51823.785334697597</v>
      </c>
      <c r="I13" s="146">
        <v>42068</v>
      </c>
      <c r="J13" s="138"/>
    </row>
    <row r="14" spans="1:10" x14ac:dyDescent="0.2">
      <c r="B14" s="45" t="s">
        <v>61</v>
      </c>
      <c r="C14" s="127">
        <f>ATB_Total!C14/ATB_per_capita!$I14*1000</f>
        <v>15244.546962083712</v>
      </c>
      <c r="D14" s="127">
        <f>ATB_Total!D14/ATB_per_capita!$I14*1000</f>
        <v>1210.0759593685173</v>
      </c>
      <c r="E14" s="127">
        <f>ATB_Total!E14/ATB_per_capita!$I14*1000</f>
        <v>2606.300350984377</v>
      </c>
      <c r="F14" s="127">
        <f>ATB_Total!F14/ATB_per_capita!$I14*1000</f>
        <v>5549.717875889929</v>
      </c>
      <c r="G14" s="127">
        <f>ATB_Total!G14/ATB_per_capita!$I14*1000</f>
        <v>48.017496842585118</v>
      </c>
      <c r="H14" s="143">
        <f>ATB_Total!H14/ATB_per_capita!$I14*1000</f>
        <v>24658.658645169122</v>
      </c>
      <c r="I14" s="144">
        <v>40101.5</v>
      </c>
      <c r="J14" s="138"/>
    </row>
    <row r="15" spans="1:10" x14ac:dyDescent="0.2">
      <c r="B15" s="48" t="s">
        <v>62</v>
      </c>
      <c r="C15" s="130">
        <f>ATB_Total!C15/ATB_per_capita!$I15*1000</f>
        <v>39468.443031427028</v>
      </c>
      <c r="D15" s="130">
        <f>ATB_Total!D15/ATB_per_capita!$I15*1000</f>
        <v>1803.5467529762941</v>
      </c>
      <c r="E15" s="130">
        <f>ATB_Total!E15/ATB_per_capita!$I15*1000</f>
        <v>7241.1237026378003</v>
      </c>
      <c r="F15" s="130">
        <f>ATB_Total!F15/ATB_per_capita!$I15*1000</f>
        <v>31254.109796500259</v>
      </c>
      <c r="G15" s="130">
        <f>ATB_Total!G15/ATB_per_capita!$I15*1000</f>
        <v>23.240136030491634</v>
      </c>
      <c r="H15" s="145">
        <f>ATB_Total!H15/ATB_per_capita!$I15*1000</f>
        <v>79790.463419571868</v>
      </c>
      <c r="I15" s="146">
        <v>118894.5</v>
      </c>
      <c r="J15" s="138"/>
    </row>
    <row r="16" spans="1:10" x14ac:dyDescent="0.2">
      <c r="B16" s="45" t="s">
        <v>63</v>
      </c>
      <c r="C16" s="127">
        <f>ATB_Total!C16/ATB_per_capita!$I16*1000</f>
        <v>16443.123975490962</v>
      </c>
      <c r="D16" s="127">
        <f>ATB_Total!D16/ATB_per_capita!$I16*1000</f>
        <v>797.00402986217466</v>
      </c>
      <c r="E16" s="127">
        <f>ATB_Total!E16/ATB_per_capita!$I16*1000</f>
        <v>1413.2463554854719</v>
      </c>
      <c r="F16" s="127">
        <f>ATB_Total!F16/ATB_per_capita!$I16*1000</f>
        <v>7618.4228684736772</v>
      </c>
      <c r="G16" s="127">
        <f>ATB_Total!G16/ATB_per_capita!$I16*1000</f>
        <v>-241.1703997956852</v>
      </c>
      <c r="H16" s="143">
        <f>ATB_Total!H16/ATB_per_capita!$I16*1000</f>
        <v>26030.626829516601</v>
      </c>
      <c r="I16" s="144">
        <v>296788.5</v>
      </c>
      <c r="J16" s="138"/>
    </row>
    <row r="17" spans="2:10" x14ac:dyDescent="0.2">
      <c r="B17" s="48" t="s">
        <v>64</v>
      </c>
      <c r="C17" s="130">
        <f>ATB_Total!C17/ATB_per_capita!$I17*1000</f>
        <v>17436.536855631777</v>
      </c>
      <c r="D17" s="130">
        <f>ATB_Total!D17/ATB_per_capita!$I17*1000</f>
        <v>608.58943406173046</v>
      </c>
      <c r="E17" s="130">
        <f>ATB_Total!E17/ATB_per_capita!$I17*1000</f>
        <v>1380.2067448799442</v>
      </c>
      <c r="F17" s="130">
        <f>ATB_Total!F17/ATB_per_capita!$I17*1000</f>
        <v>4906.8172455605845</v>
      </c>
      <c r="G17" s="130">
        <f>ATB_Total!G17/ATB_per_capita!$I17*1000</f>
        <v>-298.91637300387487</v>
      </c>
      <c r="H17" s="145">
        <f>ATB_Total!H17/ATB_per_capita!$I17*1000</f>
        <v>24033.233907130161</v>
      </c>
      <c r="I17" s="146">
        <v>262253</v>
      </c>
      <c r="J17" s="138"/>
    </row>
    <row r="18" spans="2:10" x14ac:dyDescent="0.2">
      <c r="B18" s="45" t="s">
        <v>65</v>
      </c>
      <c r="C18" s="127">
        <f>ATB_Total!C18/ATB_per_capita!$I18*1000</f>
        <v>24710.422283994722</v>
      </c>
      <c r="D18" s="127">
        <f>ATB_Total!D18/ATB_per_capita!$I18*1000</f>
        <v>3711.4778049643951</v>
      </c>
      <c r="E18" s="127">
        <f>ATB_Total!E18/ATB_per_capita!$I18*1000</f>
        <v>4266.2673062380363</v>
      </c>
      <c r="F18" s="127">
        <f>ATB_Total!F18/ATB_per_capita!$I18*1000</f>
        <v>16835.888152892152</v>
      </c>
      <c r="G18" s="127">
        <f>ATB_Total!G18/ATB_per_capita!$I18*1000</f>
        <v>-50.323171408186262</v>
      </c>
      <c r="H18" s="143">
        <f>ATB_Total!H18/ATB_per_capita!$I18*1000</f>
        <v>49473.732376681124</v>
      </c>
      <c r="I18" s="144">
        <v>191743</v>
      </c>
      <c r="J18" s="138"/>
    </row>
    <row r="19" spans="2:10" x14ac:dyDescent="0.2">
      <c r="B19" s="48" t="s">
        <v>66</v>
      </c>
      <c r="C19" s="130">
        <f>ATB_Total!C19/ATB_per_capita!$I19*1000</f>
        <v>23349.516981808403</v>
      </c>
      <c r="D19" s="130">
        <f>ATB_Total!D19/ATB_per_capita!$I19*1000</f>
        <v>1366.0071307977096</v>
      </c>
      <c r="E19" s="130">
        <f>ATB_Total!E19/ATB_per_capita!$I19*1000</f>
        <v>2190.1453993727032</v>
      </c>
      <c r="F19" s="130">
        <f>ATB_Total!F19/ATB_per_capita!$I19*1000</f>
        <v>5116.0059213191143</v>
      </c>
      <c r="G19" s="130">
        <f>ATB_Total!G19/ATB_per_capita!$I19*1000</f>
        <v>-98.830130735972133</v>
      </c>
      <c r="H19" s="145">
        <f>ATB_Total!H19/ATB_per_capita!$I19*1000</f>
        <v>31922.845302561964</v>
      </c>
      <c r="I19" s="146">
        <v>278975</v>
      </c>
      <c r="J19" s="138"/>
    </row>
    <row r="20" spans="2:10" x14ac:dyDescent="0.2">
      <c r="B20" s="45" t="s">
        <v>67</v>
      </c>
      <c r="C20" s="127">
        <f>ATB_Total!C20/ATB_per_capita!$I20*1000</f>
        <v>16580.378870720004</v>
      </c>
      <c r="D20" s="127">
        <f>ATB_Total!D20/ATB_per_capita!$I20*1000</f>
        <v>2026.8387198620665</v>
      </c>
      <c r="E20" s="127">
        <f>ATB_Total!E20/ATB_per_capita!$I20*1000</f>
        <v>2368.7914331224279</v>
      </c>
      <c r="F20" s="127">
        <f>ATB_Total!F20/ATB_per_capita!$I20*1000</f>
        <v>9152.241905857516</v>
      </c>
      <c r="G20" s="127">
        <f>ATB_Total!G20/ATB_per_capita!$I20*1000</f>
        <v>94.599098322996554</v>
      </c>
      <c r="H20" s="143">
        <f>ATB_Total!H20/ATB_per_capita!$I20*1000</f>
        <v>30222.850027885012</v>
      </c>
      <c r="I20" s="144">
        <v>79103.5</v>
      </c>
      <c r="J20" s="138"/>
    </row>
    <row r="21" spans="2:10" x14ac:dyDescent="0.2">
      <c r="B21" s="48" t="s">
        <v>68</v>
      </c>
      <c r="C21" s="130">
        <f>ATB_Total!C21/ATB_per_capita!$I21*1000</f>
        <v>17438.60304364792</v>
      </c>
      <c r="D21" s="130">
        <f>ATB_Total!D21/ATB_per_capita!$I21*1000</f>
        <v>717.73676294563052</v>
      </c>
      <c r="E21" s="130">
        <f>ATB_Total!E21/ATB_per_capita!$I21*1000</f>
        <v>3721.647929093037</v>
      </c>
      <c r="F21" s="130">
        <f>ATB_Total!F21/ATB_per_capita!$I21*1000</f>
        <v>6459.327045357416</v>
      </c>
      <c r="G21" s="130">
        <f>ATB_Total!G21/ATB_per_capita!$I21*1000</f>
        <v>-142.6601676951083</v>
      </c>
      <c r="H21" s="145">
        <f>ATB_Total!H21/ATB_per_capita!$I21*1000</f>
        <v>28194.654613348892</v>
      </c>
      <c r="I21" s="146">
        <v>53817</v>
      </c>
      <c r="J21" s="138"/>
    </row>
    <row r="22" spans="2:10" x14ac:dyDescent="0.2">
      <c r="B22" s="45" t="s">
        <v>69</v>
      </c>
      <c r="C22" s="127">
        <f>ATB_Total!C22/ATB_per_capita!$I22*1000</f>
        <v>17904.083696820275</v>
      </c>
      <c r="D22" s="127">
        <f>ATB_Total!D22/ATB_per_capita!$I22*1000</f>
        <v>565.10089201023459</v>
      </c>
      <c r="E22" s="127">
        <f>ATB_Total!E22/ATB_per_capita!$I22*1000</f>
        <v>4099.2820386876547</v>
      </c>
      <c r="F22" s="127">
        <f>ATB_Total!F22/ATB_per_capita!$I22*1000</f>
        <v>5312.9317466337952</v>
      </c>
      <c r="G22" s="127">
        <f>ATB_Total!G22/ATB_per_capita!$I22*1000</f>
        <v>-17.351335391538278</v>
      </c>
      <c r="H22" s="143">
        <f>ATB_Total!H22/ATB_per_capita!$I22*1000</f>
        <v>27864.047038760425</v>
      </c>
      <c r="I22" s="144">
        <v>15819</v>
      </c>
      <c r="J22" s="138"/>
    </row>
    <row r="23" spans="2:10" x14ac:dyDescent="0.2">
      <c r="B23" s="48" t="s">
        <v>70</v>
      </c>
      <c r="C23" s="130">
        <f>ATB_Total!C23/ATB_per_capita!$I23*1000</f>
        <v>15581.95507024268</v>
      </c>
      <c r="D23" s="130">
        <f>ATB_Total!D23/ATB_per_capita!$I23*1000</f>
        <v>1053.8934960875715</v>
      </c>
      <c r="E23" s="130">
        <f>ATB_Total!E23/ATB_per_capita!$I23*1000</f>
        <v>2861.9105293532361</v>
      </c>
      <c r="F23" s="130">
        <f>ATB_Total!F23/ATB_per_capita!$I23*1000</f>
        <v>6510.2304343372161</v>
      </c>
      <c r="G23" s="130">
        <f>ATB_Total!G23/ATB_per_capita!$I23*1000</f>
        <v>-53.307155577371162</v>
      </c>
      <c r="H23" s="145">
        <f>ATB_Total!H23/ATB_per_capita!$I23*1000</f>
        <v>25954.682374443335</v>
      </c>
      <c r="I23" s="146">
        <v>492969.5</v>
      </c>
      <c r="J23" s="138"/>
    </row>
    <row r="24" spans="2:10" x14ac:dyDescent="0.2">
      <c r="B24" s="45" t="s">
        <v>71</v>
      </c>
      <c r="C24" s="127">
        <f>ATB_Total!C24/ATB_per_capita!$I24*1000</f>
        <v>16502.222758941927</v>
      </c>
      <c r="D24" s="127">
        <f>ATB_Total!D24/ATB_per_capita!$I24*1000</f>
        <v>1926.7816785931532</v>
      </c>
      <c r="E24" s="127">
        <f>ATB_Total!E24/ATB_per_capita!$I24*1000</f>
        <v>4093.0399140372192</v>
      </c>
      <c r="F24" s="127">
        <f>ATB_Total!F24/ATB_per_capita!$I24*1000</f>
        <v>4531.6446582560493</v>
      </c>
      <c r="G24" s="127">
        <f>ATB_Total!G24/ATB_per_capita!$I24*1000</f>
        <v>400.92073931816566</v>
      </c>
      <c r="H24" s="143">
        <f>ATB_Total!H24/ATB_per_capita!$I24*1000</f>
        <v>27454.609749146515</v>
      </c>
      <c r="I24" s="144">
        <v>202878.5</v>
      </c>
      <c r="J24" s="138"/>
    </row>
    <row r="25" spans="2:10" x14ac:dyDescent="0.2">
      <c r="B25" s="48" t="s">
        <v>72</v>
      </c>
      <c r="C25" s="130">
        <f>ATB_Total!C25/ATB_per_capita!$I25*1000</f>
        <v>18947.11365928924</v>
      </c>
      <c r="D25" s="130">
        <f>ATB_Total!D25/ATB_per_capita!$I25*1000</f>
        <v>957.57303470372653</v>
      </c>
      <c r="E25" s="130">
        <f>ATB_Total!E25/ATB_per_capita!$I25*1000</f>
        <v>2555.9642286992689</v>
      </c>
      <c r="F25" s="130">
        <f>ATB_Total!F25/ATB_per_capita!$I25*1000</f>
        <v>5991.6313963792682</v>
      </c>
      <c r="G25" s="130">
        <f>ATB_Total!G25/ATB_per_capita!$I25*1000</f>
        <v>-33.440222592997429</v>
      </c>
      <c r="H25" s="145">
        <f>ATB_Total!H25/ATB_per_capita!$I25*1000</f>
        <v>28418.842096478507</v>
      </c>
      <c r="I25" s="146">
        <v>636446</v>
      </c>
      <c r="J25" s="138"/>
    </row>
    <row r="26" spans="2:10" x14ac:dyDescent="0.2">
      <c r="B26" s="45" t="s">
        <v>73</v>
      </c>
      <c r="C26" s="127">
        <f>ATB_Total!C26/ATB_per_capita!$I26*1000</f>
        <v>17242.06108202778</v>
      </c>
      <c r="D26" s="127">
        <f>ATB_Total!D26/ATB_per_capita!$I26*1000</f>
        <v>1068.6551895701778</v>
      </c>
      <c r="E26" s="127">
        <f>ATB_Total!E26/ATB_per_capita!$I26*1000</f>
        <v>2815.8508821233108</v>
      </c>
      <c r="F26" s="127">
        <f>ATB_Total!F26/ATB_per_capita!$I26*1000</f>
        <v>5337.6671119645353</v>
      </c>
      <c r="G26" s="127">
        <f>ATB_Total!G26/ATB_per_capita!$I26*1000</f>
        <v>100.90330198647142</v>
      </c>
      <c r="H26" s="143">
        <f>ATB_Total!H26/ATB_per_capita!$I26*1000</f>
        <v>26565.137567672275</v>
      </c>
      <c r="I26" s="144">
        <v>260649.5</v>
      </c>
      <c r="J26" s="138"/>
    </row>
    <row r="27" spans="2:10" x14ac:dyDescent="0.2">
      <c r="B27" s="48" t="s">
        <v>74</v>
      </c>
      <c r="C27" s="130">
        <f>ATB_Total!C27/ATB_per_capita!$I27*1000</f>
        <v>18794.107570393826</v>
      </c>
      <c r="D27" s="130">
        <f>ATB_Total!D27/ATB_per_capita!$I27*1000</f>
        <v>2578.6244191469668</v>
      </c>
      <c r="E27" s="130">
        <f>ATB_Total!E27/ATB_per_capita!$I27*1000</f>
        <v>2412.8507220138458</v>
      </c>
      <c r="F27" s="130">
        <f>ATB_Total!F27/ATB_per_capita!$I27*1000</f>
        <v>8404.2975277195292</v>
      </c>
      <c r="G27" s="130">
        <f>ATB_Total!G27/ATB_per_capita!$I27*1000</f>
        <v>222.66011930598884</v>
      </c>
      <c r="H27" s="145">
        <f>ATB_Total!H27/ATB_per_capita!$I27*1000</f>
        <v>32412.54035858015</v>
      </c>
      <c r="I27" s="146">
        <v>346461.5</v>
      </c>
      <c r="J27" s="138"/>
    </row>
    <row r="28" spans="2:10" x14ac:dyDescent="0.2">
      <c r="B28" s="45" t="s">
        <v>75</v>
      </c>
      <c r="C28" s="127">
        <f>ATB_Total!C28/ATB_per_capita!$I28*1000</f>
        <v>21505.718491466047</v>
      </c>
      <c r="D28" s="127">
        <f>ATB_Total!D28/ATB_per_capita!$I28*1000</f>
        <v>1681.0189267967744</v>
      </c>
      <c r="E28" s="127">
        <f>ATB_Total!E28/ATB_per_capita!$I28*1000</f>
        <v>2650.932620110148</v>
      </c>
      <c r="F28" s="127">
        <f>ATB_Total!F28/ATB_per_capita!$I28*1000</f>
        <v>6825.8931152109799</v>
      </c>
      <c r="G28" s="127">
        <f>ATB_Total!G28/ATB_per_capita!$I28*1000</f>
        <v>-107.23629036617574</v>
      </c>
      <c r="H28" s="143">
        <f>ATB_Total!H28/ATB_per_capita!$I28*1000</f>
        <v>32556.326863217768</v>
      </c>
      <c r="I28" s="144">
        <v>751352</v>
      </c>
      <c r="J28" s="138"/>
    </row>
    <row r="29" spans="2:10" x14ac:dyDescent="0.2">
      <c r="B29" s="48" t="s">
        <v>76</v>
      </c>
      <c r="C29" s="130">
        <f>ATB_Total!C29/ATB_per_capita!$I29*1000</f>
        <v>14720.507881752674</v>
      </c>
      <c r="D29" s="130">
        <f>ATB_Total!D29/ATB_per_capita!$I29*1000</f>
        <v>1229.5476396952502</v>
      </c>
      <c r="E29" s="130">
        <f>ATB_Total!E29/ATB_per_capita!$I29*1000</f>
        <v>2046.8935093180764</v>
      </c>
      <c r="F29" s="130">
        <f>ATB_Total!F29/ATB_per_capita!$I29*1000</f>
        <v>4118.9304524720992</v>
      </c>
      <c r="G29" s="130">
        <f>ATB_Total!G29/ATB_per_capita!$I29*1000</f>
        <v>314.36859429289365</v>
      </c>
      <c r="H29" s="145">
        <f>ATB_Total!H29/ATB_per_capita!$I29*1000</f>
        <v>22430.248077530989</v>
      </c>
      <c r="I29" s="146">
        <v>332794</v>
      </c>
      <c r="J29" s="138"/>
    </row>
    <row r="30" spans="2:10" x14ac:dyDescent="0.2">
      <c r="B30" s="45" t="s">
        <v>77</v>
      </c>
      <c r="C30" s="127">
        <f>ATB_Total!C30/ATB_per_capita!$I30*1000</f>
        <v>15700.096615628005</v>
      </c>
      <c r="D30" s="127">
        <f>ATB_Total!D30/ATB_per_capita!$I30*1000</f>
        <v>1493.3839643606248</v>
      </c>
      <c r="E30" s="127">
        <f>ATB_Total!E30/ATB_per_capita!$I30*1000</f>
        <v>1461.4592468783546</v>
      </c>
      <c r="F30" s="127">
        <f>ATB_Total!F30/ATB_per_capita!$I30*1000</f>
        <v>15602.857741115318</v>
      </c>
      <c r="G30" s="127">
        <f>ATB_Total!G30/ATB_per_capita!$I30*1000</f>
        <v>529.31100536085069</v>
      </c>
      <c r="H30" s="143">
        <f>ATB_Total!H30/ATB_per_capita!$I30*1000</f>
        <v>34787.108573343154</v>
      </c>
      <c r="I30" s="144">
        <v>176990</v>
      </c>
      <c r="J30" s="138"/>
    </row>
    <row r="31" spans="2:10" x14ac:dyDescent="0.2">
      <c r="B31" s="48" t="s">
        <v>78</v>
      </c>
      <c r="C31" s="130">
        <f>ATB_Total!C31/ATB_per_capita!$I31*1000</f>
        <v>25605.617831628962</v>
      </c>
      <c r="D31" s="130">
        <f>ATB_Total!D31/ATB_per_capita!$I31*1000</f>
        <v>5362.8688246756947</v>
      </c>
      <c r="E31" s="130">
        <f>ATB_Total!E31/ATB_per_capita!$I31*1000</f>
        <v>3366.8629579136259</v>
      </c>
      <c r="F31" s="130">
        <f>ATB_Total!F31/ATB_per_capita!$I31*1000</f>
        <v>12093.649450158802</v>
      </c>
      <c r="G31" s="130">
        <f>ATB_Total!G31/ATB_per_capita!$I31*1000</f>
        <v>318.9552892766232</v>
      </c>
      <c r="H31" s="145">
        <f>ATB_Total!H31/ATB_per_capita!$I31*1000</f>
        <v>46747.954353653709</v>
      </c>
      <c r="I31" s="146">
        <v>469772</v>
      </c>
      <c r="J31" s="138"/>
    </row>
    <row r="32" spans="2:10" x14ac:dyDescent="0.2">
      <c r="B32" s="45" t="s">
        <v>79</v>
      </c>
      <c r="C32" s="127">
        <f>ATB_Total!C32/ATB_per_capita!$I32*1000</f>
        <v>12890.983349479715</v>
      </c>
      <c r="D32" s="127">
        <f>ATB_Total!D32/ATB_per_capita!$I32*1000</f>
        <v>1325.3181867672649</v>
      </c>
      <c r="E32" s="127">
        <f>ATB_Total!E32/ATB_per_capita!$I32*1000</f>
        <v>1394.2323266819535</v>
      </c>
      <c r="F32" s="127">
        <f>ATB_Total!F32/ATB_per_capita!$I32*1000</f>
        <v>5805.8200698360042</v>
      </c>
      <c r="G32" s="127">
        <f>ATB_Total!G32/ATB_per_capita!$I32*1000</f>
        <v>161.17740476297061</v>
      </c>
      <c r="H32" s="143">
        <f>ATB_Total!H32/ATB_per_capita!$I32*1000</f>
        <v>21577.531337527904</v>
      </c>
      <c r="I32" s="144">
        <v>71739.5</v>
      </c>
      <c r="J32" s="138"/>
    </row>
    <row r="33" spans="1:10" x14ac:dyDescent="0.2">
      <c r="A33" s="52"/>
      <c r="B33" s="53" t="s">
        <v>80</v>
      </c>
      <c r="C33" s="54">
        <f>ATB_Total!C33/ATB_per_capita!$I33*1000</f>
        <v>20336.057473953333</v>
      </c>
      <c r="D33" s="54">
        <f>ATB_Total!D33/ATB_per_capita!$I33*1000</f>
        <v>1510.569005505763</v>
      </c>
      <c r="E33" s="54">
        <f>ATB_Total!E33/ATB_per_capita!$I33*1000</f>
        <v>3059.5960425647841</v>
      </c>
      <c r="F33" s="54">
        <f>ATB_Total!F33/ATB_per_capita!$I33*1000</f>
        <v>8013.5929191202667</v>
      </c>
      <c r="G33" s="54">
        <f>ATB_Total!G33/ATB_per_capita!$I33*1000</f>
        <v>-1.8332357471372707</v>
      </c>
      <c r="H33" s="54">
        <f>ATB_Total!H33/ATB_per_capita!$I33*1000</f>
        <v>32917.982205397013</v>
      </c>
      <c r="I33" s="55">
        <f>SUM(I7:I32)</f>
        <v>8173024</v>
      </c>
      <c r="J33" s="138"/>
    </row>
  </sheetData>
  <conditionalFormatting sqref="C7:H32">
    <cfRule type="expression" dxfId="3" priority="1" stopIfTrue="1">
      <formula>ISBLANK(C7)</formula>
    </cfRule>
  </conditionalFormatting>
  <conditionalFormatting sqref="I7:I32">
    <cfRule type="expression" dxfId="2" priority="2" stopIfTrue="1">
      <formula>ISBLANK(I7)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0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16.140625" style="1" customWidth="1"/>
    <col min="2" max="3" width="18.42578125" style="1" customWidth="1"/>
    <col min="4" max="4" width="17.28515625" style="1" customWidth="1"/>
    <col min="5" max="6" width="18.5703125" style="1" customWidth="1"/>
    <col min="7" max="7" width="14" style="1" customWidth="1"/>
    <col min="8" max="8" width="13" style="1" customWidth="1"/>
    <col min="9" max="9" width="15.28515625" style="1" hidden="1" customWidth="1"/>
  </cols>
  <sheetData>
    <row r="1" spans="1:10" ht="26.25" customHeight="1" x14ac:dyDescent="0.2">
      <c r="A1" s="101" t="str">
        <f>"ATB in percent "&amp;Info!C31</f>
        <v>ATB in percent 2013</v>
      </c>
      <c r="B1" s="57"/>
      <c r="C1" s="57"/>
    </row>
    <row r="2" spans="1:10" ht="18.75" customHeight="1" x14ac:dyDescent="0.2">
      <c r="A2" s="147" t="str">
        <f>Info!A4</f>
        <v>Reference year 2018</v>
      </c>
      <c r="H2" s="20" t="str">
        <f>Info!C28</f>
        <v>FA_2018_20170823</v>
      </c>
    </row>
    <row r="3" spans="1:10" s="1" customFormat="1" x14ac:dyDescent="0.2">
      <c r="A3" s="23" t="s">
        <v>29</v>
      </c>
      <c r="B3" s="24" t="s">
        <v>82</v>
      </c>
      <c r="C3" s="24" t="s">
        <v>30</v>
      </c>
      <c r="D3" s="24" t="s">
        <v>31</v>
      </c>
      <c r="E3" s="24" t="s">
        <v>32</v>
      </c>
      <c r="F3" s="24" t="s">
        <v>33</v>
      </c>
      <c r="G3" s="24" t="s">
        <v>34</v>
      </c>
      <c r="H3" s="84" t="s">
        <v>35</v>
      </c>
      <c r="I3" s="7"/>
    </row>
    <row r="4" spans="1:10" ht="52.5" customHeight="1" x14ac:dyDescent="0.2">
      <c r="A4" s="148"/>
      <c r="B4" s="33" t="s">
        <v>47</v>
      </c>
      <c r="C4" s="33" t="s">
        <v>109</v>
      </c>
      <c r="D4" s="33" t="s">
        <v>86</v>
      </c>
      <c r="E4" s="106" t="s">
        <v>89</v>
      </c>
      <c r="F4" s="106" t="s">
        <v>90</v>
      </c>
      <c r="G4" s="33" t="s">
        <v>106</v>
      </c>
      <c r="H4" s="34" t="s">
        <v>112</v>
      </c>
      <c r="I4" s="7"/>
    </row>
    <row r="5" spans="1:10" s="35" customFormat="1" ht="11.25" customHeight="1" x14ac:dyDescent="0.2">
      <c r="A5" s="86" t="s">
        <v>51</v>
      </c>
      <c r="B5" s="38" t="s">
        <v>116</v>
      </c>
      <c r="C5" s="38" t="s">
        <v>116</v>
      </c>
      <c r="D5" s="38" t="s">
        <v>116</v>
      </c>
      <c r="E5" s="38" t="s">
        <v>116</v>
      </c>
      <c r="F5" s="38" t="s">
        <v>116</v>
      </c>
      <c r="G5" s="38" t="s">
        <v>116</v>
      </c>
      <c r="H5" s="39" t="s">
        <v>116</v>
      </c>
      <c r="I5" s="149"/>
    </row>
    <row r="6" spans="1:10" x14ac:dyDescent="0.2">
      <c r="A6" s="41" t="s">
        <v>54</v>
      </c>
      <c r="B6" s="150">
        <f>ATB_Total!C7/ATB_Total!$H7</f>
        <v>0.63729310997654354</v>
      </c>
      <c r="C6" s="150">
        <f>ATB_Total!D7/ATB_Total!$H7</f>
        <v>3.552087672118355E-2</v>
      </c>
      <c r="D6" s="150">
        <f>ATB_Total!E7/ATB_Total!$H7</f>
        <v>0.10256739815741232</v>
      </c>
      <c r="E6" s="150">
        <f>LE!B9/ATB_Total!$H7</f>
        <v>0.22138176908617238</v>
      </c>
      <c r="F6" s="150">
        <f>LE!C9/ATB_Total!$H7</f>
        <v>8.486507568746476E-3</v>
      </c>
      <c r="G6" s="150">
        <f>ATB_Total!G7/ATB_Total!$H7</f>
        <v>-5.2496615100581321E-3</v>
      </c>
      <c r="H6" s="151">
        <f t="shared" ref="H6:H32" si="0">SUM(B6:G6)</f>
        <v>1.0000000000000002</v>
      </c>
      <c r="I6" s="152" t="s">
        <v>54</v>
      </c>
      <c r="J6" s="138"/>
    </row>
    <row r="7" spans="1:10" x14ac:dyDescent="0.2">
      <c r="A7" s="45" t="s">
        <v>55</v>
      </c>
      <c r="B7" s="153">
        <f>ATB_Total!C8/ATB_Total!$H8</f>
        <v>0.63903200907615443</v>
      </c>
      <c r="C7" s="153">
        <f>ATB_Total!D8/ATB_Total!$H8</f>
        <v>2.5889326509120774E-2</v>
      </c>
      <c r="D7" s="153">
        <f>ATB_Total!E8/ATB_Total!$H8</f>
        <v>9.2607032681574886E-2</v>
      </c>
      <c r="E7" s="153">
        <f>LE!B10/ATB_Total!$H8</f>
        <v>0.23850491713779198</v>
      </c>
      <c r="F7" s="153">
        <f>LE!C10/ATB_Total!$H8</f>
        <v>2.6767045866065179E-3</v>
      </c>
      <c r="G7" s="153">
        <f>ATB_Total!G8/ATB_Total!$H8</f>
        <v>1.2900100087513495E-3</v>
      </c>
      <c r="H7" s="154">
        <f t="shared" si="0"/>
        <v>1</v>
      </c>
      <c r="I7" s="155" t="s">
        <v>55</v>
      </c>
      <c r="J7" s="138"/>
    </row>
    <row r="8" spans="1:10" x14ac:dyDescent="0.2">
      <c r="A8" s="48" t="s">
        <v>56</v>
      </c>
      <c r="B8" s="156">
        <f>ATB_Total!C9/ATB_Total!$H9</f>
        <v>0.5981308875421133</v>
      </c>
      <c r="C8" s="156">
        <f>ATB_Total!D9/ATB_Total!$H9</f>
        <v>2.2879282039679441E-2</v>
      </c>
      <c r="D8" s="156">
        <f>ATB_Total!E9/ATB_Total!$H9</f>
        <v>9.661577005502725E-2</v>
      </c>
      <c r="E8" s="156">
        <f>LE!B11/ATB_Total!$H9</f>
        <v>0.26741981715938495</v>
      </c>
      <c r="F8" s="156">
        <f>LE!C11/ATB_Total!$H9</f>
        <v>1.0092197625230871E-2</v>
      </c>
      <c r="G8" s="156">
        <f>ATB_Total!G9/ATB_Total!$H9</f>
        <v>4.8620455785640939E-3</v>
      </c>
      <c r="H8" s="157">
        <f t="shared" si="0"/>
        <v>0.99999999999999989</v>
      </c>
      <c r="I8" s="158" t="s">
        <v>56</v>
      </c>
      <c r="J8" s="138"/>
    </row>
    <row r="9" spans="1:10" x14ac:dyDescent="0.2">
      <c r="A9" s="45" t="s">
        <v>57</v>
      </c>
      <c r="B9" s="153">
        <f>ATB_Total!C10/ATB_Total!$H10</f>
        <v>0.58819820445548421</v>
      </c>
      <c r="C9" s="153">
        <f>ATB_Total!D10/ATB_Total!$H10</f>
        <v>3.5673761615680012E-2</v>
      </c>
      <c r="D9" s="153">
        <f>ATB_Total!E10/ATB_Total!$H10</f>
        <v>0.11112554920524287</v>
      </c>
      <c r="E9" s="153">
        <f>LE!B12/ATB_Total!$H10</f>
        <v>0.27431081275060737</v>
      </c>
      <c r="F9" s="153">
        <f>LE!C12/ATB_Total!$H10</f>
        <v>1.0498807575353443E-3</v>
      </c>
      <c r="G9" s="153">
        <f>ATB_Total!G10/ATB_Total!$H10</f>
        <v>-1.0358208784549731E-2</v>
      </c>
      <c r="H9" s="154">
        <f t="shared" si="0"/>
        <v>1.0000000000000002</v>
      </c>
      <c r="I9" s="155" t="s">
        <v>57</v>
      </c>
      <c r="J9" s="138"/>
    </row>
    <row r="10" spans="1:10" x14ac:dyDescent="0.2">
      <c r="A10" s="48" t="s">
        <v>58</v>
      </c>
      <c r="B10" s="156">
        <f>ATB_Total!C11/ATB_Total!$H11</f>
        <v>0.64713448376595228</v>
      </c>
      <c r="C10" s="156">
        <f>ATB_Total!D11/ATB_Total!$H11</f>
        <v>1.670637532657638E-2</v>
      </c>
      <c r="D10" s="156">
        <f>ATB_Total!E11/ATB_Total!$H11</f>
        <v>0.17461788166849218</v>
      </c>
      <c r="E10" s="156">
        <f>LE!B13/ATB_Total!$H11</f>
        <v>0.14992441376687177</v>
      </c>
      <c r="F10" s="156">
        <f>LE!C13/ATB_Total!$H11</f>
        <v>1.3054138115277765E-2</v>
      </c>
      <c r="G10" s="156">
        <f>ATB_Total!G11/ATB_Total!$H11</f>
        <v>-1.4372926431704071E-3</v>
      </c>
      <c r="H10" s="157">
        <f t="shared" si="0"/>
        <v>1</v>
      </c>
      <c r="I10" s="158" t="s">
        <v>58</v>
      </c>
      <c r="J10" s="138"/>
    </row>
    <row r="11" spans="1:10" x14ac:dyDescent="0.2">
      <c r="A11" s="45" t="s">
        <v>59</v>
      </c>
      <c r="B11" s="153">
        <f>ATB_Total!C12/ATB_Total!$H12</f>
        <v>0.64295233405069618</v>
      </c>
      <c r="C11" s="153">
        <f>ATB_Total!D12/ATB_Total!$H12</f>
        <v>2.3946979521550497E-2</v>
      </c>
      <c r="D11" s="153">
        <f>ATB_Total!E12/ATB_Total!$H12</f>
        <v>0.1165988681642815</v>
      </c>
      <c r="E11" s="153">
        <f>LE!B14/ATB_Total!$H12</f>
        <v>0.21556941617935318</v>
      </c>
      <c r="F11" s="153">
        <f>LE!C14/ATB_Total!$H12</f>
        <v>9.5920528948834696E-3</v>
      </c>
      <c r="G11" s="153">
        <f>ATB_Total!G12/ATB_Total!$H12</f>
        <v>-8.6596508107647588E-3</v>
      </c>
      <c r="H11" s="154">
        <f t="shared" si="0"/>
        <v>1</v>
      </c>
      <c r="I11" s="155" t="s">
        <v>59</v>
      </c>
      <c r="J11" s="138"/>
    </row>
    <row r="12" spans="1:10" x14ac:dyDescent="0.2">
      <c r="A12" s="48" t="s">
        <v>60</v>
      </c>
      <c r="B12" s="156">
        <f>ATB_Total!C13/ATB_Total!$H13</f>
        <v>0.56846902636686181</v>
      </c>
      <c r="C12" s="156">
        <f>ATB_Total!D13/ATB_Total!$H13</f>
        <v>1.5165101479146112E-2</v>
      </c>
      <c r="D12" s="156">
        <f>ATB_Total!E13/ATB_Total!$H13</f>
        <v>0.1917936278641022</v>
      </c>
      <c r="E12" s="156">
        <f>LE!B15/ATB_Total!$H13</f>
        <v>0.21699206865079579</v>
      </c>
      <c r="F12" s="156">
        <f>LE!C15/ATB_Total!$H13</f>
        <v>1.3129989537668033E-2</v>
      </c>
      <c r="G12" s="156">
        <f>ATB_Total!G13/ATB_Total!$H13</f>
        <v>-5.5498138985739069E-3</v>
      </c>
      <c r="H12" s="157">
        <f t="shared" si="0"/>
        <v>1</v>
      </c>
      <c r="I12" s="158" t="s">
        <v>60</v>
      </c>
      <c r="J12" s="138"/>
    </row>
    <row r="13" spans="1:10" x14ac:dyDescent="0.2">
      <c r="A13" s="45" t="s">
        <v>61</v>
      </c>
      <c r="B13" s="153">
        <f>ATB_Total!C14/ATB_Total!$H14</f>
        <v>0.61822287989984692</v>
      </c>
      <c r="C13" s="153">
        <f>ATB_Total!D14/ATB_Total!$H14</f>
        <v>4.9073065034929766E-2</v>
      </c>
      <c r="D13" s="153">
        <f>ATB_Total!E14/ATB_Total!$H14</f>
        <v>0.10569513891604065</v>
      </c>
      <c r="E13" s="153">
        <f>LE!B16/ATB_Total!$H14</f>
        <v>0.17610602310241866</v>
      </c>
      <c r="F13" s="153">
        <f>LE!C16/ATB_Total!$H14</f>
        <v>4.8955605583421262E-2</v>
      </c>
      <c r="G13" s="153">
        <f>ATB_Total!G14/ATB_Total!$H14</f>
        <v>1.9472874633427082E-3</v>
      </c>
      <c r="H13" s="154">
        <f t="shared" si="0"/>
        <v>1</v>
      </c>
      <c r="I13" s="155" t="s">
        <v>61</v>
      </c>
      <c r="J13" s="138"/>
    </row>
    <row r="14" spans="1:10" x14ac:dyDescent="0.2">
      <c r="A14" s="48" t="s">
        <v>62</v>
      </c>
      <c r="B14" s="156">
        <f>ATB_Total!C15/ATB_Total!$H15</f>
        <v>0.49465113172592229</v>
      </c>
      <c r="C14" s="156">
        <f>ATB_Total!D15/ATB_Total!$H15</f>
        <v>2.2603537762307325E-2</v>
      </c>
      <c r="D14" s="156">
        <f>ATB_Total!E15/ATB_Total!$H15</f>
        <v>9.0751743909054924E-2</v>
      </c>
      <c r="E14" s="156">
        <f>LE!B17/ATB_Total!$H15</f>
        <v>0.25211395935840297</v>
      </c>
      <c r="F14" s="156">
        <f>LE!C17/ATB_Total!$H15</f>
        <v>0.13958836266162319</v>
      </c>
      <c r="G14" s="156">
        <f>ATB_Total!G15/ATB_Total!$H15</f>
        <v>2.912645826893524E-4</v>
      </c>
      <c r="H14" s="157">
        <f t="shared" si="0"/>
        <v>1</v>
      </c>
      <c r="I14" s="158" t="s">
        <v>62</v>
      </c>
      <c r="J14" s="138"/>
    </row>
    <row r="15" spans="1:10" x14ac:dyDescent="0.2">
      <c r="A15" s="45" t="s">
        <v>63</v>
      </c>
      <c r="B15" s="153">
        <f>ATB_Total!C16/ATB_Total!$H16</f>
        <v>0.63168375019097911</v>
      </c>
      <c r="C15" s="153">
        <f>ATB_Total!D16/ATB_Total!$H16</f>
        <v>3.0617934599962735E-2</v>
      </c>
      <c r="D15" s="153">
        <f>ATB_Total!E16/ATB_Total!$H16</f>
        <v>5.4291675907049849E-2</v>
      </c>
      <c r="E15" s="153">
        <f>LE!B18/ATB_Total!$H16</f>
        <v>0.23877014377665623</v>
      </c>
      <c r="F15" s="153">
        <f>LE!C18/ATB_Total!$H16</f>
        <v>5.3901366531924143E-2</v>
      </c>
      <c r="G15" s="153">
        <f>ATB_Total!G16/ATB_Total!$H16</f>
        <v>-9.2648710065720615E-3</v>
      </c>
      <c r="H15" s="154">
        <f t="shared" si="0"/>
        <v>1</v>
      </c>
      <c r="I15" s="155" t="s">
        <v>63</v>
      </c>
      <c r="J15" s="138"/>
    </row>
    <row r="16" spans="1:10" x14ac:dyDescent="0.2">
      <c r="A16" s="48" t="s">
        <v>64</v>
      </c>
      <c r="B16" s="156">
        <f>ATB_Total!C17/ATB_Total!$H17</f>
        <v>0.72551771114160024</v>
      </c>
      <c r="C16" s="156">
        <f>ATB_Total!D17/ATB_Total!$H17</f>
        <v>2.5322827398653772E-2</v>
      </c>
      <c r="D16" s="156">
        <f>ATB_Total!E17/ATB_Total!$H17</f>
        <v>5.7429089660316811E-2</v>
      </c>
      <c r="E16" s="156">
        <f>LE!B19/ATB_Total!$H17</f>
        <v>0.20254735879037278</v>
      </c>
      <c r="F16" s="156">
        <f>LE!C19/ATB_Total!$H17</f>
        <v>1.6206389298522156E-3</v>
      </c>
      <c r="G16" s="156">
        <f>ATB_Total!G17/ATB_Total!$H17</f>
        <v>-1.2437625920795977E-2</v>
      </c>
      <c r="H16" s="157">
        <f t="shared" si="0"/>
        <v>0.99999999999999989</v>
      </c>
      <c r="I16" s="158" t="s">
        <v>64</v>
      </c>
      <c r="J16" s="138"/>
    </row>
    <row r="17" spans="1:10" x14ac:dyDescent="0.2">
      <c r="A17" s="45" t="s">
        <v>65</v>
      </c>
      <c r="B17" s="153">
        <f>ATB_Total!C18/ATB_Total!$H18</f>
        <v>0.49946549607083407</v>
      </c>
      <c r="C17" s="153">
        <f>ATB_Total!D18/ATB_Total!$H18</f>
        <v>7.5019159191509824E-2</v>
      </c>
      <c r="D17" s="153">
        <f>ATB_Total!E18/ATB_Total!$H18</f>
        <v>8.6232978618950795E-2</v>
      </c>
      <c r="E17" s="153">
        <f>LE!B20/ATB_Total!$H18</f>
        <v>0.16866471700966609</v>
      </c>
      <c r="F17" s="153">
        <f>LE!C20/ATB_Total!$H18</f>
        <v>0.17163481860466237</v>
      </c>
      <c r="G17" s="153">
        <f>ATB_Total!G18/ATB_Total!$H18</f>
        <v>-1.0171694956232068E-3</v>
      </c>
      <c r="H17" s="154">
        <f t="shared" si="0"/>
        <v>1.0000000000000002</v>
      </c>
      <c r="I17" s="155" t="s">
        <v>65</v>
      </c>
      <c r="J17" s="138"/>
    </row>
    <row r="18" spans="1:10" x14ac:dyDescent="0.2">
      <c r="A18" s="48" t="s">
        <v>66</v>
      </c>
      <c r="B18" s="156">
        <f>ATB_Total!C19/ATB_Total!$H19</f>
        <v>0.73143595943606221</v>
      </c>
      <c r="C18" s="156">
        <f>ATB_Total!D19/ATB_Total!$H19</f>
        <v>4.2790895293035827E-2</v>
      </c>
      <c r="D18" s="156">
        <f>ATB_Total!E19/ATB_Total!$H19</f>
        <v>6.8607462104793446E-2</v>
      </c>
      <c r="E18" s="156">
        <f>LE!B21/ATB_Total!$H19</f>
        <v>0.14157323181362477</v>
      </c>
      <c r="F18" s="156">
        <f>LE!C21/ATB_Total!$H19</f>
        <v>1.8688357428501175E-2</v>
      </c>
      <c r="G18" s="156">
        <f>ATB_Total!G19/ATB_Total!$H19</f>
        <v>-3.0959060760176204E-3</v>
      </c>
      <c r="H18" s="157">
        <f t="shared" si="0"/>
        <v>0.99999999999999978</v>
      </c>
      <c r="I18" s="158" t="s">
        <v>66</v>
      </c>
      <c r="J18" s="138"/>
    </row>
    <row r="19" spans="1:10" x14ac:dyDescent="0.2">
      <c r="A19" s="45" t="s">
        <v>67</v>
      </c>
      <c r="B19" s="153">
        <f>ATB_Total!C20/ATB_Total!$H20</f>
        <v>0.54860408119757642</v>
      </c>
      <c r="C19" s="153">
        <f>ATB_Total!D20/ATB_Total!$H20</f>
        <v>6.7063123365003988E-2</v>
      </c>
      <c r="D19" s="153">
        <f>ATB_Total!E20/ATB_Total!$H20</f>
        <v>7.8377500167484876E-2</v>
      </c>
      <c r="E19" s="153">
        <f>LE!B22/ATB_Total!$H20</f>
        <v>0.14956562172238319</v>
      </c>
      <c r="F19" s="153">
        <f>LE!C22/ATB_Total!$H20</f>
        <v>0.15325962134414531</v>
      </c>
      <c r="G19" s="153">
        <f>ATB_Total!G20/ATB_Total!$H20</f>
        <v>3.1300522034061981E-3</v>
      </c>
      <c r="H19" s="154">
        <f t="shared" si="0"/>
        <v>1</v>
      </c>
      <c r="I19" s="155" t="s">
        <v>67</v>
      </c>
      <c r="J19" s="138"/>
    </row>
    <row r="20" spans="1:10" x14ac:dyDescent="0.2">
      <c r="A20" s="48" t="s">
        <v>68</v>
      </c>
      <c r="B20" s="156">
        <f>ATB_Total!C21/ATB_Total!$H21</f>
        <v>0.61850741861514169</v>
      </c>
      <c r="C20" s="156">
        <f>ATB_Total!D21/ATB_Total!$H21</f>
        <v>2.5456483606144786E-2</v>
      </c>
      <c r="D20" s="156">
        <f>ATB_Total!E21/ATB_Total!$H21</f>
        <v>0.13199835146521019</v>
      </c>
      <c r="E20" s="156">
        <f>LE!B23/ATB_Total!$H21</f>
        <v>0.22137365645065099</v>
      </c>
      <c r="F20" s="156">
        <f>LE!C23/ATB_Total!$H21</f>
        <v>7.723920162300898E-3</v>
      </c>
      <c r="G20" s="156">
        <f>ATB_Total!G21/ATB_Total!$H21</f>
        <v>-5.0598302994485055E-3</v>
      </c>
      <c r="H20" s="157">
        <f t="shared" si="0"/>
        <v>1.0000000000000002</v>
      </c>
      <c r="I20" s="158" t="s">
        <v>68</v>
      </c>
      <c r="J20" s="138"/>
    </row>
    <row r="21" spans="1:10" x14ac:dyDescent="0.2">
      <c r="A21" s="45" t="s">
        <v>69</v>
      </c>
      <c r="B21" s="153">
        <f>ATB_Total!C22/ATB_Total!$H22</f>
        <v>0.64255144530565533</v>
      </c>
      <c r="C21" s="153">
        <f>ATB_Total!D22/ATB_Total!$H22</f>
        <v>2.0280646642038325E-2</v>
      </c>
      <c r="D21" s="153">
        <f>ATB_Total!E22/ATB_Total!$H22</f>
        <v>0.14711725231389852</v>
      </c>
      <c r="E21" s="153">
        <f>LE!B24/ATB_Total!$H22</f>
        <v>0.18475372910594082</v>
      </c>
      <c r="F21" s="153">
        <f>LE!C24/ATB_Total!$H22</f>
        <v>5.9196407474481757E-3</v>
      </c>
      <c r="G21" s="153">
        <f>ATB_Total!G22/ATB_Total!$H22</f>
        <v>-6.2271411498127365E-4</v>
      </c>
      <c r="H21" s="154">
        <f t="shared" si="0"/>
        <v>0.99999999999999978</v>
      </c>
      <c r="I21" s="155" t="s">
        <v>69</v>
      </c>
      <c r="J21" s="138"/>
    </row>
    <row r="22" spans="1:10" x14ac:dyDescent="0.2">
      <c r="A22" s="48" t="s">
        <v>70</v>
      </c>
      <c r="B22" s="156">
        <f>ATB_Total!C23/ATB_Total!$H23</f>
        <v>0.60035236977454531</v>
      </c>
      <c r="C22" s="156">
        <f>ATB_Total!D23/ATB_Total!$H23</f>
        <v>4.0605139407342672E-2</v>
      </c>
      <c r="D22" s="156">
        <f>ATB_Total!E23/ATB_Total!$H23</f>
        <v>0.11026567337889132</v>
      </c>
      <c r="E22" s="156">
        <f>LE!B25/ATB_Total!$H23</f>
        <v>0.23186080387113892</v>
      </c>
      <c r="F22" s="156">
        <f>LE!C25/ATB_Total!$H23</f>
        <v>1.8969868622376589E-2</v>
      </c>
      <c r="G22" s="156">
        <f>ATB_Total!G23/ATB_Total!$H23</f>
        <v>-2.0538550542949755E-3</v>
      </c>
      <c r="H22" s="157">
        <f t="shared" si="0"/>
        <v>0.99999999999999978</v>
      </c>
      <c r="I22" s="158" t="s">
        <v>70</v>
      </c>
      <c r="J22" s="138"/>
    </row>
    <row r="23" spans="1:10" x14ac:dyDescent="0.2">
      <c r="A23" s="45" t="s">
        <v>71</v>
      </c>
      <c r="B23" s="153">
        <f>ATB_Total!C24/ATB_Total!$H24</f>
        <v>0.60107293127540939</v>
      </c>
      <c r="C23" s="153">
        <f>ATB_Total!D24/ATB_Total!$H24</f>
        <v>7.0180625264689878E-2</v>
      </c>
      <c r="D23" s="153">
        <f>ATB_Total!E24/ATB_Total!$H24</f>
        <v>0.14908388614645887</v>
      </c>
      <c r="E23" s="153">
        <f>LE!B26/ATB_Total!$H24</f>
        <v>0.16074743811494951</v>
      </c>
      <c r="F23" s="153">
        <f>LE!C26/ATB_Total!$H24</f>
        <v>4.3120801102886058E-3</v>
      </c>
      <c r="G23" s="153">
        <f>ATB_Total!G24/ATB_Total!$H24</f>
        <v>1.4603039088203727E-2</v>
      </c>
      <c r="H23" s="154">
        <f t="shared" si="0"/>
        <v>0.99999999999999989</v>
      </c>
      <c r="I23" s="155" t="s">
        <v>71</v>
      </c>
      <c r="J23" s="138"/>
    </row>
    <row r="24" spans="1:10" x14ac:dyDescent="0.2">
      <c r="A24" s="48" t="s">
        <v>72</v>
      </c>
      <c r="B24" s="156">
        <f>ATB_Total!C25/ATB_Total!$H25</f>
        <v>0.66670955822077826</v>
      </c>
      <c r="C24" s="156">
        <f>ATB_Total!D25/ATB_Total!$H25</f>
        <v>3.3695005287438622E-2</v>
      </c>
      <c r="D24" s="156">
        <f>ATB_Total!E25/ATB_Total!$H25</f>
        <v>8.9939070002292204E-2</v>
      </c>
      <c r="E24" s="156">
        <f>LE!B27/ATB_Total!$H25</f>
        <v>0.20925936772706458</v>
      </c>
      <c r="F24" s="156">
        <f>LE!C27/ATB_Total!$H25</f>
        <v>1.5736907078431621E-3</v>
      </c>
      <c r="G24" s="156">
        <f>ATB_Total!G25/ATB_Total!$H25</f>
        <v>-1.1766919454167747E-3</v>
      </c>
      <c r="H24" s="157">
        <f t="shared" si="0"/>
        <v>1</v>
      </c>
      <c r="I24" s="158" t="s">
        <v>72</v>
      </c>
      <c r="J24" s="138"/>
    </row>
    <row r="25" spans="1:10" x14ac:dyDescent="0.2">
      <c r="A25" s="45" t="s">
        <v>73</v>
      </c>
      <c r="B25" s="153">
        <f>ATB_Total!C26/ATB_Total!$H26</f>
        <v>0.64904843944832569</v>
      </c>
      <c r="C25" s="153">
        <f>ATB_Total!D26/ATB_Total!$H26</f>
        <v>4.0227730304346274E-2</v>
      </c>
      <c r="D25" s="153">
        <f>ATB_Total!E26/ATB_Total!$H26</f>
        <v>0.10599797855178376</v>
      </c>
      <c r="E25" s="153">
        <f>LE!B28/ATB_Total!$H26</f>
        <v>0.19807722416245774</v>
      </c>
      <c r="F25" s="153">
        <f>LE!C28/ATB_Total!$H26</f>
        <v>2.8502921497508089E-3</v>
      </c>
      <c r="G25" s="153">
        <f>ATB_Total!G26/ATB_Total!$H26</f>
        <v>3.7983353833357506E-3</v>
      </c>
      <c r="H25" s="154">
        <f t="shared" si="0"/>
        <v>1</v>
      </c>
      <c r="I25" s="155" t="s">
        <v>73</v>
      </c>
      <c r="J25" s="138"/>
    </row>
    <row r="26" spans="1:10" x14ac:dyDescent="0.2">
      <c r="A26" s="48" t="s">
        <v>74</v>
      </c>
      <c r="B26" s="156">
        <f>ATB_Total!C27/ATB_Total!$H27</f>
        <v>0.57984062225529021</v>
      </c>
      <c r="C26" s="156">
        <f>ATB_Total!D27/ATB_Total!$H27</f>
        <v>7.9556381283898997E-2</v>
      </c>
      <c r="D26" s="156">
        <f>ATB_Total!E27/ATB_Total!$H27</f>
        <v>7.4441888704818007E-2</v>
      </c>
      <c r="E26" s="156">
        <f>LE!B29/ATB_Total!$H27</f>
        <v>0.23724807682883475</v>
      </c>
      <c r="F26" s="156">
        <f>LE!C29/ATB_Total!$H27</f>
        <v>2.2043463875557112E-2</v>
      </c>
      <c r="G26" s="156">
        <f>ATB_Total!G27/ATB_Total!$H27</f>
        <v>6.8695670516009675E-3</v>
      </c>
      <c r="H26" s="157">
        <f t="shared" si="0"/>
        <v>1</v>
      </c>
      <c r="I26" s="158" t="s">
        <v>74</v>
      </c>
      <c r="J26" s="138"/>
    </row>
    <row r="27" spans="1:10" x14ac:dyDescent="0.2">
      <c r="A27" s="45" t="s">
        <v>75</v>
      </c>
      <c r="B27" s="153">
        <f>ATB_Total!C28/ATB_Total!$H28</f>
        <v>0.66056955939225648</v>
      </c>
      <c r="C27" s="153">
        <f>ATB_Total!D28/ATB_Total!$H28</f>
        <v>5.1634170336826116E-2</v>
      </c>
      <c r="D27" s="153">
        <f>ATB_Total!E28/ATB_Total!$H28</f>
        <v>8.1426035291013707E-2</v>
      </c>
      <c r="E27" s="153">
        <f>LE!B30/ATB_Total!$H28</f>
        <v>0.13832018546875596</v>
      </c>
      <c r="F27" s="153">
        <f>LE!C30/ATB_Total!$H28</f>
        <v>7.13439189582976E-2</v>
      </c>
      <c r="G27" s="153">
        <f>ATB_Total!G28/ATB_Total!$H28</f>
        <v>-3.2938694471498133E-3</v>
      </c>
      <c r="H27" s="154">
        <f t="shared" si="0"/>
        <v>1</v>
      </c>
      <c r="I27" s="155" t="s">
        <v>75</v>
      </c>
      <c r="J27" s="138"/>
    </row>
    <row r="28" spans="1:10" x14ac:dyDescent="0.2">
      <c r="A28" s="48" t="s">
        <v>76</v>
      </c>
      <c r="B28" s="156">
        <f>ATB_Total!C29/ATB_Total!$H29</f>
        <v>0.6562793167008536</v>
      </c>
      <c r="C28" s="156">
        <f>ATB_Total!D29/ATB_Total!$H29</f>
        <v>5.4816497590453414E-2</v>
      </c>
      <c r="D28" s="156">
        <f>ATB_Total!E29/ATB_Total!$H29</f>
        <v>9.1255946088643888E-2</v>
      </c>
      <c r="E28" s="156">
        <f>LE!B31/ATB_Total!$H29</f>
        <v>0.18218764972272972</v>
      </c>
      <c r="F28" s="156">
        <f>LE!C31/ATB_Total!$H29</f>
        <v>1.445203477772684E-3</v>
      </c>
      <c r="G28" s="156">
        <f>ATB_Total!G29/ATB_Total!$H29</f>
        <v>1.4015386419546805E-2</v>
      </c>
      <c r="H28" s="157">
        <f t="shared" si="0"/>
        <v>1</v>
      </c>
      <c r="I28" s="158" t="s">
        <v>76</v>
      </c>
      <c r="J28" s="138"/>
    </row>
    <row r="29" spans="1:10" x14ac:dyDescent="0.2">
      <c r="A29" s="45" t="s">
        <v>77</v>
      </c>
      <c r="B29" s="153">
        <f>ATB_Total!C30/ATB_Total!$H30</f>
        <v>0.45131938984025699</v>
      </c>
      <c r="C29" s="153">
        <f>ATB_Total!D30/ATB_Total!$H30</f>
        <v>4.2929235156525282E-2</v>
      </c>
      <c r="D29" s="153">
        <f>ATB_Total!E30/ATB_Total!$H30</f>
        <v>4.2011518255307065E-2</v>
      </c>
      <c r="E29" s="153">
        <f>LE!B32/ATB_Total!$H30</f>
        <v>0.15232902665334308</v>
      </c>
      <c r="F29" s="153">
        <f>LE!C32/ATB_Total!$H30</f>
        <v>0.29619510717109199</v>
      </c>
      <c r="G29" s="153">
        <f>ATB_Total!G30/ATB_Total!$H30</f>
        <v>1.5215722923475566E-2</v>
      </c>
      <c r="H29" s="154">
        <f t="shared" si="0"/>
        <v>1</v>
      </c>
      <c r="I29" s="155" t="s">
        <v>77</v>
      </c>
      <c r="J29" s="138"/>
    </row>
    <row r="30" spans="1:10" x14ac:dyDescent="0.2">
      <c r="A30" s="48" t="s">
        <v>78</v>
      </c>
      <c r="B30" s="156">
        <f>ATB_Total!C31/ATB_Total!$H31</f>
        <v>0.54773771784577963</v>
      </c>
      <c r="C30" s="156">
        <f>ATB_Total!D31/ATB_Total!$H31</f>
        <v>0.11471879141715952</v>
      </c>
      <c r="D30" s="156">
        <f>ATB_Total!E31/ATB_Total!$H31</f>
        <v>7.2021610452575449E-2</v>
      </c>
      <c r="E30" s="156">
        <f>LE!B33/ATB_Total!$H31</f>
        <v>0.20714628454710646</v>
      </c>
      <c r="F30" s="156">
        <f>LE!C33/ATB_Total!$H31</f>
        <v>5.1552724155369323E-2</v>
      </c>
      <c r="G30" s="156">
        <f>ATB_Total!G31/ATB_Total!$H31</f>
        <v>6.8228715820095433E-3</v>
      </c>
      <c r="H30" s="157">
        <f t="shared" si="0"/>
        <v>1</v>
      </c>
      <c r="I30" s="158" t="s">
        <v>78</v>
      </c>
      <c r="J30" s="138"/>
    </row>
    <row r="31" spans="1:10" x14ac:dyDescent="0.2">
      <c r="A31" s="45" t="s">
        <v>79</v>
      </c>
      <c r="B31" s="153">
        <f>ATB_Total!C32/ATB_Total!$H32</f>
        <v>0.59742623694210839</v>
      </c>
      <c r="C31" s="153">
        <f>ATB_Total!D32/ATB_Total!$H32</f>
        <v>6.1421214782909642E-2</v>
      </c>
      <c r="D31" s="153">
        <f>ATB_Total!E32/ATB_Total!$H32</f>
        <v>6.4615006456141141E-2</v>
      </c>
      <c r="E31" s="153">
        <f>LE!B34/ATB_Total!$H32</f>
        <v>0.26545056230268504</v>
      </c>
      <c r="F31" s="153">
        <f>LE!C34/ATB_Total!$H32</f>
        <v>3.6172925421577066E-3</v>
      </c>
      <c r="G31" s="153">
        <f>ATB_Total!G32/ATB_Total!$H32</f>
        <v>7.4696869739982212E-3</v>
      </c>
      <c r="H31" s="154">
        <f t="shared" si="0"/>
        <v>1.0000000000000002</v>
      </c>
      <c r="I31" s="159" t="s">
        <v>79</v>
      </c>
      <c r="J31" s="138"/>
    </row>
    <row r="32" spans="1:10" x14ac:dyDescent="0.2">
      <c r="A32" s="53" t="s">
        <v>80</v>
      </c>
      <c r="B32" s="160">
        <f>ATB_Total!C33/ATB_Total!$H33</f>
        <v>0.61777958767530916</v>
      </c>
      <c r="C32" s="160">
        <f>ATB_Total!D33/ATB_Total!$H33</f>
        <v>4.5888869982380037E-2</v>
      </c>
      <c r="D32" s="160">
        <f>ATB_Total!E33/ATB_Total!$H33</f>
        <v>9.2946038535228107E-2</v>
      </c>
      <c r="E32" s="160">
        <f>LE!B35/ATB_Total!$H33</f>
        <v>0.20602852454879966</v>
      </c>
      <c r="F32" s="160">
        <f>LE!C35/ATB_Total!$H33</f>
        <v>3.7412670270438438E-2</v>
      </c>
      <c r="G32" s="160">
        <f>ATB_Total!G33/ATB_Total!$H33</f>
        <v>-5.5691012155559931E-5</v>
      </c>
      <c r="H32" s="161">
        <f t="shared" si="0"/>
        <v>0.99999999999999989</v>
      </c>
      <c r="I32" s="162" t="s">
        <v>80</v>
      </c>
      <c r="J32" s="138"/>
    </row>
    <row r="33" spans="1:7" x14ac:dyDescent="0.2">
      <c r="A33" s="163"/>
    </row>
    <row r="34" spans="1:7" x14ac:dyDescent="0.2">
      <c r="A34" s="174" t="s">
        <v>117</v>
      </c>
      <c r="B34" s="164">
        <f t="shared" ref="B34:G34" si="1">MIN(B6:B32)</f>
        <v>0.45131938984025699</v>
      </c>
      <c r="C34" s="164">
        <f t="shared" si="1"/>
        <v>1.5165101479146112E-2</v>
      </c>
      <c r="D34" s="164">
        <f t="shared" si="1"/>
        <v>4.2011518255307065E-2</v>
      </c>
      <c r="E34" s="164">
        <f t="shared" si="1"/>
        <v>0.13832018546875596</v>
      </c>
      <c r="F34" s="164">
        <f t="shared" si="1"/>
        <v>1.0498807575353443E-3</v>
      </c>
      <c r="G34" s="165">
        <f t="shared" si="1"/>
        <v>-1.2437625920795977E-2</v>
      </c>
    </row>
    <row r="35" spans="1:7" x14ac:dyDescent="0.2">
      <c r="A35" s="175"/>
      <c r="B35" s="166" t="str">
        <f>VLOOKUP(B34,B$6:$I$32,B$36,FALSE)</f>
        <v>Neuchâtel</v>
      </c>
      <c r="C35" s="166" t="str">
        <f>VLOOKUP(C34,C$6:$I$32,C$36,FALSE)</f>
        <v>Nidwalden</v>
      </c>
      <c r="D35" s="166" t="str">
        <f>VLOOKUP(D34,D$6:$I$32,D$36,FALSE)</f>
        <v>Neuchâtel</v>
      </c>
      <c r="E35" s="166" t="str">
        <f>VLOOKUP(E34,E$6:$I$32,E$36,FALSE)</f>
        <v>Vaud</v>
      </c>
      <c r="F35" s="166" t="str">
        <f>VLOOKUP(F34,F$6:$I$32,F$36,FALSE)</f>
        <v>Uri</v>
      </c>
      <c r="G35" s="167" t="str">
        <f>VLOOKUP(G34,G$6:$I$32,G$36,FALSE)</f>
        <v>Solothurn</v>
      </c>
    </row>
    <row r="36" spans="1:7" ht="3.75" customHeight="1" x14ac:dyDescent="0.2">
      <c r="A36" s="168"/>
      <c r="B36" s="169">
        <v>8</v>
      </c>
      <c r="C36" s="169">
        <v>7</v>
      </c>
      <c r="D36" s="169">
        <v>6</v>
      </c>
      <c r="E36" s="169">
        <v>5</v>
      </c>
      <c r="F36" s="169">
        <v>4</v>
      </c>
      <c r="G36" s="169">
        <v>3</v>
      </c>
    </row>
    <row r="37" spans="1:7" x14ac:dyDescent="0.2">
      <c r="A37" s="174" t="s">
        <v>118</v>
      </c>
      <c r="B37" s="164">
        <f t="shared" ref="B37:G37" si="2">MAX(B6:B31)</f>
        <v>0.73143595943606221</v>
      </c>
      <c r="C37" s="164">
        <f t="shared" si="2"/>
        <v>0.11471879141715952</v>
      </c>
      <c r="D37" s="164">
        <f t="shared" si="2"/>
        <v>0.1917936278641022</v>
      </c>
      <c r="E37" s="164">
        <f t="shared" si="2"/>
        <v>0.27431081275060737</v>
      </c>
      <c r="F37" s="164">
        <f t="shared" si="2"/>
        <v>0.29619510717109199</v>
      </c>
      <c r="G37" s="165">
        <f t="shared" si="2"/>
        <v>1.5215722923475566E-2</v>
      </c>
    </row>
    <row r="38" spans="1:7" x14ac:dyDescent="0.2">
      <c r="A38" s="175"/>
      <c r="B38" s="166" t="str">
        <f>VLOOKUP(B37,B$6:$I$32,B$36,FALSE)</f>
        <v>Basel-Landschaft</v>
      </c>
      <c r="C38" s="166" t="str">
        <f>VLOOKUP(C37,C$6:$I$32,C$36,FALSE)</f>
        <v>Geneva</v>
      </c>
      <c r="D38" s="166" t="str">
        <f>VLOOKUP(D37,D$6:$I$32,D$36,FALSE)</f>
        <v>Nidwalden</v>
      </c>
      <c r="E38" s="166" t="str">
        <f>VLOOKUP(E37,E$6:$I$32,E$36,FALSE)</f>
        <v>Uri</v>
      </c>
      <c r="F38" s="166" t="str">
        <f>VLOOKUP(F37,F$6:$I$32,F$36,FALSE)</f>
        <v>Neuchâtel</v>
      </c>
      <c r="G38" s="167" t="str">
        <f>VLOOKUP(G37,G$6:$I$32,G$36,FALSE)</f>
        <v>Neuchâtel</v>
      </c>
    </row>
    <row r="40" spans="1:7" x14ac:dyDescent="0.2">
      <c r="G40" s="170"/>
    </row>
  </sheetData>
  <mergeCells count="2">
    <mergeCell ref="A34:A35"/>
    <mergeCell ref="A37:A38"/>
  </mergeCells>
  <conditionalFormatting sqref="C6:I28 C3:H3">
    <cfRule type="expression" dxfId="1" priority="1" stopIfTrue="1">
      <formula>ISBLANK(C3)</formula>
    </cfRule>
  </conditionalFormatting>
  <conditionalFormatting sqref="E4:F4">
    <cfRule type="expression" dxfId="0" priority="2" stopIfTrue="1">
      <formula>ISBLANK(A1073741823)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PI</vt:lpstr>
      <vt:lpstr>ITS</vt:lpstr>
      <vt:lpstr>Wealth</vt:lpstr>
      <vt:lpstr>LE</vt:lpstr>
      <vt:lpstr>REPART</vt:lpstr>
      <vt:lpstr>ATB_Total</vt:lpstr>
      <vt:lpstr>ATB_per_capita</vt:lpstr>
      <vt:lpstr>ATB_in_percent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2015-02-03T10:18:04Z</cp:lastPrinted>
  <dcterms:created xsi:type="dcterms:W3CDTF">2010-11-03T16:06:04Z</dcterms:created>
  <dcterms:modified xsi:type="dcterms:W3CDTF">2017-11-03T14:13:46Z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ATB_2018_2013.xlsx</vt:lpwstr>
  </property>
</Properties>
</file>