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30"/>
  </bookViews>
  <sheets>
    <sheet name="Info" sheetId="1" r:id="rId1"/>
    <sheet name="PI" sheetId="2" r:id="rId2"/>
    <sheet name="ITS" sheetId="3" r:id="rId3"/>
    <sheet name="Wealth" sheetId="4" r:id="rId4"/>
    <sheet name="LE" sheetId="5" r:id="rId5"/>
    <sheet name="REPART" sheetId="6" r:id="rId6"/>
    <sheet name="ATB_Total" sheetId="7" r:id="rId7"/>
    <sheet name="ATB_per_capita" sheetId="8" r:id="rId8"/>
    <sheet name="ATB_in_perc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2" i="9"/>
  <c r="A1" i="9"/>
  <c r="I33" i="8"/>
  <c r="D32" i="8"/>
  <c r="D28" i="8"/>
  <c r="D24" i="8"/>
  <c r="F21" i="8"/>
  <c r="D20" i="8"/>
  <c r="F17" i="8"/>
  <c r="D16" i="8"/>
  <c r="D11" i="8"/>
  <c r="D9" i="8"/>
  <c r="D7" i="8"/>
  <c r="H5" i="8"/>
  <c r="G5" i="8"/>
  <c r="F5" i="8"/>
  <c r="E5" i="8"/>
  <c r="D5" i="8"/>
  <c r="C5" i="8"/>
  <c r="I1" i="8"/>
  <c r="B1" i="8"/>
  <c r="D32" i="7"/>
  <c r="D31" i="7"/>
  <c r="D31" i="8" s="1"/>
  <c r="F30" i="7"/>
  <c r="F30" i="8" s="1"/>
  <c r="D30" i="7"/>
  <c r="D29" i="7"/>
  <c r="C29" i="7"/>
  <c r="D28" i="7"/>
  <c r="D27" i="7"/>
  <c r="D27" i="8" s="1"/>
  <c r="F26" i="7"/>
  <c r="F26" i="8" s="1"/>
  <c r="E26" i="7"/>
  <c r="D26" i="7"/>
  <c r="D26" i="8" s="1"/>
  <c r="D25" i="7"/>
  <c r="C25" i="7"/>
  <c r="E24" i="7"/>
  <c r="D24" i="7"/>
  <c r="D23" i="7"/>
  <c r="D23" i="8" s="1"/>
  <c r="F22" i="7"/>
  <c r="F22" i="8" s="1"/>
  <c r="D22" i="7"/>
  <c r="D21" i="7"/>
  <c r="C21" i="7"/>
  <c r="D20" i="7"/>
  <c r="D19" i="7"/>
  <c r="D19" i="8" s="1"/>
  <c r="F18" i="7"/>
  <c r="F18" i="8" s="1"/>
  <c r="D18" i="7"/>
  <c r="D18" i="8" s="1"/>
  <c r="D17" i="7"/>
  <c r="C17" i="7"/>
  <c r="D16" i="7"/>
  <c r="D15" i="7"/>
  <c r="D15" i="8" s="1"/>
  <c r="F14" i="7"/>
  <c r="F14" i="8" s="1"/>
  <c r="D14" i="7"/>
  <c r="D13" i="7"/>
  <c r="C13" i="7"/>
  <c r="D12" i="7"/>
  <c r="D12" i="8" s="1"/>
  <c r="D11" i="7"/>
  <c r="F10" i="7"/>
  <c r="F10" i="8" s="1"/>
  <c r="E10" i="7"/>
  <c r="D10" i="7"/>
  <c r="D10" i="8" s="1"/>
  <c r="D9" i="7"/>
  <c r="C9" i="7"/>
  <c r="D8" i="7"/>
  <c r="D8" i="8" s="1"/>
  <c r="D7" i="7"/>
  <c r="H5" i="7"/>
  <c r="G5" i="7"/>
  <c r="F5" i="7"/>
  <c r="E5" i="7"/>
  <c r="D5" i="7"/>
  <c r="C5" i="7"/>
  <c r="H1" i="7"/>
  <c r="B1" i="7"/>
  <c r="F33" i="6"/>
  <c r="D33" i="6"/>
  <c r="C33" i="6"/>
  <c r="E32" i="6"/>
  <c r="E31" i="6"/>
  <c r="E30" i="6"/>
  <c r="G29" i="6"/>
  <c r="H29" i="6" s="1"/>
  <c r="E29" i="6"/>
  <c r="E28" i="6"/>
  <c r="E27" i="6"/>
  <c r="E26" i="6"/>
  <c r="G25" i="6"/>
  <c r="H25" i="6" s="1"/>
  <c r="E25" i="6"/>
  <c r="E24" i="6"/>
  <c r="E23" i="6"/>
  <c r="E22" i="6"/>
  <c r="G21" i="6"/>
  <c r="H21" i="6" s="1"/>
  <c r="E21" i="6"/>
  <c r="E20" i="6"/>
  <c r="E19" i="6"/>
  <c r="E18" i="6"/>
  <c r="G17" i="6"/>
  <c r="H17" i="6" s="1"/>
  <c r="E17" i="6"/>
  <c r="E16" i="6"/>
  <c r="E15" i="6"/>
  <c r="E14" i="6"/>
  <c r="G13" i="6"/>
  <c r="H13" i="6" s="1"/>
  <c r="E13" i="6"/>
  <c r="E12" i="6"/>
  <c r="E11" i="6"/>
  <c r="E10" i="6"/>
  <c r="G9" i="6"/>
  <c r="H9" i="6" s="1"/>
  <c r="E9" i="6"/>
  <c r="E8" i="6"/>
  <c r="E7" i="6"/>
  <c r="I1" i="6"/>
  <c r="B1" i="6"/>
  <c r="C35" i="5"/>
  <c r="B35" i="5"/>
  <c r="D34" i="5"/>
  <c r="F32" i="7" s="1"/>
  <c r="F32" i="8" s="1"/>
  <c r="D33" i="5"/>
  <c r="F31" i="7" s="1"/>
  <c r="F31" i="8" s="1"/>
  <c r="D32" i="5"/>
  <c r="D31" i="5"/>
  <c r="F29" i="7" s="1"/>
  <c r="F29" i="8" s="1"/>
  <c r="D30" i="5"/>
  <c r="F28" i="7" s="1"/>
  <c r="F28" i="8" s="1"/>
  <c r="D29" i="5"/>
  <c r="F27" i="7" s="1"/>
  <c r="F27" i="8" s="1"/>
  <c r="D28" i="5"/>
  <c r="D27" i="5"/>
  <c r="F25" i="7" s="1"/>
  <c r="F25" i="8" s="1"/>
  <c r="D26" i="5"/>
  <c r="F24" i="7" s="1"/>
  <c r="F24" i="8" s="1"/>
  <c r="D25" i="5"/>
  <c r="F23" i="7" s="1"/>
  <c r="F23" i="8" s="1"/>
  <c r="D24" i="5"/>
  <c r="D23" i="5"/>
  <c r="F21" i="7" s="1"/>
  <c r="D22" i="5"/>
  <c r="F20" i="7" s="1"/>
  <c r="F20" i="8" s="1"/>
  <c r="D21" i="5"/>
  <c r="F19" i="7" s="1"/>
  <c r="F19" i="8" s="1"/>
  <c r="D20" i="5"/>
  <c r="D19" i="5"/>
  <c r="F17" i="7" s="1"/>
  <c r="D18" i="5"/>
  <c r="F16" i="7" s="1"/>
  <c r="F16" i="8" s="1"/>
  <c r="D17" i="5"/>
  <c r="F15" i="7" s="1"/>
  <c r="F15" i="8" s="1"/>
  <c r="D16" i="5"/>
  <c r="D15" i="5"/>
  <c r="F13" i="7" s="1"/>
  <c r="F13" i="8" s="1"/>
  <c r="D14" i="5"/>
  <c r="F12" i="7" s="1"/>
  <c r="F12" i="8" s="1"/>
  <c r="D13" i="5"/>
  <c r="F11" i="7" s="1"/>
  <c r="F11" i="8" s="1"/>
  <c r="D12" i="5"/>
  <c r="D11" i="5"/>
  <c r="F9" i="7" s="1"/>
  <c r="F9" i="8" s="1"/>
  <c r="D10" i="5"/>
  <c r="F8" i="7" s="1"/>
  <c r="F8" i="8" s="1"/>
  <c r="D9" i="5"/>
  <c r="F7" i="7" s="1"/>
  <c r="D3" i="5"/>
  <c r="A1" i="5"/>
  <c r="B35" i="4"/>
  <c r="C34" i="4"/>
  <c r="D34" i="4" s="1"/>
  <c r="E32" i="7" s="1"/>
  <c r="D33" i="4"/>
  <c r="E31" i="7" s="1"/>
  <c r="C33" i="4"/>
  <c r="C32" i="4"/>
  <c r="D32" i="4" s="1"/>
  <c r="E30" i="7" s="1"/>
  <c r="D31" i="4"/>
  <c r="E29" i="7" s="1"/>
  <c r="C31" i="4"/>
  <c r="C30" i="4"/>
  <c r="D30" i="4" s="1"/>
  <c r="E28" i="7" s="1"/>
  <c r="D29" i="4"/>
  <c r="E27" i="7" s="1"/>
  <c r="C29" i="4"/>
  <c r="C28" i="4"/>
  <c r="D28" i="4" s="1"/>
  <c r="D27" i="4"/>
  <c r="E25" i="7" s="1"/>
  <c r="C27" i="4"/>
  <c r="C26" i="4"/>
  <c r="D26" i="4" s="1"/>
  <c r="D25" i="4"/>
  <c r="E23" i="7" s="1"/>
  <c r="C25" i="4"/>
  <c r="C24" i="4"/>
  <c r="D24" i="4" s="1"/>
  <c r="E22" i="7" s="1"/>
  <c r="D23" i="4"/>
  <c r="E21" i="7" s="1"/>
  <c r="C23" i="4"/>
  <c r="C22" i="4"/>
  <c r="D22" i="4" s="1"/>
  <c r="E20" i="7" s="1"/>
  <c r="D21" i="4"/>
  <c r="E19" i="7" s="1"/>
  <c r="C21" i="4"/>
  <c r="C20" i="4"/>
  <c r="D20" i="4" s="1"/>
  <c r="E18" i="7" s="1"/>
  <c r="D19" i="4"/>
  <c r="E17" i="7" s="1"/>
  <c r="C19" i="4"/>
  <c r="C18" i="4"/>
  <c r="D18" i="4" s="1"/>
  <c r="E16" i="7" s="1"/>
  <c r="D17" i="4"/>
  <c r="E15" i="7" s="1"/>
  <c r="C17" i="4"/>
  <c r="C16" i="4"/>
  <c r="D16" i="4" s="1"/>
  <c r="E14" i="7" s="1"/>
  <c r="D15" i="4"/>
  <c r="E13" i="7" s="1"/>
  <c r="C15" i="4"/>
  <c r="C14" i="4"/>
  <c r="D14" i="4" s="1"/>
  <c r="E12" i="7" s="1"/>
  <c r="D13" i="4"/>
  <c r="E11" i="7" s="1"/>
  <c r="C13" i="4"/>
  <c r="C12" i="4"/>
  <c r="D12" i="4" s="1"/>
  <c r="D11" i="4"/>
  <c r="E9" i="7" s="1"/>
  <c r="C11" i="4"/>
  <c r="C10" i="4"/>
  <c r="D10" i="4" s="1"/>
  <c r="E8" i="7" s="1"/>
  <c r="D9" i="4"/>
  <c r="E7" i="7" s="1"/>
  <c r="C9" i="4"/>
  <c r="D3" i="4"/>
  <c r="A1" i="4"/>
  <c r="C33" i="3"/>
  <c r="C5" i="3"/>
  <c r="C3" i="3"/>
  <c r="B1" i="3"/>
  <c r="I33" i="2"/>
  <c r="H33" i="2"/>
  <c r="G33" i="2"/>
  <c r="F33" i="2"/>
  <c r="E33" i="2"/>
  <c r="D33" i="2"/>
  <c r="C33" i="2"/>
  <c r="J32" i="2"/>
  <c r="C32" i="7" s="1"/>
  <c r="J31" i="2"/>
  <c r="C31" i="7" s="1"/>
  <c r="J30" i="2"/>
  <c r="C30" i="7" s="1"/>
  <c r="J29" i="2"/>
  <c r="J28" i="2"/>
  <c r="C28" i="7" s="1"/>
  <c r="J27" i="2"/>
  <c r="C27" i="7" s="1"/>
  <c r="J26" i="2"/>
  <c r="C26" i="7" s="1"/>
  <c r="J25" i="2"/>
  <c r="J24" i="2"/>
  <c r="C24" i="7" s="1"/>
  <c r="J23" i="2"/>
  <c r="C23" i="7" s="1"/>
  <c r="J22" i="2"/>
  <c r="C22" i="7" s="1"/>
  <c r="J21" i="2"/>
  <c r="J20" i="2"/>
  <c r="C20" i="7" s="1"/>
  <c r="J19" i="2"/>
  <c r="C19" i="7" s="1"/>
  <c r="J18" i="2"/>
  <c r="C18" i="7" s="1"/>
  <c r="J17" i="2"/>
  <c r="J16" i="2"/>
  <c r="C16" i="7" s="1"/>
  <c r="J15" i="2"/>
  <c r="C15" i="7" s="1"/>
  <c r="J14" i="2"/>
  <c r="C14" i="7" s="1"/>
  <c r="J13" i="2"/>
  <c r="J12" i="2"/>
  <c r="C12" i="7" s="1"/>
  <c r="J11" i="2"/>
  <c r="C11" i="7" s="1"/>
  <c r="J10" i="2"/>
  <c r="C10" i="7" s="1"/>
  <c r="J9" i="2"/>
  <c r="J8" i="2"/>
  <c r="C8" i="7" s="1"/>
  <c r="J7" i="2"/>
  <c r="J33" i="2" s="1"/>
  <c r="J1" i="2"/>
  <c r="B1" i="2"/>
  <c r="A4" i="1"/>
  <c r="B2" i="3" s="1"/>
  <c r="A3" i="1"/>
  <c r="E8" i="8" l="1"/>
  <c r="E22" i="8"/>
  <c r="E12" i="8"/>
  <c r="E20" i="8"/>
  <c r="E28" i="8"/>
  <c r="E16" i="8"/>
  <c r="E32" i="8"/>
  <c r="E14" i="8"/>
  <c r="E30" i="8"/>
  <c r="C11" i="8"/>
  <c r="C15" i="8"/>
  <c r="C19" i="8"/>
  <c r="C23" i="8"/>
  <c r="H23" i="7"/>
  <c r="C27" i="8"/>
  <c r="H31" i="7"/>
  <c r="B30" i="9" s="1"/>
  <c r="C31" i="8"/>
  <c r="E18" i="8"/>
  <c r="E11" i="8"/>
  <c r="E19" i="8"/>
  <c r="E27" i="8"/>
  <c r="D35" i="5"/>
  <c r="G7" i="6"/>
  <c r="G11" i="6"/>
  <c r="H11" i="6" s="1"/>
  <c r="G15" i="6"/>
  <c r="H15" i="6" s="1"/>
  <c r="G31" i="6"/>
  <c r="H31" i="6" s="1"/>
  <c r="C13" i="8"/>
  <c r="C12" i="8"/>
  <c r="C20" i="8"/>
  <c r="C28" i="8"/>
  <c r="E9" i="8"/>
  <c r="D35" i="4"/>
  <c r="C7" i="7"/>
  <c r="E10" i="8"/>
  <c r="E33" i="7"/>
  <c r="E7" i="8"/>
  <c r="E15" i="8"/>
  <c r="E23" i="8"/>
  <c r="E31" i="8"/>
  <c r="G8" i="6"/>
  <c r="H8" i="6" s="1"/>
  <c r="G10" i="6"/>
  <c r="H10" i="6" s="1"/>
  <c r="I10" i="6" s="1"/>
  <c r="G10" i="7" s="1"/>
  <c r="G12" i="6"/>
  <c r="H12" i="6" s="1"/>
  <c r="G14" i="6"/>
  <c r="H14" i="6" s="1"/>
  <c r="I14" i="6" s="1"/>
  <c r="G14" i="7" s="1"/>
  <c r="G16" i="6"/>
  <c r="H16" i="6" s="1"/>
  <c r="G18" i="6"/>
  <c r="H18" i="6" s="1"/>
  <c r="G20" i="6"/>
  <c r="H20" i="6" s="1"/>
  <c r="G22" i="6"/>
  <c r="H22" i="6" s="1"/>
  <c r="I22" i="6" s="1"/>
  <c r="G22" i="7" s="1"/>
  <c r="G24" i="6"/>
  <c r="H24" i="6" s="1"/>
  <c r="G26" i="6"/>
  <c r="H26" i="6" s="1"/>
  <c r="I26" i="6" s="1"/>
  <c r="G26" i="7" s="1"/>
  <c r="G28" i="6"/>
  <c r="H28" i="6" s="1"/>
  <c r="I28" i="6" s="1"/>
  <c r="G28" i="7" s="1"/>
  <c r="G30" i="6"/>
  <c r="H30" i="6" s="1"/>
  <c r="I30" i="6" s="1"/>
  <c r="G30" i="7" s="1"/>
  <c r="G32" i="6"/>
  <c r="H32" i="6" s="1"/>
  <c r="I32" i="6" s="1"/>
  <c r="G32" i="7" s="1"/>
  <c r="D33" i="7"/>
  <c r="C21" i="8"/>
  <c r="F33" i="7"/>
  <c r="F33" i="8" s="1"/>
  <c r="F7" i="8"/>
  <c r="G19" i="6"/>
  <c r="H19" i="6" s="1"/>
  <c r="G23" i="6"/>
  <c r="H23" i="6" s="1"/>
  <c r="G27" i="6"/>
  <c r="H27" i="6" s="1"/>
  <c r="C9" i="8"/>
  <c r="E24" i="8"/>
  <c r="C29" i="8"/>
  <c r="E1" i="8"/>
  <c r="E1" i="2"/>
  <c r="E1" i="6"/>
  <c r="A2" i="5"/>
  <c r="H8" i="7"/>
  <c r="C8" i="8"/>
  <c r="C16" i="8"/>
  <c r="H16" i="7"/>
  <c r="C24" i="8"/>
  <c r="C32" i="8"/>
  <c r="E17" i="8"/>
  <c r="E25" i="8"/>
  <c r="I8" i="6"/>
  <c r="G8" i="7" s="1"/>
  <c r="I12" i="6"/>
  <c r="G12" i="7" s="1"/>
  <c r="I16" i="6"/>
  <c r="G16" i="7" s="1"/>
  <c r="I18" i="6"/>
  <c r="G18" i="7" s="1"/>
  <c r="I20" i="6"/>
  <c r="G20" i="7" s="1"/>
  <c r="I24" i="6"/>
  <c r="G24" i="7" s="1"/>
  <c r="H24" i="7" s="1"/>
  <c r="D1" i="7"/>
  <c r="C8" i="9"/>
  <c r="C25" i="8"/>
  <c r="E26" i="8"/>
  <c r="C10" i="8"/>
  <c r="C14" i="8"/>
  <c r="C18" i="8"/>
  <c r="H18" i="7"/>
  <c r="D17" i="9" s="1"/>
  <c r="C22" i="8"/>
  <c r="C26" i="8"/>
  <c r="C30" i="8"/>
  <c r="A2" i="4"/>
  <c r="E13" i="8"/>
  <c r="E21" i="8"/>
  <c r="E29" i="8"/>
  <c r="E33" i="6"/>
  <c r="I9" i="6"/>
  <c r="G9" i="7" s="1"/>
  <c r="I11" i="6"/>
  <c r="G11" i="7" s="1"/>
  <c r="H11" i="7" s="1"/>
  <c r="I13" i="6"/>
  <c r="G13" i="7" s="1"/>
  <c r="I15" i="6"/>
  <c r="G15" i="7" s="1"/>
  <c r="I17" i="6"/>
  <c r="G17" i="7" s="1"/>
  <c r="I19" i="6"/>
  <c r="G19" i="7" s="1"/>
  <c r="I21" i="6"/>
  <c r="G21" i="7" s="1"/>
  <c r="H21" i="7" s="1"/>
  <c r="I23" i="6"/>
  <c r="G23" i="7" s="1"/>
  <c r="I25" i="6"/>
  <c r="G25" i="7" s="1"/>
  <c r="I27" i="6"/>
  <c r="G27" i="7" s="1"/>
  <c r="I29" i="6"/>
  <c r="G29" i="7" s="1"/>
  <c r="H29" i="7" s="1"/>
  <c r="I31" i="6"/>
  <c r="G31" i="7" s="1"/>
  <c r="H9" i="7"/>
  <c r="C17" i="8"/>
  <c r="H17" i="7"/>
  <c r="D13" i="8"/>
  <c r="C16" i="9"/>
  <c r="D17" i="8"/>
  <c r="D25" i="8"/>
  <c r="D29" i="8"/>
  <c r="D14" i="8"/>
  <c r="D22" i="8"/>
  <c r="D30" i="8"/>
  <c r="D21" i="8"/>
  <c r="C15" i="9"/>
  <c r="G32" i="8" l="1"/>
  <c r="H32" i="7"/>
  <c r="G14" i="8"/>
  <c r="H14" i="7"/>
  <c r="F23" i="9"/>
  <c r="E23" i="9"/>
  <c r="H24" i="8"/>
  <c r="D23" i="9"/>
  <c r="B23" i="9"/>
  <c r="C23" i="9"/>
  <c r="H29" i="8"/>
  <c r="F28" i="9"/>
  <c r="E28" i="9"/>
  <c r="B28" i="9"/>
  <c r="D28" i="9"/>
  <c r="C28" i="9"/>
  <c r="H21" i="8"/>
  <c r="F20" i="9"/>
  <c r="E20" i="9"/>
  <c r="B20" i="9"/>
  <c r="D20" i="9"/>
  <c r="C20" i="9"/>
  <c r="G30" i="8"/>
  <c r="H30" i="7"/>
  <c r="G22" i="8"/>
  <c r="H22" i="7"/>
  <c r="G21" i="9" s="1"/>
  <c r="F10" i="9"/>
  <c r="E10" i="9"/>
  <c r="H11" i="8"/>
  <c r="C10" i="9"/>
  <c r="B10" i="9"/>
  <c r="H10" i="9" s="1"/>
  <c r="D10" i="9"/>
  <c r="G28" i="8"/>
  <c r="H28" i="7"/>
  <c r="G26" i="8"/>
  <c r="H26" i="7"/>
  <c r="G9" i="9"/>
  <c r="G10" i="8"/>
  <c r="H10" i="7"/>
  <c r="G27" i="8"/>
  <c r="G26" i="9"/>
  <c r="G19" i="8"/>
  <c r="G12" i="8"/>
  <c r="F7" i="9"/>
  <c r="E7" i="9"/>
  <c r="H8" i="8"/>
  <c r="E33" i="8"/>
  <c r="C30" i="9"/>
  <c r="H30" i="9" s="1"/>
  <c r="H17" i="8"/>
  <c r="F16" i="9"/>
  <c r="E16" i="9"/>
  <c r="F8" i="9"/>
  <c r="E8" i="9"/>
  <c r="H9" i="8"/>
  <c r="G16" i="9"/>
  <c r="G17" i="8"/>
  <c r="G7" i="9"/>
  <c r="G8" i="8"/>
  <c r="D33" i="8"/>
  <c r="D30" i="9"/>
  <c r="H12" i="7"/>
  <c r="H7" i="6"/>
  <c r="I7" i="6" s="1"/>
  <c r="G33" i="6"/>
  <c r="H33" i="6" s="1"/>
  <c r="F22" i="9"/>
  <c r="E22" i="9"/>
  <c r="H23" i="8"/>
  <c r="C7" i="9"/>
  <c r="C22" i="9"/>
  <c r="B16" i="9"/>
  <c r="H16" i="9" s="1"/>
  <c r="G31" i="8"/>
  <c r="G30" i="9"/>
  <c r="G23" i="8"/>
  <c r="G22" i="9"/>
  <c r="G15" i="8"/>
  <c r="G18" i="8"/>
  <c r="G17" i="9"/>
  <c r="D7" i="9"/>
  <c r="G11" i="8"/>
  <c r="G10" i="9"/>
  <c r="E17" i="9"/>
  <c r="F17" i="9"/>
  <c r="C17" i="9"/>
  <c r="H18" i="8"/>
  <c r="G23" i="9"/>
  <c r="G24" i="8"/>
  <c r="F15" i="9"/>
  <c r="E15" i="9"/>
  <c r="H16" i="8"/>
  <c r="F30" i="9"/>
  <c r="E30" i="9"/>
  <c r="H31" i="8"/>
  <c r="H19" i="7"/>
  <c r="G18" i="9" s="1"/>
  <c r="D15" i="9"/>
  <c r="G25" i="8"/>
  <c r="G8" i="9"/>
  <c r="G9" i="8"/>
  <c r="H25" i="7"/>
  <c r="G19" i="9"/>
  <c r="G20" i="8"/>
  <c r="D16" i="9"/>
  <c r="B15" i="9"/>
  <c r="B7" i="9"/>
  <c r="H7" i="9" s="1"/>
  <c r="C7" i="8"/>
  <c r="C33" i="7"/>
  <c r="D8" i="9"/>
  <c r="H20" i="7"/>
  <c r="B17" i="9"/>
  <c r="G28" i="9"/>
  <c r="G29" i="8"/>
  <c r="G20" i="9"/>
  <c r="G21" i="8"/>
  <c r="G12" i="9"/>
  <c r="G13" i="8"/>
  <c r="G15" i="9"/>
  <c r="G16" i="8"/>
  <c r="B8" i="9"/>
  <c r="D22" i="9"/>
  <c r="H13" i="7"/>
  <c r="H27" i="7"/>
  <c r="B22" i="9"/>
  <c r="H15" i="7"/>
  <c r="F14" i="9" l="1"/>
  <c r="E14" i="9"/>
  <c r="H15" i="8"/>
  <c r="C14" i="9"/>
  <c r="D14" i="9"/>
  <c r="B14" i="9"/>
  <c r="F27" i="9"/>
  <c r="E27" i="9"/>
  <c r="H28" i="8"/>
  <c r="B27" i="9"/>
  <c r="D27" i="9"/>
  <c r="C27" i="9"/>
  <c r="E25" i="9"/>
  <c r="F25" i="9"/>
  <c r="C25" i="9"/>
  <c r="H26" i="8"/>
  <c r="B25" i="9"/>
  <c r="D25" i="9"/>
  <c r="H20" i="9"/>
  <c r="F26" i="9"/>
  <c r="E26" i="9"/>
  <c r="H27" i="8"/>
  <c r="C26" i="9"/>
  <c r="D26" i="9"/>
  <c r="B26" i="9"/>
  <c r="H17" i="9"/>
  <c r="C33" i="8"/>
  <c r="H15" i="9"/>
  <c r="H25" i="8"/>
  <c r="F24" i="9"/>
  <c r="E24" i="9"/>
  <c r="D24" i="9"/>
  <c r="B24" i="9"/>
  <c r="C24" i="9"/>
  <c r="G24" i="9"/>
  <c r="G14" i="9"/>
  <c r="E9" i="9"/>
  <c r="C9" i="9"/>
  <c r="F9" i="9"/>
  <c r="H10" i="8"/>
  <c r="B9" i="9"/>
  <c r="D9" i="9"/>
  <c r="G25" i="9"/>
  <c r="G27" i="9"/>
  <c r="E13" i="9"/>
  <c r="H14" i="8"/>
  <c r="F13" i="9"/>
  <c r="C13" i="9"/>
  <c r="B13" i="9"/>
  <c r="D13" i="9"/>
  <c r="F18" i="9"/>
  <c r="E18" i="9"/>
  <c r="H19" i="8"/>
  <c r="C18" i="9"/>
  <c r="B18" i="9"/>
  <c r="H18" i="9" s="1"/>
  <c r="D18" i="9"/>
  <c r="F11" i="9"/>
  <c r="E11" i="9"/>
  <c r="H12" i="8"/>
  <c r="C11" i="9"/>
  <c r="B11" i="9"/>
  <c r="D11" i="9"/>
  <c r="E29" i="9"/>
  <c r="H30" i="8"/>
  <c r="F29" i="9"/>
  <c r="B29" i="9"/>
  <c r="D29" i="9"/>
  <c r="C29" i="9"/>
  <c r="H22" i="9"/>
  <c r="H8" i="9"/>
  <c r="G11" i="9"/>
  <c r="E21" i="9"/>
  <c r="F21" i="9"/>
  <c r="H22" i="8"/>
  <c r="B21" i="9"/>
  <c r="H21" i="9" s="1"/>
  <c r="C21" i="9"/>
  <c r="D21" i="9"/>
  <c r="G29" i="9"/>
  <c r="H23" i="9"/>
  <c r="F31" i="9"/>
  <c r="E31" i="9"/>
  <c r="H32" i="8"/>
  <c r="B31" i="9"/>
  <c r="H31" i="9" s="1"/>
  <c r="C31" i="9"/>
  <c r="D31" i="9"/>
  <c r="H13" i="8"/>
  <c r="F12" i="9"/>
  <c r="E12" i="9"/>
  <c r="B12" i="9"/>
  <c r="D12" i="9"/>
  <c r="C12" i="9"/>
  <c r="F19" i="9"/>
  <c r="H20" i="8"/>
  <c r="E19" i="9"/>
  <c r="D19" i="9"/>
  <c r="C19" i="9"/>
  <c r="B19" i="9"/>
  <c r="I33" i="6"/>
  <c r="G7" i="7"/>
  <c r="H28" i="9"/>
  <c r="G13" i="9"/>
  <c r="G31" i="9"/>
  <c r="G7" i="8" l="1"/>
  <c r="G33" i="7"/>
  <c r="H7" i="7"/>
  <c r="H29" i="9"/>
  <c r="H11" i="9"/>
  <c r="H13" i="9"/>
  <c r="H9" i="9"/>
  <c r="H24" i="9"/>
  <c r="H27" i="9"/>
  <c r="H14" i="9"/>
  <c r="H19" i="9"/>
  <c r="H12" i="9"/>
  <c r="H26" i="9"/>
  <c r="H25" i="9"/>
  <c r="F6" i="9" l="1"/>
  <c r="E6" i="9"/>
  <c r="H33" i="7"/>
  <c r="H7" i="8"/>
  <c r="C6" i="9"/>
  <c r="D6" i="9"/>
  <c r="B6" i="9"/>
  <c r="G6" i="9"/>
  <c r="G33" i="8"/>
  <c r="H33" i="8" l="1"/>
  <c r="E32" i="9"/>
  <c r="F32" i="9"/>
  <c r="C32" i="9"/>
  <c r="D32" i="9"/>
  <c r="B32" i="9"/>
  <c r="D37" i="9"/>
  <c r="D38" i="9" s="1"/>
  <c r="D34" i="9"/>
  <c r="D35" i="9" s="1"/>
  <c r="E37" i="9"/>
  <c r="E38" i="9" s="1"/>
  <c r="E34" i="9"/>
  <c r="E35" i="9" s="1"/>
  <c r="G34" i="9"/>
  <c r="G35" i="9" s="1"/>
  <c r="G37" i="9"/>
  <c r="G38" i="9" s="1"/>
  <c r="H6" i="9"/>
  <c r="B37" i="9"/>
  <c r="B38" i="9" s="1"/>
  <c r="B34" i="9"/>
  <c r="B35" i="9" s="1"/>
  <c r="G32" i="9"/>
  <c r="C37" i="9"/>
  <c r="C38" i="9" s="1"/>
  <c r="C34" i="9"/>
  <c r="C35" i="9" s="1"/>
  <c r="F34" i="9"/>
  <c r="F35" i="9" s="1"/>
  <c r="F37" i="9"/>
  <c r="F38" i="9" s="1"/>
  <c r="H32" i="9" l="1"/>
</calcChain>
</file>

<file path=xl/sharedStrings.xml><?xml version="1.0" encoding="utf-8"?>
<sst xmlns="http://schemas.openxmlformats.org/spreadsheetml/2006/main" count="450" uniqueCount="119">
  <si>
    <t>Aggregate tax base (ATB)</t>
  </si>
  <si>
    <t>Worksheet</t>
  </si>
  <si>
    <t>Content</t>
  </si>
  <si>
    <t>PI</t>
  </si>
  <si>
    <t>Personal income</t>
  </si>
  <si>
    <t>ITS</t>
  </si>
  <si>
    <t>Income taxed at source</t>
  </si>
  <si>
    <t>Wealth</t>
  </si>
  <si>
    <t>LE</t>
  </si>
  <si>
    <t>Profit of legal entities</t>
  </si>
  <si>
    <t>REPART</t>
  </si>
  <si>
    <t>Tax repartition</t>
  </si>
  <si>
    <t>ATB_Total</t>
  </si>
  <si>
    <t>ATB summary</t>
  </si>
  <si>
    <t>ATB_per_capita</t>
  </si>
  <si>
    <t>ATB summary per capita</t>
  </si>
  <si>
    <t>ATB_in_percent</t>
  </si>
  <si>
    <t>ATB summary in percent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</si>
  <si>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</si>
  <si>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</si>
  <si>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</si>
  <si>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</si>
  <si>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</si>
  <si>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</si>
  <si>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</si>
  <si>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</si>
  <si>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RA_2017_20160519</t>
  </si>
  <si>
    <t>RefYear</t>
  </si>
  <si>
    <t>AssesYear</t>
  </si>
  <si>
    <t>Column</t>
  </si>
  <si>
    <t>C</t>
  </si>
  <si>
    <t>D</t>
  </si>
  <si>
    <t>E</t>
  </si>
  <si>
    <t>F</t>
  </si>
  <si>
    <t>G</t>
  </si>
  <si>
    <t>H</t>
  </si>
  <si>
    <t>I</t>
  </si>
  <si>
    <t>J</t>
  </si>
  <si>
    <t>Formula</t>
  </si>
  <si>
    <t>J = I - (E / 1000 * H)</t>
  </si>
  <si>
    <t>Total number of taxpayers</t>
  </si>
  <si>
    <t>Total taxable income</t>
  </si>
  <si>
    <t>Relevant minimum income per taxpayer</t>
  </si>
  <si>
    <t>Number of taxpayers whose taxable income is lower than the relevant minimum income</t>
  </si>
  <si>
    <t>Taxable income of taxpayers whose taxable income is lower than the relevant minimum income</t>
  </si>
  <si>
    <t>Number of taxpayers whose taxable income is equal to or higher than the relevant minimum income</t>
  </si>
  <si>
    <t>Taxable income of taxpayers whose taxable income is equal to or higher than the relevant minimum income</t>
  </si>
  <si>
    <t>Relevant personal income</t>
  </si>
  <si>
    <t>Data source</t>
  </si>
  <si>
    <t>FTA</t>
  </si>
  <si>
    <t>DFTA Art. 214
paras. 2 und 3</t>
  </si>
  <si>
    <t>Unit</t>
  </si>
  <si>
    <t>CHF 1,000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</si>
  <si>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</si>
  <si>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</si>
  <si>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</si>
  <si>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</si>
  <si>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</si>
  <si>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</si>
  <si>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</si>
  <si>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</si>
  <si>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</si>
  <si>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</si>
  <si>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</si>
  <si>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</si>
  <si>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</si>
  <si>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</si>
  <si>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</si>
  <si>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</si>
  <si>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</si>
  <si>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</si>
  <si>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</si>
  <si>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</si>
  <si>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</si>
  <si>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</si>
  <si>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</si>
  <si>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</si>
  <si>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</si>
  <si>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</si>
  <si>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</si>
  <si>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Total</t>
  </si>
  <si>
    <t>Relevant income
taxed at source</t>
  </si>
  <si>
    <t>B</t>
  </si>
  <si>
    <t>D = B * C</t>
  </si>
  <si>
    <t>Net wealth</t>
  </si>
  <si>
    <t>Alpha factor</t>
  </si>
  <si>
    <t>Relevant wealth</t>
  </si>
  <si>
    <t>Art. 13 EFBRO</t>
  </si>
  <si>
    <t>D = B + C</t>
  </si>
  <si>
    <t>Relevant profit of legal entities without a special tax status</t>
  </si>
  <si>
    <t>Relevant profit of legal entities with 
a special tax status</t>
  </si>
  <si>
    <t>Relevant profit of legal entities</t>
  </si>
  <si>
    <t>Factors</t>
  </si>
  <si>
    <t>Beta (Holding)</t>
  </si>
  <si>
    <t>Beta (Domiciliary)</t>
  </si>
  <si>
    <t>Beta (Mixed)</t>
  </si>
  <si>
    <t>Epsilon</t>
  </si>
  <si>
    <t>E = D - C</t>
  </si>
  <si>
    <t>H = G / F</t>
  </si>
  <si>
    <t>I = H * E</t>
  </si>
  <si>
    <t>In favor of other cantons</t>
  </si>
  <si>
    <t>Received from other cantons</t>
  </si>
  <si>
    <t>Balance</t>
  </si>
  <si>
    <t>Direct federal tax revenue (= payments to the FTA)</t>
  </si>
  <si>
    <t>Relevant direct federal tax base</t>
  </si>
  <si>
    <t>Weighting factor</t>
  </si>
  <si>
    <t>Relevant tax repartition</t>
  </si>
  <si>
    <t>Worksheet "PI"; "ITS"; "LE"</t>
  </si>
  <si>
    <t>H = C + D + E + F + G</t>
  </si>
  <si>
    <t>Relevant income taxed at source</t>
  </si>
  <si>
    <t>Total ATB</t>
  </si>
  <si>
    <t>Assessment year</t>
  </si>
  <si>
    <t>ATB</t>
  </si>
  <si>
    <t>Average resident population</t>
  </si>
  <si>
    <t>CHF per capita</t>
  </si>
  <si>
    <t>Persons</t>
  </si>
  <si>
    <t>%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</si>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</sst>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4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31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" fillId="0" borderId="4" xfId="0" applyFont="1" applyFill="1" applyBorder="1"/>
    <xf numFmtId="1" fontId="3" fillId="0" borderId="5" xfId="0" applyNumberFormat="1" applyFont="1" applyFill="1" applyBorder="1" applyAlignment="1" applyProtection="1">
      <alignment horizontal="left" vertical="top"/>
      <protection locked="0"/>
    </xf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Border="1"/>
    <xf numFmtId="0" fontId="10" fillId="0" borderId="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9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3" fillId="0" borderId="0" xfId="0" applyFont="1" applyFill="1"/>
    <xf numFmtId="0" fontId="13" fillId="0" borderId="0" xfId="0" applyFont="1" applyFill="1" applyBorder="1"/>
    <xf numFmtId="0" fontId="14" fillId="0" borderId="9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0" fillId="0" borderId="12" xfId="0" applyFont="1" applyFill="1" applyBorder="1"/>
    <xf numFmtId="164" fontId="15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/>
    <xf numFmtId="1" fontId="0" fillId="0" borderId="0" xfId="0" applyNumberFormat="1" applyFont="1" applyFill="1"/>
    <xf numFmtId="0" fontId="0" fillId="3" borderId="4" xfId="0" applyFont="1" applyFill="1" applyBorder="1"/>
    <xf numFmtId="164" fontId="15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/>
    <xf numFmtId="0" fontId="0" fillId="0" borderId="4" xfId="0" applyFont="1" applyFill="1" applyBorder="1"/>
    <xf numFmtId="164" fontId="15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5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vertical="top"/>
    </xf>
    <xf numFmtId="1" fontId="16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7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7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7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top"/>
    </xf>
    <xf numFmtId="1" fontId="16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164" fontId="15" fillId="0" borderId="13" xfId="0" applyNumberFormat="1" applyFont="1" applyFill="1" applyBorder="1" applyAlignment="1" applyProtection="1">
      <alignment vertical="center"/>
      <protection locked="0"/>
    </xf>
    <xf numFmtId="165" fontId="10" fillId="0" borderId="13" xfId="0" applyNumberFormat="1" applyFont="1" applyFill="1" applyBorder="1" applyAlignment="1" applyProtection="1">
      <alignment vertical="center"/>
      <protection locked="0"/>
    </xf>
    <xf numFmtId="3" fontId="1" fillId="0" borderId="14" xfId="0" applyNumberFormat="1" applyFont="1" applyFill="1" applyBorder="1" applyAlignment="1" applyProtection="1">
      <alignment vertical="center"/>
      <protection locked="0"/>
    </xf>
    <xf numFmtId="164" fontId="15" fillId="3" borderId="0" xfId="0" applyNumberFormat="1" applyFont="1" applyFill="1" applyBorder="1" applyAlignment="1" applyProtection="1">
      <alignment vertical="center"/>
      <protection locked="0"/>
    </xf>
    <xf numFmtId="165" fontId="10" fillId="3" borderId="0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164" fontId="15" fillId="0" borderId="0" xfId="0" applyNumberFormat="1" applyFont="1" applyFill="1" applyBorder="1" applyAlignment="1" applyProtection="1">
      <alignment vertical="center"/>
      <protection locked="0"/>
    </xf>
    <xf numFmtId="165" fontId="10" fillId="0" borderId="0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" fontId="20" fillId="0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" fillId="4" borderId="9" xfId="0" applyFont="1" applyFill="1" applyBorder="1"/>
    <xf numFmtId="0" fontId="13" fillId="4" borderId="11" xfId="0" applyFont="1" applyFill="1" applyBorder="1"/>
    <xf numFmtId="3" fontId="21" fillId="0" borderId="14" xfId="0" applyNumberFormat="1" applyFont="1" applyFill="1" applyBorder="1"/>
    <xf numFmtId="0" fontId="0" fillId="0" borderId="27" xfId="0" applyFont="1" applyFill="1" applyBorder="1"/>
    <xf numFmtId="165" fontId="15" fillId="0" borderId="6" xfId="0" applyNumberFormat="1" applyFont="1" applyFill="1" applyBorder="1" applyProtection="1">
      <protection locked="0"/>
    </xf>
    <xf numFmtId="3" fontId="21" fillId="3" borderId="15" xfId="0" applyNumberFormat="1" applyFont="1" applyFill="1" applyBorder="1"/>
    <xf numFmtId="3" fontId="21" fillId="0" borderId="15" xfId="0" applyNumberFormat="1" applyFont="1" applyFill="1" applyBorder="1"/>
    <xf numFmtId="0" fontId="0" fillId="0" borderId="28" xfId="0" applyFont="1" applyFill="1" applyBorder="1"/>
    <xf numFmtId="9" fontId="15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2" fillId="0" borderId="10" xfId="0" applyNumberFormat="1" applyFont="1" applyFill="1" applyBorder="1"/>
    <xf numFmtId="0" fontId="14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horizontal="right" wrapText="1"/>
    </xf>
    <xf numFmtId="3" fontId="0" fillId="0" borderId="13" xfId="0" applyNumberFormat="1" applyFont="1" applyFill="1" applyBorder="1" applyProtection="1">
      <protection locked="0"/>
    </xf>
    <xf numFmtId="166" fontId="0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5" fillId="0" borderId="29" xfId="0" applyFont="1" applyFill="1" applyBorder="1" applyAlignment="1" applyProtection="1">
      <alignment vertical="center"/>
      <protection locked="0"/>
    </xf>
    <xf numFmtId="0" fontId="7" fillId="0" borderId="29" xfId="0" applyFont="1" applyFill="1" applyBorder="1" applyAlignment="1" applyProtection="1">
      <alignment vertical="center"/>
      <protection locked="0"/>
    </xf>
    <xf numFmtId="1" fontId="14" fillId="0" borderId="10" xfId="0" applyNumberFormat="1" applyFont="1" applyFill="1" applyBorder="1" applyAlignment="1">
      <alignment horizontal="right" wrapText="1"/>
    </xf>
    <xf numFmtId="3" fontId="0" fillId="0" borderId="13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3" fontId="1" fillId="0" borderId="13" xfId="0" applyNumberFormat="1" applyFont="1" applyFill="1" applyBorder="1" applyProtection="1">
      <protection locked="0"/>
    </xf>
    <xf numFmtId="164" fontId="15" fillId="0" borderId="14" xfId="0" applyNumberFormat="1" applyFont="1" applyFill="1" applyBorder="1" applyProtection="1">
      <protection locked="0"/>
    </xf>
    <xf numFmtId="3" fontId="1" fillId="3" borderId="0" xfId="0" applyNumberFormat="1" applyFont="1" applyFill="1" applyBorder="1" applyProtection="1">
      <protection locked="0"/>
    </xf>
    <xf numFmtId="164" fontId="15" fillId="3" borderId="15" xfId="0" applyNumberFormat="1" applyFont="1" applyFill="1" applyBorder="1" applyProtection="1">
      <protection locked="0"/>
    </xf>
    <xf numFmtId="3" fontId="1" fillId="0" borderId="0" xfId="0" applyNumberFormat="1" applyFont="1" applyFill="1" applyBorder="1" applyProtection="1">
      <protection locked="0"/>
    </xf>
    <xf numFmtId="164" fontId="15" fillId="0" borderId="15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/>
    <xf numFmtId="165" fontId="0" fillId="0" borderId="13" xfId="0" applyNumberFormat="1" applyFont="1" applyFill="1" applyBorder="1" applyProtection="1">
      <protection locked="0"/>
    </xf>
    <xf numFmtId="165" fontId="0" fillId="0" borderId="5" xfId="0" applyNumberFormat="1" applyFont="1" applyFill="1" applyBorder="1" applyProtection="1">
      <protection locked="0"/>
    </xf>
    <xf numFmtId="0" fontId="0" fillId="0" borderId="5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3" xfId="0" applyNumberFormat="1" applyFont="1" applyFill="1" applyBorder="1"/>
    <xf numFmtId="0" fontId="1" fillId="0" borderId="3" xfId="0" applyFont="1" applyFill="1" applyBorder="1" applyAlignment="1">
      <alignment horizontal="left"/>
    </xf>
    <xf numFmtId="0" fontId="21" fillId="0" borderId="0" xfId="0" applyFont="1" applyFill="1"/>
    <xf numFmtId="165" fontId="0" fillId="3" borderId="10" xfId="0" applyNumberFormat="1" applyFont="1" applyFill="1" applyBorder="1"/>
    <xf numFmtId="165" fontId="0" fillId="3" borderId="3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21" fillId="0" borderId="0" xfId="0" applyFont="1" applyFill="1" applyBorder="1"/>
    <xf numFmtId="0" fontId="23" fillId="0" borderId="0" xfId="0" applyFont="1" applyFill="1"/>
    <xf numFmtId="165" fontId="0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3" borderId="3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5.5703125" style="1" customWidth="1"/>
    <col min="2" max="2" width="14.8554687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171" t="s">
        <v>0</v>
      </c>
      <c r="B1" s="171"/>
      <c r="C1" s="171"/>
      <c r="D1" s="171"/>
      <c r="E1" s="171"/>
    </row>
    <row r="2" spans="1:5" ht="24.75" customHeight="1" x14ac:dyDescent="0.35">
      <c r="A2" s="172"/>
      <c r="B2" s="172"/>
      <c r="C2" s="172"/>
      <c r="D2" s="172"/>
      <c r="E2" s="172"/>
    </row>
    <row r="3" spans="1:5" ht="18" customHeight="1" x14ac:dyDescent="0.25">
      <c r="A3" s="173" t="str">
        <f>"Assessment year "&amp;C31</f>
        <v>Assessment year 2012</v>
      </c>
      <c r="B3" s="173"/>
      <c r="C3" s="173"/>
      <c r="D3" s="173"/>
      <c r="E3" s="173"/>
    </row>
    <row r="4" spans="1:5" ht="18" customHeight="1" x14ac:dyDescent="0.25">
      <c r="A4" s="173" t="str">
        <f>"Reference year "&amp;C30</f>
        <v>Reference year 2017</v>
      </c>
      <c r="B4" s="173"/>
      <c r="C4" s="173"/>
      <c r="D4" s="173"/>
      <c r="E4" s="173"/>
    </row>
    <row r="12" spans="1:5" x14ac:dyDescent="0.2">
      <c r="B12" s="2" t="s">
        <v>1</v>
      </c>
      <c r="C12" s="3" t="s">
        <v>2</v>
      </c>
      <c r="D12" s="4"/>
    </row>
    <row r="13" spans="1:5" x14ac:dyDescent="0.2">
      <c r="B13" s="5" t="s">
        <v>3</v>
      </c>
      <c r="C13" s="6" t="s">
        <v>4</v>
      </c>
      <c r="D13" s="7"/>
    </row>
    <row r="14" spans="1:5" x14ac:dyDescent="0.2">
      <c r="B14" s="5" t="s">
        <v>5</v>
      </c>
      <c r="C14" s="6" t="s">
        <v>6</v>
      </c>
      <c r="D14" s="7"/>
    </row>
    <row r="15" spans="1:5" x14ac:dyDescent="0.2">
      <c r="B15" s="5" t="s">
        <v>7</v>
      </c>
      <c r="C15" s="6" t="s">
        <v>7</v>
      </c>
      <c r="D15" s="7"/>
    </row>
    <row r="16" spans="1:5" x14ac:dyDescent="0.2">
      <c r="B16" s="5" t="s">
        <v>8</v>
      </c>
      <c r="C16" s="6" t="s">
        <v>9</v>
      </c>
      <c r="D16" s="7"/>
    </row>
    <row r="17" spans="2:4" x14ac:dyDescent="0.2">
      <c r="B17" s="5" t="s">
        <v>10</v>
      </c>
      <c r="C17" s="6" t="s">
        <v>11</v>
      </c>
      <c r="D17" s="7"/>
    </row>
    <row r="18" spans="2:4" x14ac:dyDescent="0.2">
      <c r="B18" s="5" t="s">
        <v>12</v>
      </c>
      <c r="C18" s="6" t="s">
        <v>13</v>
      </c>
      <c r="D18" s="7"/>
    </row>
    <row r="19" spans="2:4" x14ac:dyDescent="0.2">
      <c r="B19" s="5" t="s">
        <v>14</v>
      </c>
      <c r="C19" s="6" t="s">
        <v>15</v>
      </c>
      <c r="D19" s="7"/>
    </row>
    <row r="20" spans="2:4" x14ac:dyDescent="0.2">
      <c r="B20" s="5" t="s">
        <v>16</v>
      </c>
      <c r="C20" s="6" t="s">
        <v>17</v>
      </c>
      <c r="D20" s="7"/>
    </row>
    <row r="25" spans="2:4" x14ac:dyDescent="0.2">
      <c r="B25" s="8" t="s">
        <v>18</v>
      </c>
      <c r="C25" s="9"/>
    </row>
    <row r="26" spans="2:4" x14ac:dyDescent="0.2">
      <c r="B26" s="10" t="s">
        <v>19</v>
      </c>
      <c r="C26" s="11" t="s">
        <v>20</v>
      </c>
    </row>
    <row r="27" spans="2:4" x14ac:dyDescent="0.2">
      <c r="B27" s="10" t="s">
        <v>21</v>
      </c>
      <c r="C27" s="12" t="s">
        <v>22</v>
      </c>
    </row>
    <row r="28" spans="2:4" x14ac:dyDescent="0.2">
      <c r="B28" s="10" t="s">
        <v>23</v>
      </c>
      <c r="C28" s="12" t="s">
        <v>24</v>
      </c>
    </row>
    <row r="29" spans="2:4" x14ac:dyDescent="0.2">
      <c r="B29" s="10" t="s">
        <v>25</v>
      </c>
      <c r="C29" s="12" t="s">
        <v>26</v>
      </c>
    </row>
    <row r="30" spans="2:4" x14ac:dyDescent="0.2">
      <c r="B30" s="10" t="s">
        <v>27</v>
      </c>
      <c r="C30" s="12">
        <v>2017</v>
      </c>
    </row>
    <row r="31" spans="2:4" x14ac:dyDescent="0.2">
      <c r="B31" s="13" t="s">
        <v>28</v>
      </c>
      <c r="C31" s="14">
        <v>2012</v>
      </c>
    </row>
  </sheetData>
  <mergeCells count="4">
    <mergeCell ref="A1:E1"/>
    <mergeCell ref="A2:E2"/>
    <mergeCell ref="A3:E3"/>
    <mergeCell ref="A4:E4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85546875" style="1" customWidth="1"/>
    <col min="3" max="3" width="15.42578125" style="1" customWidth="1"/>
    <col min="4" max="4" width="18.5703125" style="1" customWidth="1"/>
    <col min="5" max="10" width="20.42578125" style="1" customWidth="1"/>
  </cols>
  <sheetData>
    <row r="1" spans="1:12" ht="32.25" customHeight="1" x14ac:dyDescent="0.2">
      <c r="B1" s="16" t="str">
        <f>"Personal income "&amp;Info!C31</f>
        <v>Personal income 2012</v>
      </c>
      <c r="D1" s="17"/>
      <c r="E1" s="18" t="str">
        <f>Info!A4</f>
        <v>Reference year 2017</v>
      </c>
      <c r="F1" s="19"/>
      <c r="J1" s="20" t="str">
        <f>Info!$C$28</f>
        <v>FA_2017_20160519</v>
      </c>
    </row>
    <row r="2" spans="1:12" s="2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4" t="s">
        <v>36</v>
      </c>
      <c r="J2" s="25" t="s">
        <v>37</v>
      </c>
    </row>
    <row r="3" spans="1:12" s="26" customFormat="1" ht="11.25" customHeight="1" x14ac:dyDescent="0.2">
      <c r="A3" s="27"/>
      <c r="B3" s="28" t="s">
        <v>38</v>
      </c>
      <c r="C3" s="29"/>
      <c r="D3" s="29"/>
      <c r="E3" s="29"/>
      <c r="F3" s="29"/>
      <c r="G3" s="30"/>
      <c r="H3" s="30"/>
      <c r="I3" s="29"/>
      <c r="J3" s="31" t="s">
        <v>39</v>
      </c>
    </row>
    <row r="4" spans="1:12" ht="80.25" customHeight="1" x14ac:dyDescent="0.2">
      <c r="B4" s="32"/>
      <c r="C4" s="33" t="s">
        <v>40</v>
      </c>
      <c r="D4" s="33" t="s">
        <v>41</v>
      </c>
      <c r="E4" s="33" t="s">
        <v>42</v>
      </c>
      <c r="F4" s="33" t="s">
        <v>43</v>
      </c>
      <c r="G4" s="33" t="s">
        <v>44</v>
      </c>
      <c r="H4" s="33" t="s">
        <v>45</v>
      </c>
      <c r="I4" s="33" t="s">
        <v>46</v>
      </c>
      <c r="J4" s="34" t="s">
        <v>47</v>
      </c>
    </row>
    <row r="5" spans="1:12" s="35" customFormat="1" ht="22.5" customHeight="1" x14ac:dyDescent="0.2">
      <c r="A5" s="36"/>
      <c r="B5" s="37" t="s">
        <v>48</v>
      </c>
      <c r="C5" s="38" t="s">
        <v>49</v>
      </c>
      <c r="D5" s="38" t="s">
        <v>49</v>
      </c>
      <c r="E5" s="38" t="s">
        <v>50</v>
      </c>
      <c r="F5" s="38" t="s">
        <v>49</v>
      </c>
      <c r="G5" s="38" t="s">
        <v>49</v>
      </c>
      <c r="H5" s="38" t="s">
        <v>49</v>
      </c>
      <c r="I5" s="38" t="s">
        <v>49</v>
      </c>
      <c r="J5" s="39"/>
    </row>
    <row r="6" spans="1:12" s="35" customFormat="1" ht="11.25" customHeight="1" x14ac:dyDescent="0.2">
      <c r="A6" s="36"/>
      <c r="B6" s="37" t="s">
        <v>51</v>
      </c>
      <c r="C6" s="40"/>
      <c r="D6" s="40" t="s">
        <v>52</v>
      </c>
      <c r="E6" s="40" t="s">
        <v>53</v>
      </c>
      <c r="F6" s="40"/>
      <c r="G6" s="40" t="s">
        <v>52</v>
      </c>
      <c r="H6" s="40"/>
      <c r="I6" s="40" t="s">
        <v>52</v>
      </c>
      <c r="J6" s="39" t="s">
        <v>52</v>
      </c>
    </row>
    <row r="7" spans="1:12" x14ac:dyDescent="0.2">
      <c r="B7" s="41" t="s">
        <v>54</v>
      </c>
      <c r="C7" s="42">
        <v>860401</v>
      </c>
      <c r="D7" s="42">
        <v>56644481.600000001</v>
      </c>
      <c r="E7" s="42">
        <v>30800</v>
      </c>
      <c r="F7" s="42">
        <v>256889</v>
      </c>
      <c r="G7" s="42">
        <v>3151232.4</v>
      </c>
      <c r="H7" s="42">
        <v>603512</v>
      </c>
      <c r="I7" s="42">
        <v>53493249.200000003</v>
      </c>
      <c r="J7" s="43">
        <f t="shared" ref="J7:J32" si="0">I7-(E7/1000*H7)</f>
        <v>34905079.600000001</v>
      </c>
      <c r="K7" s="1"/>
      <c r="L7" s="44"/>
    </row>
    <row r="8" spans="1:12" x14ac:dyDescent="0.2">
      <c r="B8" s="45" t="s">
        <v>55</v>
      </c>
      <c r="C8" s="46">
        <v>630000</v>
      </c>
      <c r="D8" s="46">
        <v>30758440.399999999</v>
      </c>
      <c r="E8" s="46">
        <v>30800</v>
      </c>
      <c r="F8" s="46">
        <v>227274</v>
      </c>
      <c r="G8" s="46">
        <v>2573384</v>
      </c>
      <c r="H8" s="46">
        <v>402726</v>
      </c>
      <c r="I8" s="46">
        <v>28185056.399999999</v>
      </c>
      <c r="J8" s="47">
        <f t="shared" si="0"/>
        <v>15781095.599999998</v>
      </c>
      <c r="K8" s="1"/>
      <c r="L8" s="44"/>
    </row>
    <row r="9" spans="1:12" x14ac:dyDescent="0.2">
      <c r="B9" s="48" t="s">
        <v>56</v>
      </c>
      <c r="C9" s="49">
        <v>227146</v>
      </c>
      <c r="D9" s="49">
        <v>12371018.800000001</v>
      </c>
      <c r="E9" s="49">
        <v>30800</v>
      </c>
      <c r="F9" s="49">
        <v>72067</v>
      </c>
      <c r="G9" s="49">
        <v>973107.6</v>
      </c>
      <c r="H9" s="49">
        <v>155079</v>
      </c>
      <c r="I9" s="49">
        <v>11397911.199999999</v>
      </c>
      <c r="J9" s="50">
        <f t="shared" si="0"/>
        <v>6621477.9999999991</v>
      </c>
      <c r="K9" s="1"/>
      <c r="L9" s="44"/>
    </row>
    <row r="10" spans="1:12" x14ac:dyDescent="0.2">
      <c r="B10" s="45" t="s">
        <v>57</v>
      </c>
      <c r="C10" s="46">
        <v>20489</v>
      </c>
      <c r="D10" s="46">
        <v>989321.6</v>
      </c>
      <c r="E10" s="46">
        <v>30800</v>
      </c>
      <c r="F10" s="46">
        <v>6592</v>
      </c>
      <c r="G10" s="46">
        <v>94182.3</v>
      </c>
      <c r="H10" s="46">
        <v>13897</v>
      </c>
      <c r="I10" s="46">
        <v>895139.3</v>
      </c>
      <c r="J10" s="47">
        <f t="shared" si="0"/>
        <v>467111.7</v>
      </c>
      <c r="K10" s="1"/>
      <c r="L10" s="44"/>
    </row>
    <row r="11" spans="1:12" x14ac:dyDescent="0.2">
      <c r="B11" s="48" t="s">
        <v>58</v>
      </c>
      <c r="C11" s="49">
        <v>89211</v>
      </c>
      <c r="D11" s="49">
        <v>7518535.2000000002</v>
      </c>
      <c r="E11" s="49">
        <v>30800</v>
      </c>
      <c r="F11" s="49">
        <v>26193</v>
      </c>
      <c r="G11" s="49">
        <v>345219.7</v>
      </c>
      <c r="H11" s="49">
        <v>63018</v>
      </c>
      <c r="I11" s="49">
        <v>7173315.5</v>
      </c>
      <c r="J11" s="50">
        <f t="shared" si="0"/>
        <v>5232361.0999999996</v>
      </c>
      <c r="K11" s="1"/>
      <c r="L11" s="44"/>
    </row>
    <row r="12" spans="1:12" x14ac:dyDescent="0.2">
      <c r="B12" s="45" t="s">
        <v>59</v>
      </c>
      <c r="C12" s="46">
        <v>21807</v>
      </c>
      <c r="D12" s="46">
        <v>1223504.1000000001</v>
      </c>
      <c r="E12" s="46">
        <v>30800</v>
      </c>
      <c r="F12" s="46">
        <v>7192</v>
      </c>
      <c r="G12" s="46">
        <v>99546.6</v>
      </c>
      <c r="H12" s="46">
        <v>14615</v>
      </c>
      <c r="I12" s="46">
        <v>1123957.5</v>
      </c>
      <c r="J12" s="47">
        <f t="shared" si="0"/>
        <v>673815.5</v>
      </c>
      <c r="K12" s="1"/>
      <c r="L12" s="44"/>
    </row>
    <row r="13" spans="1:12" x14ac:dyDescent="0.2">
      <c r="B13" s="48" t="s">
        <v>60</v>
      </c>
      <c r="C13" s="49">
        <v>25161</v>
      </c>
      <c r="D13" s="49">
        <v>1797691.7</v>
      </c>
      <c r="E13" s="49">
        <v>30800</v>
      </c>
      <c r="F13" s="49">
        <v>6869</v>
      </c>
      <c r="G13" s="49">
        <v>97804.1</v>
      </c>
      <c r="H13" s="49">
        <v>18292</v>
      </c>
      <c r="I13" s="49">
        <v>1699887.6</v>
      </c>
      <c r="J13" s="50">
        <f t="shared" si="0"/>
        <v>1136494</v>
      </c>
      <c r="K13" s="1"/>
      <c r="L13" s="44"/>
    </row>
    <row r="14" spans="1:12" x14ac:dyDescent="0.2">
      <c r="B14" s="45" t="s">
        <v>61</v>
      </c>
      <c r="C14" s="46">
        <v>23298</v>
      </c>
      <c r="D14" s="46">
        <v>1146691</v>
      </c>
      <c r="E14" s="46">
        <v>30800</v>
      </c>
      <c r="F14" s="46">
        <v>7854</v>
      </c>
      <c r="G14" s="46">
        <v>113046</v>
      </c>
      <c r="H14" s="46">
        <v>15444</v>
      </c>
      <c r="I14" s="46">
        <v>1033645</v>
      </c>
      <c r="J14" s="47">
        <f t="shared" si="0"/>
        <v>557969.80000000005</v>
      </c>
      <c r="K14" s="1"/>
      <c r="L14" s="44"/>
    </row>
    <row r="15" spans="1:12" x14ac:dyDescent="0.2">
      <c r="B15" s="48" t="s">
        <v>62</v>
      </c>
      <c r="C15" s="49">
        <v>68323</v>
      </c>
      <c r="D15" s="49">
        <v>6513841.9000000004</v>
      </c>
      <c r="E15" s="49">
        <v>30800</v>
      </c>
      <c r="F15" s="49">
        <v>17508</v>
      </c>
      <c r="G15" s="49">
        <v>211739.8</v>
      </c>
      <c r="H15" s="49">
        <v>50815</v>
      </c>
      <c r="I15" s="49">
        <v>6302102.0999999996</v>
      </c>
      <c r="J15" s="50">
        <f t="shared" si="0"/>
        <v>4737000.0999999996</v>
      </c>
      <c r="K15" s="1"/>
      <c r="L15" s="44"/>
    </row>
    <row r="16" spans="1:12" x14ac:dyDescent="0.2">
      <c r="B16" s="45" t="s">
        <v>63</v>
      </c>
      <c r="C16" s="46">
        <v>165178</v>
      </c>
      <c r="D16" s="46">
        <v>8668819.4000000004</v>
      </c>
      <c r="E16" s="46">
        <v>30800</v>
      </c>
      <c r="F16" s="46">
        <v>56893</v>
      </c>
      <c r="G16" s="46">
        <v>731360.8</v>
      </c>
      <c r="H16" s="46">
        <v>108285</v>
      </c>
      <c r="I16" s="46">
        <v>7937458.5999999996</v>
      </c>
      <c r="J16" s="47">
        <f t="shared" si="0"/>
        <v>4602280.5999999996</v>
      </c>
      <c r="K16" s="1"/>
      <c r="L16" s="44"/>
    </row>
    <row r="17" spans="2:12" x14ac:dyDescent="0.2">
      <c r="B17" s="48" t="s">
        <v>64</v>
      </c>
      <c r="C17" s="49">
        <v>161860</v>
      </c>
      <c r="D17" s="49">
        <v>8496142.8000000007</v>
      </c>
      <c r="E17" s="49">
        <v>30800</v>
      </c>
      <c r="F17" s="49">
        <v>51715</v>
      </c>
      <c r="G17" s="49">
        <v>634457.4</v>
      </c>
      <c r="H17" s="49">
        <v>110145</v>
      </c>
      <c r="I17" s="49">
        <v>7861685.4000000004</v>
      </c>
      <c r="J17" s="50">
        <f t="shared" si="0"/>
        <v>4469219.4000000004</v>
      </c>
      <c r="K17" s="1"/>
      <c r="L17" s="44"/>
    </row>
    <row r="18" spans="2:12" x14ac:dyDescent="0.2">
      <c r="B18" s="45" t="s">
        <v>65</v>
      </c>
      <c r="C18" s="46">
        <v>122272</v>
      </c>
      <c r="D18" s="46">
        <v>7481684.0999999996</v>
      </c>
      <c r="E18" s="46">
        <v>30800</v>
      </c>
      <c r="F18" s="46">
        <v>43638</v>
      </c>
      <c r="G18" s="46">
        <v>555969.30000000005</v>
      </c>
      <c r="H18" s="46">
        <v>78634</v>
      </c>
      <c r="I18" s="46">
        <v>6925714.7999999998</v>
      </c>
      <c r="J18" s="47">
        <f t="shared" si="0"/>
        <v>4503787.5999999996</v>
      </c>
      <c r="K18" s="1"/>
      <c r="L18" s="44"/>
    </row>
    <row r="19" spans="2:12" x14ac:dyDescent="0.2">
      <c r="B19" s="48" t="s">
        <v>66</v>
      </c>
      <c r="C19" s="49">
        <v>165581</v>
      </c>
      <c r="D19" s="49">
        <v>10543313.9</v>
      </c>
      <c r="E19" s="49">
        <v>30800</v>
      </c>
      <c r="F19" s="49">
        <v>46074</v>
      </c>
      <c r="G19" s="49">
        <v>539316.80000000005</v>
      </c>
      <c r="H19" s="49">
        <v>119507</v>
      </c>
      <c r="I19" s="49">
        <v>10003997.1</v>
      </c>
      <c r="J19" s="50">
        <f t="shared" si="0"/>
        <v>6323181.5</v>
      </c>
      <c r="K19" s="1"/>
      <c r="L19" s="44"/>
    </row>
    <row r="20" spans="2:12" x14ac:dyDescent="0.2">
      <c r="B20" s="45" t="s">
        <v>67</v>
      </c>
      <c r="C20" s="46">
        <v>46540</v>
      </c>
      <c r="D20" s="46">
        <v>2423966.2999999998</v>
      </c>
      <c r="E20" s="46">
        <v>30800</v>
      </c>
      <c r="F20" s="46">
        <v>15236</v>
      </c>
      <c r="G20" s="46">
        <v>209154.9</v>
      </c>
      <c r="H20" s="46">
        <v>31304</v>
      </c>
      <c r="I20" s="46">
        <v>2214811.4</v>
      </c>
      <c r="J20" s="47">
        <f t="shared" si="0"/>
        <v>1250648.1999999997</v>
      </c>
      <c r="K20" s="1"/>
      <c r="L20" s="44"/>
    </row>
    <row r="21" spans="2:12" x14ac:dyDescent="0.2">
      <c r="B21" s="48" t="s">
        <v>68</v>
      </c>
      <c r="C21" s="49">
        <v>31941</v>
      </c>
      <c r="D21" s="49">
        <v>1713712.5</v>
      </c>
      <c r="E21" s="49">
        <v>30800</v>
      </c>
      <c r="F21" s="49">
        <v>10916</v>
      </c>
      <c r="G21" s="49">
        <v>150469.5</v>
      </c>
      <c r="H21" s="49">
        <v>21025</v>
      </c>
      <c r="I21" s="49">
        <v>1563243</v>
      </c>
      <c r="J21" s="50">
        <f t="shared" si="0"/>
        <v>915673</v>
      </c>
      <c r="K21" s="1"/>
      <c r="L21" s="44"/>
    </row>
    <row r="22" spans="2:12" x14ac:dyDescent="0.2">
      <c r="B22" s="45" t="s">
        <v>69</v>
      </c>
      <c r="C22" s="46">
        <v>9194</v>
      </c>
      <c r="D22" s="46">
        <v>507578.9</v>
      </c>
      <c r="E22" s="46">
        <v>30800</v>
      </c>
      <c r="F22" s="46">
        <v>3083</v>
      </c>
      <c r="G22" s="46">
        <v>43374.6</v>
      </c>
      <c r="H22" s="46">
        <v>6111</v>
      </c>
      <c r="I22" s="46">
        <v>464204.3</v>
      </c>
      <c r="J22" s="47">
        <f t="shared" si="0"/>
        <v>275985.5</v>
      </c>
      <c r="K22" s="1"/>
      <c r="L22" s="44"/>
    </row>
    <row r="23" spans="2:12" x14ac:dyDescent="0.2">
      <c r="B23" s="48" t="s">
        <v>70</v>
      </c>
      <c r="C23" s="49">
        <v>286234</v>
      </c>
      <c r="D23" s="49">
        <v>14671559.1</v>
      </c>
      <c r="E23" s="49">
        <v>30800</v>
      </c>
      <c r="F23" s="49">
        <v>96437</v>
      </c>
      <c r="G23" s="49">
        <v>1339687.2</v>
      </c>
      <c r="H23" s="49">
        <v>189797</v>
      </c>
      <c r="I23" s="49">
        <v>13331871.9</v>
      </c>
      <c r="J23" s="50">
        <f t="shared" si="0"/>
        <v>7486124.2999999998</v>
      </c>
      <c r="K23" s="1"/>
      <c r="L23" s="44"/>
    </row>
    <row r="24" spans="2:12" x14ac:dyDescent="0.2">
      <c r="B24" s="45" t="s">
        <v>71</v>
      </c>
      <c r="C24" s="46">
        <v>127002</v>
      </c>
      <c r="D24" s="46">
        <v>6197268.4000000004</v>
      </c>
      <c r="E24" s="46">
        <v>30800</v>
      </c>
      <c r="F24" s="46">
        <v>49967</v>
      </c>
      <c r="G24" s="46">
        <v>565828.80000000005</v>
      </c>
      <c r="H24" s="46">
        <v>77035</v>
      </c>
      <c r="I24" s="46">
        <v>5631439.5999999996</v>
      </c>
      <c r="J24" s="47">
        <f t="shared" si="0"/>
        <v>3258761.5999999996</v>
      </c>
      <c r="K24" s="1"/>
      <c r="L24" s="44"/>
    </row>
    <row r="25" spans="2:12" x14ac:dyDescent="0.2">
      <c r="B25" s="48" t="s">
        <v>72</v>
      </c>
      <c r="C25" s="49">
        <v>364231</v>
      </c>
      <c r="D25" s="49">
        <v>21331929.199999999</v>
      </c>
      <c r="E25" s="49">
        <v>30800</v>
      </c>
      <c r="F25" s="49">
        <v>97202</v>
      </c>
      <c r="G25" s="49">
        <v>1302502.3</v>
      </c>
      <c r="H25" s="49">
        <v>267029</v>
      </c>
      <c r="I25" s="49">
        <v>20029426.899999999</v>
      </c>
      <c r="J25" s="50">
        <f t="shared" si="0"/>
        <v>11804933.699999999</v>
      </c>
      <c r="K25" s="1"/>
      <c r="L25" s="44"/>
    </row>
    <row r="26" spans="2:12" x14ac:dyDescent="0.2">
      <c r="B26" s="45" t="s">
        <v>73</v>
      </c>
      <c r="C26" s="46">
        <v>149358</v>
      </c>
      <c r="D26" s="46">
        <v>8063563.2000000002</v>
      </c>
      <c r="E26" s="46">
        <v>30800</v>
      </c>
      <c r="F26" s="46">
        <v>46806</v>
      </c>
      <c r="G26" s="46">
        <v>654977.9</v>
      </c>
      <c r="H26" s="46">
        <v>102552</v>
      </c>
      <c r="I26" s="46">
        <v>7408585.2999999998</v>
      </c>
      <c r="J26" s="47">
        <f t="shared" si="0"/>
        <v>4249983.6999999993</v>
      </c>
      <c r="K26" s="1"/>
      <c r="L26" s="44"/>
    </row>
    <row r="27" spans="2:12" x14ac:dyDescent="0.2">
      <c r="B27" s="48" t="s">
        <v>74</v>
      </c>
      <c r="C27" s="49">
        <v>216105</v>
      </c>
      <c r="D27" s="49">
        <v>11360788.5</v>
      </c>
      <c r="E27" s="49">
        <v>30800</v>
      </c>
      <c r="F27" s="49">
        <v>88184</v>
      </c>
      <c r="G27" s="49">
        <v>1123987.7</v>
      </c>
      <c r="H27" s="49">
        <v>127921</v>
      </c>
      <c r="I27" s="49">
        <v>10236800.800000001</v>
      </c>
      <c r="J27" s="50">
        <f t="shared" si="0"/>
        <v>6296834</v>
      </c>
      <c r="K27" s="1"/>
      <c r="L27" s="44"/>
    </row>
    <row r="28" spans="2:12" x14ac:dyDescent="0.2">
      <c r="B28" s="45" t="s">
        <v>75</v>
      </c>
      <c r="C28" s="46">
        <v>420431</v>
      </c>
      <c r="D28" s="46">
        <v>25708619.5</v>
      </c>
      <c r="E28" s="46">
        <v>30800</v>
      </c>
      <c r="F28" s="46">
        <v>151159</v>
      </c>
      <c r="G28" s="46">
        <v>1707777.8</v>
      </c>
      <c r="H28" s="46">
        <v>269272</v>
      </c>
      <c r="I28" s="46">
        <v>24000841.699999999</v>
      </c>
      <c r="J28" s="47">
        <f t="shared" si="0"/>
        <v>15707264.099999998</v>
      </c>
      <c r="K28" s="1"/>
      <c r="L28" s="44"/>
    </row>
    <row r="29" spans="2:12" x14ac:dyDescent="0.2">
      <c r="B29" s="48" t="s">
        <v>76</v>
      </c>
      <c r="C29" s="49">
        <v>226988</v>
      </c>
      <c r="D29" s="49">
        <v>9403973.6999999993</v>
      </c>
      <c r="E29" s="49">
        <v>30800</v>
      </c>
      <c r="F29" s="49">
        <v>105491</v>
      </c>
      <c r="G29" s="49">
        <v>990564.2</v>
      </c>
      <c r="H29" s="49">
        <v>121497</v>
      </c>
      <c r="I29" s="49">
        <v>8413409.5</v>
      </c>
      <c r="J29" s="50">
        <f t="shared" si="0"/>
        <v>4671301.9000000004</v>
      </c>
      <c r="K29" s="1"/>
      <c r="L29" s="44"/>
    </row>
    <row r="30" spans="2:12" x14ac:dyDescent="0.2">
      <c r="B30" s="45" t="s">
        <v>77</v>
      </c>
      <c r="C30" s="46">
        <v>103783</v>
      </c>
      <c r="D30" s="46">
        <v>5209105.4000000004</v>
      </c>
      <c r="E30" s="46">
        <v>30800</v>
      </c>
      <c r="F30" s="46">
        <v>38022</v>
      </c>
      <c r="G30" s="46">
        <v>461677.4</v>
      </c>
      <c r="H30" s="46">
        <v>65761</v>
      </c>
      <c r="I30" s="46">
        <v>4747428</v>
      </c>
      <c r="J30" s="47">
        <f t="shared" si="0"/>
        <v>2721989.2</v>
      </c>
      <c r="K30" s="1"/>
      <c r="L30" s="44"/>
    </row>
    <row r="31" spans="2:12" x14ac:dyDescent="0.2">
      <c r="B31" s="48" t="s">
        <v>78</v>
      </c>
      <c r="C31" s="49">
        <v>254540</v>
      </c>
      <c r="D31" s="49">
        <v>17736355.100000001</v>
      </c>
      <c r="E31" s="49">
        <v>30800</v>
      </c>
      <c r="F31" s="49">
        <v>94369</v>
      </c>
      <c r="G31" s="49">
        <v>1027282.1</v>
      </c>
      <c r="H31" s="49">
        <v>160171</v>
      </c>
      <c r="I31" s="49">
        <v>16709073</v>
      </c>
      <c r="J31" s="50">
        <f t="shared" si="0"/>
        <v>11775806.199999999</v>
      </c>
      <c r="K31" s="1"/>
      <c r="L31" s="44"/>
    </row>
    <row r="32" spans="2:12" x14ac:dyDescent="0.2">
      <c r="B32" s="45" t="s">
        <v>79</v>
      </c>
      <c r="C32" s="46">
        <v>43642</v>
      </c>
      <c r="D32" s="46">
        <v>1942069.7</v>
      </c>
      <c r="E32" s="46">
        <v>30800</v>
      </c>
      <c r="F32" s="46">
        <v>17249</v>
      </c>
      <c r="G32" s="46">
        <v>223435.9</v>
      </c>
      <c r="H32" s="46">
        <v>26393</v>
      </c>
      <c r="I32" s="46">
        <v>1718633.8</v>
      </c>
      <c r="J32" s="47">
        <f t="shared" si="0"/>
        <v>905729.4</v>
      </c>
      <c r="K32" s="1"/>
      <c r="L32" s="44"/>
    </row>
    <row r="33" spans="1:12" s="51" customFormat="1" x14ac:dyDescent="0.2">
      <c r="A33" s="52"/>
      <c r="B33" s="53" t="s">
        <v>80</v>
      </c>
      <c r="C33" s="54">
        <f>SUM(C7:C32)</f>
        <v>4860716</v>
      </c>
      <c r="D33" s="54">
        <f>SUM(D7:D32)</f>
        <v>280423976</v>
      </c>
      <c r="E33" s="54">
        <f>AVERAGE(E7:E32)</f>
        <v>30800</v>
      </c>
      <c r="F33" s="54">
        <f>SUM(F7:F32)</f>
        <v>1640879</v>
      </c>
      <c r="G33" s="54">
        <f>SUM(G7:G32)</f>
        <v>19921087.099999998</v>
      </c>
      <c r="H33" s="54">
        <f>SUM(H7:H32)</f>
        <v>3219837</v>
      </c>
      <c r="I33" s="54">
        <f>SUM(I7:I32)</f>
        <v>260502888.90000004</v>
      </c>
      <c r="J33" s="55">
        <f>SUM(J7:J32)</f>
        <v>161331909.29999998</v>
      </c>
      <c r="L33" s="56"/>
    </row>
    <row r="34" spans="1:12" x14ac:dyDescent="0.2">
      <c r="B34" s="52"/>
      <c r="K34" s="1"/>
    </row>
    <row r="35" spans="1:12" x14ac:dyDescent="0.2">
      <c r="K35" s="1"/>
    </row>
    <row r="36" spans="1:12" x14ac:dyDescent="0.2">
      <c r="K36" s="1"/>
    </row>
  </sheetData>
  <conditionalFormatting sqref="C7:I32">
    <cfRule type="expression" dxfId="1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>
    <oddHeader>&amp;L&amp;F&amp;R&amp;A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2.42578125" style="1" customWidth="1"/>
    <col min="3" max="3" width="24.140625" style="1" customWidth="1"/>
  </cols>
  <sheetData>
    <row r="1" spans="1:4" ht="27" customHeight="1" x14ac:dyDescent="0.2">
      <c r="B1" s="57" t="str">
        <f>"Income taxed at source "&amp;Info!C31</f>
        <v>Income taxed at source 2012</v>
      </c>
      <c r="C1" s="58"/>
      <c r="D1" s="58"/>
    </row>
    <row r="2" spans="1:4" ht="15.75" customHeight="1" x14ac:dyDescent="0.25">
      <c r="B2" s="59" t="str">
        <f>Info!A4</f>
        <v>Reference year 2017</v>
      </c>
      <c r="C2" s="60"/>
    </row>
    <row r="3" spans="1:4" x14ac:dyDescent="0.2">
      <c r="B3" s="61"/>
      <c r="C3" s="20" t="str">
        <f>Info!$C$28</f>
        <v>FA_2017_20160519</v>
      </c>
    </row>
    <row r="4" spans="1:4" ht="30" customHeight="1" x14ac:dyDescent="0.2">
      <c r="B4" s="62"/>
      <c r="C4" s="63" t="s">
        <v>81</v>
      </c>
    </row>
    <row r="5" spans="1:4" x14ac:dyDescent="0.2">
      <c r="B5" s="64" t="s">
        <v>48</v>
      </c>
      <c r="C5" s="65" t="str">
        <f>"ITS_"&amp;Info!C30&amp;"_"&amp;Info!C31&amp;".xlsx"</f>
        <v>ITS_2017_2012.xlsx</v>
      </c>
    </row>
    <row r="6" spans="1:4" x14ac:dyDescent="0.2">
      <c r="A6" s="36"/>
      <c r="B6" s="66" t="s">
        <v>51</v>
      </c>
      <c r="C6" s="67" t="s">
        <v>52</v>
      </c>
    </row>
    <row r="7" spans="1:4" ht="15" customHeight="1" x14ac:dyDescent="0.2">
      <c r="A7" s="68"/>
      <c r="B7" s="69" t="s">
        <v>54</v>
      </c>
      <c r="C7" s="70">
        <v>1944299.05535513</v>
      </c>
    </row>
    <row r="8" spans="1:4" ht="15" customHeight="1" x14ac:dyDescent="0.2">
      <c r="A8" s="68"/>
      <c r="B8" s="71" t="s">
        <v>55</v>
      </c>
      <c r="C8" s="72">
        <v>618472.584850076</v>
      </c>
    </row>
    <row r="9" spans="1:4" ht="15" customHeight="1" x14ac:dyDescent="0.2">
      <c r="A9" s="68"/>
      <c r="B9" s="73" t="s">
        <v>56</v>
      </c>
      <c r="C9" s="74">
        <v>266054.39963491901</v>
      </c>
    </row>
    <row r="10" spans="1:4" ht="15" customHeight="1" x14ac:dyDescent="0.2">
      <c r="A10" s="68"/>
      <c r="B10" s="71" t="s">
        <v>57</v>
      </c>
      <c r="C10" s="72">
        <v>26705.794016910899</v>
      </c>
    </row>
    <row r="11" spans="1:4" ht="15" customHeight="1" x14ac:dyDescent="0.2">
      <c r="A11" s="68"/>
      <c r="B11" s="73" t="s">
        <v>58</v>
      </c>
      <c r="C11" s="74">
        <v>127256.903626325</v>
      </c>
    </row>
    <row r="12" spans="1:4" ht="15" customHeight="1" x14ac:dyDescent="0.2">
      <c r="A12" s="68"/>
      <c r="B12" s="71" t="s">
        <v>59</v>
      </c>
      <c r="C12" s="72">
        <v>30544.767478424699</v>
      </c>
    </row>
    <row r="13" spans="1:4" ht="15" customHeight="1" x14ac:dyDescent="0.2">
      <c r="A13" s="68"/>
      <c r="B13" s="73" t="s">
        <v>60</v>
      </c>
      <c r="C13" s="74">
        <v>29627.054302550601</v>
      </c>
    </row>
    <row r="14" spans="1:4" ht="15" customHeight="1" x14ac:dyDescent="0.2">
      <c r="A14" s="68"/>
      <c r="B14" s="71" t="s">
        <v>61</v>
      </c>
      <c r="C14" s="72">
        <v>46399.991368152398</v>
      </c>
    </row>
    <row r="15" spans="1:4" ht="15" customHeight="1" x14ac:dyDescent="0.2">
      <c r="A15" s="68"/>
      <c r="B15" s="73" t="s">
        <v>62</v>
      </c>
      <c r="C15" s="74">
        <v>210132.89457810699</v>
      </c>
    </row>
    <row r="16" spans="1:4" ht="15" customHeight="1" x14ac:dyDescent="0.2">
      <c r="A16" s="68"/>
      <c r="B16" s="71" t="s">
        <v>63</v>
      </c>
      <c r="C16" s="72">
        <v>233427.814033781</v>
      </c>
    </row>
    <row r="17" spans="1:3" ht="15" customHeight="1" x14ac:dyDescent="0.2">
      <c r="A17" s="68"/>
      <c r="B17" s="73" t="s">
        <v>64</v>
      </c>
      <c r="C17" s="74">
        <v>152474.320979902</v>
      </c>
    </row>
    <row r="18" spans="1:3" ht="15" customHeight="1" x14ac:dyDescent="0.2">
      <c r="A18" s="68"/>
      <c r="B18" s="71" t="s">
        <v>65</v>
      </c>
      <c r="C18" s="72">
        <v>653604.20624100196</v>
      </c>
    </row>
    <row r="19" spans="1:3" ht="15" customHeight="1" x14ac:dyDescent="0.2">
      <c r="A19" s="68"/>
      <c r="B19" s="73" t="s">
        <v>66</v>
      </c>
      <c r="C19" s="74">
        <v>364429.25176518102</v>
      </c>
    </row>
    <row r="20" spans="1:3" ht="15" customHeight="1" x14ac:dyDescent="0.2">
      <c r="A20" s="68"/>
      <c r="B20" s="71" t="s">
        <v>67</v>
      </c>
      <c r="C20" s="72">
        <v>155541.20918736301</v>
      </c>
    </row>
    <row r="21" spans="1:3" ht="15" customHeight="1" x14ac:dyDescent="0.2">
      <c r="A21" s="68"/>
      <c r="B21" s="73" t="s">
        <v>68</v>
      </c>
      <c r="C21" s="74">
        <v>40479.491171976799</v>
      </c>
    </row>
    <row r="22" spans="1:3" ht="15" customHeight="1" x14ac:dyDescent="0.2">
      <c r="A22" s="68"/>
      <c r="B22" s="71" t="s">
        <v>69</v>
      </c>
      <c r="C22" s="72">
        <v>8685.2367848184294</v>
      </c>
    </row>
    <row r="23" spans="1:3" ht="15" customHeight="1" x14ac:dyDescent="0.2">
      <c r="A23" s="68"/>
      <c r="B23" s="73" t="s">
        <v>70</v>
      </c>
      <c r="C23" s="74">
        <v>510367.22390634002</v>
      </c>
    </row>
    <row r="24" spans="1:3" ht="15" customHeight="1" x14ac:dyDescent="0.2">
      <c r="A24" s="68"/>
      <c r="B24" s="71" t="s">
        <v>71</v>
      </c>
      <c r="C24" s="72">
        <v>367377.505376496</v>
      </c>
    </row>
    <row r="25" spans="1:3" ht="15" customHeight="1" x14ac:dyDescent="0.2">
      <c r="A25" s="68"/>
      <c r="B25" s="73" t="s">
        <v>72</v>
      </c>
      <c r="C25" s="74">
        <v>563763.97732714901</v>
      </c>
    </row>
    <row r="26" spans="1:3" ht="15" customHeight="1" x14ac:dyDescent="0.2">
      <c r="A26" s="68"/>
      <c r="B26" s="71" t="s">
        <v>73</v>
      </c>
      <c r="C26" s="72">
        <v>276296.33558205899</v>
      </c>
    </row>
    <row r="27" spans="1:3" ht="15" customHeight="1" x14ac:dyDescent="0.2">
      <c r="A27" s="68"/>
      <c r="B27" s="73" t="s">
        <v>74</v>
      </c>
      <c r="C27" s="74">
        <v>826786.49567670003</v>
      </c>
    </row>
    <row r="28" spans="1:3" ht="15" customHeight="1" x14ac:dyDescent="0.2">
      <c r="A28" s="68"/>
      <c r="B28" s="71" t="s">
        <v>75</v>
      </c>
      <c r="C28" s="72">
        <v>1263078.54226517</v>
      </c>
    </row>
    <row r="29" spans="1:3" ht="15" customHeight="1" x14ac:dyDescent="0.2">
      <c r="A29" s="68"/>
      <c r="B29" s="73" t="s">
        <v>76</v>
      </c>
      <c r="C29" s="74">
        <v>395177.12267041003</v>
      </c>
    </row>
    <row r="30" spans="1:3" ht="15" customHeight="1" x14ac:dyDescent="0.2">
      <c r="A30" s="68"/>
      <c r="B30" s="71" t="s">
        <v>77</v>
      </c>
      <c r="C30" s="72">
        <v>244682.855046468</v>
      </c>
    </row>
    <row r="31" spans="1:3" ht="15" customHeight="1" x14ac:dyDescent="0.2">
      <c r="A31" s="68"/>
      <c r="B31" s="73" t="s">
        <v>78</v>
      </c>
      <c r="C31" s="74">
        <v>2311441.8040465498</v>
      </c>
    </row>
    <row r="32" spans="1:3" ht="15" customHeight="1" x14ac:dyDescent="0.2">
      <c r="A32" s="68"/>
      <c r="B32" s="71" t="s">
        <v>79</v>
      </c>
      <c r="C32" s="72">
        <v>86892.694787629196</v>
      </c>
    </row>
    <row r="33" spans="1:3" s="51" customFormat="1" ht="18.75" customHeight="1" x14ac:dyDescent="0.2">
      <c r="A33" s="75"/>
      <c r="B33" s="76" t="s">
        <v>80</v>
      </c>
      <c r="C33" s="77">
        <f>SUM(C7:C32)</f>
        <v>11753999.532059591</v>
      </c>
    </row>
  </sheetData>
  <conditionalFormatting sqref="C7:C32">
    <cfRule type="expression" dxfId="1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9.85546875" style="1" customWidth="1"/>
    <col min="2" max="3" width="17.140625" style="1" customWidth="1"/>
    <col min="4" max="4" width="19.7109375" style="1" customWidth="1"/>
  </cols>
  <sheetData>
    <row r="1" spans="1:5" s="15" customFormat="1" ht="28.5" customHeight="1" x14ac:dyDescent="0.2">
      <c r="A1" s="57" t="str">
        <f>"Wealth "&amp;Info!C31</f>
        <v>Wealth 2012</v>
      </c>
      <c r="B1" s="57"/>
      <c r="C1" s="57"/>
    </row>
    <row r="2" spans="1:5" ht="18.75" customHeight="1" x14ac:dyDescent="0.2">
      <c r="A2" s="78" t="str">
        <f>Info!A4</f>
        <v>Reference year 2017</v>
      </c>
      <c r="B2" s="79"/>
    </row>
    <row r="3" spans="1:5" ht="15.75" customHeight="1" x14ac:dyDescent="0.2">
      <c r="A3" s="80"/>
      <c r="B3" s="81"/>
      <c r="C3" s="82"/>
      <c r="D3" s="20" t="str">
        <f>Info!$C$28</f>
        <v>FA_2017_20160519</v>
      </c>
    </row>
    <row r="4" spans="1:5" s="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5" x14ac:dyDescent="0.2">
      <c r="A5" s="28" t="s">
        <v>38</v>
      </c>
      <c r="B5" s="29"/>
      <c r="C5" s="29"/>
      <c r="D5" s="31" t="s">
        <v>83</v>
      </c>
    </row>
    <row r="6" spans="1:5" ht="20.25" customHeight="1" x14ac:dyDescent="0.2">
      <c r="A6" s="32"/>
      <c r="B6" s="33" t="s">
        <v>84</v>
      </c>
      <c r="C6" s="33" t="s">
        <v>85</v>
      </c>
      <c r="D6" s="34" t="s">
        <v>86</v>
      </c>
      <c r="E6" s="51"/>
    </row>
    <row r="7" spans="1:5" x14ac:dyDescent="0.2">
      <c r="A7" s="37" t="s">
        <v>48</v>
      </c>
      <c r="B7" s="38" t="s">
        <v>49</v>
      </c>
      <c r="C7" s="38" t="s">
        <v>87</v>
      </c>
      <c r="D7" s="85"/>
    </row>
    <row r="8" spans="1:5" s="35" customFormat="1" ht="11.25" customHeight="1" x14ac:dyDescent="0.2">
      <c r="A8" s="86" t="s">
        <v>51</v>
      </c>
      <c r="B8" s="40" t="s">
        <v>52</v>
      </c>
      <c r="C8" s="40"/>
      <c r="D8" s="39" t="s">
        <v>52</v>
      </c>
    </row>
    <row r="9" spans="1:5" ht="15" customHeight="1" x14ac:dyDescent="0.2">
      <c r="A9" s="41" t="s">
        <v>54</v>
      </c>
      <c r="B9" s="87">
        <v>366768569</v>
      </c>
      <c r="C9" s="88">
        <f t="shared" ref="C9:C34" si="0">C$35</f>
        <v>1.4999999999999999E-2</v>
      </c>
      <c r="D9" s="89">
        <f t="shared" ref="D9:D34" si="1">B9*C9</f>
        <v>5501528.5350000001</v>
      </c>
    </row>
    <row r="10" spans="1:5" ht="15" customHeight="1" x14ac:dyDescent="0.2">
      <c r="A10" s="45" t="s">
        <v>55</v>
      </c>
      <c r="B10" s="90">
        <v>149231610.95500001</v>
      </c>
      <c r="C10" s="91">
        <f t="shared" si="0"/>
        <v>1.4999999999999999E-2</v>
      </c>
      <c r="D10" s="92">
        <f t="shared" si="1"/>
        <v>2238474.1643250003</v>
      </c>
    </row>
    <row r="11" spans="1:5" ht="15" customHeight="1" x14ac:dyDescent="0.2">
      <c r="A11" s="48" t="s">
        <v>56</v>
      </c>
      <c r="B11" s="93">
        <v>68703684.839000002</v>
      </c>
      <c r="C11" s="94">
        <f t="shared" si="0"/>
        <v>1.4999999999999999E-2</v>
      </c>
      <c r="D11" s="95">
        <f t="shared" si="1"/>
        <v>1030555.272585</v>
      </c>
    </row>
    <row r="12" spans="1:5" ht="15" customHeight="1" x14ac:dyDescent="0.2">
      <c r="A12" s="45" t="s">
        <v>57</v>
      </c>
      <c r="B12" s="90">
        <v>5860605.4220000003</v>
      </c>
      <c r="C12" s="91">
        <f t="shared" si="0"/>
        <v>1.4999999999999999E-2</v>
      </c>
      <c r="D12" s="92">
        <f t="shared" si="1"/>
        <v>87909.081330000001</v>
      </c>
    </row>
    <row r="13" spans="1:5" ht="15" customHeight="1" x14ac:dyDescent="0.2">
      <c r="A13" s="48" t="s">
        <v>58</v>
      </c>
      <c r="B13" s="93">
        <v>90394111.711999997</v>
      </c>
      <c r="C13" s="94">
        <f t="shared" si="0"/>
        <v>1.4999999999999999E-2</v>
      </c>
      <c r="D13" s="95">
        <f t="shared" si="1"/>
        <v>1355911.6756799999</v>
      </c>
    </row>
    <row r="14" spans="1:5" ht="15" customHeight="1" x14ac:dyDescent="0.2">
      <c r="A14" s="45" t="s">
        <v>59</v>
      </c>
      <c r="B14" s="90">
        <v>9163917.1370000001</v>
      </c>
      <c r="C14" s="91">
        <f t="shared" si="0"/>
        <v>1.4999999999999999E-2</v>
      </c>
      <c r="D14" s="92">
        <f t="shared" si="1"/>
        <v>137458.75705499999</v>
      </c>
    </row>
    <row r="15" spans="1:5" ht="15" customHeight="1" x14ac:dyDescent="0.2">
      <c r="A15" s="48" t="s">
        <v>60</v>
      </c>
      <c r="B15" s="93">
        <v>25643908.642999999</v>
      </c>
      <c r="C15" s="94">
        <f t="shared" si="0"/>
        <v>1.4999999999999999E-2</v>
      </c>
      <c r="D15" s="95">
        <f t="shared" si="1"/>
        <v>384658.62964499998</v>
      </c>
    </row>
    <row r="16" spans="1:5" ht="15" customHeight="1" x14ac:dyDescent="0.2">
      <c r="A16" s="45" t="s">
        <v>61</v>
      </c>
      <c r="B16" s="90">
        <v>6634788.9859999996</v>
      </c>
      <c r="C16" s="91">
        <f t="shared" si="0"/>
        <v>1.4999999999999999E-2</v>
      </c>
      <c r="D16" s="92">
        <f t="shared" si="1"/>
        <v>99521.834789999994</v>
      </c>
    </row>
    <row r="17" spans="1:4" ht="15" customHeight="1" x14ac:dyDescent="0.2">
      <c r="A17" s="48" t="s">
        <v>62</v>
      </c>
      <c r="B17" s="93">
        <v>56100008.084553197</v>
      </c>
      <c r="C17" s="94">
        <f t="shared" si="0"/>
        <v>1.4999999999999999E-2</v>
      </c>
      <c r="D17" s="95">
        <f t="shared" si="1"/>
        <v>841500.12126829789</v>
      </c>
    </row>
    <row r="18" spans="1:4" ht="15" customHeight="1" x14ac:dyDescent="0.2">
      <c r="A18" s="45" t="s">
        <v>63</v>
      </c>
      <c r="B18" s="90">
        <v>26860401.390999999</v>
      </c>
      <c r="C18" s="91">
        <f t="shared" si="0"/>
        <v>1.4999999999999999E-2</v>
      </c>
      <c r="D18" s="92">
        <f t="shared" si="1"/>
        <v>402906.02086499997</v>
      </c>
    </row>
    <row r="19" spans="1:4" ht="15" customHeight="1" x14ac:dyDescent="0.2">
      <c r="A19" s="48" t="s">
        <v>64</v>
      </c>
      <c r="B19" s="93">
        <v>22877243.828000002</v>
      </c>
      <c r="C19" s="94">
        <f t="shared" si="0"/>
        <v>1.4999999999999999E-2</v>
      </c>
      <c r="D19" s="95">
        <f t="shared" si="1"/>
        <v>343158.65742</v>
      </c>
    </row>
    <row r="20" spans="1:4" ht="15" customHeight="1" x14ac:dyDescent="0.2">
      <c r="A20" s="45" t="s">
        <v>65</v>
      </c>
      <c r="B20" s="90">
        <v>48722141.862999998</v>
      </c>
      <c r="C20" s="91">
        <f t="shared" si="0"/>
        <v>1.4999999999999999E-2</v>
      </c>
      <c r="D20" s="92">
        <f t="shared" si="1"/>
        <v>730832.12794499996</v>
      </c>
    </row>
    <row r="21" spans="1:4" ht="15" customHeight="1" x14ac:dyDescent="0.2">
      <c r="A21" s="48" t="s">
        <v>66</v>
      </c>
      <c r="B21" s="93">
        <v>37519522.221000001</v>
      </c>
      <c r="C21" s="94">
        <f t="shared" si="0"/>
        <v>1.4999999999999999E-2</v>
      </c>
      <c r="D21" s="95">
        <f t="shared" si="1"/>
        <v>562792.83331499994</v>
      </c>
    </row>
    <row r="22" spans="1:4" ht="15" customHeight="1" x14ac:dyDescent="0.2">
      <c r="A22" s="45" t="s">
        <v>67</v>
      </c>
      <c r="B22" s="90">
        <v>11832726.444</v>
      </c>
      <c r="C22" s="91">
        <f t="shared" si="0"/>
        <v>1.4999999999999999E-2</v>
      </c>
      <c r="D22" s="92">
        <f t="shared" si="1"/>
        <v>177490.89666</v>
      </c>
    </row>
    <row r="23" spans="1:4" ht="15" customHeight="1" x14ac:dyDescent="0.2">
      <c r="A23" s="48" t="s">
        <v>68</v>
      </c>
      <c r="B23" s="93">
        <v>12402626.551000001</v>
      </c>
      <c r="C23" s="94">
        <f t="shared" si="0"/>
        <v>1.4999999999999999E-2</v>
      </c>
      <c r="D23" s="95">
        <f t="shared" si="1"/>
        <v>186039.398265</v>
      </c>
    </row>
    <row r="24" spans="1:4" ht="15" customHeight="1" x14ac:dyDescent="0.2">
      <c r="A24" s="45" t="s">
        <v>69</v>
      </c>
      <c r="B24" s="90">
        <v>4150192.977</v>
      </c>
      <c r="C24" s="91">
        <f t="shared" si="0"/>
        <v>1.4999999999999999E-2</v>
      </c>
      <c r="D24" s="92">
        <f t="shared" si="1"/>
        <v>62252.894654999996</v>
      </c>
    </row>
    <row r="25" spans="1:4" ht="15" customHeight="1" x14ac:dyDescent="0.2">
      <c r="A25" s="48" t="s">
        <v>70</v>
      </c>
      <c r="B25" s="93">
        <v>89220937.394999996</v>
      </c>
      <c r="C25" s="94">
        <f t="shared" si="0"/>
        <v>1.4999999999999999E-2</v>
      </c>
      <c r="D25" s="95">
        <f t="shared" si="1"/>
        <v>1338314.0609249999</v>
      </c>
    </row>
    <row r="26" spans="1:4" ht="15" customHeight="1" x14ac:dyDescent="0.2">
      <c r="A26" s="45" t="s">
        <v>71</v>
      </c>
      <c r="B26" s="90">
        <v>51928414.269000001</v>
      </c>
      <c r="C26" s="91">
        <f t="shared" si="0"/>
        <v>1.4999999999999999E-2</v>
      </c>
      <c r="D26" s="92">
        <f t="shared" si="1"/>
        <v>778926.21403499995</v>
      </c>
    </row>
    <row r="27" spans="1:4" ht="15" customHeight="1" x14ac:dyDescent="0.2">
      <c r="A27" s="48" t="s">
        <v>72</v>
      </c>
      <c r="B27" s="93">
        <v>101565786.63052399</v>
      </c>
      <c r="C27" s="94">
        <f t="shared" si="0"/>
        <v>1.4999999999999999E-2</v>
      </c>
      <c r="D27" s="95">
        <f t="shared" si="1"/>
        <v>1523486.7994578599</v>
      </c>
    </row>
    <row r="28" spans="1:4" ht="15" customHeight="1" x14ac:dyDescent="0.2">
      <c r="A28" s="45" t="s">
        <v>73</v>
      </c>
      <c r="B28" s="90">
        <v>45905070.799999997</v>
      </c>
      <c r="C28" s="91">
        <f t="shared" si="0"/>
        <v>1.4999999999999999E-2</v>
      </c>
      <c r="D28" s="92">
        <f t="shared" si="1"/>
        <v>688576.06199999992</v>
      </c>
    </row>
    <row r="29" spans="1:4" ht="15" customHeight="1" x14ac:dyDescent="0.2">
      <c r="A29" s="48" t="s">
        <v>74</v>
      </c>
      <c r="B29" s="93">
        <v>52456603.836000003</v>
      </c>
      <c r="C29" s="94">
        <f t="shared" si="0"/>
        <v>1.4999999999999999E-2</v>
      </c>
      <c r="D29" s="95">
        <f t="shared" si="1"/>
        <v>786849.05754000007</v>
      </c>
    </row>
    <row r="30" spans="1:4" ht="15" customHeight="1" x14ac:dyDescent="0.2">
      <c r="A30" s="45" t="s">
        <v>75</v>
      </c>
      <c r="B30" s="90">
        <v>121678903.228</v>
      </c>
      <c r="C30" s="91">
        <f t="shared" si="0"/>
        <v>1.4999999999999999E-2</v>
      </c>
      <c r="D30" s="92">
        <f t="shared" si="1"/>
        <v>1825183.5484199999</v>
      </c>
    </row>
    <row r="31" spans="1:4" ht="15" customHeight="1" x14ac:dyDescent="0.2">
      <c r="A31" s="48" t="s">
        <v>76</v>
      </c>
      <c r="B31" s="93">
        <v>42076921.671999998</v>
      </c>
      <c r="C31" s="94">
        <f t="shared" si="0"/>
        <v>1.4999999999999999E-2</v>
      </c>
      <c r="D31" s="95">
        <f t="shared" si="1"/>
        <v>631153.82507999998</v>
      </c>
    </row>
    <row r="32" spans="1:4" ht="15" customHeight="1" x14ac:dyDescent="0.2">
      <c r="A32" s="45" t="s">
        <v>77</v>
      </c>
      <c r="B32" s="90">
        <v>16407077.388</v>
      </c>
      <c r="C32" s="91">
        <f t="shared" si="0"/>
        <v>1.4999999999999999E-2</v>
      </c>
      <c r="D32" s="92">
        <f t="shared" si="1"/>
        <v>246106.16081999999</v>
      </c>
    </row>
    <row r="33" spans="1:4" ht="15" customHeight="1" x14ac:dyDescent="0.2">
      <c r="A33" s="48" t="s">
        <v>78</v>
      </c>
      <c r="B33" s="93">
        <v>97547667.656000003</v>
      </c>
      <c r="C33" s="94">
        <f t="shared" si="0"/>
        <v>1.4999999999999999E-2</v>
      </c>
      <c r="D33" s="95">
        <f t="shared" si="1"/>
        <v>1463215.0148400001</v>
      </c>
    </row>
    <row r="34" spans="1:4" ht="15" customHeight="1" x14ac:dyDescent="0.2">
      <c r="A34" s="45" t="s">
        <v>79</v>
      </c>
      <c r="B34" s="90">
        <v>6271200</v>
      </c>
      <c r="C34" s="91">
        <f t="shared" si="0"/>
        <v>1.4999999999999999E-2</v>
      </c>
      <c r="D34" s="92">
        <f t="shared" si="1"/>
        <v>94068</v>
      </c>
    </row>
    <row r="35" spans="1:4" s="51" customFormat="1" ht="18.75" customHeight="1" x14ac:dyDescent="0.2">
      <c r="A35" s="96" t="s">
        <v>80</v>
      </c>
      <c r="B35" s="97">
        <f>SUM(B9:B34)</f>
        <v>1567924642.9280767</v>
      </c>
      <c r="C35" s="98">
        <v>1.4999999999999999E-2</v>
      </c>
      <c r="D35" s="99">
        <f>SUM(D9:D34)</f>
        <v>23518869.643921159</v>
      </c>
    </row>
    <row r="37" spans="1:4" x14ac:dyDescent="0.2">
      <c r="B37" s="100"/>
    </row>
  </sheetData>
  <conditionalFormatting sqref="D9:D34">
    <cfRule type="expression" dxfId="12" priority="1" stopIfTrue="1">
      <formula>ISBLANK(D9)</formula>
    </cfRule>
  </conditionalFormatting>
  <conditionalFormatting sqref="B9:C34 C35">
    <cfRule type="expression" dxfId="11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2" width="19.85546875" style="1" customWidth="1"/>
    <col min="3" max="3" width="22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1" t="str">
        <f>"Profit of legal entities "&amp;Info!C31</f>
        <v>Profit of legal entities 2012</v>
      </c>
      <c r="B1" s="101"/>
      <c r="D1" s="102"/>
      <c r="E1" s="102"/>
    </row>
    <row r="2" spans="1:7" ht="15.75" customHeight="1" x14ac:dyDescent="0.2">
      <c r="A2" s="103" t="str">
        <f>Info!A4</f>
        <v>Reference year 2017</v>
      </c>
      <c r="B2" s="104"/>
      <c r="C2" s="103"/>
      <c r="D2" s="102"/>
      <c r="E2" s="102"/>
    </row>
    <row r="3" spans="1:7" x14ac:dyDescent="0.2">
      <c r="D3" s="20" t="str">
        <f>Info!$C$28</f>
        <v>FA_2017_20160519</v>
      </c>
      <c r="G3" s="20"/>
    </row>
    <row r="4" spans="1:7" s="2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7" s="26" customFormat="1" ht="11.25" customHeight="1" x14ac:dyDescent="0.2">
      <c r="A5" s="28" t="s">
        <v>38</v>
      </c>
      <c r="B5" s="29"/>
      <c r="C5" s="29"/>
      <c r="D5" s="31" t="s">
        <v>88</v>
      </c>
    </row>
    <row r="6" spans="1:7" ht="42.75" customHeight="1" x14ac:dyDescent="0.3">
      <c r="A6" s="105"/>
      <c r="B6" s="106" t="s">
        <v>89</v>
      </c>
      <c r="C6" s="106" t="s">
        <v>90</v>
      </c>
      <c r="D6" s="107" t="s">
        <v>91</v>
      </c>
    </row>
    <row r="7" spans="1:7" s="35" customFormat="1" ht="11.25" customHeight="1" x14ac:dyDescent="0.2">
      <c r="A7" s="37" t="s">
        <v>48</v>
      </c>
      <c r="B7" s="38" t="s">
        <v>49</v>
      </c>
      <c r="C7" s="38" t="s">
        <v>49</v>
      </c>
      <c r="D7" s="108"/>
    </row>
    <row r="8" spans="1:7" s="109" customFormat="1" x14ac:dyDescent="0.2">
      <c r="A8" s="86" t="s">
        <v>51</v>
      </c>
      <c r="B8" s="40" t="s">
        <v>52</v>
      </c>
      <c r="C8" s="40" t="s">
        <v>52</v>
      </c>
      <c r="D8" s="39" t="s">
        <v>52</v>
      </c>
      <c r="F8" s="110" t="s">
        <v>92</v>
      </c>
      <c r="G8" s="111"/>
    </row>
    <row r="9" spans="1:7" x14ac:dyDescent="0.2">
      <c r="A9" s="41" t="s">
        <v>54</v>
      </c>
      <c r="B9" s="42">
        <v>11392881.9</v>
      </c>
      <c r="C9" s="42">
        <v>426075.6936</v>
      </c>
      <c r="D9" s="112">
        <f t="shared" ref="D9:D34" si="0">B9+C9</f>
        <v>11818957.593600001</v>
      </c>
      <c r="F9" s="113" t="s">
        <v>93</v>
      </c>
      <c r="G9" s="114">
        <v>2.5999999999999999E-2</v>
      </c>
    </row>
    <row r="10" spans="1:7" x14ac:dyDescent="0.2">
      <c r="A10" s="45" t="s">
        <v>55</v>
      </c>
      <c r="B10" s="46">
        <v>5442476.7000000002</v>
      </c>
      <c r="C10" s="46">
        <v>68713.213300000003</v>
      </c>
      <c r="D10" s="115">
        <f t="shared" si="0"/>
        <v>5511189.9133000001</v>
      </c>
      <c r="F10" s="113" t="s">
        <v>94</v>
      </c>
      <c r="G10" s="114">
        <v>0.113</v>
      </c>
    </row>
    <row r="11" spans="1:7" x14ac:dyDescent="0.2">
      <c r="A11" s="48" t="s">
        <v>56</v>
      </c>
      <c r="B11" s="49">
        <v>3048719.3</v>
      </c>
      <c r="C11" s="49">
        <v>77410.382500000007</v>
      </c>
      <c r="D11" s="116">
        <f t="shared" si="0"/>
        <v>3126129.6824999996</v>
      </c>
      <c r="F11" s="113" t="s">
        <v>95</v>
      </c>
      <c r="G11" s="114">
        <v>0.123</v>
      </c>
    </row>
    <row r="12" spans="1:7" x14ac:dyDescent="0.2">
      <c r="A12" s="45" t="s">
        <v>57</v>
      </c>
      <c r="B12" s="46">
        <v>189392.2</v>
      </c>
      <c r="C12" s="46">
        <v>660.05700000000002</v>
      </c>
      <c r="D12" s="115">
        <f t="shared" si="0"/>
        <v>190052.25700000001</v>
      </c>
      <c r="F12" s="117" t="s">
        <v>96</v>
      </c>
      <c r="G12" s="118">
        <v>1</v>
      </c>
    </row>
    <row r="13" spans="1:7" x14ac:dyDescent="0.2">
      <c r="A13" s="48" t="s">
        <v>58</v>
      </c>
      <c r="B13" s="49">
        <v>1107859.8</v>
      </c>
      <c r="C13" s="49">
        <v>83439.419599999994</v>
      </c>
      <c r="D13" s="116">
        <f t="shared" si="0"/>
        <v>1191299.2196</v>
      </c>
    </row>
    <row r="14" spans="1:7" x14ac:dyDescent="0.2">
      <c r="A14" s="45" t="s">
        <v>59</v>
      </c>
      <c r="B14" s="46">
        <v>270130.2</v>
      </c>
      <c r="C14" s="46">
        <v>6323.6162999999997</v>
      </c>
      <c r="D14" s="115">
        <f t="shared" si="0"/>
        <v>276453.81630000001</v>
      </c>
    </row>
    <row r="15" spans="1:7" x14ac:dyDescent="0.2">
      <c r="A15" s="48" t="s">
        <v>60</v>
      </c>
      <c r="B15" s="49">
        <v>444143.2</v>
      </c>
      <c r="C15" s="49">
        <v>17366.465899999999</v>
      </c>
      <c r="D15" s="116">
        <f t="shared" si="0"/>
        <v>461509.66590000002</v>
      </c>
    </row>
    <row r="16" spans="1:7" x14ac:dyDescent="0.2">
      <c r="A16" s="45" t="s">
        <v>61</v>
      </c>
      <c r="B16" s="46">
        <v>151729.5</v>
      </c>
      <c r="C16" s="46">
        <v>13380.4352</v>
      </c>
      <c r="D16" s="115">
        <f t="shared" si="0"/>
        <v>165109.93520000001</v>
      </c>
    </row>
    <row r="17" spans="1:4" x14ac:dyDescent="0.2">
      <c r="A17" s="48" t="s">
        <v>62</v>
      </c>
      <c r="B17" s="49">
        <v>2328704.9</v>
      </c>
      <c r="C17" s="49">
        <v>1267091.1115000001</v>
      </c>
      <c r="D17" s="116">
        <f t="shared" si="0"/>
        <v>3595796.0115</v>
      </c>
    </row>
    <row r="18" spans="1:4" x14ac:dyDescent="0.2">
      <c r="A18" s="45" t="s">
        <v>63</v>
      </c>
      <c r="B18" s="46">
        <v>1680252.5</v>
      </c>
      <c r="C18" s="46">
        <v>408311.53830000001</v>
      </c>
      <c r="D18" s="115">
        <f t="shared" si="0"/>
        <v>2088564.0383000001</v>
      </c>
    </row>
    <row r="19" spans="1:4" x14ac:dyDescent="0.2">
      <c r="A19" s="48" t="s">
        <v>64</v>
      </c>
      <c r="B19" s="49">
        <v>1332741.1000000001</v>
      </c>
      <c r="C19" s="49">
        <v>14066.779399999999</v>
      </c>
      <c r="D19" s="116">
        <f t="shared" si="0"/>
        <v>1346807.8794</v>
      </c>
    </row>
    <row r="20" spans="1:4" x14ac:dyDescent="0.2">
      <c r="A20" s="45" t="s">
        <v>65</v>
      </c>
      <c r="B20" s="46">
        <v>1588888.5</v>
      </c>
      <c r="C20" s="46">
        <v>1653281.9912</v>
      </c>
      <c r="D20" s="115">
        <f t="shared" si="0"/>
        <v>3242170.4912</v>
      </c>
    </row>
    <row r="21" spans="1:4" x14ac:dyDescent="0.2">
      <c r="A21" s="48" t="s">
        <v>66</v>
      </c>
      <c r="B21" s="49">
        <v>1188252.1000000001</v>
      </c>
      <c r="C21" s="49">
        <v>162186.46950000001</v>
      </c>
      <c r="D21" s="116">
        <f t="shared" si="0"/>
        <v>1350438.5695000002</v>
      </c>
    </row>
    <row r="22" spans="1:4" x14ac:dyDescent="0.2">
      <c r="A22" s="45" t="s">
        <v>67</v>
      </c>
      <c r="B22" s="46">
        <v>538710.9</v>
      </c>
      <c r="C22" s="46">
        <v>267874.06829999998</v>
      </c>
      <c r="D22" s="115">
        <f t="shared" si="0"/>
        <v>806584.96830000007</v>
      </c>
    </row>
    <row r="23" spans="1:4" x14ac:dyDescent="0.2">
      <c r="A23" s="48" t="s">
        <v>68</v>
      </c>
      <c r="B23" s="49">
        <v>323542.8</v>
      </c>
      <c r="C23" s="49">
        <v>7322.6998000000003</v>
      </c>
      <c r="D23" s="116">
        <f t="shared" si="0"/>
        <v>330865.49979999999</v>
      </c>
    </row>
    <row r="24" spans="1:4" x14ac:dyDescent="0.2">
      <c r="A24" s="45" t="s">
        <v>69</v>
      </c>
      <c r="B24" s="46">
        <v>79761.899999999994</v>
      </c>
      <c r="C24" s="46">
        <v>2796.5050999999999</v>
      </c>
      <c r="D24" s="115">
        <f t="shared" si="0"/>
        <v>82558.405099999989</v>
      </c>
    </row>
    <row r="25" spans="1:4" x14ac:dyDescent="0.2">
      <c r="A25" s="48" t="s">
        <v>70</v>
      </c>
      <c r="B25" s="49">
        <v>2910865.4</v>
      </c>
      <c r="C25" s="49">
        <v>219048.3743</v>
      </c>
      <c r="D25" s="116">
        <f t="shared" si="0"/>
        <v>3129913.7742999997</v>
      </c>
    </row>
    <row r="26" spans="1:4" x14ac:dyDescent="0.2">
      <c r="A26" s="45" t="s">
        <v>71</v>
      </c>
      <c r="B26" s="46">
        <v>808476.7</v>
      </c>
      <c r="C26" s="46">
        <v>27996.6489</v>
      </c>
      <c r="D26" s="115">
        <f t="shared" si="0"/>
        <v>836473.34889999998</v>
      </c>
    </row>
    <row r="27" spans="1:4" x14ac:dyDescent="0.2">
      <c r="A27" s="48" t="s">
        <v>72</v>
      </c>
      <c r="B27" s="49">
        <v>3422953.6</v>
      </c>
      <c r="C27" s="49">
        <v>43880.940699999999</v>
      </c>
      <c r="D27" s="116">
        <f t="shared" si="0"/>
        <v>3466834.5407000002</v>
      </c>
    </row>
    <row r="28" spans="1:4" x14ac:dyDescent="0.2">
      <c r="A28" s="45" t="s">
        <v>73</v>
      </c>
      <c r="B28" s="46">
        <v>1252234.8</v>
      </c>
      <c r="C28" s="46">
        <v>17738.6325</v>
      </c>
      <c r="D28" s="115">
        <f t="shared" si="0"/>
        <v>1269973.4325000001</v>
      </c>
    </row>
    <row r="29" spans="1:4" x14ac:dyDescent="0.2">
      <c r="A29" s="48" t="s">
        <v>74</v>
      </c>
      <c r="B29" s="49">
        <v>2564362.4</v>
      </c>
      <c r="C29" s="49">
        <v>95268.649699999994</v>
      </c>
      <c r="D29" s="116">
        <f t="shared" si="0"/>
        <v>2659631.0496999999</v>
      </c>
    </row>
    <row r="30" spans="1:4" x14ac:dyDescent="0.2">
      <c r="A30" s="45" t="s">
        <v>75</v>
      </c>
      <c r="B30" s="46">
        <v>3707284.4</v>
      </c>
      <c r="C30" s="46">
        <v>1712649.0075000001</v>
      </c>
      <c r="D30" s="115">
        <f t="shared" si="0"/>
        <v>5419933.4074999997</v>
      </c>
    </row>
    <row r="31" spans="1:4" x14ac:dyDescent="0.2">
      <c r="A31" s="48" t="s">
        <v>76</v>
      </c>
      <c r="B31" s="49">
        <v>1178949.8999999999</v>
      </c>
      <c r="C31" s="49">
        <v>10577.1101</v>
      </c>
      <c r="D31" s="116">
        <f t="shared" si="0"/>
        <v>1189527.0100999998</v>
      </c>
    </row>
    <row r="32" spans="1:4" x14ac:dyDescent="0.2">
      <c r="A32" s="45" t="s">
        <v>77</v>
      </c>
      <c r="B32" s="46">
        <v>853299.1</v>
      </c>
      <c r="C32" s="46">
        <v>1077359.4912</v>
      </c>
      <c r="D32" s="115">
        <f t="shared" si="0"/>
        <v>1930658.5912000001</v>
      </c>
    </row>
    <row r="33" spans="1:6" x14ac:dyDescent="0.2">
      <c r="A33" s="48" t="s">
        <v>78</v>
      </c>
      <c r="B33" s="49">
        <v>4705856.7</v>
      </c>
      <c r="C33" s="49">
        <v>1136009.7546999999</v>
      </c>
      <c r="D33" s="116">
        <f t="shared" si="0"/>
        <v>5841866.4547000006</v>
      </c>
    </row>
    <row r="34" spans="1:6" x14ac:dyDescent="0.2">
      <c r="A34" s="119" t="s">
        <v>79</v>
      </c>
      <c r="B34" s="46">
        <v>376437.7</v>
      </c>
      <c r="C34" s="46">
        <v>12730.5437</v>
      </c>
      <c r="D34" s="115">
        <f t="shared" si="0"/>
        <v>389168.24369999999</v>
      </c>
    </row>
    <row r="35" spans="1:6" s="51" customFormat="1" x14ac:dyDescent="0.2">
      <c r="A35" s="53" t="s">
        <v>80</v>
      </c>
      <c r="B35" s="120">
        <f>SUM(B9:B34)</f>
        <v>52888908.200000003</v>
      </c>
      <c r="C35" s="120">
        <f>SUM(C9:C34)</f>
        <v>8829559.5998000018</v>
      </c>
      <c r="D35" s="55">
        <f>SUM(D9:D34)</f>
        <v>61718467.799800001</v>
      </c>
      <c r="F35" s="1"/>
    </row>
  </sheetData>
  <conditionalFormatting sqref="G9:G12 B6:C34 A6">
    <cfRule type="expression" dxfId="10" priority="1" stopIfTrue="1">
      <formula>ISBLANK(A1073741823)</formula>
    </cfRule>
  </conditionalFormatting>
  <conditionalFormatting sqref="G9:G12">
    <cfRule type="expression" dxfId="9" priority="2" stopIfTrue="1">
      <formula>ISBLANK(G9)</formula>
    </cfRule>
  </conditionalFormatting>
  <conditionalFormatting sqref="B9:C34">
    <cfRule type="expression" dxfId="8" priority="3" stopIfTrue="1">
      <formula>ISBLANK(A1073741823)</formula>
    </cfRule>
  </conditionalFormatting>
  <conditionalFormatting sqref="B9:C34">
    <cfRule type="expression" dxfId="7" priority="4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0.140625" style="1" customWidth="1"/>
    <col min="3" max="5" width="14.28515625" style="1" customWidth="1"/>
    <col min="6" max="6" width="21.5703125" style="1" customWidth="1"/>
    <col min="7" max="7" width="22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B1" s="16" t="str">
        <f>"Tax repartition "&amp;Info!C31</f>
        <v>Tax repartition 2012</v>
      </c>
      <c r="D1" s="17"/>
      <c r="E1" s="18" t="str">
        <f>Info!A4</f>
        <v>Reference year 2017</v>
      </c>
      <c r="I1" s="20" t="str">
        <f>Info!$C$28</f>
        <v>FA_2017_20160519</v>
      </c>
    </row>
    <row r="2" spans="1:9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9" s="1" customFormat="1" x14ac:dyDescent="0.2">
      <c r="A3" s="27"/>
      <c r="B3" s="28" t="s">
        <v>38</v>
      </c>
      <c r="C3" s="29"/>
      <c r="D3" s="29"/>
      <c r="E3" s="29" t="s">
        <v>97</v>
      </c>
      <c r="F3" s="29"/>
      <c r="G3" s="29"/>
      <c r="H3" s="29" t="s">
        <v>98</v>
      </c>
      <c r="I3" s="121" t="s">
        <v>99</v>
      </c>
    </row>
    <row r="4" spans="1:9" ht="40.5" customHeight="1" x14ac:dyDescent="0.2">
      <c r="B4" s="32"/>
      <c r="C4" s="33" t="s">
        <v>100</v>
      </c>
      <c r="D4" s="33" t="s">
        <v>101</v>
      </c>
      <c r="E4" s="33" t="s">
        <v>102</v>
      </c>
      <c r="F4" s="33" t="s">
        <v>103</v>
      </c>
      <c r="G4" s="33" t="s">
        <v>104</v>
      </c>
      <c r="H4" s="33" t="s">
        <v>105</v>
      </c>
      <c r="I4" s="34" t="s">
        <v>106</v>
      </c>
    </row>
    <row r="5" spans="1:9" x14ac:dyDescent="0.2">
      <c r="A5" s="122"/>
      <c r="B5" s="123" t="s">
        <v>48</v>
      </c>
      <c r="C5" s="38" t="s">
        <v>49</v>
      </c>
      <c r="D5" s="38" t="s">
        <v>49</v>
      </c>
      <c r="E5" s="38"/>
      <c r="F5" s="38" t="s">
        <v>49</v>
      </c>
      <c r="G5" s="38" t="s">
        <v>107</v>
      </c>
      <c r="H5" s="38"/>
      <c r="I5" s="85"/>
    </row>
    <row r="6" spans="1:9" s="35" customFormat="1" ht="11.25" customHeight="1" x14ac:dyDescent="0.2">
      <c r="A6" s="36"/>
      <c r="B6" s="37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40"/>
      <c r="I6" s="39" t="s">
        <v>52</v>
      </c>
    </row>
    <row r="7" spans="1:9" x14ac:dyDescent="0.2">
      <c r="B7" s="41" t="s">
        <v>54</v>
      </c>
      <c r="C7" s="42">
        <v>41530.370000000003</v>
      </c>
      <c r="D7" s="42">
        <v>27642.6191</v>
      </c>
      <c r="E7" s="124">
        <f t="shared" ref="E7:E32" si="0">D7-C7</f>
        <v>-13887.750900000003</v>
      </c>
      <c r="F7" s="42">
        <v>3723269.3775301198</v>
      </c>
      <c r="G7" s="124">
        <f>PI!J7+ITS!C7+LE!D9</f>
        <v>48668336.248955131</v>
      </c>
      <c r="H7" s="125">
        <f t="shared" ref="H7:H33" si="1">G7/F7</f>
        <v>13.071398095090267</v>
      </c>
      <c r="I7" s="126">
        <f t="shared" ref="I7:I32" si="2">E7*H7</f>
        <v>-181532.32065934816</v>
      </c>
    </row>
    <row r="8" spans="1:9" x14ac:dyDescent="0.2">
      <c r="B8" s="45" t="s">
        <v>55</v>
      </c>
      <c r="C8" s="46">
        <v>41110.660499999904</v>
      </c>
      <c r="D8" s="46">
        <v>10916.6952</v>
      </c>
      <c r="E8" s="127">
        <f t="shared" si="0"/>
        <v>-30193.965299999902</v>
      </c>
      <c r="F8" s="46">
        <v>1164960.27060241</v>
      </c>
      <c r="G8" s="127">
        <f>PI!J8+ITS!C8+LE!D10</f>
        <v>21910758.098150074</v>
      </c>
      <c r="H8" s="128">
        <f t="shared" si="1"/>
        <v>18.808159085820026</v>
      </c>
      <c r="I8" s="129">
        <f t="shared" si="2"/>
        <v>-567892.9027941277</v>
      </c>
    </row>
    <row r="9" spans="1:9" x14ac:dyDescent="0.2">
      <c r="B9" s="48" t="s">
        <v>56</v>
      </c>
      <c r="C9" s="49">
        <v>4079.8249999999998</v>
      </c>
      <c r="D9" s="49">
        <v>6146.0667000000003</v>
      </c>
      <c r="E9" s="130">
        <f t="shared" si="0"/>
        <v>2066.2417000000005</v>
      </c>
      <c r="F9" s="49">
        <v>554730.05608433695</v>
      </c>
      <c r="G9" s="130">
        <f>PI!J9+ITS!C9+LE!D11</f>
        <v>10013662.082134917</v>
      </c>
      <c r="H9" s="131">
        <f t="shared" si="1"/>
        <v>18.0514143272102</v>
      </c>
      <c r="I9" s="132">
        <f t="shared" si="2"/>
        <v>37298.585026859168</v>
      </c>
    </row>
    <row r="10" spans="1:9" x14ac:dyDescent="0.2">
      <c r="B10" s="45" t="s">
        <v>57</v>
      </c>
      <c r="C10" s="46">
        <v>447.52859999999998</v>
      </c>
      <c r="D10" s="46">
        <v>561.21489999999994</v>
      </c>
      <c r="E10" s="127">
        <f t="shared" si="0"/>
        <v>113.68629999999996</v>
      </c>
      <c r="F10" s="46">
        <v>31479.383253012002</v>
      </c>
      <c r="G10" s="127">
        <f>PI!J10+ITS!C10+LE!D12</f>
        <v>683869.75101691089</v>
      </c>
      <c r="H10" s="128">
        <f t="shared" si="1"/>
        <v>21.724369423644191</v>
      </c>
      <c r="I10" s="129">
        <f t="shared" si="2"/>
        <v>2469.7631796072396</v>
      </c>
    </row>
    <row r="11" spans="1:9" x14ac:dyDescent="0.2">
      <c r="B11" s="48" t="s">
        <v>58</v>
      </c>
      <c r="C11" s="49">
        <v>2352.9308500000002</v>
      </c>
      <c r="D11" s="49">
        <v>2122.2939000000001</v>
      </c>
      <c r="E11" s="130">
        <f t="shared" si="0"/>
        <v>-230.63695000000007</v>
      </c>
      <c r="F11" s="49">
        <v>721700.01090361399</v>
      </c>
      <c r="G11" s="130">
        <f>PI!J11+ITS!C11+LE!D13</f>
        <v>6550917.2232263237</v>
      </c>
      <c r="H11" s="131">
        <f t="shared" si="1"/>
        <v>9.0770640491250116</v>
      </c>
      <c r="I11" s="132">
        <f t="shared" si="2"/>
        <v>-2093.5063672448437</v>
      </c>
    </row>
    <row r="12" spans="1:9" x14ac:dyDescent="0.2">
      <c r="B12" s="45" t="s">
        <v>59</v>
      </c>
      <c r="C12" s="46">
        <v>160.649</v>
      </c>
      <c r="D12" s="46">
        <v>706.86379999999997</v>
      </c>
      <c r="E12" s="127">
        <f t="shared" si="0"/>
        <v>546.21479999999997</v>
      </c>
      <c r="F12" s="46">
        <v>61132.817433734897</v>
      </c>
      <c r="G12" s="127">
        <f>PI!J12+ITS!C12+LE!D14</f>
        <v>980814.08377842465</v>
      </c>
      <c r="H12" s="128">
        <f t="shared" si="1"/>
        <v>16.043986273683217</v>
      </c>
      <c r="I12" s="129">
        <f t="shared" si="2"/>
        <v>8763.4627536826229</v>
      </c>
    </row>
    <row r="13" spans="1:9" x14ac:dyDescent="0.2">
      <c r="B13" s="48" t="s">
        <v>60</v>
      </c>
      <c r="C13" s="49">
        <v>136.18100000000001</v>
      </c>
      <c r="D13" s="49">
        <v>798.18534999999997</v>
      </c>
      <c r="E13" s="130">
        <f t="shared" si="0"/>
        <v>662.00434999999993</v>
      </c>
      <c r="F13" s="49">
        <v>138403.60602409599</v>
      </c>
      <c r="G13" s="130">
        <f>PI!J13+ITS!C13+LE!D15</f>
        <v>1627630.7202025508</v>
      </c>
      <c r="H13" s="131">
        <f t="shared" si="1"/>
        <v>11.760031165078034</v>
      </c>
      <c r="I13" s="132">
        <f t="shared" si="2"/>
        <v>7785.1917874172259</v>
      </c>
    </row>
    <row r="14" spans="1:9" x14ac:dyDescent="0.2">
      <c r="B14" s="45" t="s">
        <v>61</v>
      </c>
      <c r="C14" s="46">
        <v>236.327</v>
      </c>
      <c r="D14" s="46">
        <v>737.05925000000002</v>
      </c>
      <c r="E14" s="127">
        <f t="shared" si="0"/>
        <v>500.73225000000002</v>
      </c>
      <c r="F14" s="46">
        <v>44621.503132530102</v>
      </c>
      <c r="G14" s="127">
        <f>PI!J14+ITS!C14+LE!D16</f>
        <v>769479.72656815243</v>
      </c>
      <c r="H14" s="128">
        <f t="shared" si="1"/>
        <v>17.244594479095081</v>
      </c>
      <c r="I14" s="129">
        <f t="shared" si="2"/>
        <v>8634.9245938548574</v>
      </c>
    </row>
    <row r="15" spans="1:9" x14ac:dyDescent="0.2">
      <c r="B15" s="48" t="s">
        <v>62</v>
      </c>
      <c r="C15" s="49">
        <v>3137.3328499999998</v>
      </c>
      <c r="D15" s="49">
        <v>4076.1628500000002</v>
      </c>
      <c r="E15" s="130">
        <f t="shared" si="0"/>
        <v>938.83000000000038</v>
      </c>
      <c r="F15" s="49">
        <v>1628177.6298433701</v>
      </c>
      <c r="G15" s="130">
        <f>PI!J15+ITS!C15+LE!D17</f>
        <v>8542929.0060781054</v>
      </c>
      <c r="H15" s="131">
        <f t="shared" si="1"/>
        <v>5.2469269012742368</v>
      </c>
      <c r="I15" s="132">
        <f t="shared" si="2"/>
        <v>4925.9723827232938</v>
      </c>
    </row>
    <row r="16" spans="1:9" x14ac:dyDescent="0.2">
      <c r="B16" s="45" t="s">
        <v>63</v>
      </c>
      <c r="C16" s="46">
        <v>4740.9229999999998</v>
      </c>
      <c r="D16" s="46">
        <v>4453.5186999999996</v>
      </c>
      <c r="E16" s="127">
        <f t="shared" si="0"/>
        <v>-287.40430000000015</v>
      </c>
      <c r="F16" s="46">
        <v>489305.65245783102</v>
      </c>
      <c r="G16" s="127">
        <f>PI!J16+ITS!C16+LE!D18</f>
        <v>6924272.4523337809</v>
      </c>
      <c r="H16" s="128">
        <f t="shared" si="1"/>
        <v>14.151221056925198</v>
      </c>
      <c r="I16" s="129">
        <f t="shared" si="2"/>
        <v>-4067.1217820108491</v>
      </c>
    </row>
    <row r="17" spans="2:9" x14ac:dyDescent="0.2">
      <c r="B17" s="48" t="s">
        <v>64</v>
      </c>
      <c r="C17" s="49">
        <v>2137.0169500000002</v>
      </c>
      <c r="D17" s="49">
        <v>8717.5470000000005</v>
      </c>
      <c r="E17" s="130">
        <f t="shared" si="0"/>
        <v>6580.5300500000003</v>
      </c>
      <c r="F17" s="49">
        <v>316529.40773494</v>
      </c>
      <c r="G17" s="130">
        <f>PI!J17+ITS!C17+LE!D19</f>
        <v>5968501.6003799019</v>
      </c>
      <c r="H17" s="131">
        <f t="shared" si="1"/>
        <v>18.856072941500248</v>
      </c>
      <c r="I17" s="132">
        <f t="shared" si="2"/>
        <v>124082.95461653428</v>
      </c>
    </row>
    <row r="18" spans="2:9" x14ac:dyDescent="0.2">
      <c r="B18" s="45" t="s">
        <v>65</v>
      </c>
      <c r="C18" s="46">
        <v>7935.12925</v>
      </c>
      <c r="D18" s="46">
        <v>6491.7960000000003</v>
      </c>
      <c r="E18" s="127">
        <f t="shared" si="0"/>
        <v>-1443.3332499999997</v>
      </c>
      <c r="F18" s="46">
        <v>971180.37867469899</v>
      </c>
      <c r="G18" s="127">
        <f>PI!J18+ITS!C18+LE!D20</f>
        <v>8399562.297441002</v>
      </c>
      <c r="H18" s="128">
        <f t="shared" si="1"/>
        <v>8.6488179558397675</v>
      </c>
      <c r="I18" s="129">
        <f t="shared" si="2"/>
        <v>-12483.126528860565</v>
      </c>
    </row>
    <row r="19" spans="2:9" x14ac:dyDescent="0.2">
      <c r="B19" s="48" t="s">
        <v>66</v>
      </c>
      <c r="C19" s="49">
        <v>6929.8670000000002</v>
      </c>
      <c r="D19" s="49">
        <v>4326.3513999999996</v>
      </c>
      <c r="E19" s="130">
        <f t="shared" si="0"/>
        <v>-2603.5156000000006</v>
      </c>
      <c r="F19" s="49">
        <v>557349.39759036095</v>
      </c>
      <c r="G19" s="130">
        <f>PI!J19+ITS!C19+LE!D21</f>
        <v>8038049.3212651815</v>
      </c>
      <c r="H19" s="131">
        <f t="shared" si="1"/>
        <v>14.42192160970624</v>
      </c>
      <c r="I19" s="132">
        <f t="shared" si="2"/>
        <v>-37547.697892847318</v>
      </c>
    </row>
    <row r="20" spans="2:9" x14ac:dyDescent="0.2">
      <c r="B20" s="45" t="s">
        <v>67</v>
      </c>
      <c r="C20" s="46">
        <v>787.25890000000004</v>
      </c>
      <c r="D20" s="46">
        <v>2887.9117000000001</v>
      </c>
      <c r="E20" s="127">
        <f t="shared" si="0"/>
        <v>2100.6527999999998</v>
      </c>
      <c r="F20" s="46">
        <v>192392.29132530099</v>
      </c>
      <c r="G20" s="127">
        <f>PI!J20+ITS!C20+LE!D22</f>
        <v>2212774.3774873628</v>
      </c>
      <c r="H20" s="128">
        <f t="shared" si="1"/>
        <v>11.50136714025593</v>
      </c>
      <c r="I20" s="129">
        <f t="shared" si="2"/>
        <v>24160.379087006608</v>
      </c>
    </row>
    <row r="21" spans="2:9" x14ac:dyDescent="0.2">
      <c r="B21" s="48" t="s">
        <v>68</v>
      </c>
      <c r="C21" s="49">
        <v>1537.5105000000001</v>
      </c>
      <c r="D21" s="49">
        <v>844.21450000000004</v>
      </c>
      <c r="E21" s="130">
        <f t="shared" si="0"/>
        <v>-693.29600000000005</v>
      </c>
      <c r="F21" s="49">
        <v>75769.770132530102</v>
      </c>
      <c r="G21" s="130">
        <f>PI!J21+ITS!C21+LE!D23</f>
        <v>1287017.9909719769</v>
      </c>
      <c r="H21" s="131">
        <f t="shared" si="1"/>
        <v>16.985903332171041</v>
      </c>
      <c r="I21" s="132">
        <f t="shared" si="2"/>
        <v>-11776.258836580855</v>
      </c>
    </row>
    <row r="22" spans="2:9" x14ac:dyDescent="0.2">
      <c r="B22" s="45" t="s">
        <v>69</v>
      </c>
      <c r="C22" s="46">
        <v>222.34475</v>
      </c>
      <c r="D22" s="46">
        <v>253.98464999999999</v>
      </c>
      <c r="E22" s="127">
        <f t="shared" si="0"/>
        <v>31.639899999999983</v>
      </c>
      <c r="F22" s="46">
        <v>25527.371807228901</v>
      </c>
      <c r="G22" s="127">
        <f>PI!J22+ITS!C22+LE!D24</f>
        <v>367229.14188481838</v>
      </c>
      <c r="H22" s="128">
        <f t="shared" si="1"/>
        <v>14.38570114690873</v>
      </c>
      <c r="I22" s="129">
        <f t="shared" si="2"/>
        <v>455.16214571807728</v>
      </c>
    </row>
    <row r="23" spans="2:9" x14ac:dyDescent="0.2">
      <c r="B23" s="48" t="s">
        <v>70</v>
      </c>
      <c r="C23" s="49">
        <v>7719.4880000000003</v>
      </c>
      <c r="D23" s="49">
        <v>8389.1532000000007</v>
      </c>
      <c r="E23" s="130">
        <f t="shared" si="0"/>
        <v>669.66520000000037</v>
      </c>
      <c r="F23" s="49">
        <v>641389.02851807198</v>
      </c>
      <c r="G23" s="130">
        <f>PI!J23+ITS!C23+LE!D25</f>
        <v>11126405.298206341</v>
      </c>
      <c r="H23" s="131">
        <f t="shared" si="1"/>
        <v>17.347358316860948</v>
      </c>
      <c r="I23" s="132">
        <f t="shared" si="2"/>
        <v>11616.922176732356</v>
      </c>
    </row>
    <row r="24" spans="2:9" x14ac:dyDescent="0.2">
      <c r="B24" s="45" t="s">
        <v>71</v>
      </c>
      <c r="C24" s="46">
        <v>1477.3340000000001</v>
      </c>
      <c r="D24" s="46">
        <v>9688.4477999999999</v>
      </c>
      <c r="E24" s="127">
        <f t="shared" si="0"/>
        <v>8211.1137999999992</v>
      </c>
      <c r="F24" s="46">
        <v>259641.79598795201</v>
      </c>
      <c r="G24" s="127">
        <f>PI!J24+ITS!C24+LE!D26</f>
        <v>4462612.4542764956</v>
      </c>
      <c r="H24" s="128">
        <f t="shared" si="1"/>
        <v>17.187573507940037</v>
      </c>
      <c r="I24" s="129">
        <f t="shared" si="2"/>
        <v>141129.12201956083</v>
      </c>
    </row>
    <row r="25" spans="2:9" x14ac:dyDescent="0.2">
      <c r="B25" s="48" t="s">
        <v>72</v>
      </c>
      <c r="C25" s="49">
        <v>13384.618</v>
      </c>
      <c r="D25" s="49">
        <v>9641.4383500000004</v>
      </c>
      <c r="E25" s="130">
        <f t="shared" si="0"/>
        <v>-3743.17965</v>
      </c>
      <c r="F25" s="49">
        <v>928906.50879518106</v>
      </c>
      <c r="G25" s="130">
        <f>PI!J25+ITS!C25+LE!D27</f>
        <v>15835532.218027148</v>
      </c>
      <c r="H25" s="131">
        <f t="shared" si="1"/>
        <v>17.047498395254326</v>
      </c>
      <c r="I25" s="132">
        <f t="shared" si="2"/>
        <v>-63811.849076523649</v>
      </c>
    </row>
    <row r="26" spans="2:9" x14ac:dyDescent="0.2">
      <c r="B26" s="45" t="s">
        <v>73</v>
      </c>
      <c r="C26" s="46">
        <v>2326.8009999999999</v>
      </c>
      <c r="D26" s="46">
        <v>3727.5353</v>
      </c>
      <c r="E26" s="127">
        <f t="shared" si="0"/>
        <v>1400.7343000000001</v>
      </c>
      <c r="F26" s="46">
        <v>312483.27180722897</v>
      </c>
      <c r="G26" s="127">
        <f>PI!J26+ITS!C26+LE!D28</f>
        <v>5796253.4680820582</v>
      </c>
      <c r="H26" s="128">
        <f t="shared" si="1"/>
        <v>18.549004030070989</v>
      </c>
      <c r="I26" s="129">
        <f t="shared" si="2"/>
        <v>25982.226175758668</v>
      </c>
    </row>
    <row r="27" spans="2:9" x14ac:dyDescent="0.2">
      <c r="B27" s="48" t="s">
        <v>74</v>
      </c>
      <c r="C27" s="49">
        <v>2546.8620500000002</v>
      </c>
      <c r="D27" s="49">
        <v>10328.79465</v>
      </c>
      <c r="E27" s="130">
        <f t="shared" si="0"/>
        <v>7781.9326000000001</v>
      </c>
      <c r="F27" s="49">
        <v>648267.32327710895</v>
      </c>
      <c r="G27" s="130">
        <f>PI!J27+ITS!C27+LE!D29</f>
        <v>9783251.5453766994</v>
      </c>
      <c r="H27" s="131">
        <f t="shared" si="1"/>
        <v>15.091384671250415</v>
      </c>
      <c r="I27" s="132">
        <f t="shared" si="2"/>
        <v>117440.13835234389</v>
      </c>
    </row>
    <row r="28" spans="2:9" x14ac:dyDescent="0.2">
      <c r="B28" s="45" t="s">
        <v>75</v>
      </c>
      <c r="C28" s="46">
        <v>13858.33</v>
      </c>
      <c r="D28" s="46">
        <v>15622.4656</v>
      </c>
      <c r="E28" s="127">
        <f t="shared" si="0"/>
        <v>1764.1355999999996</v>
      </c>
      <c r="F28" s="46">
        <v>1961039.7167469901</v>
      </c>
      <c r="G28" s="127">
        <f>PI!J28+ITS!C28+LE!D30</f>
        <v>22390276.049765166</v>
      </c>
      <c r="H28" s="128">
        <f t="shared" si="1"/>
        <v>11.417553585761425</v>
      </c>
      <c r="I28" s="129">
        <f t="shared" si="2"/>
        <v>20142.112745549377</v>
      </c>
    </row>
    <row r="29" spans="2:9" x14ac:dyDescent="0.2">
      <c r="B29" s="48" t="s">
        <v>76</v>
      </c>
      <c r="C29" s="49">
        <v>300.28699999999998</v>
      </c>
      <c r="D29" s="49">
        <v>6732.0703999999996</v>
      </c>
      <c r="E29" s="130">
        <f t="shared" si="0"/>
        <v>6431.7833999999993</v>
      </c>
      <c r="F29" s="49">
        <v>311777.584084337</v>
      </c>
      <c r="G29" s="130">
        <f>PI!J29+ITS!C29+LE!D31</f>
        <v>6256006.0327704102</v>
      </c>
      <c r="H29" s="131">
        <f t="shared" si="1"/>
        <v>20.065605585929926</v>
      </c>
      <c r="I29" s="132">
        <f t="shared" si="2"/>
        <v>129057.62891853137</v>
      </c>
    </row>
    <row r="30" spans="2:9" x14ac:dyDescent="0.2">
      <c r="B30" s="45" t="s">
        <v>77</v>
      </c>
      <c r="C30" s="46">
        <v>1330.8630000000001</v>
      </c>
      <c r="D30" s="46">
        <v>9638.8192999999992</v>
      </c>
      <c r="E30" s="127">
        <f t="shared" si="0"/>
        <v>8307.9562999999998</v>
      </c>
      <c r="F30" s="46">
        <v>406851.07018072298</v>
      </c>
      <c r="G30" s="127">
        <f>PI!J30+ITS!C30+LE!D32</f>
        <v>4897330.6462464686</v>
      </c>
      <c r="H30" s="128">
        <f t="shared" si="1"/>
        <v>12.037158078682397</v>
      </c>
      <c r="I30" s="129">
        <f t="shared" si="2"/>
        <v>100004.18329388532</v>
      </c>
    </row>
    <row r="31" spans="2:9" x14ac:dyDescent="0.2">
      <c r="B31" s="48" t="s">
        <v>78</v>
      </c>
      <c r="C31" s="49">
        <v>5439.4529499999999</v>
      </c>
      <c r="D31" s="49">
        <v>9105.2829000000002</v>
      </c>
      <c r="E31" s="130">
        <f t="shared" si="0"/>
        <v>3665.8299500000003</v>
      </c>
      <c r="F31" s="49">
        <v>2249700.5383734899</v>
      </c>
      <c r="G31" s="130">
        <f>PI!J31+ITS!C31+LE!D33</f>
        <v>19929114.458746549</v>
      </c>
      <c r="H31" s="131">
        <f t="shared" si="1"/>
        <v>8.8585632259994433</v>
      </c>
      <c r="I31" s="132">
        <f t="shared" si="2"/>
        <v>32473.98638783738</v>
      </c>
    </row>
    <row r="32" spans="2:9" x14ac:dyDescent="0.2">
      <c r="B32" s="45" t="s">
        <v>79</v>
      </c>
      <c r="C32" s="46">
        <v>231.27555000000001</v>
      </c>
      <c r="D32" s="46">
        <v>1540.6741999999999</v>
      </c>
      <c r="E32" s="127">
        <f t="shared" si="0"/>
        <v>1309.3986499999999</v>
      </c>
      <c r="F32" s="46">
        <v>76984.436506024096</v>
      </c>
      <c r="G32" s="127">
        <f>PI!J32+ITS!C32+LE!D34</f>
        <v>1381790.3384876293</v>
      </c>
      <c r="H32" s="128">
        <f t="shared" si="1"/>
        <v>17.94895697365406</v>
      </c>
      <c r="I32" s="129">
        <f t="shared" si="2"/>
        <v>23502.340030210707</v>
      </c>
    </row>
    <row r="33" spans="1:9" s="51" customFormat="1" x14ac:dyDescent="0.2">
      <c r="A33" s="52"/>
      <c r="B33" s="53" t="s">
        <v>80</v>
      </c>
      <c r="C33" s="54">
        <f>SUM(C7:C32)</f>
        <v>166097.16669999994</v>
      </c>
      <c r="D33" s="54">
        <f>SUM(D7:D32)</f>
        <v>166097.1667</v>
      </c>
      <c r="E33" s="54">
        <f>SUM(E7:E32)</f>
        <v>9.4360075308941305E-11</v>
      </c>
      <c r="F33" s="54">
        <f>SUM(F7:F32)</f>
        <v>18493570.198807225</v>
      </c>
      <c r="G33" s="54">
        <f>SUM(G7:G32)</f>
        <v>234804376.63185957</v>
      </c>
      <c r="H33" s="133">
        <f t="shared" si="1"/>
        <v>12.696541236099652</v>
      </c>
      <c r="I33" s="55">
        <f>SUM(I7:I32)</f>
        <v>-61279.728263730911</v>
      </c>
    </row>
  </sheetData>
  <conditionalFormatting sqref="G7:I32 E7:E32">
    <cfRule type="expression" dxfId="6" priority="1" stopIfTrue="1">
      <formula>ISBLANK(E7)</formula>
    </cfRule>
  </conditionalFormatting>
  <conditionalFormatting sqref="C7:D32 F7:F32">
    <cfRule type="expression" dxfId="5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0" customHeight="1" x14ac:dyDescent="0.2">
      <c r="A1" s="15"/>
      <c r="B1" s="134" t="str">
        <f>"Total ATB "&amp;Info!C31</f>
        <v>Total ATB 2012</v>
      </c>
      <c r="C1" s="134"/>
      <c r="D1" s="135" t="str">
        <f>Info!A4</f>
        <v>Reference year 2017</v>
      </c>
      <c r="E1" s="135"/>
      <c r="H1" s="20" t="str">
        <f>Info!$C$28</f>
        <v>FA_2017_20160519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5" t="s">
        <v>35</v>
      </c>
    </row>
    <row r="3" spans="1:10" x14ac:dyDescent="0.2">
      <c r="A3" s="27"/>
      <c r="B3" s="28" t="s">
        <v>38</v>
      </c>
      <c r="C3" s="29"/>
      <c r="D3" s="29"/>
      <c r="E3" s="29"/>
      <c r="F3" s="29"/>
      <c r="G3" s="29"/>
      <c r="H3" s="31" t="s">
        <v>108</v>
      </c>
    </row>
    <row r="4" spans="1:10" ht="30" customHeight="1" x14ac:dyDescent="0.2">
      <c r="A4" s="58"/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4" t="s">
        <v>110</v>
      </c>
    </row>
    <row r="5" spans="1:10" s="35" customFormat="1" ht="11.25" customHeight="1" x14ac:dyDescent="0.2">
      <c r="A5" s="36"/>
      <c r="B5" s="37" t="s">
        <v>111</v>
      </c>
      <c r="C5" s="38">
        <f>Info!$C$31</f>
        <v>2012</v>
      </c>
      <c r="D5" s="38">
        <f>Info!$C$31</f>
        <v>2012</v>
      </c>
      <c r="E5" s="38">
        <f>Info!$C$31</f>
        <v>2012</v>
      </c>
      <c r="F5" s="136">
        <f>Info!$C$31</f>
        <v>2012</v>
      </c>
      <c r="G5" s="38">
        <f>Info!$C$31</f>
        <v>2012</v>
      </c>
      <c r="H5" s="85">
        <f>Info!$C$31</f>
        <v>2012</v>
      </c>
    </row>
    <row r="6" spans="1:10" s="35" customFormat="1" ht="11.25" customHeight="1" x14ac:dyDescent="0.2">
      <c r="A6" s="36"/>
      <c r="B6" s="86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39" t="s">
        <v>52</v>
      </c>
    </row>
    <row r="7" spans="1:10" x14ac:dyDescent="0.2">
      <c r="B7" s="41" t="s">
        <v>54</v>
      </c>
      <c r="C7" s="124">
        <f>PI!J7</f>
        <v>34905079.600000001</v>
      </c>
      <c r="D7" s="124">
        <f>ITS!C7</f>
        <v>1944299.05535513</v>
      </c>
      <c r="E7" s="124">
        <f>Wealth!D9</f>
        <v>5501528.5350000001</v>
      </c>
      <c r="F7" s="137">
        <f>LE!D9</f>
        <v>11818957.593600001</v>
      </c>
      <c r="G7" s="124">
        <f>REPART!I7</f>
        <v>-181532.32065934816</v>
      </c>
      <c r="H7" s="126">
        <f t="shared" ref="H7:H32" si="0">SUM(C7:G7)</f>
        <v>53988332.463295795</v>
      </c>
      <c r="J7" s="138"/>
    </row>
    <row r="8" spans="1:10" x14ac:dyDescent="0.2">
      <c r="B8" s="45" t="s">
        <v>55</v>
      </c>
      <c r="C8" s="127">
        <f>PI!J8</f>
        <v>15781095.599999998</v>
      </c>
      <c r="D8" s="127">
        <f>ITS!C8</f>
        <v>618472.584850076</v>
      </c>
      <c r="E8" s="127">
        <f>Wealth!D10</f>
        <v>2238474.1643250003</v>
      </c>
      <c r="F8" s="139">
        <f>LE!D10</f>
        <v>5511189.9133000001</v>
      </c>
      <c r="G8" s="127">
        <f>REPART!I8</f>
        <v>-567892.9027941277</v>
      </c>
      <c r="H8" s="129">
        <f t="shared" si="0"/>
        <v>23581339.359680947</v>
      </c>
      <c r="J8" s="138"/>
    </row>
    <row r="9" spans="1:10" x14ac:dyDescent="0.2">
      <c r="B9" s="48" t="s">
        <v>56</v>
      </c>
      <c r="C9" s="130">
        <f>PI!J9</f>
        <v>6621477.9999999991</v>
      </c>
      <c r="D9" s="130">
        <f>ITS!C9</f>
        <v>266054.39963491901</v>
      </c>
      <c r="E9" s="130">
        <f>Wealth!D11</f>
        <v>1030555.272585</v>
      </c>
      <c r="F9" s="140">
        <f>LE!D11</f>
        <v>3126129.6824999996</v>
      </c>
      <c r="G9" s="130">
        <f>REPART!I9</f>
        <v>37298.585026859168</v>
      </c>
      <c r="H9" s="132">
        <f t="shared" si="0"/>
        <v>11081515.939746777</v>
      </c>
      <c r="J9" s="138"/>
    </row>
    <row r="10" spans="1:10" x14ac:dyDescent="0.2">
      <c r="B10" s="45" t="s">
        <v>57</v>
      </c>
      <c r="C10" s="127">
        <f>PI!J10</f>
        <v>467111.7</v>
      </c>
      <c r="D10" s="127">
        <f>ITS!C10</f>
        <v>26705.794016910899</v>
      </c>
      <c r="E10" s="127">
        <f>Wealth!D12</f>
        <v>87909.081330000001</v>
      </c>
      <c r="F10" s="139">
        <f>LE!D12</f>
        <v>190052.25700000001</v>
      </c>
      <c r="G10" s="127">
        <f>REPART!I10</f>
        <v>2469.7631796072396</v>
      </c>
      <c r="H10" s="129">
        <f t="shared" si="0"/>
        <v>774248.59552651807</v>
      </c>
      <c r="J10" s="138"/>
    </row>
    <row r="11" spans="1:10" x14ac:dyDescent="0.2">
      <c r="B11" s="48" t="s">
        <v>58</v>
      </c>
      <c r="C11" s="130">
        <f>PI!J11</f>
        <v>5232361.0999999996</v>
      </c>
      <c r="D11" s="130">
        <f>ITS!C11</f>
        <v>127256.903626325</v>
      </c>
      <c r="E11" s="130">
        <f>Wealth!D13</f>
        <v>1355911.6756799999</v>
      </c>
      <c r="F11" s="140">
        <f>LE!D13</f>
        <v>1191299.2196</v>
      </c>
      <c r="G11" s="130">
        <f>REPART!I11</f>
        <v>-2093.5063672448437</v>
      </c>
      <c r="H11" s="132">
        <f t="shared" si="0"/>
        <v>7904735.3925390793</v>
      </c>
      <c r="J11" s="138"/>
    </row>
    <row r="12" spans="1:10" x14ac:dyDescent="0.2">
      <c r="B12" s="45" t="s">
        <v>59</v>
      </c>
      <c r="C12" s="127">
        <f>PI!J12</f>
        <v>673815.5</v>
      </c>
      <c r="D12" s="127">
        <f>ITS!C12</f>
        <v>30544.767478424699</v>
      </c>
      <c r="E12" s="127">
        <f>Wealth!D14</f>
        <v>137458.75705499999</v>
      </c>
      <c r="F12" s="139">
        <f>LE!D14</f>
        <v>276453.81630000001</v>
      </c>
      <c r="G12" s="127">
        <f>REPART!I12</f>
        <v>8763.4627536826229</v>
      </c>
      <c r="H12" s="129">
        <f t="shared" si="0"/>
        <v>1127036.3035871075</v>
      </c>
      <c r="J12" s="138"/>
    </row>
    <row r="13" spans="1:10" x14ac:dyDescent="0.2">
      <c r="B13" s="48" t="s">
        <v>60</v>
      </c>
      <c r="C13" s="130">
        <f>PI!J13</f>
        <v>1136494</v>
      </c>
      <c r="D13" s="130">
        <f>ITS!C13</f>
        <v>29627.054302550601</v>
      </c>
      <c r="E13" s="130">
        <f>Wealth!D15</f>
        <v>384658.62964499998</v>
      </c>
      <c r="F13" s="140">
        <f>LE!D15</f>
        <v>461509.66590000002</v>
      </c>
      <c r="G13" s="130">
        <f>REPART!I13</f>
        <v>7785.1917874172259</v>
      </c>
      <c r="H13" s="132">
        <f t="shared" si="0"/>
        <v>2020074.5416349678</v>
      </c>
      <c r="J13" s="138"/>
    </row>
    <row r="14" spans="1:10" x14ac:dyDescent="0.2">
      <c r="B14" s="45" t="s">
        <v>61</v>
      </c>
      <c r="C14" s="127">
        <f>PI!J14</f>
        <v>557969.80000000005</v>
      </c>
      <c r="D14" s="127">
        <f>ITS!C14</f>
        <v>46399.991368152398</v>
      </c>
      <c r="E14" s="127">
        <f>Wealth!D16</f>
        <v>99521.834789999994</v>
      </c>
      <c r="F14" s="139">
        <f>LE!D16</f>
        <v>165109.93520000001</v>
      </c>
      <c r="G14" s="127">
        <f>REPART!I14</f>
        <v>8634.9245938548574</v>
      </c>
      <c r="H14" s="129">
        <f t="shared" si="0"/>
        <v>877636.48595200724</v>
      </c>
      <c r="J14" s="138"/>
    </row>
    <row r="15" spans="1:10" x14ac:dyDescent="0.2">
      <c r="B15" s="48" t="s">
        <v>62</v>
      </c>
      <c r="C15" s="130">
        <f>PI!J15</f>
        <v>4737000.0999999996</v>
      </c>
      <c r="D15" s="130">
        <f>ITS!C15</f>
        <v>210132.89457810699</v>
      </c>
      <c r="E15" s="130">
        <f>Wealth!D17</f>
        <v>841500.12126829789</v>
      </c>
      <c r="F15" s="140">
        <f>LE!D17</f>
        <v>3595796.0115</v>
      </c>
      <c r="G15" s="130">
        <f>REPART!I15</f>
        <v>4925.9723827232938</v>
      </c>
      <c r="H15" s="132">
        <f t="shared" si="0"/>
        <v>9389355.0997291263</v>
      </c>
      <c r="J15" s="138"/>
    </row>
    <row r="16" spans="1:10" x14ac:dyDescent="0.2">
      <c r="B16" s="45" t="s">
        <v>63</v>
      </c>
      <c r="C16" s="127">
        <f>PI!J16</f>
        <v>4602280.5999999996</v>
      </c>
      <c r="D16" s="127">
        <f>ITS!C16</f>
        <v>233427.814033781</v>
      </c>
      <c r="E16" s="127">
        <f>Wealth!D18</f>
        <v>402906.02086499997</v>
      </c>
      <c r="F16" s="139">
        <f>LE!D18</f>
        <v>2088564.0383000001</v>
      </c>
      <c r="G16" s="127">
        <f>REPART!I16</f>
        <v>-4067.1217820108491</v>
      </c>
      <c r="H16" s="129">
        <f t="shared" si="0"/>
        <v>7323111.3514167704</v>
      </c>
      <c r="J16" s="138"/>
    </row>
    <row r="17" spans="2:10" x14ac:dyDescent="0.2">
      <c r="B17" s="48" t="s">
        <v>64</v>
      </c>
      <c r="C17" s="130">
        <f>PI!J17</f>
        <v>4469219.4000000004</v>
      </c>
      <c r="D17" s="130">
        <f>ITS!C17</f>
        <v>152474.320979902</v>
      </c>
      <c r="E17" s="130">
        <f>Wealth!D19</f>
        <v>343158.65742</v>
      </c>
      <c r="F17" s="140">
        <f>LE!D19</f>
        <v>1346807.8794</v>
      </c>
      <c r="G17" s="130">
        <f>REPART!I17</f>
        <v>124082.95461653428</v>
      </c>
      <c r="H17" s="132">
        <f t="shared" si="0"/>
        <v>6435743.2124164365</v>
      </c>
      <c r="J17" s="138"/>
    </row>
    <row r="18" spans="2:10" x14ac:dyDescent="0.2">
      <c r="B18" s="45" t="s">
        <v>65</v>
      </c>
      <c r="C18" s="127">
        <f>PI!J18</f>
        <v>4503787.5999999996</v>
      </c>
      <c r="D18" s="127">
        <f>ITS!C18</f>
        <v>653604.20624100196</v>
      </c>
      <c r="E18" s="127">
        <f>Wealth!D20</f>
        <v>730832.12794499996</v>
      </c>
      <c r="F18" s="139">
        <f>LE!D20</f>
        <v>3242170.4912</v>
      </c>
      <c r="G18" s="127">
        <f>REPART!I18</f>
        <v>-12483.126528860565</v>
      </c>
      <c r="H18" s="129">
        <f t="shared" si="0"/>
        <v>9117911.2988571413</v>
      </c>
      <c r="J18" s="138"/>
    </row>
    <row r="19" spans="2:10" x14ac:dyDescent="0.2">
      <c r="B19" s="48" t="s">
        <v>66</v>
      </c>
      <c r="C19" s="130">
        <f>PI!J19</f>
        <v>6323181.5</v>
      </c>
      <c r="D19" s="130">
        <f>ITS!C19</f>
        <v>364429.25176518102</v>
      </c>
      <c r="E19" s="130">
        <f>Wealth!D21</f>
        <v>562792.83331499994</v>
      </c>
      <c r="F19" s="140">
        <f>LE!D21</f>
        <v>1350438.5695000002</v>
      </c>
      <c r="G19" s="130">
        <f>REPART!I19</f>
        <v>-37547.697892847318</v>
      </c>
      <c r="H19" s="132">
        <f t="shared" si="0"/>
        <v>8563294.4566873349</v>
      </c>
      <c r="J19" s="138"/>
    </row>
    <row r="20" spans="2:10" x14ac:dyDescent="0.2">
      <c r="B20" s="45" t="s">
        <v>67</v>
      </c>
      <c r="C20" s="127">
        <f>PI!J20</f>
        <v>1250648.1999999997</v>
      </c>
      <c r="D20" s="127">
        <f>ITS!C20</f>
        <v>155541.20918736301</v>
      </c>
      <c r="E20" s="127">
        <f>Wealth!D22</f>
        <v>177490.89666</v>
      </c>
      <c r="F20" s="139">
        <f>LE!D22</f>
        <v>806584.96830000007</v>
      </c>
      <c r="G20" s="127">
        <f>REPART!I20</f>
        <v>24160.379087006608</v>
      </c>
      <c r="H20" s="129">
        <f t="shared" si="0"/>
        <v>2414425.6532343696</v>
      </c>
      <c r="J20" s="138"/>
    </row>
    <row r="21" spans="2:10" x14ac:dyDescent="0.2">
      <c r="B21" s="48" t="s">
        <v>68</v>
      </c>
      <c r="C21" s="130">
        <f>PI!J21</f>
        <v>915673</v>
      </c>
      <c r="D21" s="130">
        <f>ITS!C21</f>
        <v>40479.491171976799</v>
      </c>
      <c r="E21" s="130">
        <f>Wealth!D23</f>
        <v>186039.398265</v>
      </c>
      <c r="F21" s="140">
        <f>LE!D23</f>
        <v>330865.49979999999</v>
      </c>
      <c r="G21" s="130">
        <f>REPART!I21</f>
        <v>-11776.258836580855</v>
      </c>
      <c r="H21" s="132">
        <f t="shared" si="0"/>
        <v>1461281.130400396</v>
      </c>
      <c r="J21" s="138"/>
    </row>
    <row r="22" spans="2:10" x14ac:dyDescent="0.2">
      <c r="B22" s="45" t="s">
        <v>69</v>
      </c>
      <c r="C22" s="127">
        <f>PI!J22</f>
        <v>275985.5</v>
      </c>
      <c r="D22" s="127">
        <f>ITS!C22</f>
        <v>8685.2367848184294</v>
      </c>
      <c r="E22" s="127">
        <f>Wealth!D24</f>
        <v>62252.894654999996</v>
      </c>
      <c r="F22" s="139">
        <f>LE!D24</f>
        <v>82558.405099999989</v>
      </c>
      <c r="G22" s="127">
        <f>REPART!I22</f>
        <v>455.16214571807728</v>
      </c>
      <c r="H22" s="129">
        <f t="shared" si="0"/>
        <v>429937.19868553645</v>
      </c>
      <c r="J22" s="138"/>
    </row>
    <row r="23" spans="2:10" x14ac:dyDescent="0.2">
      <c r="B23" s="48" t="s">
        <v>70</v>
      </c>
      <c r="C23" s="130">
        <f>PI!J23</f>
        <v>7486124.2999999998</v>
      </c>
      <c r="D23" s="130">
        <f>ITS!C23</f>
        <v>510367.22390634002</v>
      </c>
      <c r="E23" s="130">
        <f>Wealth!D25</f>
        <v>1338314.0609249999</v>
      </c>
      <c r="F23" s="140">
        <f>LE!D25</f>
        <v>3129913.7742999997</v>
      </c>
      <c r="G23" s="130">
        <f>REPART!I23</f>
        <v>11616.922176732356</v>
      </c>
      <c r="H23" s="132">
        <f t="shared" si="0"/>
        <v>12476336.281308072</v>
      </c>
      <c r="J23" s="138"/>
    </row>
    <row r="24" spans="2:10" x14ac:dyDescent="0.2">
      <c r="B24" s="45" t="s">
        <v>71</v>
      </c>
      <c r="C24" s="127">
        <f>PI!J24</f>
        <v>3258761.5999999996</v>
      </c>
      <c r="D24" s="127">
        <f>ITS!C24</f>
        <v>367377.505376496</v>
      </c>
      <c r="E24" s="127">
        <f>Wealth!D26</f>
        <v>778926.21403499995</v>
      </c>
      <c r="F24" s="139">
        <f>LE!D26</f>
        <v>836473.34889999998</v>
      </c>
      <c r="G24" s="127">
        <f>REPART!I24</f>
        <v>141129.12201956083</v>
      </c>
      <c r="H24" s="129">
        <f t="shared" si="0"/>
        <v>5382667.7903310563</v>
      </c>
      <c r="J24" s="138"/>
    </row>
    <row r="25" spans="2:10" x14ac:dyDescent="0.2">
      <c r="B25" s="48" t="s">
        <v>72</v>
      </c>
      <c r="C25" s="130">
        <f>PI!J25</f>
        <v>11804933.699999999</v>
      </c>
      <c r="D25" s="130">
        <f>ITS!C25</f>
        <v>563763.97732714901</v>
      </c>
      <c r="E25" s="130">
        <f>Wealth!D27</f>
        <v>1523486.7994578599</v>
      </c>
      <c r="F25" s="140">
        <f>LE!D27</f>
        <v>3466834.5407000002</v>
      </c>
      <c r="G25" s="130">
        <f>REPART!I25</f>
        <v>-63811.849076523649</v>
      </c>
      <c r="H25" s="132">
        <f t="shared" si="0"/>
        <v>17295207.168408483</v>
      </c>
      <c r="J25" s="138"/>
    </row>
    <row r="26" spans="2:10" x14ac:dyDescent="0.2">
      <c r="B26" s="45" t="s">
        <v>73</v>
      </c>
      <c r="C26" s="127">
        <f>PI!J26</f>
        <v>4249983.6999999993</v>
      </c>
      <c r="D26" s="127">
        <f>ITS!C26</f>
        <v>276296.33558205899</v>
      </c>
      <c r="E26" s="127">
        <f>Wealth!D28</f>
        <v>688576.06199999992</v>
      </c>
      <c r="F26" s="139">
        <f>LE!D28</f>
        <v>1269973.4325000001</v>
      </c>
      <c r="G26" s="127">
        <f>REPART!I26</f>
        <v>25982.226175758668</v>
      </c>
      <c r="H26" s="129">
        <f t="shared" si="0"/>
        <v>6510811.7562578171</v>
      </c>
      <c r="J26" s="138"/>
    </row>
    <row r="27" spans="2:10" x14ac:dyDescent="0.2">
      <c r="B27" s="48" t="s">
        <v>74</v>
      </c>
      <c r="C27" s="130">
        <f>PI!J27</f>
        <v>6296834</v>
      </c>
      <c r="D27" s="130">
        <f>ITS!C27</f>
        <v>826786.49567670003</v>
      </c>
      <c r="E27" s="130">
        <f>Wealth!D29</f>
        <v>786849.05754000007</v>
      </c>
      <c r="F27" s="140">
        <f>LE!D29</f>
        <v>2659631.0496999999</v>
      </c>
      <c r="G27" s="130">
        <f>REPART!I27</f>
        <v>117440.13835234389</v>
      </c>
      <c r="H27" s="132">
        <f t="shared" si="0"/>
        <v>10687540.741269045</v>
      </c>
      <c r="J27" s="138"/>
    </row>
    <row r="28" spans="2:10" x14ac:dyDescent="0.2">
      <c r="B28" s="45" t="s">
        <v>75</v>
      </c>
      <c r="C28" s="127">
        <f>PI!J28</f>
        <v>15707264.099999998</v>
      </c>
      <c r="D28" s="127">
        <f>ITS!C28</f>
        <v>1263078.54226517</v>
      </c>
      <c r="E28" s="127">
        <f>Wealth!D30</f>
        <v>1825183.5484199999</v>
      </c>
      <c r="F28" s="139">
        <f>LE!D30</f>
        <v>5419933.4074999997</v>
      </c>
      <c r="G28" s="127">
        <f>REPART!I28</f>
        <v>20142.112745549377</v>
      </c>
      <c r="H28" s="129">
        <f t="shared" si="0"/>
        <v>24235601.710930716</v>
      </c>
      <c r="J28" s="138"/>
    </row>
    <row r="29" spans="2:10" x14ac:dyDescent="0.2">
      <c r="B29" s="48" t="s">
        <v>76</v>
      </c>
      <c r="C29" s="130">
        <f>PI!J29</f>
        <v>4671301.9000000004</v>
      </c>
      <c r="D29" s="130">
        <f>ITS!C29</f>
        <v>395177.12267041003</v>
      </c>
      <c r="E29" s="130">
        <f>Wealth!D31</f>
        <v>631153.82507999998</v>
      </c>
      <c r="F29" s="140">
        <f>LE!D31</f>
        <v>1189527.0100999998</v>
      </c>
      <c r="G29" s="130">
        <f>REPART!I29</f>
        <v>129057.62891853137</v>
      </c>
      <c r="H29" s="132">
        <f t="shared" si="0"/>
        <v>7016217.4867689414</v>
      </c>
      <c r="J29" s="138"/>
    </row>
    <row r="30" spans="2:10" x14ac:dyDescent="0.2">
      <c r="B30" s="45" t="s">
        <v>77</v>
      </c>
      <c r="C30" s="127">
        <f>PI!J30</f>
        <v>2721989.2</v>
      </c>
      <c r="D30" s="127">
        <f>ITS!C30</f>
        <v>244682.855046468</v>
      </c>
      <c r="E30" s="127">
        <f>Wealth!D32</f>
        <v>246106.16081999999</v>
      </c>
      <c r="F30" s="139">
        <f>LE!D32</f>
        <v>1930658.5912000001</v>
      </c>
      <c r="G30" s="127">
        <f>REPART!I30</f>
        <v>100004.18329388532</v>
      </c>
      <c r="H30" s="129">
        <f t="shared" si="0"/>
        <v>5243440.9903603541</v>
      </c>
      <c r="J30" s="138"/>
    </row>
    <row r="31" spans="2:10" x14ac:dyDescent="0.2">
      <c r="B31" s="48" t="s">
        <v>78</v>
      </c>
      <c r="C31" s="130">
        <f>PI!J31</f>
        <v>11775806.199999999</v>
      </c>
      <c r="D31" s="130">
        <f>ITS!C31</f>
        <v>2311441.8040465498</v>
      </c>
      <c r="E31" s="130">
        <f>Wealth!D33</f>
        <v>1463215.0148400001</v>
      </c>
      <c r="F31" s="140">
        <f>LE!D33</f>
        <v>5841866.4547000006</v>
      </c>
      <c r="G31" s="130">
        <f>REPART!I31</f>
        <v>32473.98638783738</v>
      </c>
      <c r="H31" s="132">
        <f t="shared" si="0"/>
        <v>21424803.459974386</v>
      </c>
      <c r="J31" s="138"/>
    </row>
    <row r="32" spans="2:10" x14ac:dyDescent="0.2">
      <c r="B32" s="45" t="s">
        <v>79</v>
      </c>
      <c r="C32" s="127">
        <f>PI!J32</f>
        <v>905729.4</v>
      </c>
      <c r="D32" s="127">
        <f>ITS!C32</f>
        <v>86892.694787629196</v>
      </c>
      <c r="E32" s="127">
        <f>Wealth!D34</f>
        <v>94068</v>
      </c>
      <c r="F32" s="139">
        <f>LE!D34</f>
        <v>389168.24369999999</v>
      </c>
      <c r="G32" s="127">
        <f>REPART!I32</f>
        <v>23502.340030210707</v>
      </c>
      <c r="H32" s="129">
        <f t="shared" si="0"/>
        <v>1499360.6785178401</v>
      </c>
      <c r="J32" s="138"/>
    </row>
    <row r="33" spans="1:10" x14ac:dyDescent="0.2">
      <c r="A33" s="52"/>
      <c r="B33" s="53" t="s">
        <v>80</v>
      </c>
      <c r="C33" s="54">
        <f t="shared" ref="C33:H33" si="1">SUM(C7:C32)</f>
        <v>161331909.29999998</v>
      </c>
      <c r="D33" s="54">
        <f t="shared" si="1"/>
        <v>11753999.532059591</v>
      </c>
      <c r="E33" s="54">
        <f t="shared" si="1"/>
        <v>23518869.643921159</v>
      </c>
      <c r="F33" s="54">
        <f t="shared" si="1"/>
        <v>61718467.799800001</v>
      </c>
      <c r="G33" s="54">
        <f t="shared" si="1"/>
        <v>-61279.728263730911</v>
      </c>
      <c r="H33" s="55">
        <f t="shared" si="1"/>
        <v>258261966.547517</v>
      </c>
      <c r="J33" s="138"/>
    </row>
  </sheetData>
  <conditionalFormatting sqref="C7:H32">
    <cfRule type="expression" dxfId="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28515625" style="15" customWidth="1"/>
    <col min="2" max="2" width="16" style="1" customWidth="1"/>
    <col min="3" max="3" width="16.28515625" style="1" customWidth="1"/>
    <col min="4" max="4" width="18" style="1" customWidth="1"/>
    <col min="5" max="6" width="17.140625" style="1" customWidth="1"/>
    <col min="7" max="7" width="19.140625" style="1" customWidth="1"/>
    <col min="8" max="9" width="15.7109375" style="1" customWidth="1"/>
  </cols>
  <sheetData>
    <row r="1" spans="1:10" ht="30" customHeight="1" x14ac:dyDescent="0.2">
      <c r="B1" s="134" t="str">
        <f>"ATB per capita "&amp;Info!C31</f>
        <v>ATB per capita 2012</v>
      </c>
      <c r="C1" s="134"/>
      <c r="E1" s="135" t="str">
        <f>Info!A4</f>
        <v>Reference year 2017</v>
      </c>
      <c r="I1" s="20" t="str">
        <f>Info!$C$28</f>
        <v>FA_2017_20160519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10" s="1" customFormat="1" x14ac:dyDescent="0.2">
      <c r="A3" s="27"/>
      <c r="B3" s="28" t="s">
        <v>38</v>
      </c>
      <c r="C3" s="29"/>
      <c r="D3" s="29"/>
      <c r="E3" s="29"/>
      <c r="F3" s="29"/>
      <c r="G3" s="29"/>
      <c r="H3" s="29"/>
      <c r="I3" s="121"/>
    </row>
    <row r="4" spans="1:10" ht="38.25" customHeight="1" x14ac:dyDescent="0.2"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3" t="s">
        <v>112</v>
      </c>
      <c r="I4" s="34" t="s">
        <v>113</v>
      </c>
    </row>
    <row r="5" spans="1:10" s="35" customFormat="1" ht="11.25" customHeight="1" x14ac:dyDescent="0.2">
      <c r="A5" s="36"/>
      <c r="B5" s="37" t="s">
        <v>111</v>
      </c>
      <c r="C5" s="38">
        <f>Info!$C$31</f>
        <v>2012</v>
      </c>
      <c r="D5" s="38">
        <f>Info!$C$31</f>
        <v>2012</v>
      </c>
      <c r="E5" s="38">
        <f>Info!$C$31</f>
        <v>2012</v>
      </c>
      <c r="F5" s="38">
        <f>Info!$C$31</f>
        <v>2012</v>
      </c>
      <c r="G5" s="38">
        <f>Info!$C$31</f>
        <v>2012</v>
      </c>
      <c r="H5" s="38">
        <f>Info!$C$31</f>
        <v>2012</v>
      </c>
      <c r="I5" s="85"/>
    </row>
    <row r="6" spans="1:10" s="35" customFormat="1" ht="11.25" customHeight="1" x14ac:dyDescent="0.2">
      <c r="A6" s="36"/>
      <c r="B6" s="86" t="s">
        <v>51</v>
      </c>
      <c r="C6" s="38" t="s">
        <v>114</v>
      </c>
      <c r="D6" s="38" t="s">
        <v>114</v>
      </c>
      <c r="E6" s="38" t="s">
        <v>114</v>
      </c>
      <c r="F6" s="38" t="s">
        <v>114</v>
      </c>
      <c r="G6" s="38" t="s">
        <v>114</v>
      </c>
      <c r="H6" s="38" t="s">
        <v>114</v>
      </c>
      <c r="I6" s="39" t="s">
        <v>115</v>
      </c>
    </row>
    <row r="7" spans="1:10" x14ac:dyDescent="0.2">
      <c r="B7" s="41" t="s">
        <v>54</v>
      </c>
      <c r="C7" s="124">
        <f>ATB_Total!C7/ATB_per_capita!$I7*1000</f>
        <v>24697.633935978756</v>
      </c>
      <c r="D7" s="124">
        <f>ATB_Total!D7/ATB_per_capita!$I7*1000</f>
        <v>1375.7191469413035</v>
      </c>
      <c r="E7" s="124">
        <f>ATB_Total!E7/ATB_per_capita!$I7*1000</f>
        <v>3892.6923932805325</v>
      </c>
      <c r="F7" s="124">
        <f>ATB_Total!F7/ATB_per_capita!$I7*1000</f>
        <v>8362.6879381644267</v>
      </c>
      <c r="G7" s="124">
        <f>ATB_Total!G7/ATB_per_capita!$I7*1000</f>
        <v>-128.44602718491709</v>
      </c>
      <c r="H7" s="141">
        <f>ATB_Total!H7/ATB_per_capita!$I7*1000</f>
        <v>38200.287387180113</v>
      </c>
      <c r="I7" s="142">
        <v>1413296.5</v>
      </c>
      <c r="J7" s="138"/>
    </row>
    <row r="8" spans="1:10" x14ac:dyDescent="0.2">
      <c r="B8" s="45" t="s">
        <v>55</v>
      </c>
      <c r="C8" s="127">
        <f>ATB_Total!C8/ATB_per_capita!$I8*1000</f>
        <v>15827.303412312243</v>
      </c>
      <c r="D8" s="127">
        <f>ATB_Total!D8/ATB_per_capita!$I8*1000</f>
        <v>620.2835025357291</v>
      </c>
      <c r="E8" s="127">
        <f>ATB_Total!E8/ATB_per_capita!$I8*1000</f>
        <v>2245.0285251040418</v>
      </c>
      <c r="F8" s="127">
        <f>ATB_Total!F8/ATB_per_capita!$I8*1000</f>
        <v>5527.3269443139243</v>
      </c>
      <c r="G8" s="127">
        <f>ATB_Total!G8/ATB_per_capita!$I8*1000</f>
        <v>-569.555720720772</v>
      </c>
      <c r="H8" s="143">
        <f>ATB_Total!H8/ATB_per_capita!$I8*1000</f>
        <v>23650.386663545167</v>
      </c>
      <c r="I8" s="144">
        <v>997080.5</v>
      </c>
      <c r="J8" s="138"/>
    </row>
    <row r="9" spans="1:10" x14ac:dyDescent="0.2">
      <c r="B9" s="48" t="s">
        <v>56</v>
      </c>
      <c r="C9" s="130">
        <f>ATB_Total!C9/ATB_per_capita!$I9*1000</f>
        <v>17117.082369850672</v>
      </c>
      <c r="D9" s="130">
        <f>ATB_Total!D9/ATB_per_capita!$I9*1000</f>
        <v>687.7731940530615</v>
      </c>
      <c r="E9" s="130">
        <f>ATB_Total!E9/ATB_per_capita!$I9*1000</f>
        <v>2664.0728078415964</v>
      </c>
      <c r="F9" s="130">
        <f>ATB_Total!F9/ATB_per_capita!$I9*1000</f>
        <v>8081.3104376677866</v>
      </c>
      <c r="G9" s="130">
        <f>ATB_Total!G9/ATB_per_capita!$I9*1000</f>
        <v>96.42000655799616</v>
      </c>
      <c r="H9" s="145">
        <f>ATB_Total!H9/ATB_per_capita!$I9*1000</f>
        <v>28646.65881597111</v>
      </c>
      <c r="I9" s="146">
        <v>386834.5</v>
      </c>
      <c r="J9" s="138"/>
    </row>
    <row r="10" spans="1:10" x14ac:dyDescent="0.2">
      <c r="B10" s="45" t="s">
        <v>57</v>
      </c>
      <c r="C10" s="127">
        <f>ATB_Total!C10/ATB_per_capita!$I10*1000</f>
        <v>12991.564455569462</v>
      </c>
      <c r="D10" s="127">
        <f>ATB_Total!D10/ATB_per_capita!$I10*1000</f>
        <v>742.75605665167291</v>
      </c>
      <c r="E10" s="127">
        <f>ATB_Total!E10/ATB_per_capita!$I10*1000</f>
        <v>2444.9751447642889</v>
      </c>
      <c r="F10" s="127">
        <f>ATB_Total!F10/ATB_per_capita!$I10*1000</f>
        <v>5285.836656932277</v>
      </c>
      <c r="G10" s="127">
        <f>ATB_Total!G10/ATB_per_capita!$I10*1000</f>
        <v>68.690395761569732</v>
      </c>
      <c r="H10" s="143">
        <f>ATB_Total!H10/ATB_per_capita!$I10*1000</f>
        <v>21533.822709679269</v>
      </c>
      <c r="I10" s="144">
        <v>35955</v>
      </c>
      <c r="J10" s="138"/>
    </row>
    <row r="11" spans="1:10" x14ac:dyDescent="0.2">
      <c r="B11" s="48" t="s">
        <v>58</v>
      </c>
      <c r="C11" s="130">
        <f>ATB_Total!C11/ATB_per_capita!$I11*1000</f>
        <v>34815.098143589064</v>
      </c>
      <c r="D11" s="130">
        <f>ATB_Total!D11/ATB_per_capita!$I11*1000</f>
        <v>846.74232235228567</v>
      </c>
      <c r="E11" s="130">
        <f>ATB_Total!E11/ATB_per_capita!$I11*1000</f>
        <v>9021.9686983831252</v>
      </c>
      <c r="F11" s="130">
        <f>ATB_Total!F11/ATB_per_capita!$I11*1000</f>
        <v>7926.6699021891009</v>
      </c>
      <c r="G11" s="130">
        <f>ATB_Total!G11/ATB_per_capita!$I11*1000</f>
        <v>-13.92977821042547</v>
      </c>
      <c r="H11" s="145">
        <f>ATB_Total!H11/ATB_per_capita!$I11*1000</f>
        <v>52596.549288303147</v>
      </c>
      <c r="I11" s="146">
        <v>150290</v>
      </c>
      <c r="J11" s="138"/>
    </row>
    <row r="12" spans="1:10" x14ac:dyDescent="0.2">
      <c r="B12" s="45" t="s">
        <v>59</v>
      </c>
      <c r="C12" s="127">
        <f>ATB_Total!C12/ATB_per_capita!$I12*1000</f>
        <v>18495.916882831694</v>
      </c>
      <c r="D12" s="127">
        <f>ATB_Total!D12/ATB_per_capita!$I12*1000</f>
        <v>838.43942516365951</v>
      </c>
      <c r="E12" s="127">
        <f>ATB_Total!E12/ATB_per_capita!$I12*1000</f>
        <v>3773.1778881706259</v>
      </c>
      <c r="F12" s="127">
        <f>ATB_Total!F12/ATB_per_capita!$I12*1000</f>
        <v>7588.5265450652614</v>
      </c>
      <c r="G12" s="127">
        <f>ATB_Total!G12/ATB_per_capita!$I12*1000</f>
        <v>240.55290906472936</v>
      </c>
      <c r="H12" s="143">
        <f>ATB_Total!H12/ATB_per_capita!$I12*1000</f>
        <v>30936.613650295974</v>
      </c>
      <c r="I12" s="144">
        <v>36430.5</v>
      </c>
      <c r="J12" s="138"/>
    </row>
    <row r="13" spans="1:10" x14ac:dyDescent="0.2">
      <c r="B13" s="48" t="s">
        <v>60</v>
      </c>
      <c r="C13" s="130">
        <f>ATB_Total!C13/ATB_per_capita!$I13*1000</f>
        <v>27223.043296005748</v>
      </c>
      <c r="D13" s="130">
        <f>ATB_Total!D13/ATB_per_capita!$I13*1000</f>
        <v>709.67253853645377</v>
      </c>
      <c r="E13" s="130">
        <f>ATB_Total!E13/ATB_per_capita!$I13*1000</f>
        <v>9213.9320832385165</v>
      </c>
      <c r="F13" s="130">
        <f>ATB_Total!F13/ATB_per_capita!$I13*1000</f>
        <v>11054.785697347148</v>
      </c>
      <c r="G13" s="130">
        <f>ATB_Total!G13/ATB_per_capita!$I13*1000</f>
        <v>186.48282621515602</v>
      </c>
      <c r="H13" s="145">
        <f>ATB_Total!H13/ATB_per_capita!$I13*1000</f>
        <v>48387.916441343026</v>
      </c>
      <c r="I13" s="146">
        <v>41747.5</v>
      </c>
      <c r="J13" s="138"/>
    </row>
    <row r="14" spans="1:10" x14ac:dyDescent="0.2">
      <c r="B14" s="45" t="s">
        <v>61</v>
      </c>
      <c r="C14" s="127">
        <f>ATB_Total!C14/ATB_per_capita!$I14*1000</f>
        <v>13970.724989671622</v>
      </c>
      <c r="D14" s="127">
        <f>ATB_Total!D14/ATB_per_capita!$I14*1000</f>
        <v>1161.7860302252814</v>
      </c>
      <c r="E14" s="127">
        <f>ATB_Total!E14/ATB_per_capita!$I14*1000</f>
        <v>2491.8771308386645</v>
      </c>
      <c r="F14" s="127">
        <f>ATB_Total!F14/ATB_per_capita!$I14*1000</f>
        <v>4134.1045657698714</v>
      </c>
      <c r="G14" s="127">
        <f>ATB_Total!G14/ATB_per_capita!$I14*1000</f>
        <v>216.20553085005341</v>
      </c>
      <c r="H14" s="143">
        <f>ATB_Total!H14/ATB_per_capita!$I14*1000</f>
        <v>21974.698247355489</v>
      </c>
      <c r="I14" s="144">
        <v>39938.5</v>
      </c>
      <c r="J14" s="138"/>
    </row>
    <row r="15" spans="1:10" x14ac:dyDescent="0.2">
      <c r="B15" s="48" t="s">
        <v>62</v>
      </c>
      <c r="C15" s="130">
        <f>ATB_Total!C15/ATB_per_capita!$I15*1000</f>
        <v>40399.130953903878</v>
      </c>
      <c r="D15" s="130">
        <f>ATB_Total!D15/ATB_per_capita!$I15*1000</f>
        <v>1792.1017831061106</v>
      </c>
      <c r="E15" s="130">
        <f>ATB_Total!E15/ATB_per_capita!$I15*1000</f>
        <v>7176.6672744727121</v>
      </c>
      <c r="F15" s="130">
        <f>ATB_Total!F15/ATB_per_capita!$I15*1000</f>
        <v>30666.462082640399</v>
      </c>
      <c r="G15" s="130">
        <f>ATB_Total!G15/ATB_per_capita!$I15*1000</f>
        <v>42.010766131280491</v>
      </c>
      <c r="H15" s="145">
        <f>ATB_Total!H15/ATB_per_capita!$I15*1000</f>
        <v>80076.372860254371</v>
      </c>
      <c r="I15" s="146">
        <v>117255</v>
      </c>
      <c r="J15" s="138"/>
    </row>
    <row r="16" spans="1:10" x14ac:dyDescent="0.2">
      <c r="B16" s="45" t="s">
        <v>63</v>
      </c>
      <c r="C16" s="127">
        <f>ATB_Total!C16/ATB_per_capita!$I16*1000</f>
        <v>15843.545405410987</v>
      </c>
      <c r="D16" s="127">
        <f>ATB_Total!D16/ATB_per_capita!$I16*1000</f>
        <v>803.58511180957578</v>
      </c>
      <c r="E16" s="127">
        <f>ATB_Total!E16/ATB_per_capita!$I16*1000</f>
        <v>1387.0209990429732</v>
      </c>
      <c r="F16" s="127">
        <f>ATB_Total!F16/ATB_per_capita!$I16*1000</f>
        <v>7189.9699407538483</v>
      </c>
      <c r="G16" s="127">
        <f>ATB_Total!G16/ATB_per_capita!$I16*1000</f>
        <v>-14.001238564772635</v>
      </c>
      <c r="H16" s="143">
        <f>ATB_Total!H16/ATB_per_capita!$I16*1000</f>
        <v>25210.120218452612</v>
      </c>
      <c r="I16" s="144">
        <v>290483</v>
      </c>
      <c r="J16" s="138"/>
    </row>
    <row r="17" spans="2:10" x14ac:dyDescent="0.2">
      <c r="B17" s="48" t="s">
        <v>64</v>
      </c>
      <c r="C17" s="130">
        <f>ATB_Total!C17/ATB_per_capita!$I17*1000</f>
        <v>17196.448524771833</v>
      </c>
      <c r="D17" s="130">
        <f>ATB_Total!D17/ATB_per_capita!$I17*1000</f>
        <v>586.68339533306914</v>
      </c>
      <c r="E17" s="130">
        <f>ATB_Total!E17/ATB_per_capita!$I17*1000</f>
        <v>1320.3894595447341</v>
      </c>
      <c r="F17" s="130">
        <f>ATB_Total!F17/ATB_per_capita!$I17*1000</f>
        <v>5182.1829044372271</v>
      </c>
      <c r="G17" s="130">
        <f>ATB_Total!G17/ATB_per_capita!$I17*1000</f>
        <v>477.44045456010298</v>
      </c>
      <c r="H17" s="145">
        <f>ATB_Total!H17/ATB_per_capita!$I17*1000</f>
        <v>24763.144738646966</v>
      </c>
      <c r="I17" s="146">
        <v>259892</v>
      </c>
      <c r="J17" s="138"/>
    </row>
    <row r="18" spans="2:10" x14ac:dyDescent="0.2">
      <c r="B18" s="45" t="s">
        <v>65</v>
      </c>
      <c r="C18" s="127">
        <f>ATB_Total!C18/ATB_per_capita!$I18*1000</f>
        <v>23697.597242867101</v>
      </c>
      <c r="D18" s="127">
        <f>ATB_Total!D18/ATB_per_capita!$I18*1000</f>
        <v>3439.0718682522038</v>
      </c>
      <c r="E18" s="127">
        <f>ATB_Total!E18/ATB_per_capita!$I18*1000</f>
        <v>3845.4223330132459</v>
      </c>
      <c r="F18" s="127">
        <f>ATB_Total!F18/ATB_per_capita!$I18*1000</f>
        <v>17059.341451441051</v>
      </c>
      <c r="G18" s="127">
        <f>ATB_Total!G18/ATB_per_capita!$I18*1000</f>
        <v>-65.68251682488031</v>
      </c>
      <c r="H18" s="143">
        <f>ATB_Total!H18/ATB_per_capita!$I18*1000</f>
        <v>47975.750378748722</v>
      </c>
      <c r="I18" s="144">
        <v>190052.5</v>
      </c>
      <c r="J18" s="138"/>
    </row>
    <row r="19" spans="2:10" x14ac:dyDescent="0.2">
      <c r="B19" s="48" t="s">
        <v>66</v>
      </c>
      <c r="C19" s="130">
        <f>ATB_Total!C19/ATB_per_capita!$I19*1000</f>
        <v>22789.483548108648</v>
      </c>
      <c r="D19" s="130">
        <f>ATB_Total!D19/ATB_per_capita!$I19*1000</f>
        <v>1313.4455238319724</v>
      </c>
      <c r="E19" s="130">
        <f>ATB_Total!E19/ATB_per_capita!$I19*1000</f>
        <v>2028.3710052962492</v>
      </c>
      <c r="F19" s="130">
        <f>ATB_Total!F19/ATB_per_capita!$I19*1000</f>
        <v>4867.1380953324888</v>
      </c>
      <c r="G19" s="130">
        <f>ATB_Total!G19/ATB_per_capita!$I19*1000</f>
        <v>-135.32628209365771</v>
      </c>
      <c r="H19" s="145">
        <f>ATB_Total!H19/ATB_per_capita!$I19*1000</f>
        <v>30863.111890475706</v>
      </c>
      <c r="I19" s="146">
        <v>277460.5</v>
      </c>
      <c r="J19" s="138"/>
    </row>
    <row r="20" spans="2:10" x14ac:dyDescent="0.2">
      <c r="B20" s="45" t="s">
        <v>67</v>
      </c>
      <c r="C20" s="127">
        <f>ATB_Total!C20/ATB_per_capita!$I20*1000</f>
        <v>15963.649824171753</v>
      </c>
      <c r="D20" s="127">
        <f>ATB_Total!D20/ATB_per_capita!$I20*1000</f>
        <v>1985.3747814096</v>
      </c>
      <c r="E20" s="127">
        <f>ATB_Total!E20/ATB_per_capita!$I20*1000</f>
        <v>2265.5471948534341</v>
      </c>
      <c r="F20" s="127">
        <f>ATB_Total!F20/ATB_per_capita!$I20*1000</f>
        <v>10295.493158972984</v>
      </c>
      <c r="G20" s="127">
        <f>ATB_Total!G20/ATB_per_capita!$I20*1000</f>
        <v>308.39034619345074</v>
      </c>
      <c r="H20" s="143">
        <f>ATB_Total!H20/ATB_per_capita!$I20*1000</f>
        <v>30818.455305601226</v>
      </c>
      <c r="I20" s="144">
        <v>78343.5</v>
      </c>
      <c r="J20" s="138"/>
    </row>
    <row r="21" spans="2:10" x14ac:dyDescent="0.2">
      <c r="B21" s="48" t="s">
        <v>68</v>
      </c>
      <c r="C21" s="130">
        <f>ATB_Total!C21/ATB_per_capita!$I21*1000</f>
        <v>17069.121073725415</v>
      </c>
      <c r="D21" s="130">
        <f>ATB_Total!D21/ATB_per_capita!$I21*1000</f>
        <v>754.5808774718389</v>
      </c>
      <c r="E21" s="130">
        <f>ATB_Total!E21/ATB_per_capita!$I21*1000</f>
        <v>3467.9727517009969</v>
      </c>
      <c r="F21" s="130">
        <f>ATB_Total!F21/ATB_per_capita!$I21*1000</f>
        <v>6167.6857078944913</v>
      </c>
      <c r="G21" s="130">
        <f>ATB_Total!G21/ATB_per_capita!$I21*1000</f>
        <v>-219.52202137348971</v>
      </c>
      <c r="H21" s="145">
        <f>ATB_Total!H21/ATB_per_capita!$I21*1000</f>
        <v>27239.838389419256</v>
      </c>
      <c r="I21" s="146">
        <v>53645</v>
      </c>
      <c r="J21" s="138"/>
    </row>
    <row r="22" spans="2:10" x14ac:dyDescent="0.2">
      <c r="B22" s="45" t="s">
        <v>69</v>
      </c>
      <c r="C22" s="127">
        <f>ATB_Total!C22/ATB_per_capita!$I22*1000</f>
        <v>17474.07243256933</v>
      </c>
      <c r="D22" s="127">
        <f>ATB_Total!D22/ATB_per_capita!$I22*1000</f>
        <v>549.90735626303842</v>
      </c>
      <c r="E22" s="127">
        <f>ATB_Total!E22/ATB_per_capita!$I22*1000</f>
        <v>3941.5534161706973</v>
      </c>
      <c r="F22" s="127">
        <f>ATB_Total!F22/ATB_per_capita!$I22*1000</f>
        <v>5227.2005255160184</v>
      </c>
      <c r="G22" s="127">
        <f>ATB_Total!G22/ATB_per_capita!$I22*1000</f>
        <v>28.818674542109488</v>
      </c>
      <c r="H22" s="143">
        <f>ATB_Total!H22/ATB_per_capita!$I22*1000</f>
        <v>27221.552405061193</v>
      </c>
      <c r="I22" s="144">
        <v>15794</v>
      </c>
      <c r="J22" s="138"/>
    </row>
    <row r="23" spans="2:10" x14ac:dyDescent="0.2">
      <c r="B23" s="48" t="s">
        <v>70</v>
      </c>
      <c r="C23" s="130">
        <f>ATB_Total!C23/ATB_per_capita!$I23*1000</f>
        <v>15322.850747964168</v>
      </c>
      <c r="D23" s="130">
        <f>ATB_Total!D23/ATB_per_capita!$I23*1000</f>
        <v>1044.6367820221283</v>
      </c>
      <c r="E23" s="130">
        <f>ATB_Total!E23/ATB_per_capita!$I23*1000</f>
        <v>2739.3061867080673</v>
      </c>
      <c r="F23" s="130">
        <f>ATB_Total!F23/ATB_per_capita!$I23*1000</f>
        <v>6406.4126770638986</v>
      </c>
      <c r="G23" s="130">
        <f>ATB_Total!G23/ATB_per_capita!$I23*1000</f>
        <v>23.777906635184365</v>
      </c>
      <c r="H23" s="145">
        <f>ATB_Total!H23/ATB_per_capita!$I23*1000</f>
        <v>25536.984300393444</v>
      </c>
      <c r="I23" s="146">
        <v>488559.5</v>
      </c>
      <c r="J23" s="138"/>
    </row>
    <row r="24" spans="2:10" x14ac:dyDescent="0.2">
      <c r="B24" s="45" t="s">
        <v>71</v>
      </c>
      <c r="C24" s="127">
        <f>ATB_Total!C24/ATB_per_capita!$I24*1000</f>
        <v>16133.761089987323</v>
      </c>
      <c r="D24" s="127">
        <f>ATB_Total!D24/ATB_per_capita!$I24*1000</f>
        <v>1818.844588563926</v>
      </c>
      <c r="E24" s="127">
        <f>ATB_Total!E24/ATB_per_capita!$I24*1000</f>
        <v>3856.3758220205559</v>
      </c>
      <c r="F24" s="127">
        <f>ATB_Total!F24/ATB_per_capita!$I24*1000</f>
        <v>4141.2851953620093</v>
      </c>
      <c r="G24" s="127">
        <f>ATB_Total!G24/ATB_per_capita!$I24*1000</f>
        <v>698.7143636107852</v>
      </c>
      <c r="H24" s="143">
        <f>ATB_Total!H24/ATB_per_capita!$I24*1000</f>
        <v>26648.9810595446</v>
      </c>
      <c r="I24" s="144">
        <v>201984</v>
      </c>
      <c r="J24" s="138"/>
    </row>
    <row r="25" spans="2:10" x14ac:dyDescent="0.2">
      <c r="B25" s="48" t="s">
        <v>72</v>
      </c>
      <c r="C25" s="130">
        <f>ATB_Total!C25/ATB_per_capita!$I25*1000</f>
        <v>18812.808239753493</v>
      </c>
      <c r="D25" s="130">
        <f>ATB_Total!D25/ATB_per_capita!$I25*1000</f>
        <v>898.43652386937106</v>
      </c>
      <c r="E25" s="130">
        <f>ATB_Total!E25/ATB_per_capita!$I25*1000</f>
        <v>2427.8886897938705</v>
      </c>
      <c r="F25" s="130">
        <f>ATB_Total!F25/ATB_per_capita!$I25*1000</f>
        <v>5524.8843467153902</v>
      </c>
      <c r="G25" s="130">
        <f>ATB_Total!G25/ATB_per_capita!$I25*1000</f>
        <v>-101.69308109716283</v>
      </c>
      <c r="H25" s="145">
        <f>ATB_Total!H25/ATB_per_capita!$I25*1000</f>
        <v>27562.324719034961</v>
      </c>
      <c r="I25" s="146">
        <v>627494.5</v>
      </c>
      <c r="J25" s="138"/>
    </row>
    <row r="26" spans="2:10" x14ac:dyDescent="0.2">
      <c r="B26" s="45" t="s">
        <v>73</v>
      </c>
      <c r="C26" s="127">
        <f>ATB_Total!C26/ATB_per_capita!$I26*1000</f>
        <v>16570.138546383892</v>
      </c>
      <c r="D26" s="127">
        <f>ATB_Total!D26/ATB_per_capita!$I26*1000</f>
        <v>1077.2437928298161</v>
      </c>
      <c r="E26" s="127">
        <f>ATB_Total!E26/ATB_per_capita!$I26*1000</f>
        <v>2684.6692958053991</v>
      </c>
      <c r="F26" s="127">
        <f>ATB_Total!F26/ATB_per_capita!$I26*1000</f>
        <v>4951.4626907278998</v>
      </c>
      <c r="G26" s="127">
        <f>ATB_Total!G26/ATB_per_capita!$I26*1000</f>
        <v>101.30135027948538</v>
      </c>
      <c r="H26" s="143">
        <f>ATB_Total!H26/ATB_per_capita!$I26*1000</f>
        <v>25384.815676026494</v>
      </c>
      <c r="I26" s="144">
        <v>256484.5</v>
      </c>
      <c r="J26" s="138"/>
    </row>
    <row r="27" spans="2:10" x14ac:dyDescent="0.2">
      <c r="B27" s="48" t="s">
        <v>74</v>
      </c>
      <c r="C27" s="130">
        <f>ATB_Total!C27/ATB_per_capita!$I27*1000</f>
        <v>18432.518430808905</v>
      </c>
      <c r="D27" s="130">
        <f>ATB_Total!D27/ATB_per_capita!$I27*1000</f>
        <v>2420.2253576804919</v>
      </c>
      <c r="E27" s="130">
        <f>ATB_Total!E27/ATB_per_capita!$I27*1000</f>
        <v>2303.3177872198426</v>
      </c>
      <c r="F27" s="130">
        <f>ATB_Total!F27/ATB_per_capita!$I27*1000</f>
        <v>7785.4519180189418</v>
      </c>
      <c r="G27" s="130">
        <f>ATB_Total!G27/ATB_per_capita!$I27*1000</f>
        <v>343.77871716108865</v>
      </c>
      <c r="H27" s="145">
        <f>ATB_Total!H27/ATB_per_capita!$I27*1000</f>
        <v>31285.292210889274</v>
      </c>
      <c r="I27" s="146">
        <v>341615.5</v>
      </c>
      <c r="J27" s="138"/>
    </row>
    <row r="28" spans="2:10" x14ac:dyDescent="0.2">
      <c r="B28" s="45" t="s">
        <v>75</v>
      </c>
      <c r="C28" s="127">
        <f>ATB_Total!C28/ATB_per_capita!$I28*1000</f>
        <v>21244.77965015074</v>
      </c>
      <c r="D28" s="127">
        <f>ATB_Total!D28/ATB_per_capita!$I28*1000</f>
        <v>1708.3704164149851</v>
      </c>
      <c r="E28" s="127">
        <f>ATB_Total!E28/ATB_per_capita!$I28*1000</f>
        <v>2468.6426649732803</v>
      </c>
      <c r="F28" s="127">
        <f>ATB_Total!F28/ATB_per_capita!$I28*1000</f>
        <v>7330.7031847021763</v>
      </c>
      <c r="G28" s="127">
        <f>ATB_Total!G28/ATB_per_capita!$I28*1000</f>
        <v>27.243111482902311</v>
      </c>
      <c r="H28" s="143">
        <f>ATB_Total!H28/ATB_per_capita!$I28*1000</f>
        <v>32779.739027724085</v>
      </c>
      <c r="I28" s="144">
        <v>739347</v>
      </c>
      <c r="J28" s="138"/>
    </row>
    <row r="29" spans="2:10" x14ac:dyDescent="0.2">
      <c r="B29" s="48" t="s">
        <v>76</v>
      </c>
      <c r="C29" s="130">
        <f>ATB_Total!C29/ATB_per_capita!$I29*1000</f>
        <v>14269.181354430768</v>
      </c>
      <c r="D29" s="130">
        <f>ATB_Total!D29/ATB_per_capita!$I29*1000</f>
        <v>1207.1268676739164</v>
      </c>
      <c r="E29" s="130">
        <f>ATB_Total!E29/ATB_per_capita!$I29*1000</f>
        <v>1927.9525462931849</v>
      </c>
      <c r="F29" s="130">
        <f>ATB_Total!F29/ATB_per_capita!$I29*1000</f>
        <v>3633.5858817240428</v>
      </c>
      <c r="G29" s="130">
        <f>ATB_Total!G29/ATB_per_capita!$I29*1000</f>
        <v>394.22558242518056</v>
      </c>
      <c r="H29" s="145">
        <f>ATB_Total!H29/ATB_per_capita!$I29*1000</f>
        <v>21432.072232547092</v>
      </c>
      <c r="I29" s="146">
        <v>327370</v>
      </c>
      <c r="J29" s="138"/>
    </row>
    <row r="30" spans="2:10" x14ac:dyDescent="0.2">
      <c r="B30" s="45" t="s">
        <v>77</v>
      </c>
      <c r="C30" s="127">
        <f>ATB_Total!C30/ATB_per_capita!$I30*1000</f>
        <v>15531.149149834533</v>
      </c>
      <c r="D30" s="127">
        <f>ATB_Total!D30/ATB_per_capita!$I30*1000</f>
        <v>1396.113517325505</v>
      </c>
      <c r="E30" s="127">
        <f>ATB_Total!E30/ATB_per_capita!$I30*1000</f>
        <v>1404.2346275248203</v>
      </c>
      <c r="F30" s="127">
        <f>ATB_Total!F30/ATB_per_capita!$I30*1000</f>
        <v>11015.968225493554</v>
      </c>
      <c r="G30" s="127">
        <f>ATB_Total!G30/ATB_per_capita!$I30*1000</f>
        <v>570.60472038049375</v>
      </c>
      <c r="H30" s="143">
        <f>ATB_Total!H30/ATB_per_capita!$I30*1000</f>
        <v>29918.070240558907</v>
      </c>
      <c r="I30" s="144">
        <v>175260</v>
      </c>
      <c r="J30" s="138"/>
    </row>
    <row r="31" spans="2:10" x14ac:dyDescent="0.2">
      <c r="B31" s="48" t="s">
        <v>78</v>
      </c>
      <c r="C31" s="130">
        <f>ATB_Total!C31/ATB_per_capita!$I31*1000</f>
        <v>25281.58038240737</v>
      </c>
      <c r="D31" s="130">
        <f>ATB_Total!D31/ATB_per_capita!$I31*1000</f>
        <v>4962.4544405511324</v>
      </c>
      <c r="E31" s="130">
        <f>ATB_Total!E31/ATB_per_capita!$I31*1000</f>
        <v>3141.3889958908171</v>
      </c>
      <c r="F31" s="130">
        <f>ATB_Total!F31/ATB_per_capita!$I31*1000</f>
        <v>12541.953718445811</v>
      </c>
      <c r="G31" s="130">
        <f>ATB_Total!G31/ATB_per_capita!$I31*1000</f>
        <v>69.718682802483073</v>
      </c>
      <c r="H31" s="145">
        <f>ATB_Total!H31/ATB_per_capita!$I31*1000</f>
        <v>45997.096220097614</v>
      </c>
      <c r="I31" s="146">
        <v>465786</v>
      </c>
      <c r="J31" s="138"/>
    </row>
    <row r="32" spans="2:10" x14ac:dyDescent="0.2">
      <c r="B32" s="45" t="s">
        <v>79</v>
      </c>
      <c r="C32" s="127">
        <f>ATB_Total!C32/ATB_per_capita!$I32*1000</f>
        <v>12728.695200016866</v>
      </c>
      <c r="D32" s="127">
        <f>ATB_Total!D32/ATB_per_capita!$I32*1000</f>
        <v>1221.1490838873356</v>
      </c>
      <c r="E32" s="127">
        <f>ATB_Total!E32/ATB_per_capita!$I32*1000</f>
        <v>1321.9874501978036</v>
      </c>
      <c r="F32" s="127">
        <f>ATB_Total!F32/ATB_per_capita!$I32*1000</f>
        <v>5469.1875471671592</v>
      </c>
      <c r="G32" s="127">
        <f>ATB_Total!G32/ATB_per_capita!$I32*1000</f>
        <v>330.29083822575177</v>
      </c>
      <c r="H32" s="143">
        <f>ATB_Total!H32/ATB_per_capita!$I32*1000</f>
        <v>21071.310119494916</v>
      </c>
      <c r="I32" s="144">
        <v>71156.5</v>
      </c>
      <c r="J32" s="138"/>
    </row>
    <row r="33" spans="1:10" x14ac:dyDescent="0.2">
      <c r="A33" s="52"/>
      <c r="B33" s="53" t="s">
        <v>80</v>
      </c>
      <c r="C33" s="54">
        <f>ATB_Total!C33/ATB_per_capita!$I33*1000</f>
        <v>19967.917704883781</v>
      </c>
      <c r="D33" s="54">
        <f>ATB_Total!D33/ATB_per_capita!$I33*1000</f>
        <v>1454.7828534215978</v>
      </c>
      <c r="E33" s="54">
        <f>ATB_Total!E33/ATB_per_capita!$I33*1000</f>
        <v>2910.9111495633124</v>
      </c>
      <c r="F33" s="54">
        <f>ATB_Total!F33/ATB_per_capita!$I33*1000</f>
        <v>7638.8439909074214</v>
      </c>
      <c r="G33" s="54">
        <f>ATB_Total!G33/ATB_per_capita!$I33*1000</f>
        <v>-7.5845415594286258</v>
      </c>
      <c r="H33" s="54">
        <f>ATB_Total!H33/ATB_per_capita!$I33*1000</f>
        <v>31964.871157216683</v>
      </c>
      <c r="I33" s="55">
        <f>SUM(I7:I32)</f>
        <v>8079556</v>
      </c>
      <c r="J33" s="138"/>
    </row>
  </sheetData>
  <conditionalFormatting sqref="C7:H32">
    <cfRule type="expression" dxfId="3" priority="1" stopIfTrue="1">
      <formula>ISBLANK(C7)</formula>
    </cfRule>
  </conditionalFormatting>
  <conditionalFormatting sqref="I7:I32">
    <cfRule type="expression" dxfId="2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3" width="18.42578125" style="1" customWidth="1"/>
    <col min="4" max="4" width="17.28515625" style="1" customWidth="1"/>
    <col min="5" max="6" width="18.5703125" style="1" customWidth="1"/>
    <col min="7" max="7" width="14" style="1" customWidth="1"/>
    <col min="8" max="8" width="13" style="1" customWidth="1"/>
    <col min="9" max="9" width="15.28515625" style="1" hidden="1" customWidth="1"/>
  </cols>
  <sheetData>
    <row r="1" spans="1:10" ht="26.25" customHeight="1" x14ac:dyDescent="0.2">
      <c r="A1" s="101" t="str">
        <f>"ATB in percent "&amp;Info!C31</f>
        <v>ATB in percent 2012</v>
      </c>
      <c r="B1" s="57"/>
      <c r="C1" s="57"/>
    </row>
    <row r="2" spans="1:10" ht="18.75" customHeight="1" x14ac:dyDescent="0.2">
      <c r="A2" s="147" t="str">
        <f>Info!A4</f>
        <v>Reference year 2017</v>
      </c>
      <c r="H2" s="20" t="str">
        <f>Info!C28</f>
        <v>FA_2017_20160519</v>
      </c>
    </row>
    <row r="3" spans="1:10" s="1" customFormat="1" x14ac:dyDescent="0.2">
      <c r="A3" s="23" t="s">
        <v>29</v>
      </c>
      <c r="B3" s="24" t="s">
        <v>82</v>
      </c>
      <c r="C3" s="24" t="s">
        <v>30</v>
      </c>
      <c r="D3" s="24" t="s">
        <v>31</v>
      </c>
      <c r="E3" s="24" t="s">
        <v>32</v>
      </c>
      <c r="F3" s="24" t="s">
        <v>33</v>
      </c>
      <c r="G3" s="24" t="s">
        <v>34</v>
      </c>
      <c r="H3" s="84" t="s">
        <v>35</v>
      </c>
      <c r="I3" s="7"/>
    </row>
    <row r="4" spans="1:10" ht="52.5" customHeight="1" x14ac:dyDescent="0.2">
      <c r="A4" s="148"/>
      <c r="B4" s="33" t="s">
        <v>47</v>
      </c>
      <c r="C4" s="33" t="s">
        <v>109</v>
      </c>
      <c r="D4" s="33" t="s">
        <v>86</v>
      </c>
      <c r="E4" s="106" t="s">
        <v>89</v>
      </c>
      <c r="F4" s="106" t="s">
        <v>90</v>
      </c>
      <c r="G4" s="33" t="s">
        <v>106</v>
      </c>
      <c r="H4" s="34" t="s">
        <v>112</v>
      </c>
      <c r="I4" s="7"/>
    </row>
    <row r="5" spans="1:10" s="35" customFormat="1" ht="11.25" customHeight="1" x14ac:dyDescent="0.2">
      <c r="A5" s="86" t="s">
        <v>51</v>
      </c>
      <c r="B5" s="38" t="s">
        <v>116</v>
      </c>
      <c r="C5" s="38" t="s">
        <v>116</v>
      </c>
      <c r="D5" s="38" t="s">
        <v>116</v>
      </c>
      <c r="E5" s="38" t="s">
        <v>116</v>
      </c>
      <c r="F5" s="38" t="s">
        <v>116</v>
      </c>
      <c r="G5" s="38" t="s">
        <v>116</v>
      </c>
      <c r="H5" s="39" t="s">
        <v>116</v>
      </c>
      <c r="I5" s="149"/>
    </row>
    <row r="6" spans="1:10" x14ac:dyDescent="0.2">
      <c r="A6" s="41" t="s">
        <v>54</v>
      </c>
      <c r="B6" s="150">
        <f>ATB_Total!C7/ATB_Total!$H7</f>
        <v>0.64653005579919276</v>
      </c>
      <c r="C6" s="150">
        <f>ATB_Total!D7/ATB_Total!$H7</f>
        <v>3.6013319297775501E-2</v>
      </c>
      <c r="D6" s="150">
        <f>ATB_Total!E7/ATB_Total!$H7</f>
        <v>0.10190217559951936</v>
      </c>
      <c r="E6" s="150">
        <f>LE!B9/ATB_Total!$H7</f>
        <v>0.21102488964158136</v>
      </c>
      <c r="F6" s="150">
        <f>LE!C9/ATB_Total!$H7</f>
        <v>7.8919958101997204E-3</v>
      </c>
      <c r="G6" s="150">
        <f>ATB_Total!G7/ATB_Total!$H7</f>
        <v>-3.362436148268956E-3</v>
      </c>
      <c r="H6" s="151">
        <f t="shared" ref="H6:H32" si="0">SUM(B6:G6)</f>
        <v>0.99999999999999978</v>
      </c>
      <c r="I6" s="152" t="s">
        <v>54</v>
      </c>
      <c r="J6" s="138"/>
    </row>
    <row r="7" spans="1:10" x14ac:dyDescent="0.2">
      <c r="A7" s="45" t="s">
        <v>55</v>
      </c>
      <c r="B7" s="153">
        <f>ATB_Total!C8/ATB_Total!$H8</f>
        <v>0.66921964691209612</v>
      </c>
      <c r="C7" s="153">
        <f>ATB_Total!D8/ATB_Total!$H8</f>
        <v>2.6227203443224774E-2</v>
      </c>
      <c r="D7" s="153">
        <f>ATB_Total!E8/ATB_Total!$H8</f>
        <v>9.4925658385304146E-2</v>
      </c>
      <c r="E7" s="153">
        <f>LE!B10/ATB_Total!$H8</f>
        <v>0.2307959109950079</v>
      </c>
      <c r="F7" s="153">
        <f>LE!C10/ATB_Total!$H8</f>
        <v>2.9138808551937012E-3</v>
      </c>
      <c r="G7" s="153">
        <f>ATB_Total!G8/ATB_Total!$H8</f>
        <v>-2.4082300590826628E-2</v>
      </c>
      <c r="H7" s="154">
        <f t="shared" si="0"/>
        <v>1</v>
      </c>
      <c r="I7" s="155" t="s">
        <v>55</v>
      </c>
      <c r="J7" s="138"/>
    </row>
    <row r="8" spans="1:10" x14ac:dyDescent="0.2">
      <c r="A8" s="48" t="s">
        <v>56</v>
      </c>
      <c r="B8" s="156">
        <f>ATB_Total!C9/ATB_Total!$H9</f>
        <v>0.59752456577265967</v>
      </c>
      <c r="C8" s="156">
        <f>ATB_Total!D9/ATB_Total!$H9</f>
        <v>2.4008845096783627E-2</v>
      </c>
      <c r="D8" s="156">
        <f>ATB_Total!E9/ATB_Total!$H9</f>
        <v>9.2997679937330782E-2</v>
      </c>
      <c r="E8" s="156">
        <f>LE!B11/ATB_Total!$H9</f>
        <v>0.27511753054155386</v>
      </c>
      <c r="F8" s="156">
        <f>LE!C11/ATB_Total!$H9</f>
        <v>6.9855408701211428E-3</v>
      </c>
      <c r="G8" s="156">
        <f>ATB_Total!G9/ATB_Total!$H9</f>
        <v>3.3658377815509849E-3</v>
      </c>
      <c r="H8" s="157">
        <f t="shared" si="0"/>
        <v>1</v>
      </c>
      <c r="I8" s="158" t="s">
        <v>56</v>
      </c>
      <c r="J8" s="138"/>
    </row>
    <row r="9" spans="1:10" x14ac:dyDescent="0.2">
      <c r="A9" s="45" t="s">
        <v>57</v>
      </c>
      <c r="B9" s="153">
        <f>ATB_Total!C10/ATB_Total!$H10</f>
        <v>0.60330971563771008</v>
      </c>
      <c r="C9" s="153">
        <f>ATB_Total!D10/ATB_Total!$H10</f>
        <v>3.4492531431393761E-2</v>
      </c>
      <c r="D9" s="153">
        <f>ATB_Total!E10/ATB_Total!$H10</f>
        <v>0.11354115698488097</v>
      </c>
      <c r="E9" s="153">
        <f>LE!B12/ATB_Total!$H10</f>
        <v>0.24461419897210948</v>
      </c>
      <c r="F9" s="153">
        <f>LE!C12/ATB_Total!$H10</f>
        <v>8.5251300914680576E-4</v>
      </c>
      <c r="G9" s="153">
        <f>ATB_Total!G10/ATB_Total!$H10</f>
        <v>3.1898839647590293E-3</v>
      </c>
      <c r="H9" s="154">
        <f t="shared" si="0"/>
        <v>1</v>
      </c>
      <c r="I9" s="155" t="s">
        <v>57</v>
      </c>
      <c r="J9" s="138"/>
    </row>
    <row r="10" spans="1:10" x14ac:dyDescent="0.2">
      <c r="A10" s="48" t="s">
        <v>58</v>
      </c>
      <c r="B10" s="156">
        <f>ATB_Total!C11/ATB_Total!$H11</f>
        <v>0.66192741947296396</v>
      </c>
      <c r="C10" s="156">
        <f>ATB_Total!D11/ATB_Total!$H11</f>
        <v>1.6098818911311947E-2</v>
      </c>
      <c r="D10" s="156">
        <f>ATB_Total!E11/ATB_Total!$H11</f>
        <v>0.17153157042546716</v>
      </c>
      <c r="E10" s="156">
        <f>LE!B13/ATB_Total!$H11</f>
        <v>0.14015140861586065</v>
      </c>
      <c r="F10" s="156">
        <f>LE!C13/ATB_Total!$H11</f>
        <v>1.0555624629605524E-2</v>
      </c>
      <c r="G10" s="156">
        <f>ATB_Total!G11/ATB_Total!$H11</f>
        <v>-2.6484205520918629E-4</v>
      </c>
      <c r="H10" s="157">
        <f t="shared" si="0"/>
        <v>1</v>
      </c>
      <c r="I10" s="158" t="s">
        <v>58</v>
      </c>
      <c r="J10" s="138"/>
    </row>
    <row r="11" spans="1:10" x14ac:dyDescent="0.2">
      <c r="A11" s="45" t="s">
        <v>59</v>
      </c>
      <c r="B11" s="153">
        <f>ATB_Total!C12/ATB_Total!$H12</f>
        <v>0.59786494707880677</v>
      </c>
      <c r="C11" s="153">
        <f>ATB_Total!D12/ATB_Total!$H12</f>
        <v>2.7101848788018145E-2</v>
      </c>
      <c r="D11" s="153">
        <f>ATB_Total!E12/ATB_Total!$H12</f>
        <v>0.12196479972960866</v>
      </c>
      <c r="E11" s="153">
        <f>LE!B14/ATB_Total!$H12</f>
        <v>0.23968189768176526</v>
      </c>
      <c r="F11" s="153">
        <f>LE!C14/ATB_Total!$H12</f>
        <v>5.6108363855479427E-3</v>
      </c>
      <c r="G11" s="153">
        <f>ATB_Total!G12/ATB_Total!$H12</f>
        <v>7.7756703362531071E-3</v>
      </c>
      <c r="H11" s="154">
        <f t="shared" si="0"/>
        <v>0.99999999999999989</v>
      </c>
      <c r="I11" s="155" t="s">
        <v>59</v>
      </c>
      <c r="J11" s="138"/>
    </row>
    <row r="12" spans="1:10" x14ac:dyDescent="0.2">
      <c r="A12" s="48" t="s">
        <v>60</v>
      </c>
      <c r="B12" s="156">
        <f>ATB_Total!C13/ATB_Total!$H13</f>
        <v>0.56260003112566681</v>
      </c>
      <c r="C12" s="156">
        <f>ATB_Total!D13/ATB_Total!$H13</f>
        <v>1.466631735211694E-2</v>
      </c>
      <c r="D12" s="156">
        <f>ATB_Total!E13/ATB_Total!$H13</f>
        <v>0.19041803741245739</v>
      </c>
      <c r="E12" s="156">
        <f>LE!B15/ATB_Total!$H13</f>
        <v>0.21986475788191867</v>
      </c>
      <c r="F12" s="156">
        <f>LE!C15/ATB_Total!$H13</f>
        <v>8.5969431038640156E-3</v>
      </c>
      <c r="G12" s="156">
        <f>ATB_Total!G13/ATB_Total!$H13</f>
        <v>3.8539131239762082E-3</v>
      </c>
      <c r="H12" s="157">
        <f t="shared" si="0"/>
        <v>1</v>
      </c>
      <c r="I12" s="158" t="s">
        <v>60</v>
      </c>
      <c r="J12" s="138"/>
    </row>
    <row r="13" spans="1:10" x14ac:dyDescent="0.2">
      <c r="A13" s="45" t="s">
        <v>61</v>
      </c>
      <c r="B13" s="153">
        <f>ATB_Total!C14/ATB_Total!$H14</f>
        <v>0.63576413347805161</v>
      </c>
      <c r="C13" s="153">
        <f>ATB_Total!D14/ATB_Total!$H14</f>
        <v>5.2869259779942356E-2</v>
      </c>
      <c r="D13" s="153">
        <f>ATB_Total!E14/ATB_Total!$H14</f>
        <v>0.11339755853705728</v>
      </c>
      <c r="E13" s="153">
        <f>LE!B16/ATB_Total!$H14</f>
        <v>0.17288422077782348</v>
      </c>
      <c r="F13" s="153">
        <f>LE!C16/ATB_Total!$H14</f>
        <v>1.5245987848244149E-2</v>
      </c>
      <c r="G13" s="153">
        <f>ATB_Total!G14/ATB_Total!$H14</f>
        <v>9.8388395788812383E-3</v>
      </c>
      <c r="H13" s="154">
        <f t="shared" si="0"/>
        <v>1.0000000000000002</v>
      </c>
      <c r="I13" s="155" t="s">
        <v>61</v>
      </c>
      <c r="J13" s="138"/>
    </row>
    <row r="14" spans="1:10" x14ac:dyDescent="0.2">
      <c r="A14" s="48" t="s">
        <v>62</v>
      </c>
      <c r="B14" s="156">
        <f>ATB_Total!C15/ATB_Total!$H15</f>
        <v>0.50450750341060779</v>
      </c>
      <c r="C14" s="156">
        <f>ATB_Total!D15/ATB_Total!$H15</f>
        <v>2.2379907069886955E-2</v>
      </c>
      <c r="D14" s="156">
        <f>ATB_Total!E15/ATB_Total!$H15</f>
        <v>8.9622781578744884E-2</v>
      </c>
      <c r="E14" s="156">
        <f>LE!B17/ATB_Total!$H15</f>
        <v>0.24801542547551331</v>
      </c>
      <c r="F14" s="156">
        <f>LE!C17/ATB_Total!$H15</f>
        <v>0.13494974873583751</v>
      </c>
      <c r="G14" s="156">
        <f>ATB_Total!G15/ATB_Total!$H15</f>
        <v>5.2463372940974435E-4</v>
      </c>
      <c r="H14" s="157">
        <f t="shared" si="0"/>
        <v>1.0000000000000002</v>
      </c>
      <c r="I14" s="158" t="s">
        <v>62</v>
      </c>
      <c r="J14" s="138"/>
    </row>
    <row r="15" spans="1:10" x14ac:dyDescent="0.2">
      <c r="A15" s="45" t="s">
        <v>63</v>
      </c>
      <c r="B15" s="153">
        <f>ATB_Total!C16/ATB_Total!$H16</f>
        <v>0.62845973236630037</v>
      </c>
      <c r="C15" s="153">
        <f>ATB_Total!D16/ATB_Total!$H16</f>
        <v>3.1875497016527102E-2</v>
      </c>
      <c r="D15" s="153">
        <f>ATB_Total!E16/ATB_Total!$H16</f>
        <v>5.5018420659007389E-2</v>
      </c>
      <c r="E15" s="153">
        <f>LE!B18/ATB_Total!$H16</f>
        <v>0.22944516604611356</v>
      </c>
      <c r="F15" s="153">
        <f>LE!C18/ATB_Total!$H16</f>
        <v>5.5756565577963768E-2</v>
      </c>
      <c r="G15" s="153">
        <f>ATB_Total!G16/ATB_Total!$H16</f>
        <v>-5.5538166591226291E-4</v>
      </c>
      <c r="H15" s="154">
        <f t="shared" si="0"/>
        <v>1</v>
      </c>
      <c r="I15" s="155" t="s">
        <v>63</v>
      </c>
      <c r="J15" s="138"/>
    </row>
    <row r="16" spans="1:10" x14ac:dyDescent="0.2">
      <c r="A16" s="48" t="s">
        <v>64</v>
      </c>
      <c r="B16" s="156">
        <f>ATB_Total!C17/ATB_Total!$H17</f>
        <v>0.69443718502900564</v>
      </c>
      <c r="C16" s="156">
        <f>ATB_Total!D17/ATB_Total!$H17</f>
        <v>2.369179688302888E-2</v>
      </c>
      <c r="D16" s="156">
        <f>ATB_Total!E17/ATB_Total!$H17</f>
        <v>5.3320750392580343E-2</v>
      </c>
      <c r="E16" s="156">
        <f>LE!B19/ATB_Total!$H17</f>
        <v>0.20708425678463235</v>
      </c>
      <c r="F16" s="156">
        <f>LE!C19/ATB_Total!$H17</f>
        <v>2.1857272634590291E-3</v>
      </c>
      <c r="G16" s="156">
        <f>ATB_Total!G17/ATB_Total!$H17</f>
        <v>1.9280283647293735E-2</v>
      </c>
      <c r="H16" s="157">
        <f t="shared" si="0"/>
        <v>1</v>
      </c>
      <c r="I16" s="158" t="s">
        <v>64</v>
      </c>
      <c r="J16" s="138"/>
    </row>
    <row r="17" spans="1:10" x14ac:dyDescent="0.2">
      <c r="A17" s="45" t="s">
        <v>65</v>
      </c>
      <c r="B17" s="153">
        <f>ATB_Total!C18/ATB_Total!$H18</f>
        <v>0.49394948605877687</v>
      </c>
      <c r="C17" s="153">
        <f>ATB_Total!D18/ATB_Total!$H18</f>
        <v>7.1683545147332828E-2</v>
      </c>
      <c r="D17" s="153">
        <f>ATB_Total!E18/ATB_Total!$H18</f>
        <v>8.0153458833998964E-2</v>
      </c>
      <c r="E17" s="153">
        <f>LE!B20/ATB_Total!$H18</f>
        <v>0.17426014006071266</v>
      </c>
      <c r="F17" s="153">
        <f>LE!C20/ATB_Total!$H18</f>
        <v>0.18132244732488526</v>
      </c>
      <c r="G17" s="153">
        <f>ATB_Total!G18/ATB_Total!$H18</f>
        <v>-1.3690774257066119E-3</v>
      </c>
      <c r="H17" s="154">
        <f t="shared" si="0"/>
        <v>1</v>
      </c>
      <c r="I17" s="155" t="s">
        <v>65</v>
      </c>
      <c r="J17" s="138"/>
    </row>
    <row r="18" spans="1:10" x14ac:dyDescent="0.2">
      <c r="A18" s="48" t="s">
        <v>66</v>
      </c>
      <c r="B18" s="156">
        <f>ATB_Total!C19/ATB_Total!$H19</f>
        <v>0.73840524017739884</v>
      </c>
      <c r="C18" s="156">
        <f>ATB_Total!D19/ATB_Total!$H19</f>
        <v>4.2557131908571383E-2</v>
      </c>
      <c r="D18" s="156">
        <f>ATB_Total!E19/ATB_Total!$H19</f>
        <v>6.572153230997424E-2</v>
      </c>
      <c r="E18" s="156">
        <f>LE!B21/ATB_Total!$H19</f>
        <v>0.13876109317624341</v>
      </c>
      <c r="F18" s="156">
        <f>LE!C21/ATB_Total!$H19</f>
        <v>1.8939728199273084E-2</v>
      </c>
      <c r="G18" s="156">
        <f>ATB_Total!G19/ATB_Total!$H19</f>
        <v>-4.3847257714611449E-3</v>
      </c>
      <c r="H18" s="157">
        <f t="shared" si="0"/>
        <v>0.99999999999999978</v>
      </c>
      <c r="I18" s="158" t="s">
        <v>66</v>
      </c>
      <c r="J18" s="138"/>
    </row>
    <row r="19" spans="1:10" x14ac:dyDescent="0.2">
      <c r="A19" s="45" t="s">
        <v>67</v>
      </c>
      <c r="B19" s="153">
        <f>ATB_Total!C20/ATB_Total!$H20</f>
        <v>0.51798994030925272</v>
      </c>
      <c r="C19" s="153">
        <f>ATB_Total!D20/ATB_Total!$H20</f>
        <v>6.4421618855399293E-2</v>
      </c>
      <c r="D19" s="153">
        <f>ATB_Total!E20/ATB_Total!$H20</f>
        <v>7.3512678438548237E-2</v>
      </c>
      <c r="E19" s="153">
        <f>LE!B22/ATB_Total!$H20</f>
        <v>0.22312175952833413</v>
      </c>
      <c r="F19" s="153">
        <f>LE!C22/ATB_Total!$H20</f>
        <v>0.11094732527429674</v>
      </c>
      <c r="G19" s="153">
        <f>ATB_Total!G20/ATB_Total!$H20</f>
        <v>1.0006677594168747E-2</v>
      </c>
      <c r="H19" s="154">
        <f t="shared" si="0"/>
        <v>0.99999999999999989</v>
      </c>
      <c r="I19" s="155" t="s">
        <v>67</v>
      </c>
      <c r="J19" s="138"/>
    </row>
    <row r="20" spans="1:10" x14ac:dyDescent="0.2">
      <c r="A20" s="48" t="s">
        <v>68</v>
      </c>
      <c r="B20" s="156">
        <f>ATB_Total!C21/ATB_Total!$H21</f>
        <v>0.62662343401991549</v>
      </c>
      <c r="C20" s="156">
        <f>ATB_Total!D21/ATB_Total!$H21</f>
        <v>2.770137130347073E-2</v>
      </c>
      <c r="D20" s="156">
        <f>ATB_Total!E21/ATB_Total!$H21</f>
        <v>0.12731253035069615</v>
      </c>
      <c r="E20" s="156">
        <f>LE!B23/ATB_Total!$H21</f>
        <v>0.22141037290432142</v>
      </c>
      <c r="F20" s="156">
        <f>LE!C23/ATB_Total!$H21</f>
        <v>5.0111505908473309E-3</v>
      </c>
      <c r="G20" s="156">
        <f>ATB_Total!G21/ATB_Total!$H21</f>
        <v>-8.0588591692511077E-3</v>
      </c>
      <c r="H20" s="157">
        <f t="shared" si="0"/>
        <v>0.99999999999999989</v>
      </c>
      <c r="I20" s="158" t="s">
        <v>68</v>
      </c>
      <c r="J20" s="138"/>
    </row>
    <row r="21" spans="1:10" x14ac:dyDescent="0.2">
      <c r="A21" s="45" t="s">
        <v>69</v>
      </c>
      <c r="B21" s="153">
        <f>ATB_Total!C22/ATB_Total!$H22</f>
        <v>0.64192049639756943</v>
      </c>
      <c r="C21" s="153">
        <f>ATB_Total!D22/ATB_Total!$H22</f>
        <v>2.0201175453931734E-2</v>
      </c>
      <c r="D21" s="153">
        <f>ATB_Total!E22/ATB_Total!$H22</f>
        <v>0.14479532091042172</v>
      </c>
      <c r="E21" s="153">
        <f>LE!B24/ATB_Total!$H22</f>
        <v>0.18551988579694689</v>
      </c>
      <c r="F21" s="153">
        <f>LE!C24/ATB_Total!$H22</f>
        <v>6.5044502047039952E-3</v>
      </c>
      <c r="G21" s="153">
        <f>ATB_Total!G22/ATB_Total!$H22</f>
        <v>1.0586712364263015E-3</v>
      </c>
      <c r="H21" s="154">
        <f t="shared" si="0"/>
        <v>1</v>
      </c>
      <c r="I21" s="155" t="s">
        <v>69</v>
      </c>
      <c r="J21" s="138"/>
    </row>
    <row r="22" spans="1:10" x14ac:dyDescent="0.2">
      <c r="A22" s="48" t="s">
        <v>70</v>
      </c>
      <c r="B22" s="156">
        <f>ATB_Total!C23/ATB_Total!$H23</f>
        <v>0.60002585143650222</v>
      </c>
      <c r="C22" s="156">
        <f>ATB_Total!D23/ATB_Total!$H23</f>
        <v>4.0906818508167929E-2</v>
      </c>
      <c r="D22" s="156">
        <f>ATB_Total!E23/ATB_Total!$H23</f>
        <v>0.10726819402343693</v>
      </c>
      <c r="E22" s="156">
        <f>LE!B25/ATB_Total!$H23</f>
        <v>0.23331091230372097</v>
      </c>
      <c r="F22" s="156">
        <f>LE!C25/ATB_Total!$H23</f>
        <v>1.7557107259779155E-2</v>
      </c>
      <c r="G22" s="156">
        <f>ATB_Total!G23/ATB_Total!$H23</f>
        <v>9.3111646839278599E-4</v>
      </c>
      <c r="H22" s="157">
        <f t="shared" si="0"/>
        <v>0.99999999999999989</v>
      </c>
      <c r="I22" s="158" t="s">
        <v>70</v>
      </c>
      <c r="J22" s="138"/>
    </row>
    <row r="23" spans="1:10" x14ac:dyDescent="0.2">
      <c r="A23" s="45" t="s">
        <v>71</v>
      </c>
      <c r="B23" s="153">
        <f>ATB_Total!C24/ATB_Total!$H24</f>
        <v>0.6054175600161964</v>
      </c>
      <c r="C23" s="153">
        <f>ATB_Total!D24/ATB_Total!$H24</f>
        <v>6.8251937456816514E-2</v>
      </c>
      <c r="D23" s="153">
        <f>ATB_Total!E24/ATB_Total!$H24</f>
        <v>0.14471006652764146</v>
      </c>
      <c r="E23" s="153">
        <f>LE!B26/ATB_Total!$H24</f>
        <v>0.15019999960842378</v>
      </c>
      <c r="F23" s="153">
        <f>LE!C26/ATB_Total!$H24</f>
        <v>5.2012589278295565E-3</v>
      </c>
      <c r="G23" s="153">
        <f>ATB_Total!G24/ATB_Total!$H24</f>
        <v>2.6219177463092293E-2</v>
      </c>
      <c r="H23" s="154">
        <f t="shared" si="0"/>
        <v>1</v>
      </c>
      <c r="I23" s="155" t="s">
        <v>71</v>
      </c>
      <c r="J23" s="138"/>
    </row>
    <row r="24" spans="1:10" x14ac:dyDescent="0.2">
      <c r="A24" s="48" t="s">
        <v>72</v>
      </c>
      <c r="B24" s="156">
        <f>ATB_Total!C25/ATB_Total!$H25</f>
        <v>0.68255520648303958</v>
      </c>
      <c r="C24" s="156">
        <f>ATB_Total!D25/ATB_Total!$H25</f>
        <v>3.2596543761379354E-2</v>
      </c>
      <c r="D24" s="156">
        <f>ATB_Total!E25/ATB_Total!$H25</f>
        <v>8.8087224664221947E-2</v>
      </c>
      <c r="E24" s="156">
        <f>LE!B27/ATB_Total!$H25</f>
        <v>0.19791341998217779</v>
      </c>
      <c r="F24" s="156">
        <f>LE!C27/ATB_Total!$H25</f>
        <v>2.5371734650367853E-3</v>
      </c>
      <c r="G24" s="156">
        <f>ATB_Total!G25/ATB_Total!$H25</f>
        <v>-3.6895683558554136E-3</v>
      </c>
      <c r="H24" s="157">
        <f t="shared" si="0"/>
        <v>0.99999999999999989</v>
      </c>
      <c r="I24" s="158" t="s">
        <v>72</v>
      </c>
      <c r="J24" s="138"/>
    </row>
    <row r="25" spans="1:10" x14ac:dyDescent="0.2">
      <c r="A25" s="45" t="s">
        <v>73</v>
      </c>
      <c r="B25" s="153">
        <f>ATB_Total!C26/ATB_Total!$H26</f>
        <v>0.6527578832109775</v>
      </c>
      <c r="C25" s="153">
        <f>ATB_Total!D26/ATB_Total!$H26</f>
        <v>4.2436541851559276E-2</v>
      </c>
      <c r="D25" s="153">
        <f>ATB_Total!E26/ATB_Total!$H26</f>
        <v>0.10575886506596974</v>
      </c>
      <c r="E25" s="153">
        <f>LE!B28/ATB_Total!$H26</f>
        <v>0.19233159349084608</v>
      </c>
      <c r="F25" s="153">
        <f>LE!C28/ATB_Total!$H26</f>
        <v>2.7244886143345565E-3</v>
      </c>
      <c r="G25" s="153">
        <f>ATB_Total!G26/ATB_Total!$H26</f>
        <v>3.9906277663128639E-3</v>
      </c>
      <c r="H25" s="154">
        <f t="shared" si="0"/>
        <v>1</v>
      </c>
      <c r="I25" s="155" t="s">
        <v>73</v>
      </c>
      <c r="J25" s="138"/>
    </row>
    <row r="26" spans="1:10" x14ac:dyDescent="0.2">
      <c r="A26" s="48" t="s">
        <v>74</v>
      </c>
      <c r="B26" s="156">
        <f>ATB_Total!C27/ATB_Total!$H27</f>
        <v>0.58917520432790516</v>
      </c>
      <c r="C26" s="156">
        <f>ATB_Total!D27/ATB_Total!$H27</f>
        <v>7.7359845046871559E-2</v>
      </c>
      <c r="D26" s="156">
        <f>ATB_Total!E27/ATB_Total!$H27</f>
        <v>7.362302297493456E-2</v>
      </c>
      <c r="E26" s="156">
        <f>LE!B29/ATB_Total!$H27</f>
        <v>0.23993942685971983</v>
      </c>
      <c r="F26" s="156">
        <f>LE!C29/ATB_Total!$H27</f>
        <v>8.9139917223546167E-3</v>
      </c>
      <c r="G26" s="156">
        <f>ATB_Total!G27/ATB_Total!$H27</f>
        <v>1.0988509068214226E-2</v>
      </c>
      <c r="H26" s="157">
        <f t="shared" si="0"/>
        <v>0.99999999999999989</v>
      </c>
      <c r="I26" s="158" t="s">
        <v>74</v>
      </c>
      <c r="J26" s="138"/>
    </row>
    <row r="27" spans="1:10" x14ac:dyDescent="0.2">
      <c r="A27" s="45" t="s">
        <v>75</v>
      </c>
      <c r="B27" s="153">
        <f>ATB_Total!C28/ATB_Total!$H28</f>
        <v>0.64810704051617274</v>
      </c>
      <c r="C27" s="153">
        <f>ATB_Total!D28/ATB_Total!$H28</f>
        <v>5.2116657029212428E-2</v>
      </c>
      <c r="D27" s="153">
        <f>ATB_Total!E28/ATB_Total!$H28</f>
        <v>7.5310015826708668E-2</v>
      </c>
      <c r="E27" s="153">
        <f>LE!B30/ATB_Total!$H28</f>
        <v>0.15296853134568325</v>
      </c>
      <c r="F27" s="153">
        <f>LE!C30/ATB_Total!$H28</f>
        <v>7.066665923658759E-2</v>
      </c>
      <c r="G27" s="153">
        <f>ATB_Total!G28/ATB_Total!$H28</f>
        <v>8.3109604563541334E-4</v>
      </c>
      <c r="H27" s="154">
        <f t="shared" si="0"/>
        <v>1</v>
      </c>
      <c r="I27" s="155" t="s">
        <v>75</v>
      </c>
      <c r="J27" s="138"/>
    </row>
    <row r="28" spans="1:10" x14ac:dyDescent="0.2">
      <c r="A28" s="48" t="s">
        <v>76</v>
      </c>
      <c r="B28" s="156">
        <f>ATB_Total!C29/ATB_Total!$H29</f>
        <v>0.66578635978845568</v>
      </c>
      <c r="C28" s="156">
        <f>ATB_Total!D29/ATB_Total!$H29</f>
        <v>5.6323385558618731E-2</v>
      </c>
      <c r="D28" s="156">
        <f>ATB_Total!E29/ATB_Total!$H29</f>
        <v>8.9956422569599459E-2</v>
      </c>
      <c r="E28" s="156">
        <f>LE!B31/ATB_Total!$H29</f>
        <v>0.16803212018772831</v>
      </c>
      <c r="F28" s="156">
        <f>LE!C31/ATB_Total!$H29</f>
        <v>1.5075231233846623E-3</v>
      </c>
      <c r="G28" s="156">
        <f>ATB_Total!G29/ATB_Total!$H29</f>
        <v>1.8394188772213226E-2</v>
      </c>
      <c r="H28" s="157">
        <f t="shared" si="0"/>
        <v>1</v>
      </c>
      <c r="I28" s="158" t="s">
        <v>76</v>
      </c>
      <c r="J28" s="138"/>
    </row>
    <row r="29" spans="1:10" x14ac:dyDescent="0.2">
      <c r="A29" s="45" t="s">
        <v>77</v>
      </c>
      <c r="B29" s="153">
        <f>ATB_Total!C30/ATB_Total!$H30</f>
        <v>0.51912269156917357</v>
      </c>
      <c r="C29" s="153">
        <f>ATB_Total!D30/ATB_Total!$H30</f>
        <v>4.6664557777287438E-2</v>
      </c>
      <c r="D29" s="153">
        <f>ATB_Total!E30/ATB_Total!$H30</f>
        <v>4.6936002764681906E-2</v>
      </c>
      <c r="E29" s="153">
        <f>LE!B32/ATB_Total!$H30</f>
        <v>0.16273647430546506</v>
      </c>
      <c r="F29" s="153">
        <f>LE!C32/ATB_Total!$H30</f>
        <v>0.20546803009333739</v>
      </c>
      <c r="G29" s="153">
        <f>ATB_Total!G30/ATB_Total!$H30</f>
        <v>1.9072243490054527E-2</v>
      </c>
      <c r="H29" s="154">
        <f t="shared" si="0"/>
        <v>0.99999999999999978</v>
      </c>
      <c r="I29" s="155" t="s">
        <v>77</v>
      </c>
      <c r="J29" s="138"/>
    </row>
    <row r="30" spans="1:10" x14ac:dyDescent="0.2">
      <c r="A30" s="48" t="s">
        <v>78</v>
      </c>
      <c r="B30" s="156">
        <f>ATB_Total!C31/ATB_Total!$H31</f>
        <v>0.54963426955115124</v>
      </c>
      <c r="C30" s="156">
        <f>ATB_Total!D31/ATB_Total!$H31</f>
        <v>0.10788625474976998</v>
      </c>
      <c r="D30" s="156">
        <f>ATB_Total!E31/ATB_Total!$H31</f>
        <v>6.8295376318086853E-2</v>
      </c>
      <c r="E30" s="156">
        <f>LE!B33/ATB_Total!$H31</f>
        <v>0.21964526810205923</v>
      </c>
      <c r="F30" s="156">
        <f>LE!C33/ATB_Total!$H31</f>
        <v>5.3023112058987264E-2</v>
      </c>
      <c r="G30" s="156">
        <f>ATB_Total!G31/ATB_Total!$H31</f>
        <v>1.5157192199454698E-3</v>
      </c>
      <c r="H30" s="157">
        <f t="shared" si="0"/>
        <v>1</v>
      </c>
      <c r="I30" s="158" t="s">
        <v>78</v>
      </c>
      <c r="J30" s="138"/>
    </row>
    <row r="31" spans="1:10" x14ac:dyDescent="0.2">
      <c r="A31" s="45" t="s">
        <v>79</v>
      </c>
      <c r="B31" s="153">
        <f>ATB_Total!C32/ATB_Total!$H32</f>
        <v>0.60407706629690916</v>
      </c>
      <c r="C31" s="153">
        <f>ATB_Total!D32/ATB_Total!$H32</f>
        <v>5.7953163660077474E-2</v>
      </c>
      <c r="D31" s="153">
        <f>ATB_Total!E32/ATB_Total!$H32</f>
        <v>6.2738740149560837E-2</v>
      </c>
      <c r="E31" s="153">
        <f>LE!B34/ATB_Total!$H32</f>
        <v>0.25106547436746118</v>
      </c>
      <c r="F31" s="153">
        <f>LE!C34/ATB_Total!$H32</f>
        <v>8.4906479690960678E-3</v>
      </c>
      <c r="G31" s="153">
        <f>ATB_Total!G32/ATB_Total!$H32</f>
        <v>1.5674907556895133E-2</v>
      </c>
      <c r="H31" s="154">
        <f t="shared" si="0"/>
        <v>0.99999999999999989</v>
      </c>
      <c r="I31" s="159" t="s">
        <v>79</v>
      </c>
      <c r="J31" s="138"/>
    </row>
    <row r="32" spans="1:10" x14ac:dyDescent="0.2">
      <c r="A32" s="53" t="s">
        <v>80</v>
      </c>
      <c r="B32" s="160">
        <f>ATB_Total!C33/ATB_Total!$H33</f>
        <v>0.62468319070247968</v>
      </c>
      <c r="C32" s="160">
        <f>ATB_Total!D33/ATB_Total!$H33</f>
        <v>4.5511926084931292E-2</v>
      </c>
      <c r="D32" s="160">
        <f>ATB_Total!E33/ATB_Total!$H33</f>
        <v>9.1065943461690391E-2</v>
      </c>
      <c r="E32" s="160">
        <f>LE!B35/ATB_Total!$H33</f>
        <v>0.20478783193292652</v>
      </c>
      <c r="F32" s="160">
        <f>LE!C35/ATB_Total!$H33</f>
        <v>3.4188385219220706E-2</v>
      </c>
      <c r="G32" s="160">
        <f>ATB_Total!G33/ATB_Total!$H33</f>
        <v>-2.3727740124853498E-4</v>
      </c>
      <c r="H32" s="161">
        <f t="shared" si="0"/>
        <v>0.99999999999999989</v>
      </c>
      <c r="I32" s="162" t="s">
        <v>80</v>
      </c>
      <c r="J32" s="138"/>
    </row>
    <row r="33" spans="1:7" x14ac:dyDescent="0.2">
      <c r="A33" s="163"/>
    </row>
    <row r="34" spans="1:7" x14ac:dyDescent="0.2">
      <c r="A34" s="174" t="s">
        <v>117</v>
      </c>
      <c r="B34" s="164">
        <f t="shared" ref="B34:G34" si="1">MIN(B6:B32)</f>
        <v>0.49394948605877687</v>
      </c>
      <c r="C34" s="164">
        <f t="shared" si="1"/>
        <v>1.466631735211694E-2</v>
      </c>
      <c r="D34" s="164">
        <f t="shared" si="1"/>
        <v>4.6936002764681906E-2</v>
      </c>
      <c r="E34" s="164">
        <f t="shared" si="1"/>
        <v>0.13876109317624341</v>
      </c>
      <c r="F34" s="164">
        <f t="shared" si="1"/>
        <v>8.5251300914680576E-4</v>
      </c>
      <c r="G34" s="165">
        <f t="shared" si="1"/>
        <v>-2.4082300590826628E-2</v>
      </c>
    </row>
    <row r="35" spans="1:7" x14ac:dyDescent="0.2">
      <c r="A35" s="175"/>
      <c r="B35" s="166" t="str">
        <f>VLOOKUP(B34,B$6:$I$32,B$36,FALSE)</f>
        <v>Basel-Stadt</v>
      </c>
      <c r="C35" s="166" t="str">
        <f>VLOOKUP(C34,C$6:$I$32,C$36,FALSE)</f>
        <v>Nidwalden</v>
      </c>
      <c r="D35" s="166" t="str">
        <f>VLOOKUP(D34,D$6:$I$32,D$36,FALSE)</f>
        <v>Neuchâtel</v>
      </c>
      <c r="E35" s="166" t="str">
        <f>VLOOKUP(E34,E$6:$I$32,E$36,FALSE)</f>
        <v>Basel-Landschaft</v>
      </c>
      <c r="F35" s="166" t="str">
        <f>VLOOKUP(F34,F$6:$I$32,F$36,FALSE)</f>
        <v>Uri</v>
      </c>
      <c r="G35" s="167" t="str">
        <f>VLOOKUP(G34,G$6:$I$32,G$36,FALSE)</f>
        <v>Bern</v>
      </c>
    </row>
    <row r="36" spans="1:7" ht="3.75" customHeight="1" x14ac:dyDescent="0.2">
      <c r="A36" s="168"/>
      <c r="B36" s="169">
        <v>8</v>
      </c>
      <c r="C36" s="169">
        <v>7</v>
      </c>
      <c r="D36" s="169">
        <v>6</v>
      </c>
      <c r="E36" s="169">
        <v>5</v>
      </c>
      <c r="F36" s="169">
        <v>4</v>
      </c>
      <c r="G36" s="169">
        <v>3</v>
      </c>
    </row>
    <row r="37" spans="1:7" x14ac:dyDescent="0.2">
      <c r="A37" s="174" t="s">
        <v>118</v>
      </c>
      <c r="B37" s="164">
        <f t="shared" ref="B37:G37" si="2">MAX(B6:B31)</f>
        <v>0.73840524017739884</v>
      </c>
      <c r="C37" s="164">
        <f t="shared" si="2"/>
        <v>0.10788625474976998</v>
      </c>
      <c r="D37" s="164">
        <f t="shared" si="2"/>
        <v>0.19041803741245739</v>
      </c>
      <c r="E37" s="164">
        <f t="shared" si="2"/>
        <v>0.27511753054155386</v>
      </c>
      <c r="F37" s="164">
        <f t="shared" si="2"/>
        <v>0.20546803009333739</v>
      </c>
      <c r="G37" s="165">
        <f t="shared" si="2"/>
        <v>2.6219177463092293E-2</v>
      </c>
    </row>
    <row r="38" spans="1:7" x14ac:dyDescent="0.2">
      <c r="A38" s="175"/>
      <c r="B38" s="166" t="str">
        <f>VLOOKUP(B37,B$6:$I$32,B$36,FALSE)</f>
        <v>Basel-Landschaft</v>
      </c>
      <c r="C38" s="166" t="str">
        <f>VLOOKUP(C37,C$6:$I$32,C$36,FALSE)</f>
        <v>Geneva</v>
      </c>
      <c r="D38" s="166" t="str">
        <f>VLOOKUP(D37,D$6:$I$32,D$36,FALSE)</f>
        <v>Nidwalden</v>
      </c>
      <c r="E38" s="166" t="str">
        <f>VLOOKUP(E37,E$6:$I$32,E$36,FALSE)</f>
        <v>Luzern</v>
      </c>
      <c r="F38" s="166" t="str">
        <f>VLOOKUP(F37,F$6:$I$32,F$36,FALSE)</f>
        <v>Neuchâtel</v>
      </c>
      <c r="G38" s="167" t="str">
        <f>VLOOKUP(G37,G$6:$I$32,G$36,FALSE)</f>
        <v>Graubünden</v>
      </c>
    </row>
    <row r="40" spans="1:7" x14ac:dyDescent="0.2">
      <c r="G40" s="170"/>
    </row>
  </sheetData>
  <mergeCells count="2">
    <mergeCell ref="A34:A35"/>
    <mergeCell ref="A37:A38"/>
  </mergeCells>
  <conditionalFormatting sqref="C6:I28 C3:H3">
    <cfRule type="expression" dxfId="1" priority="1" stopIfTrue="1">
      <formula>ISBLANK(C3)</formula>
    </cfRule>
  </conditionalFormatting>
  <conditionalFormatting sqref="E4:F4">
    <cfRule type="expression" dxfId="0" priority="2" stopIfTrue="1">
      <formula>ISBLANK(A1073741823)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PI</vt:lpstr>
      <vt:lpstr>ITS</vt:lpstr>
      <vt:lpstr>Wealth</vt:lpstr>
      <vt:lpstr>LE</vt:lpstr>
      <vt:lpstr>REPART</vt:lpstr>
      <vt:lpstr>ATB_Total</vt:lpstr>
      <vt:lpstr>ATB_per_capita</vt:lpstr>
      <vt:lpstr>ATB_in_percent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2015-02-03T10:18:04Z</cp:lastPrinted>
  <dcterms:created xsi:type="dcterms:W3CDTF">2010-11-03T16:06:04Z</dcterms:created>
  <dcterms:modified xsi:type="dcterms:W3CDTF">2016-06-10T09:02:28Z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ATB_2017_2012.xlsx</vt:lpwstr>
  </property>
</Properties>
</file>