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2\Zahlen\Dateien\Tabellen\"/>
    </mc:Choice>
  </mc:AlternateContent>
  <bookViews>
    <workbookView xWindow="0" yWindow="0" windowWidth="13121" windowHeight="6106"/>
  </bookViews>
  <sheets>
    <sheet name="INTRO" sheetId="3" r:id="rId1"/>
    <sheet name="TOTAL_1" sheetId="1" r:id="rId2"/>
    <sheet name="TOTAL_2" sheetId="2" r:id="rId3"/>
    <sheet name="DFIE" sheetId="4" state="veryHidden" r:id="rId4"/>
  </sheets>
  <definedNames>
    <definedName name="_xlnm.Print_Area" localSheetId="1">TOTAL_1!$B$1:$S$33</definedName>
    <definedName name="_xlnm.Print_Area" localSheetId="2">TOTAL_2!$B$1:$L$31</definedName>
  </definedNames>
  <calcPr calcId="162913"/>
</workbook>
</file>

<file path=xl/calcChain.xml><?xml version="1.0" encoding="utf-8"?>
<calcChain xmlns="http://schemas.openxmlformats.org/spreadsheetml/2006/main">
  <c r="B83" i="4" l="1"/>
  <c r="K3" i="2" s="1"/>
  <c r="B82" i="4"/>
  <c r="B79" i="4"/>
  <c r="G4" i="2" s="1"/>
  <c r="B78" i="4"/>
  <c r="F4" i="2" s="1"/>
  <c r="B75" i="4"/>
  <c r="D3" i="2" s="1"/>
  <c r="B74" i="4"/>
  <c r="F72" i="4"/>
  <c r="E72" i="4"/>
  <c r="B71" i="4"/>
  <c r="B30" i="2" s="1"/>
  <c r="B70" i="4"/>
  <c r="B67" i="4"/>
  <c r="B26" i="2" s="1"/>
  <c r="B66" i="4"/>
  <c r="B25" i="2" s="1"/>
  <c r="B63" i="4"/>
  <c r="B22" i="2" s="1"/>
  <c r="B62" i="4"/>
  <c r="B59" i="4"/>
  <c r="B18" i="2" s="1"/>
  <c r="B58" i="4"/>
  <c r="B17" i="2" s="1"/>
  <c r="B55" i="4"/>
  <c r="B14" i="2" s="1"/>
  <c r="B54" i="4"/>
  <c r="B51" i="4"/>
  <c r="B10" i="2" s="1"/>
  <c r="B50" i="4"/>
  <c r="B9" i="2" s="1"/>
  <c r="B47" i="4"/>
  <c r="B6" i="2" s="1"/>
  <c r="B46" i="4"/>
  <c r="B43" i="4"/>
  <c r="S3" i="1" s="1"/>
  <c r="B42" i="4"/>
  <c r="R3" i="1" s="1"/>
  <c r="B39" i="4"/>
  <c r="O5" i="1" s="1"/>
  <c r="B38" i="4"/>
  <c r="B35" i="4"/>
  <c r="B34" i="4"/>
  <c r="B31" i="4"/>
  <c r="B30" i="4"/>
  <c r="H5" i="1" s="1"/>
  <c r="B27" i="4"/>
  <c r="E5" i="1" s="1"/>
  <c r="B26" i="4"/>
  <c r="D5" i="1" s="1"/>
  <c r="B23" i="4"/>
  <c r="D22" i="4"/>
  <c r="B22" i="4"/>
  <c r="C3" i="1" s="1"/>
  <c r="B18" i="4"/>
  <c r="C55" i="3" s="1"/>
  <c r="B15" i="4"/>
  <c r="B14" i="4"/>
  <c r="E13" i="4"/>
  <c r="D13" i="4"/>
  <c r="B11" i="4"/>
  <c r="B10" i="4"/>
  <c r="B9" i="4"/>
  <c r="B85" i="4" s="1"/>
  <c r="B31" i="2" s="1"/>
  <c r="B8" i="4"/>
  <c r="G2" i="4"/>
  <c r="G22" i="4" s="1"/>
  <c r="K30" i="2"/>
  <c r="H30" i="2"/>
  <c r="G30" i="2"/>
  <c r="F30" i="2"/>
  <c r="I30" i="2" s="1"/>
  <c r="D30" i="2"/>
  <c r="L29" i="2"/>
  <c r="K29" i="2"/>
  <c r="H29" i="2"/>
  <c r="G29" i="2"/>
  <c r="F29" i="2"/>
  <c r="I29" i="2" s="1"/>
  <c r="D29" i="2"/>
  <c r="B29" i="2"/>
  <c r="K28" i="2"/>
  <c r="J28" i="2"/>
  <c r="I28" i="2"/>
  <c r="H28" i="2"/>
  <c r="G28" i="2"/>
  <c r="F28" i="2"/>
  <c r="E28" i="2"/>
  <c r="D28" i="2"/>
  <c r="K27" i="2"/>
  <c r="H27" i="2"/>
  <c r="G27" i="2"/>
  <c r="F27" i="2"/>
  <c r="D27" i="2"/>
  <c r="K26" i="2"/>
  <c r="I26" i="2"/>
  <c r="H26" i="2"/>
  <c r="G26" i="2"/>
  <c r="F26" i="2"/>
  <c r="D26" i="2"/>
  <c r="K25" i="2"/>
  <c r="H25" i="2"/>
  <c r="G25" i="2"/>
  <c r="F25" i="2"/>
  <c r="D25" i="2"/>
  <c r="K24" i="2"/>
  <c r="H24" i="2"/>
  <c r="G24" i="2"/>
  <c r="F24" i="2"/>
  <c r="I24" i="2" s="1"/>
  <c r="D24" i="2"/>
  <c r="K23" i="2"/>
  <c r="H23" i="2"/>
  <c r="G23" i="2"/>
  <c r="F23" i="2"/>
  <c r="I23" i="2" s="1"/>
  <c r="D23" i="2"/>
  <c r="K22" i="2"/>
  <c r="H22" i="2"/>
  <c r="G22" i="2"/>
  <c r="F22" i="2"/>
  <c r="I22" i="2" s="1"/>
  <c r="D22" i="2"/>
  <c r="L21" i="2"/>
  <c r="K21" i="2"/>
  <c r="H21" i="2"/>
  <c r="G21" i="2"/>
  <c r="F21" i="2"/>
  <c r="I21" i="2" s="1"/>
  <c r="D21" i="2"/>
  <c r="B21" i="2"/>
  <c r="K20" i="2"/>
  <c r="J20" i="2"/>
  <c r="I20" i="2"/>
  <c r="H20" i="2"/>
  <c r="G20" i="2"/>
  <c r="F20" i="2"/>
  <c r="E20" i="2"/>
  <c r="D20" i="2"/>
  <c r="K19" i="2"/>
  <c r="H19" i="2"/>
  <c r="G19" i="2"/>
  <c r="F19" i="2"/>
  <c r="D19" i="2"/>
  <c r="K18" i="2"/>
  <c r="I18" i="2"/>
  <c r="H18" i="2"/>
  <c r="G18" i="2"/>
  <c r="F18" i="2"/>
  <c r="D18" i="2"/>
  <c r="K17" i="2"/>
  <c r="H17" i="2"/>
  <c r="G17" i="2"/>
  <c r="F17" i="2"/>
  <c r="D17" i="2"/>
  <c r="K16" i="2"/>
  <c r="H16" i="2"/>
  <c r="G16" i="2"/>
  <c r="F16" i="2"/>
  <c r="I16" i="2" s="1"/>
  <c r="D16" i="2"/>
  <c r="K15" i="2"/>
  <c r="H15" i="2"/>
  <c r="G15" i="2"/>
  <c r="F15" i="2"/>
  <c r="I15" i="2" s="1"/>
  <c r="D15" i="2"/>
  <c r="K14" i="2"/>
  <c r="H14" i="2"/>
  <c r="G14" i="2"/>
  <c r="F14" i="2"/>
  <c r="I14" i="2" s="1"/>
  <c r="D14" i="2"/>
  <c r="L13" i="2"/>
  <c r="K13" i="2"/>
  <c r="H13" i="2"/>
  <c r="G13" i="2"/>
  <c r="F13" i="2"/>
  <c r="I13" i="2" s="1"/>
  <c r="D13" i="2"/>
  <c r="B13" i="2"/>
  <c r="K12" i="2"/>
  <c r="J12" i="2"/>
  <c r="I12" i="2"/>
  <c r="H12" i="2"/>
  <c r="G12" i="2"/>
  <c r="F12" i="2"/>
  <c r="E12" i="2"/>
  <c r="D12" i="2"/>
  <c r="K11" i="2"/>
  <c r="H11" i="2"/>
  <c r="G11" i="2"/>
  <c r="F11" i="2"/>
  <c r="D11" i="2"/>
  <c r="K10" i="2"/>
  <c r="I10" i="2"/>
  <c r="H10" i="2"/>
  <c r="G10" i="2"/>
  <c r="F10" i="2"/>
  <c r="D10" i="2"/>
  <c r="K9" i="2"/>
  <c r="H9" i="2"/>
  <c r="G9" i="2"/>
  <c r="F9" i="2"/>
  <c r="D9" i="2"/>
  <c r="K8" i="2"/>
  <c r="H8" i="2"/>
  <c r="G8" i="2"/>
  <c r="F8" i="2"/>
  <c r="I8" i="2" s="1"/>
  <c r="D8" i="2"/>
  <c r="K7" i="2"/>
  <c r="H7" i="2"/>
  <c r="G7" i="2"/>
  <c r="F7" i="2"/>
  <c r="I7" i="2" s="1"/>
  <c r="D7" i="2"/>
  <c r="K6" i="2"/>
  <c r="H6" i="2"/>
  <c r="G6" i="2"/>
  <c r="F6" i="2"/>
  <c r="I6" i="2" s="1"/>
  <c r="D6" i="2"/>
  <c r="L5" i="2"/>
  <c r="K5" i="2"/>
  <c r="H5" i="2"/>
  <c r="G5" i="2"/>
  <c r="F5" i="2"/>
  <c r="I5" i="2" s="1"/>
  <c r="D5" i="2"/>
  <c r="B5" i="2"/>
  <c r="J3" i="2"/>
  <c r="C3" i="2"/>
  <c r="R32" i="1"/>
  <c r="P32" i="1"/>
  <c r="O32" i="1"/>
  <c r="L32" i="1"/>
  <c r="K32" i="1"/>
  <c r="J32" i="1"/>
  <c r="F32" i="1"/>
  <c r="E32" i="1"/>
  <c r="D32" i="1"/>
  <c r="Q31" i="1"/>
  <c r="J30" i="2" s="1"/>
  <c r="M31" i="1"/>
  <c r="H31" i="1"/>
  <c r="G31" i="1"/>
  <c r="N31" i="1" s="1"/>
  <c r="S31" i="1" s="1"/>
  <c r="L30" i="2" s="1"/>
  <c r="Q30" i="1"/>
  <c r="J29" i="2" s="1"/>
  <c r="N30" i="1"/>
  <c r="S30" i="1" s="1"/>
  <c r="M30" i="1"/>
  <c r="H30" i="1"/>
  <c r="G30" i="1"/>
  <c r="E29" i="2" s="1"/>
  <c r="Q29" i="1"/>
  <c r="M29" i="1"/>
  <c r="H29" i="1"/>
  <c r="G29" i="1"/>
  <c r="N29" i="1" s="1"/>
  <c r="S29" i="1" s="1"/>
  <c r="L28" i="2" s="1"/>
  <c r="Q28" i="1"/>
  <c r="J27" i="2" s="1"/>
  <c r="M28" i="1"/>
  <c r="N28" i="1" s="1"/>
  <c r="S28" i="1" s="1"/>
  <c r="L27" i="2" s="1"/>
  <c r="H28" i="1"/>
  <c r="G28" i="1"/>
  <c r="E27" i="2" s="1"/>
  <c r="Q27" i="1"/>
  <c r="J26" i="2" s="1"/>
  <c r="M27" i="1"/>
  <c r="H27" i="1"/>
  <c r="G27" i="1"/>
  <c r="N27" i="1" s="1"/>
  <c r="S27" i="1" s="1"/>
  <c r="L26" i="2" s="1"/>
  <c r="Q26" i="1"/>
  <c r="J25" i="2" s="1"/>
  <c r="N26" i="1"/>
  <c r="S26" i="1" s="1"/>
  <c r="L25" i="2" s="1"/>
  <c r="M26" i="1"/>
  <c r="H26" i="1"/>
  <c r="G26" i="1"/>
  <c r="E25" i="2" s="1"/>
  <c r="Q25" i="1"/>
  <c r="J24" i="2" s="1"/>
  <c r="M25" i="1"/>
  <c r="H25" i="1"/>
  <c r="G25" i="1"/>
  <c r="N25" i="1" s="1"/>
  <c r="S25" i="1" s="1"/>
  <c r="L24" i="2" s="1"/>
  <c r="Q24" i="1"/>
  <c r="J23" i="2" s="1"/>
  <c r="M24" i="1"/>
  <c r="N24" i="1" s="1"/>
  <c r="S24" i="1" s="1"/>
  <c r="L23" i="2" s="1"/>
  <c r="H24" i="1"/>
  <c r="G24" i="1"/>
  <c r="E23" i="2" s="1"/>
  <c r="Q23" i="1"/>
  <c r="J22" i="2" s="1"/>
  <c r="M23" i="1"/>
  <c r="H23" i="1"/>
  <c r="G23" i="1"/>
  <c r="N23" i="1" s="1"/>
  <c r="S23" i="1" s="1"/>
  <c r="L22" i="2" s="1"/>
  <c r="Q22" i="1"/>
  <c r="J21" i="2" s="1"/>
  <c r="N22" i="1"/>
  <c r="S22" i="1" s="1"/>
  <c r="M22" i="1"/>
  <c r="H22" i="1"/>
  <c r="G22" i="1"/>
  <c r="E21" i="2" s="1"/>
  <c r="Q21" i="1"/>
  <c r="M21" i="1"/>
  <c r="H21" i="1"/>
  <c r="G21" i="1"/>
  <c r="N21" i="1" s="1"/>
  <c r="S21" i="1" s="1"/>
  <c r="L20" i="2" s="1"/>
  <c r="Q20" i="1"/>
  <c r="J19" i="2" s="1"/>
  <c r="M20" i="1"/>
  <c r="N20" i="1" s="1"/>
  <c r="S20" i="1" s="1"/>
  <c r="L19" i="2" s="1"/>
  <c r="H20" i="1"/>
  <c r="G20" i="1"/>
  <c r="E19" i="2" s="1"/>
  <c r="Q19" i="1"/>
  <c r="J18" i="2" s="1"/>
  <c r="M19" i="1"/>
  <c r="H19" i="1"/>
  <c r="G19" i="1"/>
  <c r="N19" i="1" s="1"/>
  <c r="S19" i="1" s="1"/>
  <c r="L18" i="2" s="1"/>
  <c r="Q18" i="1"/>
  <c r="J17" i="2" s="1"/>
  <c r="N18" i="1"/>
  <c r="S18" i="1" s="1"/>
  <c r="L17" i="2" s="1"/>
  <c r="M18" i="1"/>
  <c r="H18" i="1"/>
  <c r="G18" i="1"/>
  <c r="E17" i="2" s="1"/>
  <c r="Q17" i="1"/>
  <c r="J16" i="2" s="1"/>
  <c r="M17" i="1"/>
  <c r="H17" i="1"/>
  <c r="G17" i="1"/>
  <c r="N17" i="1" s="1"/>
  <c r="S17" i="1" s="1"/>
  <c r="L16" i="2" s="1"/>
  <c r="Q16" i="1"/>
  <c r="J15" i="2" s="1"/>
  <c r="M16" i="1"/>
  <c r="N16" i="1" s="1"/>
  <c r="S16" i="1" s="1"/>
  <c r="L15" i="2" s="1"/>
  <c r="H16" i="1"/>
  <c r="G16" i="1"/>
  <c r="E15" i="2" s="1"/>
  <c r="Q15" i="1"/>
  <c r="J14" i="2" s="1"/>
  <c r="M15" i="1"/>
  <c r="H15" i="1"/>
  <c r="G15" i="1"/>
  <c r="N15" i="1" s="1"/>
  <c r="S15" i="1" s="1"/>
  <c r="L14" i="2" s="1"/>
  <c r="Q14" i="1"/>
  <c r="J13" i="2" s="1"/>
  <c r="N14" i="1"/>
  <c r="S14" i="1" s="1"/>
  <c r="M14" i="1"/>
  <c r="H14" i="1"/>
  <c r="G14" i="1"/>
  <c r="E13" i="2" s="1"/>
  <c r="Q13" i="1"/>
  <c r="M13" i="1"/>
  <c r="H13" i="1"/>
  <c r="G13" i="1"/>
  <c r="N13" i="1" s="1"/>
  <c r="S13" i="1" s="1"/>
  <c r="L12" i="2" s="1"/>
  <c r="Q12" i="1"/>
  <c r="J11" i="2" s="1"/>
  <c r="M12" i="1"/>
  <c r="N12" i="1" s="1"/>
  <c r="S12" i="1" s="1"/>
  <c r="L11" i="2" s="1"/>
  <c r="H12" i="1"/>
  <c r="G12" i="1"/>
  <c r="E11" i="2" s="1"/>
  <c r="Q11" i="1"/>
  <c r="J10" i="2" s="1"/>
  <c r="M11" i="1"/>
  <c r="H11" i="1"/>
  <c r="G11" i="1"/>
  <c r="N11" i="1" s="1"/>
  <c r="S11" i="1" s="1"/>
  <c r="L10" i="2" s="1"/>
  <c r="Q10" i="1"/>
  <c r="J9" i="2" s="1"/>
  <c r="N10" i="1"/>
  <c r="S10" i="1" s="1"/>
  <c r="L9" i="2" s="1"/>
  <c r="M10" i="1"/>
  <c r="H10" i="1"/>
  <c r="G10" i="1"/>
  <c r="E9" i="2" s="1"/>
  <c r="Q9" i="1"/>
  <c r="J8" i="2" s="1"/>
  <c r="M9" i="1"/>
  <c r="H9" i="1"/>
  <c r="G9" i="1"/>
  <c r="N9" i="1" s="1"/>
  <c r="S9" i="1" s="1"/>
  <c r="L8" i="2" s="1"/>
  <c r="Q8" i="1"/>
  <c r="J7" i="2" s="1"/>
  <c r="M8" i="1"/>
  <c r="N8" i="1" s="1"/>
  <c r="H8" i="1"/>
  <c r="G8" i="1"/>
  <c r="E7" i="2" s="1"/>
  <c r="Q7" i="1"/>
  <c r="J6" i="2" s="1"/>
  <c r="M7" i="1"/>
  <c r="H7" i="1"/>
  <c r="G7" i="1"/>
  <c r="N7" i="1" s="1"/>
  <c r="S7" i="1" s="1"/>
  <c r="Q6" i="1"/>
  <c r="J5" i="2" s="1"/>
  <c r="N6" i="1"/>
  <c r="S6" i="1" s="1"/>
  <c r="M6" i="1"/>
  <c r="H6" i="1"/>
  <c r="G6" i="1"/>
  <c r="E5" i="2" s="1"/>
  <c r="L5" i="1"/>
  <c r="K5" i="1"/>
  <c r="D4" i="1"/>
  <c r="O3" i="1"/>
  <c r="I3" i="1"/>
  <c r="C19" i="3"/>
  <c r="C18" i="3"/>
  <c r="E2" i="3"/>
  <c r="E1" i="3"/>
  <c r="S8" i="1" l="1"/>
  <c r="L7" i="2" s="1"/>
  <c r="N32" i="1"/>
  <c r="L6" i="2"/>
  <c r="S32" i="1"/>
  <c r="H32" i="1"/>
  <c r="E10" i="2"/>
  <c r="E26" i="2"/>
  <c r="M32" i="1"/>
  <c r="E8" i="2"/>
  <c r="I11" i="2"/>
  <c r="E16" i="2"/>
  <c r="I19" i="2"/>
  <c r="E24" i="2"/>
  <c r="I27" i="2"/>
  <c r="F19" i="4"/>
  <c r="E18" i="2"/>
  <c r="E6" i="2"/>
  <c r="I9" i="2"/>
  <c r="E14" i="2"/>
  <c r="I17" i="2"/>
  <c r="E22" i="2"/>
  <c r="I25" i="2"/>
  <c r="E30" i="2"/>
  <c r="D72" i="4"/>
  <c r="B72" i="4" s="1"/>
  <c r="B1" i="2" s="1"/>
  <c r="F22" i="4"/>
  <c r="E19" i="4"/>
  <c r="G13" i="4"/>
  <c r="G72" i="4"/>
  <c r="E22" i="4"/>
  <c r="D19" i="4"/>
  <c r="B19" i="4" s="1"/>
  <c r="B1" i="1" s="1"/>
  <c r="F13" i="4"/>
  <c r="G19" i="4"/>
  <c r="G32" i="1"/>
  <c r="B12" i="4"/>
  <c r="B13" i="3" s="1"/>
  <c r="B16" i="4"/>
  <c r="C53" i="3" s="1"/>
  <c r="B20" i="4"/>
  <c r="B2" i="1" s="1"/>
  <c r="B24" i="4"/>
  <c r="F4" i="1" s="1"/>
  <c r="B28" i="4"/>
  <c r="F5" i="1" s="1"/>
  <c r="B32" i="4"/>
  <c r="J3" i="1" s="1"/>
  <c r="B36" i="4"/>
  <c r="M5" i="1" s="1"/>
  <c r="B40" i="4"/>
  <c r="P5" i="1" s="1"/>
  <c r="B44" i="4"/>
  <c r="B32" i="1" s="1"/>
  <c r="B48" i="4"/>
  <c r="B7" i="2" s="1"/>
  <c r="B52" i="4"/>
  <c r="B11" i="2" s="1"/>
  <c r="B56" i="4"/>
  <c r="B15" i="2" s="1"/>
  <c r="B60" i="4"/>
  <c r="B19" i="2" s="1"/>
  <c r="B64" i="4"/>
  <c r="B23" i="2" s="1"/>
  <c r="B68" i="4"/>
  <c r="B27" i="2" s="1"/>
  <c r="B76" i="4"/>
  <c r="E3" i="2" s="1"/>
  <c r="B80" i="4"/>
  <c r="H4" i="2" s="1"/>
  <c r="B84" i="4"/>
  <c r="L3" i="2" s="1"/>
  <c r="Q32" i="1"/>
  <c r="B13" i="4"/>
  <c r="B14" i="3" s="1"/>
  <c r="B17" i="4"/>
  <c r="C54" i="3" s="1"/>
  <c r="B21" i="4"/>
  <c r="D3" i="1" s="1"/>
  <c r="B25" i="4"/>
  <c r="G4" i="1" s="1"/>
  <c r="B29" i="4"/>
  <c r="G5" i="1" s="1"/>
  <c r="B33" i="4"/>
  <c r="J5" i="1" s="1"/>
  <c r="B37" i="4"/>
  <c r="N3" i="1" s="1"/>
  <c r="B41" i="4"/>
  <c r="Q5" i="1" s="1"/>
  <c r="B45" i="4"/>
  <c r="B33" i="1" s="1"/>
  <c r="B49" i="4"/>
  <c r="B8" i="2" s="1"/>
  <c r="B53" i="4"/>
  <c r="B12" i="2" s="1"/>
  <c r="B57" i="4"/>
  <c r="B16" i="2" s="1"/>
  <c r="B61" i="4"/>
  <c r="B20" i="2" s="1"/>
  <c r="B65" i="4"/>
  <c r="B24" i="2" s="1"/>
  <c r="B69" i="4"/>
  <c r="B28" i="2" s="1"/>
  <c r="B73" i="4"/>
  <c r="B2" i="2" s="1"/>
  <c r="B77" i="4"/>
  <c r="F3" i="2" s="1"/>
  <c r="B81" i="4"/>
  <c r="I4" i="2" s="1"/>
</calcChain>
</file>

<file path=xl/sharedStrings.xml><?xml version="1.0" encoding="utf-8"?>
<sst xmlns="http://schemas.openxmlformats.org/spreadsheetml/2006/main" count="486" uniqueCount="246">
  <si>
    <t>in CHF 1'000; (+) Belastung Kanton; (-) Entlastung Kanton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</si>
  <si>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</si>
  <si>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</si>
  <si>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</si>
  <si>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</si>
  <si>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</si>
  <si>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</si>
  <si>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</si>
  <si>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</si>
  <si>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</si>
  <si>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</si>
  <si>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</si>
  <si>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</si>
  <si>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</si>
  <si>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</si>
  <si>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</si>
  <si>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</si>
  <si>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</si>
  <si>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</si>
  <si>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</si>
  <si>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</si>
  <si>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</si>
  <si>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</si>
  <si>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</si>
  <si>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</si>
  <si>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</si>
  <si>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</si>
  <si>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</si>
  <si>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</si>
  <si>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</si>
  <si>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</si>
  <si>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</si>
  <si>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</si>
  <si>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</si>
  <si>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</si>
  <si>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</si>
  <si>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</si>
  <si>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</si>
  <si>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</si>
  <si>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</si>
  <si>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</si>
  <si>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</si>
  <si>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</si>
  <si>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</si>
  <si>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</si>
  <si>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</si>
  <si>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</si>
  <si>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</si>
  <si>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</si>
  <si>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</si>
  <si>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</si>
  <si>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</si>
  <si>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</si>
  <si>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</si>
  <si>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</si>
  <si>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</si>
  <si>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</si>
  <si>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</si>
  <si>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</si>
  <si>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</si>
  <si>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</si>
  <si>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</si>
  <si>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</si>
  <si>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</si>
  <si>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</si>
  <si>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</si>
  <si>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t>
  </si>
  <si>
    <t>RI</t>
  </si>
  <si>
    <t>RI = Ressourcenindex; GLA = Geografisch-topografischer Lastenausgleich; 
SLA = Soziodemografischer Lastenausgleich; A-C = Bereiche Armut, Alter, Ausländerintegration; F = Kernstadtproblematik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</si>
  <si>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</si>
  <si>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</si>
  <si>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</si>
  <si>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</si>
  <si>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</si>
  <si>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</si>
  <si>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</si>
  <si>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</si>
  <si>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</si>
  <si>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</si>
  <si>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Total
PR + CC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</si>
  <si>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</si>
  <si>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</si>
  <si>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</si>
  <si>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</si>
  <si>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</si>
  <si>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</si>
  <si>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</si>
  <si>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</si>
  <si>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</si>
  <si>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</si>
  <si>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</si>
  <si>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</si>
  <si>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</si>
  <si>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</si>
  <si>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</si>
  <si>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</si>
  <si>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</si>
  <si>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</si>
  <si>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</si>
  <si>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</si>
  <si>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</si>
  <si>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</si>
  <si>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</si>
  <si>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</si>
  <si>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</si>
  <si>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</si>
  <si>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</si>
  <si>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</si>
  <si>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</si>
  <si>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</si>
  <si>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</si>
  <si>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</si>
  <si>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</si>
  <si>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</si>
  <si>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</si>
  <si>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</si>
  <si>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</si>
  <si>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</si>
  <si>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</si>
  <si>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TOTAL_1</t>
  </si>
  <si>
    <t>TOTAL_2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</si>
  <si>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</si>
  <si>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</si>
  <si>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</si>
  <si>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</si>
  <si>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</si>
  <si>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</si>
  <si>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</si>
  <si>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</si>
  <si>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</si>
  <si>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</si>
  <si>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</si>
  <si>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</si>
  <si>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Inpayment</t>
  </si>
  <si>
    <t>Outpayment</t>
  </si>
  <si>
    <t>Vertical</t>
  </si>
  <si>
    <t>GCC</t>
  </si>
  <si>
    <t>SCC A-C</t>
  </si>
  <si>
    <t>SCC F</t>
  </si>
  <si>
    <t>Total
RE + CC</t>
  </si>
  <si>
    <t>Cohesion fund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</si>
  <si>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</si>
  <si>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</si>
  <si>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</si>
  <si>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</si>
  <si>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</si>
  <si>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</si>
  <si>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</si>
  <si>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</si>
  <si>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</si>
  <si>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</si>
  <si>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</si>
  <si>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Horizontale</t>
  </si>
  <si>
    <t>Verticale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</si>
  <si>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</si>
  <si>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</si>
  <si>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</si>
  <si>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</si>
  <si>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</si>
  <si>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</si>
  <si>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</si>
  <si>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</si>
  <si>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</si>
  <si>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Contributo</t>
  </si>
  <si>
    <t>Versamento</t>
  </si>
  <si>
    <t>Compensazione degli oneri</t>
  </si>
  <si>
    <t>PAG</t>
  </si>
  <si>
    <t>PAS A-C</t>
  </si>
  <si>
    <t>PAS F</t>
  </si>
  <si>
    <t>Svizzera</t>
  </si>
  <si>
    <t>IR = indice delle risorse; PR = perequazione delle risorse; GFS = gettito fiscale standardizzato; COn = compensazione degli oneri; PAG = perequazione dell’aggravio geotopografico; 
PAS = perequazione dell’aggravio sociodemografico; A-C = ambiti povertà, struttura di età e integrazione degli stranieri; F = problematica delle città polo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</si>
  <si>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</si>
  <si>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</si>
  <si>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</si>
  <si>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</si>
  <si>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</si>
  <si>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</si>
  <si>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</si>
  <si>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</si>
  <si>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</si>
  <si>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</si>
  <si>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</si>
  <si>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</si>
  <si>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</si>
  <si>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</si>
  <si>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</si>
  <si>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</si>
  <si>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</si>
  <si>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</si>
  <si>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</si>
  <si>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</si>
  <si>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</si>
  <si>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</si>
  <si>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</si>
  <si>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</si>
  <si>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</si>
  <si>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Einz. - Ausz.</t>
  </si>
  <si>
    <t>Massgebende
Wohnbevölkerung</t>
  </si>
  <si>
    <t>Ressourcen-
ausgleich</t>
  </si>
  <si>
    <t>Härte-
ausgleich</t>
  </si>
  <si>
    <t>Compensazione
dei casi di rigore</t>
  </si>
  <si>
    <t>in 1000 CHF; (+) Aggravio per il Cantone ; (-) Sgravio per il Cantone</t>
  </si>
  <si>
    <t>in CHF; (+) Aggravio per il Cantone ; (-) Sgravio per il Cantone</t>
  </si>
  <si>
    <t>Montant
versé</t>
  </si>
  <si>
    <t>Montant
reçu</t>
  </si>
  <si>
    <t>Montants
versés et
reçus</t>
  </si>
  <si>
    <t>Montants
reçus</t>
  </si>
  <si>
    <t>Indice
RFS
après
PR</t>
  </si>
  <si>
    <t>Population
résidante
déterminante</t>
  </si>
  <si>
    <t>Péréquation
des
ressources</t>
  </si>
  <si>
    <t>Compensation
des cas de
rigueur</t>
  </si>
  <si>
    <t>Contr. -
Vers.</t>
  </si>
  <si>
    <t>Indice
GFS
dopo
PR</t>
  </si>
  <si>
    <t>Popolazione
residente
determinante</t>
  </si>
  <si>
    <t>Perequazione
delle risorse</t>
  </si>
  <si>
    <t>Compensazione
dei casi di
rigore</t>
  </si>
  <si>
    <t>IR = indice delle risorse; PAG = perequazione dell’aggravio geotopografico; 
PAS = perequazione dell’aggravio sociodemografico; A-C = ambiti povertà, struttura di età e integrazione degli stranieri;
F = problematica delle città polo</t>
  </si>
  <si>
    <t>Inpayment -
outpayment</t>
  </si>
  <si>
    <t>STR
index
after
RE</t>
  </si>
  <si>
    <t>Relevant
resident
population</t>
  </si>
  <si>
    <t>Resource
equalization</t>
  </si>
  <si>
    <t>Cohesion
fund</t>
  </si>
  <si>
    <t xml:space="preserve">RI = resource index; GCC = geographical/topographic cost compensation;
SCC = socio-demographic cost compensation; A-C = areas poverty, age, immigrant integration; F = core city issues
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</si>
  <si>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</si>
  <si>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</si>
  <si>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</si>
  <si>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</si>
  <si>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</si>
  <si>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</si>
  <si>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</si>
  <si>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</si>
  <si>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</si>
  <si>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Compensation des
cas de rigueur</t>
  </si>
  <si>
    <t>Abfede-
rungs-
mass-
nahmen</t>
  </si>
  <si>
    <t xml:space="preserve">Mesures
d’atténu-
ation </t>
  </si>
  <si>
    <t>Abfederungs-
massnahmen</t>
  </si>
  <si>
    <t xml:space="preserve">Mesures
d’atténuation </t>
  </si>
  <si>
    <t>Mitigating
measures</t>
  </si>
  <si>
    <t>Totale
PR + COn</t>
  </si>
  <si>
    <t>IR = indice des ressources; CCG = compensation des charges excessives dues à des facteurs géo-topographiques; 
CCS = compensation des charges excessives dues à des facteurs socio-démographiques; 
A-C = domaines pauvreté, vieillesse, intégration des étrangers; F = problématique des villes-centres</t>
  </si>
  <si>
    <t>IR = indice des ressources; PR = péréquation des ressources; RFS = recettes fiscales standardisées; CC = compensation des charges excessives; 
CCG = compensation des charges excessives dues à des facteurs géo-topographiques; CCS = compensation des charges excessives dues à des facteurs socio-démographiques; 
A-C = domaines pauvreté, vieillesse, intégration des étrangers; F = problématique des villes-centres</t>
  </si>
  <si>
    <t xml:space="preserve">RI = resource index; RE = resource equalization; STR = standardized tax revenue; CC = cost compensation; GCC = geographical/topographic cost compensation; 
SCC = socio-demographic cost compensation; A-C = areas poverty, age, immigrant integration; F = core city issues
</t>
  </si>
  <si>
    <t>Misure di attenua-
zione</t>
  </si>
  <si>
    <t>Misure di
attenuazione</t>
  </si>
  <si>
    <t>05.05.2022</t>
  </si>
  <si>
    <t>FA2023-22125090547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</si>
</sst>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_ ;0_ ;@_ "/>
    <numFmt numFmtId="165" formatCode="0.0_ ;\-0.0_ ;0.0_ ;@_ "/>
  </numFmts>
  <fonts count="16" x14ac:knownFonts="1">
    <font>
      <sz val="1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</font>
    <font>
      <sz val="8.5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9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5" fontId="10" fillId="0" borderId="4" xfId="0" applyNumberFormat="1" applyFont="1" applyBorder="1" applyAlignment="1">
      <alignment vertical="center"/>
    </xf>
    <xf numFmtId="165" fontId="11" fillId="0" borderId="18" xfId="0" applyNumberFormat="1" applyFont="1" applyBorder="1" applyAlignment="1">
      <alignment vertical="center"/>
    </xf>
    <xf numFmtId="165" fontId="10" fillId="0" borderId="18" xfId="0" applyNumberFormat="1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64" fontId="9" fillId="0" borderId="10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/>
    </xf>
    <xf numFmtId="0" fontId="10" fillId="0" borderId="0" xfId="0" applyFont="1"/>
    <xf numFmtId="164" fontId="1" fillId="0" borderId="19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vertical="center"/>
    </xf>
    <xf numFmtId="164" fontId="1" fillId="3" borderId="22" xfId="0" applyNumberFormat="1" applyFont="1" applyFill="1" applyBorder="1" applyAlignment="1">
      <alignment vertical="center"/>
    </xf>
    <xf numFmtId="164" fontId="1" fillId="3" borderId="19" xfId="0" applyNumberFormat="1" applyFont="1" applyFill="1" applyBorder="1" applyAlignment="1">
      <alignment vertical="center"/>
    </xf>
    <xf numFmtId="164" fontId="6" fillId="3" borderId="19" xfId="0" applyNumberFormat="1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vertical="center"/>
    </xf>
    <xf numFmtId="164" fontId="9" fillId="3" borderId="1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 indent="1"/>
    </xf>
    <xf numFmtId="164" fontId="6" fillId="0" borderId="22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9" fillId="0" borderId="10" xfId="0" applyNumberFormat="1" applyFont="1" applyBorder="1" applyAlignment="1">
      <alignment horizontal="right" vertical="center" indent="1"/>
    </xf>
    <xf numFmtId="164" fontId="10" fillId="0" borderId="4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164" fontId="10" fillId="3" borderId="4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right" vertical="center" indent="1"/>
    </xf>
    <xf numFmtId="164" fontId="6" fillId="3" borderId="22" xfId="0" applyNumberFormat="1" applyFont="1" applyFill="1" applyBorder="1" applyAlignment="1">
      <alignment horizontal="right" vertical="center" indent="1"/>
    </xf>
    <xf numFmtId="164" fontId="6" fillId="3" borderId="19" xfId="0" applyNumberFormat="1" applyFont="1" applyFill="1" applyBorder="1" applyAlignment="1">
      <alignment horizontal="right" vertical="center" indent="1"/>
    </xf>
    <xf numFmtId="164" fontId="6" fillId="3" borderId="10" xfId="0" applyNumberFormat="1" applyFont="1" applyFill="1" applyBorder="1" applyAlignment="1">
      <alignment horizontal="right" vertical="center" indent="1"/>
    </xf>
    <xf numFmtId="164" fontId="9" fillId="3" borderId="10" xfId="0" applyNumberFormat="1" applyFont="1" applyFill="1" applyBorder="1" applyAlignment="1">
      <alignment horizontal="right" vertical="center" indent="1"/>
    </xf>
    <xf numFmtId="0" fontId="6" fillId="3" borderId="5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/>
    </xf>
    <xf numFmtId="164" fontId="6" fillId="3" borderId="5" xfId="0" applyNumberFormat="1" applyFont="1" applyFill="1" applyBorder="1" applyAlignment="1">
      <alignment horizontal="right" vertical="center" indent="1"/>
    </xf>
    <xf numFmtId="164" fontId="6" fillId="3" borderId="20" xfId="0" applyNumberFormat="1" applyFont="1" applyFill="1" applyBorder="1" applyAlignment="1">
      <alignment horizontal="right" vertical="center" indent="1"/>
    </xf>
    <xf numFmtId="164" fontId="6" fillId="3" borderId="21" xfId="0" applyNumberFormat="1" applyFont="1" applyFill="1" applyBorder="1" applyAlignment="1">
      <alignment horizontal="right" vertical="center" indent="1"/>
    </xf>
    <xf numFmtId="164" fontId="6" fillId="3" borderId="11" xfId="0" applyNumberFormat="1" applyFont="1" applyFill="1" applyBorder="1" applyAlignment="1">
      <alignment horizontal="right" vertical="center" indent="1"/>
    </xf>
    <xf numFmtId="164" fontId="9" fillId="3" borderId="11" xfId="0" applyNumberFormat="1" applyFont="1" applyFill="1" applyBorder="1" applyAlignment="1">
      <alignment horizontal="right" vertical="center" inden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5" borderId="18" xfId="0" applyFont="1" applyFill="1" applyBorder="1"/>
    <xf numFmtId="0" fontId="14" fillId="0" borderId="0" xfId="0" applyFont="1"/>
    <xf numFmtId="0" fontId="3" fillId="5" borderId="3" xfId="0" applyFont="1" applyFill="1" applyBorder="1"/>
    <xf numFmtId="0" fontId="3" fillId="6" borderId="18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5" borderId="4" xfId="0" applyFont="1" applyFill="1" applyBorder="1"/>
    <xf numFmtId="0" fontId="4" fillId="5" borderId="18" xfId="0" applyFont="1" applyFill="1" applyBorder="1" applyAlignment="1">
      <alignment horizontal="left"/>
    </xf>
    <xf numFmtId="0" fontId="3" fillId="5" borderId="5" xfId="0" applyFont="1" applyFill="1" applyBorder="1"/>
    <xf numFmtId="1" fontId="3" fillId="4" borderId="18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482803</xdr:colOff>
          <xdr:row>6</xdr:row>
          <xdr:rowOff>29261</xdr:rowOff>
        </xdr:from>
        <xdr:to>
          <xdr:col>3</xdr:col>
          <xdr:colOff>658368</xdr:colOff>
          <xdr:row>7</xdr:row>
          <xdr:rowOff>87782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5"/>
  <sheetViews>
    <sheetView showGridLines="0" showRowColHeaders="0" tabSelected="1" zoomScaleNormal="100" workbookViewId="0">
      <selection activeCell="A75" sqref="A75"/>
    </sheetView>
  </sheetViews>
  <sheetFormatPr baseColWidth="10" defaultColWidth="8.88671875" defaultRowHeight="12.7" x14ac:dyDescent="0.25"/>
  <cols>
    <col min="1" max="1" width="2.6640625" customWidth="1"/>
    <col min="2" max="4" width="15.6640625" customWidth="1"/>
    <col min="5" max="5" width="41.33203125" customWidth="1"/>
  </cols>
  <sheetData>
    <row r="1" spans="2:5" ht="18" customHeight="1" x14ac:dyDescent="0.25">
      <c r="E1" s="2" t="str">
        <f>DFIE!$B$10</f>
        <v>Eidgenössisches Finanzdepartement EFD</v>
      </c>
    </row>
    <row r="2" spans="2:5" x14ac:dyDescent="0.25">
      <c r="E2" s="3" t="str">
        <f>DFIE!$B$11</f>
        <v>Eidgenössische Finanzverwaltung EFV</v>
      </c>
    </row>
    <row r="7" spans="2:5" x14ac:dyDescent="0.25">
      <c r="B7" s="9" t="s">
        <v>104</v>
      </c>
    </row>
    <row r="8" spans="2:5" x14ac:dyDescent="0.25">
      <c r="B8" s="9" t="s">
        <v>105</v>
      </c>
    </row>
    <row r="9" spans="2:5" x14ac:dyDescent="0.25">
      <c r="B9" s="9" t="s">
        <v>106</v>
      </c>
    </row>
    <row r="10" spans="2:5" x14ac:dyDescent="0.25">
      <c r="B10" s="9" t="s">
        <v>107</v>
      </c>
    </row>
    <row r="13" spans="2:5" ht="21.05" customHeight="1" x14ac:dyDescent="0.35">
      <c r="B13" s="1" t="str">
        <f>DFIE!B12</f>
        <v>Finanzausgleich zwischen Bund und Kantonen</v>
      </c>
    </row>
    <row r="14" spans="2:5" ht="21.05" customHeight="1" x14ac:dyDescent="0.35">
      <c r="B14" s="1" t="str">
        <f>DFIE!B13</f>
        <v>Zahlungen 2023</v>
      </c>
    </row>
    <row r="18" spans="2:5" ht="20.3" customHeight="1" x14ac:dyDescent="0.25">
      <c r="B18" s="10" t="s">
        <v>119</v>
      </c>
      <c r="C18" s="97" t="str">
        <f>DFIE!B14</f>
        <v>Zahlungen in 1000 CHF</v>
      </c>
      <c r="D18" s="97"/>
      <c r="E18" s="97"/>
    </row>
    <row r="19" spans="2:5" ht="20.3" customHeight="1" x14ac:dyDescent="0.25">
      <c r="B19" s="10" t="s">
        <v>120</v>
      </c>
      <c r="C19" s="97" t="str">
        <f>DFIE!B15</f>
        <v>Zahlungen in Franken pro Einwohner</v>
      </c>
      <c r="D19" s="97"/>
      <c r="E19" s="97"/>
    </row>
    <row r="51" spans="2:5" x14ac:dyDescent="0.25">
      <c r="B51" s="8"/>
      <c r="C51" s="8"/>
      <c r="D51" s="8"/>
      <c r="E51" s="8"/>
    </row>
    <row r="53" spans="2:5" x14ac:dyDescent="0.25">
      <c r="B53" s="4"/>
      <c r="C53" s="4" t="str">
        <f>DFIE!$B$16</f>
        <v>Referenzjahr</v>
      </c>
      <c r="D53" s="5">
        <v>2023</v>
      </c>
    </row>
    <row r="54" spans="2:5" x14ac:dyDescent="0.25">
      <c r="B54" s="4"/>
      <c r="C54" s="4" t="str">
        <f>DFIE!$B$17</f>
        <v>Berechnungsdatum</v>
      </c>
      <c r="D54" s="6" t="s">
        <v>244</v>
      </c>
    </row>
    <row r="55" spans="2:5" x14ac:dyDescent="0.25">
      <c r="B55" s="4"/>
      <c r="C55" s="4" t="str">
        <f>DFIE!$B$18</f>
        <v>Berechnungs-ID</v>
      </c>
      <c r="D55" s="7" t="s">
        <v>245</v>
      </c>
    </row>
  </sheetData>
  <mergeCells count="2">
    <mergeCell ref="C18:E18"/>
    <mergeCell ref="C19:E19"/>
  </mergeCells>
  <conditionalFormatting sqref="D53:D55">
    <cfRule type="expression" dxfId="5" priority="1" stopIfTrue="1">
      <formula>ISBLANK(D53)</formula>
    </cfRule>
  </conditionalFormatting>
  <hyperlinks>
    <hyperlink ref="B18" location="TOTAL_1!A1" display="TOTAL_1"/>
    <hyperlink ref="B19" location="TOTAL_2!A1" display="TOTAL_2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5">
              <controlPr defaultSize="0" autoLine="0" autoPict="0">
                <anchor moveWithCells="1">
                  <from>
                    <xdr:col>2</xdr:col>
                    <xdr:colOff>482803</xdr:colOff>
                    <xdr:row>6</xdr:row>
                    <xdr:rowOff>29261</xdr:rowOff>
                  </from>
                  <to>
                    <xdr:col>3</xdr:col>
                    <xdr:colOff>658368</xdr:colOff>
                    <xdr:row>7</xdr:row>
                    <xdr:rowOff>87782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0.6640625" customWidth="1"/>
    <col min="3" max="3" width="7.109375" customWidth="1"/>
    <col min="4" max="8" width="10.6640625" customWidth="1"/>
    <col min="9" max="9" width="7.109375" customWidth="1"/>
    <col min="10" max="13" width="10.109375" customWidth="1"/>
    <col min="14" max="14" width="10.5546875" customWidth="1"/>
    <col min="15" max="16" width="10.6640625" customWidth="1"/>
    <col min="17" max="17" width="10.33203125" customWidth="1"/>
    <col min="18" max="19" width="10.5546875" customWidth="1"/>
  </cols>
  <sheetData>
    <row r="1" spans="1:20" ht="18" customHeight="1" x14ac:dyDescent="0.35">
      <c r="B1" s="101" t="str">
        <f>DFIE!B19</f>
        <v>Zahlungen 2023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"/>
    </row>
    <row r="2" spans="1:20" ht="22.5" customHeight="1" x14ac:dyDescent="0.25">
      <c r="B2" s="43" t="str">
        <f>DFIE!B20</f>
        <v>in CHF 1'000; (+) Belastung Kanton; (-) Entlastung Kanton</v>
      </c>
    </row>
    <row r="3" spans="1:20" ht="15.7" customHeight="1" x14ac:dyDescent="0.25">
      <c r="A3" s="24"/>
      <c r="B3" s="11"/>
      <c r="C3" s="103" t="str">
        <f>DFIE!B22</f>
        <v>RI 2023</v>
      </c>
      <c r="D3" s="98" t="str">
        <f>DFIE!B21</f>
        <v>Ressourcenausgleich</v>
      </c>
      <c r="E3" s="99"/>
      <c r="F3" s="99"/>
      <c r="G3" s="99"/>
      <c r="H3" s="100"/>
      <c r="I3" s="103" t="str">
        <f>DFIE!B31</f>
        <v>Index
SSE
nach
RA</v>
      </c>
      <c r="J3" s="115" t="str">
        <f>DFIE!B32</f>
        <v>Lastenausgleich</v>
      </c>
      <c r="K3" s="116"/>
      <c r="L3" s="116"/>
      <c r="M3" s="108"/>
      <c r="N3" s="106" t="str">
        <f>DFIE!B37</f>
        <v>Total
RA + LA</v>
      </c>
      <c r="O3" s="115" t="str">
        <f>DFIE!B38</f>
        <v>Härteausgleich</v>
      </c>
      <c r="P3" s="116"/>
      <c r="Q3" s="108"/>
      <c r="R3" s="106" t="str">
        <f>DFIE!$B$42</f>
        <v>Abfede-
rungs-
mass-
nahmen</v>
      </c>
      <c r="S3" s="108" t="str">
        <f>DFIE!B43</f>
        <v>Total</v>
      </c>
    </row>
    <row r="4" spans="1:20" ht="15.7" customHeight="1" x14ac:dyDescent="0.25">
      <c r="A4" s="24"/>
      <c r="B4" s="16"/>
      <c r="C4" s="104"/>
      <c r="D4" s="113" t="str">
        <f>DFIE!B23</f>
        <v>horizontal</v>
      </c>
      <c r="E4" s="114"/>
      <c r="F4" s="23" t="str">
        <f>DFIE!B24</f>
        <v>vertikal</v>
      </c>
      <c r="G4" s="111" t="str">
        <f>DFIE!B25</f>
        <v>Total</v>
      </c>
      <c r="H4" s="112"/>
      <c r="I4" s="104"/>
      <c r="J4" s="117"/>
      <c r="K4" s="118"/>
      <c r="L4" s="118"/>
      <c r="M4" s="119"/>
      <c r="N4" s="107"/>
      <c r="O4" s="117"/>
      <c r="P4" s="118"/>
      <c r="Q4" s="119"/>
      <c r="R4" s="107"/>
      <c r="S4" s="109"/>
    </row>
    <row r="5" spans="1:20" ht="42.05" customHeight="1" x14ac:dyDescent="0.25">
      <c r="A5" s="34"/>
      <c r="B5" s="17"/>
      <c r="C5" s="105"/>
      <c r="D5" s="22" t="str">
        <f>DFIE!B26</f>
        <v>Einzahlung</v>
      </c>
      <c r="E5" s="23" t="str">
        <f>DFIE!B27</f>
        <v>Auszahlung</v>
      </c>
      <c r="F5" s="23" t="str">
        <f>DFIE!B28</f>
        <v>Auszahlung</v>
      </c>
      <c r="G5" s="23" t="str">
        <f>DFIE!B29</f>
        <v>Einz. - Ausz.</v>
      </c>
      <c r="H5" s="20" t="str">
        <f>DFIE!B30</f>
        <v>Auszahlung</v>
      </c>
      <c r="I5" s="105"/>
      <c r="J5" s="40" t="str">
        <f>DFIE!B33</f>
        <v>GLA</v>
      </c>
      <c r="K5" s="41" t="str">
        <f>DFIE!B34</f>
        <v>SLA A-C</v>
      </c>
      <c r="L5" s="41" t="str">
        <f>DFIE!B35</f>
        <v>SLA F</v>
      </c>
      <c r="M5" s="20" t="str">
        <f>DFIE!B36</f>
        <v>Total</v>
      </c>
      <c r="N5" s="105"/>
      <c r="O5" s="22" t="str">
        <f>DFIE!B39</f>
        <v>Einzahlung</v>
      </c>
      <c r="P5" s="23" t="str">
        <f>DFIE!B40</f>
        <v>Auszahlung</v>
      </c>
      <c r="Q5" s="20" t="str">
        <f>DFIE!B41</f>
        <v>Total</v>
      </c>
      <c r="R5" s="105"/>
      <c r="S5" s="110"/>
    </row>
    <row r="6" spans="1:20" ht="15" customHeight="1" x14ac:dyDescent="0.25">
      <c r="B6" s="19" t="s">
        <v>11</v>
      </c>
      <c r="C6" s="25">
        <v>123.05918053988501</v>
      </c>
      <c r="D6" s="42">
        <v>610776.29799999995</v>
      </c>
      <c r="E6" s="44">
        <v>0</v>
      </c>
      <c r="F6" s="44">
        <v>0</v>
      </c>
      <c r="G6" s="28">
        <f t="shared" ref="G6:G31" si="0">SUM(D6:F6)</f>
        <v>610776.29799999995</v>
      </c>
      <c r="H6" s="29">
        <f t="shared" ref="H6:H31" si="1">SUM(E6:F6)</f>
        <v>0</v>
      </c>
      <c r="I6" s="25">
        <v>118.8</v>
      </c>
      <c r="J6" s="42">
        <v>0</v>
      </c>
      <c r="K6" s="44">
        <v>-29963.948</v>
      </c>
      <c r="L6" s="44">
        <v>-95479.433999999994</v>
      </c>
      <c r="M6" s="29">
        <f t="shared" ref="M6:M31" si="2">SUM(J6:L6)</f>
        <v>-125443.382</v>
      </c>
      <c r="N6" s="33">
        <f>SUM(G6,M6)</f>
        <v>485332.91599999997</v>
      </c>
      <c r="O6" s="42">
        <v>11831.061</v>
      </c>
      <c r="P6" s="44">
        <v>0</v>
      </c>
      <c r="Q6" s="29">
        <f t="shared" ref="Q6:Q31" si="3">O6+P6</f>
        <v>11831.061</v>
      </c>
      <c r="R6" s="12">
        <v>0</v>
      </c>
      <c r="S6" s="35">
        <f>SUM(N6,Q6,R6)</f>
        <v>497163.97699999996</v>
      </c>
    </row>
    <row r="7" spans="1:20" ht="15" customHeight="1" x14ac:dyDescent="0.25">
      <c r="B7" s="45" t="s">
        <v>12</v>
      </c>
      <c r="C7" s="46">
        <v>77.705587703617894</v>
      </c>
      <c r="D7" s="47">
        <v>0</v>
      </c>
      <c r="E7" s="48">
        <v>-397383.67599999998</v>
      </c>
      <c r="F7" s="48">
        <v>-596075.51500000001</v>
      </c>
      <c r="G7" s="49">
        <f t="shared" si="0"/>
        <v>-993459.19099999999</v>
      </c>
      <c r="H7" s="50">
        <f t="shared" si="1"/>
        <v>-993459.19099999999</v>
      </c>
      <c r="I7" s="46">
        <v>87.9</v>
      </c>
      <c r="J7" s="47">
        <v>-29010.67</v>
      </c>
      <c r="K7" s="48">
        <v>0</v>
      </c>
      <c r="L7" s="48">
        <v>0</v>
      </c>
      <c r="M7" s="50">
        <f t="shared" si="2"/>
        <v>-29010.67</v>
      </c>
      <c r="N7" s="51">
        <f t="shared" ref="N7:N31" si="4">SUM(G7,M7)</f>
        <v>-1022469.861</v>
      </c>
      <c r="O7" s="47">
        <v>9231.2080000000005</v>
      </c>
      <c r="P7" s="48">
        <v>-31280.795999999998</v>
      </c>
      <c r="Q7" s="50">
        <f t="shared" si="3"/>
        <v>-22049.587999999996</v>
      </c>
      <c r="R7" s="13">
        <v>-32113.468000000001</v>
      </c>
      <c r="S7" s="52">
        <f t="shared" ref="S7:S31" si="5">SUM(N7,Q7,R7)</f>
        <v>-1076632.9170000001</v>
      </c>
    </row>
    <row r="8" spans="1:20" ht="15" customHeight="1" x14ac:dyDescent="0.25">
      <c r="B8" s="19" t="s">
        <v>13</v>
      </c>
      <c r="C8" s="25">
        <v>92.503934210061104</v>
      </c>
      <c r="D8" s="42">
        <v>0</v>
      </c>
      <c r="E8" s="44">
        <v>-26410.462</v>
      </c>
      <c r="F8" s="44">
        <v>-39615.692000000003</v>
      </c>
      <c r="G8" s="28">
        <f t="shared" si="0"/>
        <v>-66026.15400000001</v>
      </c>
      <c r="H8" s="29">
        <f t="shared" si="1"/>
        <v>-66026.15400000001</v>
      </c>
      <c r="I8" s="25">
        <v>94.2</v>
      </c>
      <c r="J8" s="42">
        <v>-5739.9629999999997</v>
      </c>
      <c r="K8" s="44">
        <v>0</v>
      </c>
      <c r="L8" s="44">
        <v>0</v>
      </c>
      <c r="M8" s="29">
        <f t="shared" si="2"/>
        <v>-5739.9629999999997</v>
      </c>
      <c r="N8" s="33">
        <f t="shared" si="4"/>
        <v>-71766.117000000013</v>
      </c>
      <c r="O8" s="42">
        <v>3347.0219999999999</v>
      </c>
      <c r="P8" s="44">
        <v>-14215.241</v>
      </c>
      <c r="Q8" s="29">
        <f t="shared" si="3"/>
        <v>-10868.219000000001</v>
      </c>
      <c r="R8" s="14">
        <v>-12701.254000000001</v>
      </c>
      <c r="S8" s="35">
        <f t="shared" si="5"/>
        <v>-95335.590000000011</v>
      </c>
    </row>
    <row r="9" spans="1:20" ht="15" customHeight="1" x14ac:dyDescent="0.25">
      <c r="B9" s="45" t="s">
        <v>14</v>
      </c>
      <c r="C9" s="46">
        <v>70.940347463543205</v>
      </c>
      <c r="D9" s="47">
        <v>0</v>
      </c>
      <c r="E9" s="48">
        <v>-21687.429</v>
      </c>
      <c r="F9" s="48">
        <v>-32531.144</v>
      </c>
      <c r="G9" s="49">
        <f t="shared" si="0"/>
        <v>-54218.573000000004</v>
      </c>
      <c r="H9" s="50">
        <f t="shared" si="1"/>
        <v>-54218.573000000004</v>
      </c>
      <c r="I9" s="46">
        <v>86.6</v>
      </c>
      <c r="J9" s="47">
        <v>-11741.763999999999</v>
      </c>
      <c r="K9" s="48">
        <v>0</v>
      </c>
      <c r="L9" s="48">
        <v>0</v>
      </c>
      <c r="M9" s="50">
        <f t="shared" si="2"/>
        <v>-11741.763999999999</v>
      </c>
      <c r="N9" s="51">
        <f t="shared" si="4"/>
        <v>-65960.337</v>
      </c>
      <c r="O9" s="47">
        <v>335.51299999999998</v>
      </c>
      <c r="P9" s="48">
        <v>0</v>
      </c>
      <c r="Q9" s="50">
        <f t="shared" si="3"/>
        <v>335.51299999999998</v>
      </c>
      <c r="R9" s="13">
        <v>-1135.923</v>
      </c>
      <c r="S9" s="52">
        <f t="shared" si="5"/>
        <v>-66760.746999999988</v>
      </c>
    </row>
    <row r="10" spans="1:20" ht="15" customHeight="1" x14ac:dyDescent="0.25">
      <c r="B10" s="19" t="s">
        <v>15</v>
      </c>
      <c r="C10" s="25">
        <v>173.219379146932</v>
      </c>
      <c r="D10" s="42">
        <v>202316.78</v>
      </c>
      <c r="E10" s="44">
        <v>0</v>
      </c>
      <c r="F10" s="44">
        <v>0</v>
      </c>
      <c r="G10" s="28">
        <f t="shared" si="0"/>
        <v>202316.78</v>
      </c>
      <c r="H10" s="29">
        <f t="shared" si="1"/>
        <v>0</v>
      </c>
      <c r="I10" s="25">
        <v>159.69999999999999</v>
      </c>
      <c r="J10" s="42">
        <v>-6881.1019999999999</v>
      </c>
      <c r="K10" s="44">
        <v>0</v>
      </c>
      <c r="L10" s="44">
        <v>0</v>
      </c>
      <c r="M10" s="29">
        <f t="shared" si="2"/>
        <v>-6881.1019999999999</v>
      </c>
      <c r="N10" s="33">
        <f t="shared" si="4"/>
        <v>195435.67799999999</v>
      </c>
      <c r="O10" s="42">
        <v>1238.623</v>
      </c>
      <c r="P10" s="44">
        <v>0</v>
      </c>
      <c r="Q10" s="29">
        <f t="shared" si="3"/>
        <v>1238.623</v>
      </c>
      <c r="R10" s="14">
        <v>0</v>
      </c>
      <c r="S10" s="35">
        <f t="shared" si="5"/>
        <v>196674.30099999998</v>
      </c>
    </row>
    <row r="11" spans="1:20" ht="15" customHeight="1" x14ac:dyDescent="0.25">
      <c r="B11" s="45" t="s">
        <v>16</v>
      </c>
      <c r="C11" s="46">
        <v>107.111615894767</v>
      </c>
      <c r="D11" s="47">
        <v>4694.3630000000003</v>
      </c>
      <c r="E11" s="48">
        <v>0</v>
      </c>
      <c r="F11" s="48">
        <v>0</v>
      </c>
      <c r="G11" s="49">
        <f t="shared" si="0"/>
        <v>4694.3630000000003</v>
      </c>
      <c r="H11" s="50">
        <f t="shared" si="1"/>
        <v>0</v>
      </c>
      <c r="I11" s="46">
        <v>105.8</v>
      </c>
      <c r="J11" s="47">
        <v>-6198.4520000000002</v>
      </c>
      <c r="K11" s="48">
        <v>0</v>
      </c>
      <c r="L11" s="48">
        <v>0</v>
      </c>
      <c r="M11" s="50">
        <f t="shared" si="2"/>
        <v>-6198.4520000000002</v>
      </c>
      <c r="N11" s="51">
        <f t="shared" si="4"/>
        <v>-1504.0889999999999</v>
      </c>
      <c r="O11" s="47">
        <v>311.70800000000003</v>
      </c>
      <c r="P11" s="48">
        <v>0</v>
      </c>
      <c r="Q11" s="50">
        <f t="shared" si="3"/>
        <v>311.70800000000003</v>
      </c>
      <c r="R11" s="13">
        <v>0</v>
      </c>
      <c r="S11" s="52">
        <f t="shared" si="5"/>
        <v>-1192.3809999999999</v>
      </c>
    </row>
    <row r="12" spans="1:20" ht="15" customHeight="1" x14ac:dyDescent="0.25">
      <c r="B12" s="19" t="s">
        <v>17</v>
      </c>
      <c r="C12" s="25">
        <v>158.13178939087601</v>
      </c>
      <c r="D12" s="42">
        <v>43684.544999999998</v>
      </c>
      <c r="E12" s="44">
        <v>0</v>
      </c>
      <c r="F12" s="44">
        <v>0</v>
      </c>
      <c r="G12" s="28">
        <f t="shared" si="0"/>
        <v>43684.544999999998</v>
      </c>
      <c r="H12" s="29">
        <f t="shared" si="1"/>
        <v>0</v>
      </c>
      <c r="I12" s="25">
        <v>147.4</v>
      </c>
      <c r="J12" s="42">
        <v>-1413.547</v>
      </c>
      <c r="K12" s="44">
        <v>0</v>
      </c>
      <c r="L12" s="44">
        <v>0</v>
      </c>
      <c r="M12" s="29">
        <f t="shared" si="2"/>
        <v>-1413.547</v>
      </c>
      <c r="N12" s="33">
        <f t="shared" si="4"/>
        <v>42270.998</v>
      </c>
      <c r="O12" s="42">
        <v>357.517</v>
      </c>
      <c r="P12" s="44">
        <v>0</v>
      </c>
      <c r="Q12" s="29">
        <f t="shared" si="3"/>
        <v>357.517</v>
      </c>
      <c r="R12" s="14">
        <v>0</v>
      </c>
      <c r="S12" s="35">
        <f t="shared" si="5"/>
        <v>42628.514999999999</v>
      </c>
    </row>
    <row r="13" spans="1:20" ht="15" customHeight="1" x14ac:dyDescent="0.25">
      <c r="B13" s="45" t="s">
        <v>18</v>
      </c>
      <c r="C13" s="46">
        <v>72.908865813855002</v>
      </c>
      <c r="D13" s="47">
        <v>0</v>
      </c>
      <c r="E13" s="48">
        <v>-21409.495999999999</v>
      </c>
      <c r="F13" s="48">
        <v>-32114.244999999999</v>
      </c>
      <c r="G13" s="49">
        <f t="shared" si="0"/>
        <v>-53523.740999999995</v>
      </c>
      <c r="H13" s="50">
        <f t="shared" si="1"/>
        <v>-53523.740999999995</v>
      </c>
      <c r="I13" s="46">
        <v>86.9</v>
      </c>
      <c r="J13" s="47">
        <v>-5445.1440000000002</v>
      </c>
      <c r="K13" s="48">
        <v>0</v>
      </c>
      <c r="L13" s="48">
        <v>0</v>
      </c>
      <c r="M13" s="50">
        <f t="shared" si="2"/>
        <v>-5445.1440000000002</v>
      </c>
      <c r="N13" s="51">
        <f t="shared" si="4"/>
        <v>-58968.884999999995</v>
      </c>
      <c r="O13" s="47">
        <v>371.387</v>
      </c>
      <c r="P13" s="48">
        <v>-4901.2539999999999</v>
      </c>
      <c r="Q13" s="50">
        <f t="shared" si="3"/>
        <v>-4529.8670000000002</v>
      </c>
      <c r="R13" s="13">
        <v>-1257.7560000000001</v>
      </c>
      <c r="S13" s="52">
        <f t="shared" si="5"/>
        <v>-64756.507999999994</v>
      </c>
    </row>
    <row r="14" spans="1:20" ht="15" customHeight="1" x14ac:dyDescent="0.25">
      <c r="B14" s="19" t="s">
        <v>19</v>
      </c>
      <c r="C14" s="25">
        <v>265.93209281021802</v>
      </c>
      <c r="D14" s="42">
        <v>368273.36700000003</v>
      </c>
      <c r="E14" s="44">
        <v>0</v>
      </c>
      <c r="F14" s="44">
        <v>0</v>
      </c>
      <c r="G14" s="28">
        <f t="shared" si="0"/>
        <v>368273.36700000003</v>
      </c>
      <c r="H14" s="29">
        <f t="shared" si="1"/>
        <v>0</v>
      </c>
      <c r="I14" s="25">
        <v>235.3</v>
      </c>
      <c r="J14" s="42">
        <v>0</v>
      </c>
      <c r="K14" s="44">
        <v>-3279.9870000000001</v>
      </c>
      <c r="L14" s="44">
        <v>0</v>
      </c>
      <c r="M14" s="29">
        <f t="shared" si="2"/>
        <v>-3279.9870000000001</v>
      </c>
      <c r="N14" s="33">
        <f t="shared" si="4"/>
        <v>364993.38</v>
      </c>
      <c r="O14" s="42">
        <v>951.06299999999999</v>
      </c>
      <c r="P14" s="44">
        <v>0</v>
      </c>
      <c r="Q14" s="29">
        <f t="shared" si="3"/>
        <v>951.06299999999999</v>
      </c>
      <c r="R14" s="14">
        <v>0</v>
      </c>
      <c r="S14" s="35">
        <f t="shared" si="5"/>
        <v>365944.44300000003</v>
      </c>
    </row>
    <row r="15" spans="1:20" ht="15" customHeight="1" x14ac:dyDescent="0.25">
      <c r="B15" s="45" t="s">
        <v>20</v>
      </c>
      <c r="C15" s="46">
        <v>70.242624084182296</v>
      </c>
      <c r="D15" s="47">
        <v>0</v>
      </c>
      <c r="E15" s="48">
        <v>-195440.99299999999</v>
      </c>
      <c r="F15" s="48">
        <v>-293161.49</v>
      </c>
      <c r="G15" s="49">
        <f t="shared" si="0"/>
        <v>-488602.48300000001</v>
      </c>
      <c r="H15" s="50">
        <f t="shared" si="1"/>
        <v>-488602.48300000001</v>
      </c>
      <c r="I15" s="46">
        <v>86.5</v>
      </c>
      <c r="J15" s="47">
        <v>-9475.8619999999992</v>
      </c>
      <c r="K15" s="48">
        <v>-1044.6489999999999</v>
      </c>
      <c r="L15" s="48">
        <v>0</v>
      </c>
      <c r="M15" s="50">
        <f t="shared" si="2"/>
        <v>-10520.510999999999</v>
      </c>
      <c r="N15" s="51">
        <f t="shared" si="4"/>
        <v>-499122.99400000001</v>
      </c>
      <c r="O15" s="47">
        <v>2298.2089999999998</v>
      </c>
      <c r="P15" s="48">
        <v>-82368.017999999996</v>
      </c>
      <c r="Q15" s="50">
        <f t="shared" si="3"/>
        <v>-80069.808999999994</v>
      </c>
      <c r="R15" s="13">
        <v>-9846.7999999999993</v>
      </c>
      <c r="S15" s="52">
        <f t="shared" si="5"/>
        <v>-589039.603</v>
      </c>
    </row>
    <row r="16" spans="1:20" ht="15" customHeight="1" x14ac:dyDescent="0.25">
      <c r="B16" s="19" t="s">
        <v>21</v>
      </c>
      <c r="C16" s="25">
        <v>70.815800532112107</v>
      </c>
      <c r="D16" s="42">
        <v>0</v>
      </c>
      <c r="E16" s="44">
        <v>-163140.26300000001</v>
      </c>
      <c r="F16" s="44">
        <v>-244710.394</v>
      </c>
      <c r="G16" s="28">
        <f t="shared" si="0"/>
        <v>-407850.65700000001</v>
      </c>
      <c r="H16" s="29">
        <f t="shared" si="1"/>
        <v>-407850.65700000001</v>
      </c>
      <c r="I16" s="25">
        <v>86.6</v>
      </c>
      <c r="J16" s="42">
        <v>0</v>
      </c>
      <c r="K16" s="44">
        <v>-9249.8770000000004</v>
      </c>
      <c r="L16" s="44">
        <v>0</v>
      </c>
      <c r="M16" s="29">
        <f t="shared" si="2"/>
        <v>-9249.8770000000004</v>
      </c>
      <c r="N16" s="33">
        <f t="shared" si="4"/>
        <v>-417100.53399999999</v>
      </c>
      <c r="O16" s="42">
        <v>2350.9160000000002</v>
      </c>
      <c r="P16" s="44">
        <v>0</v>
      </c>
      <c r="Q16" s="29">
        <f t="shared" si="3"/>
        <v>2350.9160000000002</v>
      </c>
      <c r="R16" s="14">
        <v>-8485.2129999999997</v>
      </c>
      <c r="S16" s="35">
        <f t="shared" si="5"/>
        <v>-423234.83099999995</v>
      </c>
    </row>
    <row r="17" spans="2:19" ht="15" customHeight="1" x14ac:dyDescent="0.25">
      <c r="B17" s="45" t="s">
        <v>22</v>
      </c>
      <c r="C17" s="46">
        <v>153.122046054435</v>
      </c>
      <c r="D17" s="47">
        <v>182180.40900000001</v>
      </c>
      <c r="E17" s="48">
        <v>0</v>
      </c>
      <c r="F17" s="48">
        <v>0</v>
      </c>
      <c r="G17" s="49">
        <f t="shared" si="0"/>
        <v>182180.40900000001</v>
      </c>
      <c r="H17" s="50">
        <f t="shared" si="1"/>
        <v>0</v>
      </c>
      <c r="I17" s="46">
        <v>143.30000000000001</v>
      </c>
      <c r="J17" s="47">
        <v>0</v>
      </c>
      <c r="K17" s="48">
        <v>-41972.247000000003</v>
      </c>
      <c r="L17" s="48">
        <v>-24352.435000000001</v>
      </c>
      <c r="M17" s="50">
        <f t="shared" si="2"/>
        <v>-66324.682000000001</v>
      </c>
      <c r="N17" s="51">
        <f t="shared" si="4"/>
        <v>115855.72700000001</v>
      </c>
      <c r="O17" s="47">
        <v>1865.068</v>
      </c>
      <c r="P17" s="48">
        <v>0</v>
      </c>
      <c r="Q17" s="50">
        <f t="shared" si="3"/>
        <v>1865.068</v>
      </c>
      <c r="R17" s="13">
        <v>0</v>
      </c>
      <c r="S17" s="52">
        <f t="shared" si="5"/>
        <v>117720.79500000001</v>
      </c>
    </row>
    <row r="18" spans="2:19" ht="15" customHeight="1" x14ac:dyDescent="0.25">
      <c r="B18" s="19" t="s">
        <v>23</v>
      </c>
      <c r="C18" s="25">
        <v>97.457499218033405</v>
      </c>
      <c r="D18" s="42">
        <v>0</v>
      </c>
      <c r="E18" s="44">
        <v>-3166.6619999999998</v>
      </c>
      <c r="F18" s="44">
        <v>-4749.9930000000004</v>
      </c>
      <c r="G18" s="28">
        <f t="shared" si="0"/>
        <v>-7916.6550000000007</v>
      </c>
      <c r="H18" s="29">
        <f t="shared" si="1"/>
        <v>-7916.6550000000007</v>
      </c>
      <c r="I18" s="25">
        <v>97.7</v>
      </c>
      <c r="J18" s="42">
        <v>0</v>
      </c>
      <c r="K18" s="44">
        <v>0</v>
      </c>
      <c r="L18" s="44">
        <v>0</v>
      </c>
      <c r="M18" s="29">
        <f t="shared" si="2"/>
        <v>0</v>
      </c>
      <c r="N18" s="33">
        <f t="shared" si="4"/>
        <v>-7916.6550000000007</v>
      </c>
      <c r="O18" s="42">
        <v>2491.2539999999999</v>
      </c>
      <c r="P18" s="44">
        <v>0</v>
      </c>
      <c r="Q18" s="29">
        <f t="shared" si="3"/>
        <v>2491.2539999999999</v>
      </c>
      <c r="R18" s="14">
        <v>-8934.3580000000002</v>
      </c>
      <c r="S18" s="35">
        <f t="shared" si="5"/>
        <v>-14359.759000000002</v>
      </c>
    </row>
    <row r="19" spans="2:19" ht="15" customHeight="1" x14ac:dyDescent="0.25">
      <c r="B19" s="45" t="s">
        <v>24</v>
      </c>
      <c r="C19" s="46">
        <v>98.897335739102303</v>
      </c>
      <c r="D19" s="47">
        <v>0</v>
      </c>
      <c r="E19" s="48">
        <v>-230.01900000000001</v>
      </c>
      <c r="F19" s="48">
        <v>-345.029</v>
      </c>
      <c r="G19" s="49">
        <f t="shared" si="0"/>
        <v>-575.048</v>
      </c>
      <c r="H19" s="50">
        <f t="shared" si="1"/>
        <v>-575.048</v>
      </c>
      <c r="I19" s="46">
        <v>99</v>
      </c>
      <c r="J19" s="47">
        <v>0</v>
      </c>
      <c r="K19" s="48">
        <v>0</v>
      </c>
      <c r="L19" s="48">
        <v>0</v>
      </c>
      <c r="M19" s="50">
        <f t="shared" si="2"/>
        <v>0</v>
      </c>
      <c r="N19" s="51">
        <f t="shared" si="4"/>
        <v>-575.048</v>
      </c>
      <c r="O19" s="47">
        <v>710.11599999999999</v>
      </c>
      <c r="P19" s="48">
        <v>0</v>
      </c>
      <c r="Q19" s="50">
        <f t="shared" si="3"/>
        <v>710.11599999999999</v>
      </c>
      <c r="R19" s="13">
        <v>-2546.4079999999999</v>
      </c>
      <c r="S19" s="52">
        <f t="shared" si="5"/>
        <v>-2411.34</v>
      </c>
    </row>
    <row r="20" spans="2:19" ht="15" customHeight="1" x14ac:dyDescent="0.25">
      <c r="B20" s="19" t="s">
        <v>25</v>
      </c>
      <c r="C20" s="25">
        <v>85.234585750588096</v>
      </c>
      <c r="D20" s="42">
        <v>0</v>
      </c>
      <c r="E20" s="44">
        <v>-10782.156999999999</v>
      </c>
      <c r="F20" s="44">
        <v>-16173.235000000001</v>
      </c>
      <c r="G20" s="28">
        <f t="shared" si="0"/>
        <v>-26955.392</v>
      </c>
      <c r="H20" s="29">
        <f t="shared" si="1"/>
        <v>-26955.392</v>
      </c>
      <c r="I20" s="25">
        <v>90.4</v>
      </c>
      <c r="J20" s="42">
        <v>-20740.73</v>
      </c>
      <c r="K20" s="44">
        <v>0</v>
      </c>
      <c r="L20" s="44">
        <v>0</v>
      </c>
      <c r="M20" s="29">
        <f t="shared" si="2"/>
        <v>-20740.73</v>
      </c>
      <c r="N20" s="33">
        <f t="shared" si="4"/>
        <v>-47696.122000000003</v>
      </c>
      <c r="O20" s="42">
        <v>517.39300000000003</v>
      </c>
      <c r="P20" s="44">
        <v>0</v>
      </c>
      <c r="Q20" s="29">
        <f t="shared" si="3"/>
        <v>517.39300000000003</v>
      </c>
      <c r="R20" s="14">
        <v>-1710.058</v>
      </c>
      <c r="S20" s="35">
        <f t="shared" si="5"/>
        <v>-48888.787000000004</v>
      </c>
    </row>
    <row r="21" spans="2:19" ht="15" customHeight="1" x14ac:dyDescent="0.25">
      <c r="B21" s="45" t="s">
        <v>26</v>
      </c>
      <c r="C21" s="46">
        <v>101.171692404937</v>
      </c>
      <c r="D21" s="47">
        <v>329.363</v>
      </c>
      <c r="E21" s="48">
        <v>0</v>
      </c>
      <c r="F21" s="48">
        <v>0</v>
      </c>
      <c r="G21" s="49">
        <f t="shared" si="0"/>
        <v>329.363</v>
      </c>
      <c r="H21" s="50">
        <f t="shared" si="1"/>
        <v>0</v>
      </c>
      <c r="I21" s="46">
        <v>101</v>
      </c>
      <c r="J21" s="47">
        <v>-9150.2950000000001</v>
      </c>
      <c r="K21" s="48">
        <v>0</v>
      </c>
      <c r="L21" s="48">
        <v>0</v>
      </c>
      <c r="M21" s="50">
        <f t="shared" si="2"/>
        <v>-9150.2950000000001</v>
      </c>
      <c r="N21" s="51">
        <f t="shared" si="4"/>
        <v>-8820.9320000000007</v>
      </c>
      <c r="O21" s="47">
        <v>141.80500000000001</v>
      </c>
      <c r="P21" s="48">
        <v>0</v>
      </c>
      <c r="Q21" s="50">
        <f t="shared" si="3"/>
        <v>141.80500000000001</v>
      </c>
      <c r="R21" s="13">
        <v>0</v>
      </c>
      <c r="S21" s="52">
        <f t="shared" si="5"/>
        <v>-8679.1270000000004</v>
      </c>
    </row>
    <row r="22" spans="2:19" ht="15" customHeight="1" x14ac:dyDescent="0.25">
      <c r="B22" s="19" t="s">
        <v>27</v>
      </c>
      <c r="C22" s="25">
        <v>83.643027760260097</v>
      </c>
      <c r="D22" s="42">
        <v>0</v>
      </c>
      <c r="E22" s="44">
        <v>-117331.224</v>
      </c>
      <c r="F22" s="44">
        <v>-175996.83600000001</v>
      </c>
      <c r="G22" s="28">
        <f t="shared" si="0"/>
        <v>-293328.06</v>
      </c>
      <c r="H22" s="29">
        <f t="shared" si="1"/>
        <v>-293328.06</v>
      </c>
      <c r="I22" s="25">
        <v>89.8</v>
      </c>
      <c r="J22" s="42">
        <v>-1867.261</v>
      </c>
      <c r="K22" s="44">
        <v>0</v>
      </c>
      <c r="L22" s="44">
        <v>0</v>
      </c>
      <c r="M22" s="29">
        <f t="shared" si="2"/>
        <v>-1867.261</v>
      </c>
      <c r="N22" s="33">
        <f t="shared" si="4"/>
        <v>-295195.321</v>
      </c>
      <c r="O22" s="42">
        <v>4345.4210000000003</v>
      </c>
      <c r="P22" s="44">
        <v>0</v>
      </c>
      <c r="Q22" s="29">
        <f t="shared" si="3"/>
        <v>4345.4210000000003</v>
      </c>
      <c r="R22" s="14">
        <v>-15738.757</v>
      </c>
      <c r="S22" s="35">
        <f t="shared" si="5"/>
        <v>-306588.65700000001</v>
      </c>
    </row>
    <row r="23" spans="2:19" ht="15" customHeight="1" x14ac:dyDescent="0.25">
      <c r="B23" s="45" t="s">
        <v>28</v>
      </c>
      <c r="C23" s="46">
        <v>83.186721975797994</v>
      </c>
      <c r="D23" s="47">
        <v>0</v>
      </c>
      <c r="E23" s="48">
        <v>-49532.237999999998</v>
      </c>
      <c r="F23" s="48">
        <v>-74298.356</v>
      </c>
      <c r="G23" s="49">
        <f t="shared" si="0"/>
        <v>-123830.594</v>
      </c>
      <c r="H23" s="50">
        <f t="shared" si="1"/>
        <v>-123830.594</v>
      </c>
      <c r="I23" s="46">
        <v>89.6</v>
      </c>
      <c r="J23" s="47">
        <v>-140571.76</v>
      </c>
      <c r="K23" s="48">
        <v>0</v>
      </c>
      <c r="L23" s="48">
        <v>0</v>
      </c>
      <c r="M23" s="50">
        <f t="shared" si="2"/>
        <v>-140571.76</v>
      </c>
      <c r="N23" s="51">
        <f t="shared" si="4"/>
        <v>-264402.35399999999</v>
      </c>
      <c r="O23" s="47">
        <v>1827.433</v>
      </c>
      <c r="P23" s="48">
        <v>0</v>
      </c>
      <c r="Q23" s="50">
        <f t="shared" si="3"/>
        <v>1827.433</v>
      </c>
      <c r="R23" s="13">
        <v>-6351.7160000000003</v>
      </c>
      <c r="S23" s="52">
        <f t="shared" si="5"/>
        <v>-268926.63699999999</v>
      </c>
    </row>
    <row r="24" spans="2:19" ht="15" customHeight="1" x14ac:dyDescent="0.25">
      <c r="B24" s="19" t="s">
        <v>29</v>
      </c>
      <c r="C24" s="25">
        <v>81.0690938373846</v>
      </c>
      <c r="D24" s="42">
        <v>0</v>
      </c>
      <c r="E24" s="44">
        <v>-198788.93</v>
      </c>
      <c r="F24" s="44">
        <v>-298183.39600000001</v>
      </c>
      <c r="G24" s="28">
        <f t="shared" si="0"/>
        <v>-496972.326</v>
      </c>
      <c r="H24" s="29">
        <f t="shared" si="1"/>
        <v>-496972.326</v>
      </c>
      <c r="I24" s="25">
        <v>88.8</v>
      </c>
      <c r="J24" s="42">
        <v>0</v>
      </c>
      <c r="K24" s="44">
        <v>0</v>
      </c>
      <c r="L24" s="44">
        <v>0</v>
      </c>
      <c r="M24" s="29">
        <f t="shared" si="2"/>
        <v>0</v>
      </c>
      <c r="N24" s="33">
        <f t="shared" si="4"/>
        <v>-496972.326</v>
      </c>
      <c r="O24" s="42">
        <v>5238.6440000000002</v>
      </c>
      <c r="P24" s="44">
        <v>0</v>
      </c>
      <c r="Q24" s="29">
        <f t="shared" si="3"/>
        <v>5238.6440000000002</v>
      </c>
      <c r="R24" s="14">
        <v>-20993.821</v>
      </c>
      <c r="S24" s="35">
        <f t="shared" si="5"/>
        <v>-512727.50300000003</v>
      </c>
    </row>
    <row r="25" spans="2:19" ht="15" customHeight="1" x14ac:dyDescent="0.25">
      <c r="B25" s="45" t="s">
        <v>30</v>
      </c>
      <c r="C25" s="46">
        <v>80.119280048822105</v>
      </c>
      <c r="D25" s="47">
        <v>0</v>
      </c>
      <c r="E25" s="48">
        <v>-87792.070999999996</v>
      </c>
      <c r="F25" s="48">
        <v>-131688.106</v>
      </c>
      <c r="G25" s="49">
        <f t="shared" si="0"/>
        <v>-219480.177</v>
      </c>
      <c r="H25" s="50">
        <f t="shared" si="1"/>
        <v>-219480.177</v>
      </c>
      <c r="I25" s="46">
        <v>88.5</v>
      </c>
      <c r="J25" s="47">
        <v>-3295.6170000000002</v>
      </c>
      <c r="K25" s="48">
        <v>0</v>
      </c>
      <c r="L25" s="48">
        <v>0</v>
      </c>
      <c r="M25" s="50">
        <f t="shared" si="2"/>
        <v>-3295.6170000000002</v>
      </c>
      <c r="N25" s="51">
        <f t="shared" si="4"/>
        <v>-222775.79399999999</v>
      </c>
      <c r="O25" s="47">
        <v>2204.107</v>
      </c>
      <c r="P25" s="48">
        <v>0</v>
      </c>
      <c r="Q25" s="50">
        <f t="shared" si="3"/>
        <v>2204.107</v>
      </c>
      <c r="R25" s="13">
        <v>-8557.8439999999991</v>
      </c>
      <c r="S25" s="52">
        <f t="shared" si="5"/>
        <v>-229129.53100000002</v>
      </c>
    </row>
    <row r="26" spans="2:19" ht="15" customHeight="1" x14ac:dyDescent="0.25">
      <c r="B26" s="19" t="s">
        <v>31</v>
      </c>
      <c r="C26" s="25">
        <v>93.433435518025803</v>
      </c>
      <c r="D26" s="42">
        <v>0</v>
      </c>
      <c r="E26" s="44">
        <v>-18423.190999999999</v>
      </c>
      <c r="F26" s="44">
        <v>-27634.786</v>
      </c>
      <c r="G26" s="28">
        <f t="shared" si="0"/>
        <v>-46057.976999999999</v>
      </c>
      <c r="H26" s="29">
        <f t="shared" si="1"/>
        <v>-46057.976999999999</v>
      </c>
      <c r="I26" s="25">
        <v>94.8</v>
      </c>
      <c r="J26" s="42">
        <v>-15040.89</v>
      </c>
      <c r="K26" s="44">
        <v>-383.863</v>
      </c>
      <c r="L26" s="44">
        <v>0</v>
      </c>
      <c r="M26" s="29">
        <f t="shared" si="2"/>
        <v>-15424.752999999999</v>
      </c>
      <c r="N26" s="33">
        <f t="shared" si="4"/>
        <v>-61482.729999999996</v>
      </c>
      <c r="O26" s="42">
        <v>2975.058</v>
      </c>
      <c r="P26" s="44">
        <v>0</v>
      </c>
      <c r="Q26" s="29">
        <f t="shared" si="3"/>
        <v>2975.058</v>
      </c>
      <c r="R26" s="14">
        <v>-11003.186</v>
      </c>
      <c r="S26" s="35">
        <f t="shared" si="5"/>
        <v>-69510.857999999993</v>
      </c>
    </row>
    <row r="27" spans="2:19" ht="15" customHeight="1" x14ac:dyDescent="0.25">
      <c r="B27" s="45" t="s">
        <v>32</v>
      </c>
      <c r="C27" s="46">
        <v>98.955644021175104</v>
      </c>
      <c r="D27" s="47">
        <v>0</v>
      </c>
      <c r="E27" s="48">
        <v>-2055.893</v>
      </c>
      <c r="F27" s="48">
        <v>-3083.8389999999999</v>
      </c>
      <c r="G27" s="49">
        <f t="shared" si="0"/>
        <v>-5139.732</v>
      </c>
      <c r="H27" s="50">
        <f t="shared" si="1"/>
        <v>-5139.732</v>
      </c>
      <c r="I27" s="46">
        <v>99</v>
      </c>
      <c r="J27" s="47">
        <v>-142.15600000000001</v>
      </c>
      <c r="K27" s="48">
        <v>-119420.906</v>
      </c>
      <c r="L27" s="48">
        <v>-5019.3270000000002</v>
      </c>
      <c r="M27" s="50">
        <f t="shared" si="2"/>
        <v>-124582.38900000001</v>
      </c>
      <c r="N27" s="51">
        <f t="shared" si="4"/>
        <v>-129722.12100000001</v>
      </c>
      <c r="O27" s="47">
        <v>6087.5749999999998</v>
      </c>
      <c r="P27" s="48">
        <v>0</v>
      </c>
      <c r="Q27" s="50">
        <f t="shared" si="3"/>
        <v>6087.5749999999998</v>
      </c>
      <c r="R27" s="13">
        <v>0</v>
      </c>
      <c r="S27" s="52">
        <f t="shared" si="5"/>
        <v>-123634.54600000002</v>
      </c>
    </row>
    <row r="28" spans="2:19" ht="15" customHeight="1" x14ac:dyDescent="0.25">
      <c r="B28" s="19" t="s">
        <v>33</v>
      </c>
      <c r="C28" s="25">
        <v>63.775524412777699</v>
      </c>
      <c r="D28" s="42">
        <v>0</v>
      </c>
      <c r="E28" s="44">
        <v>-299977.88</v>
      </c>
      <c r="F28" s="44">
        <v>-449966.82</v>
      </c>
      <c r="G28" s="28">
        <f t="shared" si="0"/>
        <v>-749944.7</v>
      </c>
      <c r="H28" s="29">
        <f t="shared" si="1"/>
        <v>-749944.7</v>
      </c>
      <c r="I28" s="25">
        <v>86.5</v>
      </c>
      <c r="J28" s="42">
        <v>-76105.009000000005</v>
      </c>
      <c r="K28" s="44">
        <v>-9671.6260000000002</v>
      </c>
      <c r="L28" s="44">
        <v>0</v>
      </c>
      <c r="M28" s="29">
        <f t="shared" si="2"/>
        <v>-85776.635000000009</v>
      </c>
      <c r="N28" s="33">
        <f t="shared" si="4"/>
        <v>-835721.33499999996</v>
      </c>
      <c r="O28" s="42">
        <v>2645.8679999999999</v>
      </c>
      <c r="P28" s="44">
        <v>0</v>
      </c>
      <c r="Q28" s="29">
        <f t="shared" si="3"/>
        <v>2645.8679999999999</v>
      </c>
      <c r="R28" s="14">
        <v>-10828.99</v>
      </c>
      <c r="S28" s="35">
        <f t="shared" si="5"/>
        <v>-843904.45699999994</v>
      </c>
    </row>
    <row r="29" spans="2:19" ht="15" customHeight="1" x14ac:dyDescent="0.25">
      <c r="B29" s="45" t="s">
        <v>34</v>
      </c>
      <c r="C29" s="46">
        <v>77.461536027083199</v>
      </c>
      <c r="D29" s="47">
        <v>0</v>
      </c>
      <c r="E29" s="48">
        <v>-69538.978000000003</v>
      </c>
      <c r="F29" s="48">
        <v>-104308.467</v>
      </c>
      <c r="G29" s="49">
        <f t="shared" si="0"/>
        <v>-173847.44500000001</v>
      </c>
      <c r="H29" s="50">
        <f t="shared" si="1"/>
        <v>-173847.44500000001</v>
      </c>
      <c r="I29" s="46">
        <v>87.8</v>
      </c>
      <c r="J29" s="47">
        <v>-22994.434000000001</v>
      </c>
      <c r="K29" s="48">
        <v>-13515.156000000001</v>
      </c>
      <c r="L29" s="48">
        <v>0</v>
      </c>
      <c r="M29" s="50">
        <f t="shared" si="2"/>
        <v>-36509.590000000004</v>
      </c>
      <c r="N29" s="51">
        <f t="shared" si="4"/>
        <v>-210357.035</v>
      </c>
      <c r="O29" s="47">
        <v>1614.7919999999999</v>
      </c>
      <c r="P29" s="48">
        <v>-65299.635999999999</v>
      </c>
      <c r="Q29" s="50">
        <f t="shared" si="3"/>
        <v>-63684.843999999997</v>
      </c>
      <c r="R29" s="13">
        <v>-5520.3710000000001</v>
      </c>
      <c r="S29" s="52">
        <f t="shared" si="5"/>
        <v>-279562.25</v>
      </c>
    </row>
    <row r="30" spans="2:19" ht="15" customHeight="1" x14ac:dyDescent="0.25">
      <c r="B30" s="19" t="s">
        <v>35</v>
      </c>
      <c r="C30" s="25">
        <v>137.43663794487699</v>
      </c>
      <c r="D30" s="42">
        <v>325621.65700000001</v>
      </c>
      <c r="E30" s="44">
        <v>0</v>
      </c>
      <c r="F30" s="44">
        <v>0</v>
      </c>
      <c r="G30" s="28">
        <f t="shared" si="0"/>
        <v>325621.65700000001</v>
      </c>
      <c r="H30" s="29">
        <f t="shared" si="1"/>
        <v>0</v>
      </c>
      <c r="I30" s="25">
        <v>130.5</v>
      </c>
      <c r="J30" s="42">
        <v>0</v>
      </c>
      <c r="K30" s="44">
        <v>-111796.21</v>
      </c>
      <c r="L30" s="44">
        <v>-45298.038</v>
      </c>
      <c r="M30" s="29">
        <f t="shared" si="2"/>
        <v>-157094.24800000002</v>
      </c>
      <c r="N30" s="33">
        <f t="shared" si="4"/>
        <v>168527.40899999999</v>
      </c>
      <c r="O30" s="42">
        <v>3956.1120000000001</v>
      </c>
      <c r="P30" s="44">
        <v>0</v>
      </c>
      <c r="Q30" s="29">
        <f t="shared" si="3"/>
        <v>3956.1120000000001</v>
      </c>
      <c r="R30" s="14">
        <v>0</v>
      </c>
      <c r="S30" s="35">
        <f t="shared" si="5"/>
        <v>172483.52099999998</v>
      </c>
    </row>
    <row r="31" spans="2:19" ht="15" customHeight="1" x14ac:dyDescent="0.25">
      <c r="B31" s="45" t="s">
        <v>36</v>
      </c>
      <c r="C31" s="46">
        <v>66.737089904698905</v>
      </c>
      <c r="D31" s="47">
        <v>0</v>
      </c>
      <c r="E31" s="48">
        <v>-54785.22</v>
      </c>
      <c r="F31" s="48">
        <v>-82177.83</v>
      </c>
      <c r="G31" s="49">
        <f t="shared" si="0"/>
        <v>-136963.04999999999</v>
      </c>
      <c r="H31" s="50">
        <f t="shared" si="1"/>
        <v>-136963.04999999999</v>
      </c>
      <c r="I31" s="46">
        <v>86.5</v>
      </c>
      <c r="J31" s="47">
        <v>-4633.0469999999996</v>
      </c>
      <c r="K31" s="48">
        <v>0</v>
      </c>
      <c r="L31" s="48">
        <v>0</v>
      </c>
      <c r="M31" s="50">
        <f t="shared" si="2"/>
        <v>-4633.0469999999996</v>
      </c>
      <c r="N31" s="51">
        <f t="shared" si="4"/>
        <v>-141596.09699999998</v>
      </c>
      <c r="O31" s="47">
        <v>654.28599999999994</v>
      </c>
      <c r="P31" s="48">
        <v>-11632.532999999999</v>
      </c>
      <c r="Q31" s="50">
        <f t="shared" si="3"/>
        <v>-10978.246999999999</v>
      </c>
      <c r="R31" s="15">
        <v>-2274.0770000000002</v>
      </c>
      <c r="S31" s="52">
        <f t="shared" si="5"/>
        <v>-154848.42099999997</v>
      </c>
    </row>
    <row r="32" spans="2:19" ht="18.75" customHeight="1" x14ac:dyDescent="0.25">
      <c r="B32" s="37" t="str">
        <f>DFIE!B44</f>
        <v>Schweiz</v>
      </c>
      <c r="C32" s="26">
        <v>100</v>
      </c>
      <c r="D32" s="30">
        <f>SUM(D6:D31)</f>
        <v>1737876.7820000001</v>
      </c>
      <c r="E32" s="31">
        <f>SUM(E6:E31)</f>
        <v>-1737876.7820000004</v>
      </c>
      <c r="F32" s="31">
        <f>SUM(F6:F31)</f>
        <v>-2606815.1730000004</v>
      </c>
      <c r="G32" s="31">
        <f>SUM(G6:G31)</f>
        <v>-2606815.1729999995</v>
      </c>
      <c r="H32" s="32">
        <f>SUM(H6:H31)</f>
        <v>-4344691.9550000001</v>
      </c>
      <c r="I32" s="27"/>
      <c r="J32" s="30">
        <f t="shared" ref="J32:S32" si="6">SUM(J6:J31)</f>
        <v>-370447.70300000004</v>
      </c>
      <c r="K32" s="31">
        <f t="shared" si="6"/>
        <v>-340298.46899999998</v>
      </c>
      <c r="L32" s="31">
        <f t="shared" si="6"/>
        <v>-170149.234</v>
      </c>
      <c r="M32" s="32">
        <f t="shared" si="6"/>
        <v>-880895.40600000008</v>
      </c>
      <c r="N32" s="36">
        <f t="shared" si="6"/>
        <v>-3487710.5789999999</v>
      </c>
      <c r="O32" s="30">
        <f t="shared" si="6"/>
        <v>69899.159</v>
      </c>
      <c r="P32" s="31">
        <f t="shared" si="6"/>
        <v>-209697.478</v>
      </c>
      <c r="Q32" s="32">
        <f t="shared" si="6"/>
        <v>-139798.31900000002</v>
      </c>
      <c r="R32" s="36">
        <f t="shared" ref="R32" si="7">SUM(R6:R31)</f>
        <v>-159999.99999999997</v>
      </c>
      <c r="S32" s="32">
        <f t="shared" si="6"/>
        <v>-3787508.8980000005</v>
      </c>
    </row>
    <row r="33" spans="1:25" ht="40.5" customHeight="1" x14ac:dyDescent="0.25">
      <c r="A33" s="38"/>
      <c r="B33" s="102" t="str">
        <f>DFIE!$B$45</f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39"/>
      <c r="U33" s="39"/>
      <c r="V33" s="39"/>
      <c r="W33" s="39"/>
      <c r="X33" s="39"/>
      <c r="Y33" s="39"/>
    </row>
  </sheetData>
  <mergeCells count="12">
    <mergeCell ref="D3:H3"/>
    <mergeCell ref="B1:S1"/>
    <mergeCell ref="B33:S33"/>
    <mergeCell ref="C3:C5"/>
    <mergeCell ref="I3:I5"/>
    <mergeCell ref="N3:N5"/>
    <mergeCell ref="S3:S5"/>
    <mergeCell ref="G4:H4"/>
    <mergeCell ref="D4:E4"/>
    <mergeCell ref="O3:Q4"/>
    <mergeCell ref="J3:M4"/>
    <mergeCell ref="R3:R5"/>
  </mergeCells>
  <conditionalFormatting sqref="C6:F31">
    <cfRule type="expression" dxfId="4" priority="3" stopIfTrue="1">
      <formula>ISBLANK(C6)</formula>
    </cfRule>
  </conditionalFormatting>
  <conditionalFormatting sqref="I6:L31">
    <cfRule type="expression" dxfId="3" priority="4" stopIfTrue="1">
      <formula>ISBLANK(I6)</formula>
    </cfRule>
  </conditionalFormatting>
  <conditionalFormatting sqref="O6:P31">
    <cfRule type="expression" dxfId="2" priority="5" stopIfTrue="1">
      <formula>ISBLANK(O6)</formula>
    </cfRule>
  </conditionalFormatting>
  <conditionalFormatting sqref="R6:R31">
    <cfRule type="expression" dxfId="1" priority="1" stopIfTrue="1">
      <formula>ISBLANK(R6)</formula>
    </cfRule>
  </conditionalFormatting>
  <pageMargins left="0.62992125984251968" right="0.39370078740157483" top="0.98425196850393704" bottom="0.6692913385826772" header="0.51181102362204722" footer="0.39370078740157483"/>
  <pageSetup paperSize="9" scale="76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6.5546875" customWidth="1"/>
    <col min="3" max="3" width="17.6640625" customWidth="1"/>
    <col min="4" max="4" width="7.109375" customWidth="1"/>
    <col min="5" max="5" width="13.5546875" customWidth="1"/>
    <col min="6" max="9" width="9.33203125" customWidth="1"/>
    <col min="10" max="11" width="15.44140625" customWidth="1"/>
    <col min="12" max="12" width="10.88671875" customWidth="1"/>
  </cols>
  <sheetData>
    <row r="1" spans="1:12" ht="18" customHeight="1" x14ac:dyDescent="0.35">
      <c r="B1" s="101" t="str">
        <f>DFIE!B72</f>
        <v>Zahlungen pro Einwohner 2023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2.5" customHeight="1" x14ac:dyDescent="0.25">
      <c r="B2" s="43" t="str">
        <f>DFIE!B73</f>
        <v>in CHF; (+) Belastung Kanton; (-) Entlastung Kanton</v>
      </c>
      <c r="C2" s="73"/>
    </row>
    <row r="3" spans="1:12" ht="24.05" customHeight="1" x14ac:dyDescent="0.25">
      <c r="A3" s="24"/>
      <c r="B3" s="11"/>
      <c r="C3" s="103" t="str">
        <f>DFIE!B74</f>
        <v>Massgebende
Wohnbevölkerung</v>
      </c>
      <c r="D3" s="103" t="str">
        <f>DFIE!B75</f>
        <v>RI</v>
      </c>
      <c r="E3" s="106" t="str">
        <f>DFIE!B76</f>
        <v>Ressourcen-
ausgleich</v>
      </c>
      <c r="F3" s="98" t="str">
        <f>DFIE!B77</f>
        <v>Lastenausgleich</v>
      </c>
      <c r="G3" s="99"/>
      <c r="H3" s="99"/>
      <c r="I3" s="100"/>
      <c r="J3" s="106" t="str">
        <f>DFIE!B82</f>
        <v>Härte-
ausgleich</v>
      </c>
      <c r="K3" s="106" t="str">
        <f>DFIE!$B$83</f>
        <v>Abfederungs-
massnahmen</v>
      </c>
      <c r="L3" s="106" t="str">
        <f>DFIE!B84</f>
        <v>Total</v>
      </c>
    </row>
    <row r="4" spans="1:12" ht="29.95" customHeight="1" x14ac:dyDescent="0.25">
      <c r="A4" s="24"/>
      <c r="B4" s="54"/>
      <c r="C4" s="122"/>
      <c r="D4" s="122"/>
      <c r="E4" s="121"/>
      <c r="F4" s="55" t="str">
        <f>DFIE!B78</f>
        <v>GLA</v>
      </c>
      <c r="G4" s="56" t="str">
        <f>DFIE!B79</f>
        <v>SLA A-C</v>
      </c>
      <c r="H4" s="56" t="str">
        <f>DFIE!B80</f>
        <v>SLA F</v>
      </c>
      <c r="I4" s="21" t="str">
        <f>DFIE!B81</f>
        <v>Total</v>
      </c>
      <c r="J4" s="121"/>
      <c r="K4" s="121"/>
      <c r="L4" s="121"/>
    </row>
    <row r="5" spans="1:12" ht="15" customHeight="1" x14ac:dyDescent="0.25">
      <c r="B5" s="53" t="str">
        <f>DFIE!B46</f>
        <v>Zürich</v>
      </c>
      <c r="C5" s="62">
        <v>1525009.66666667</v>
      </c>
      <c r="D5" s="25">
        <f>TOTAL_1!C6</f>
        <v>123.05918053988501</v>
      </c>
      <c r="E5" s="57">
        <f>TOTAL_1!G6/$C5*1000</f>
        <v>400.50650913906685</v>
      </c>
      <c r="F5" s="58">
        <f>TOTAL_1!J6/TOTAL_2!$C5*1000</f>
        <v>0</v>
      </c>
      <c r="G5" s="59">
        <f>TOTAL_1!K6/TOTAL_2!$C5*1000</f>
        <v>-19.648365944784135</v>
      </c>
      <c r="H5" s="59">
        <f>TOTAL_1!L6/TOTAL_2!$C5*1000</f>
        <v>-62.609068051808933</v>
      </c>
      <c r="I5" s="60">
        <f t="shared" ref="I5:I30" si="0">SUM(F5:H5)</f>
        <v>-82.257433996593065</v>
      </c>
      <c r="J5" s="57">
        <f>TOTAL_1!Q6/TOTAL_2!$C5*1000</f>
        <v>7.758023610342125</v>
      </c>
      <c r="K5" s="57">
        <f>TOTAL_1!R6/TOTAL_2!$C5*1000</f>
        <v>0</v>
      </c>
      <c r="L5" s="61">
        <f>TOTAL_1!S6/TOTAL_2!$C5*1000</f>
        <v>326.00709875281592</v>
      </c>
    </row>
    <row r="6" spans="1:12" ht="15" customHeight="1" x14ac:dyDescent="0.25">
      <c r="B6" s="63" t="str">
        <f>DFIE!B47</f>
        <v>Bern</v>
      </c>
      <c r="C6" s="64">
        <v>1039192.5</v>
      </c>
      <c r="D6" s="46">
        <f>TOTAL_1!C7</f>
        <v>77.705587703617894</v>
      </c>
      <c r="E6" s="65">
        <f>TOTAL_1!G7/$C6*1000</f>
        <v>-955.99149435739776</v>
      </c>
      <c r="F6" s="66">
        <f>TOTAL_1!J7/TOTAL_2!$C6*1000</f>
        <v>-27.916550590963656</v>
      </c>
      <c r="G6" s="67">
        <f>TOTAL_1!K7/TOTAL_2!$C6*1000</f>
        <v>0</v>
      </c>
      <c r="H6" s="67">
        <f>TOTAL_1!L7/TOTAL_2!$C6*1000</f>
        <v>0</v>
      </c>
      <c r="I6" s="68">
        <f t="shared" si="0"/>
        <v>-27.916550590963656</v>
      </c>
      <c r="J6" s="65">
        <f>TOTAL_1!Q7/TOTAL_2!$C6*1000</f>
        <v>-21.218001477108427</v>
      </c>
      <c r="K6" s="65">
        <f>TOTAL_1!R7/TOTAL_2!$C6*1000</f>
        <v>-30.90232849063095</v>
      </c>
      <c r="L6" s="69">
        <f>TOTAL_1!S7/TOTAL_2!$C6*1000</f>
        <v>-1036.0283749161008</v>
      </c>
    </row>
    <row r="7" spans="1:12" ht="15" customHeight="1" x14ac:dyDescent="0.25">
      <c r="B7" s="53" t="str">
        <f>DFIE!B48</f>
        <v>Luzern</v>
      </c>
      <c r="C7" s="62">
        <v>411012.83333333302</v>
      </c>
      <c r="D7" s="25">
        <f>TOTAL_1!C8</f>
        <v>92.503934210061104</v>
      </c>
      <c r="E7" s="57">
        <f>TOTAL_1!G8/$C7*1000</f>
        <v>-160.64256063375166</v>
      </c>
      <c r="F7" s="58">
        <f>TOTAL_1!J8/TOTAL_2!$C7*1000</f>
        <v>-13.965410650194631</v>
      </c>
      <c r="G7" s="59">
        <f>TOTAL_1!K8/TOTAL_2!$C7*1000</f>
        <v>0</v>
      </c>
      <c r="H7" s="59">
        <f>TOTAL_1!L8/TOTAL_2!$C7*1000</f>
        <v>0</v>
      </c>
      <c r="I7" s="60">
        <f t="shared" si="0"/>
        <v>-13.965410650194631</v>
      </c>
      <c r="J7" s="57">
        <f>TOTAL_1!Q8/TOTAL_2!$C7*1000</f>
        <v>-26.442529572272097</v>
      </c>
      <c r="K7" s="57">
        <f>TOTAL_1!R8/TOTAL_2!$C7*1000</f>
        <v>-30.902329489306322</v>
      </c>
      <c r="L7" s="61">
        <f>TOTAL_1!S8/TOTAL_2!$C7*1000</f>
        <v>-231.95283034552469</v>
      </c>
    </row>
    <row r="8" spans="1:12" ht="15" customHeight="1" x14ac:dyDescent="0.25">
      <c r="B8" s="63" t="str">
        <f>DFIE!B49</f>
        <v>Uri</v>
      </c>
      <c r="C8" s="64">
        <v>36758.5</v>
      </c>
      <c r="D8" s="46">
        <f>TOTAL_1!C9</f>
        <v>70.940347463543205</v>
      </c>
      <c r="E8" s="65">
        <f>TOTAL_1!G9/$C8*1000</f>
        <v>-1474.9941646149871</v>
      </c>
      <c r="F8" s="66">
        <f>TOTAL_1!J9/TOTAL_2!$C8*1000</f>
        <v>-319.42990056721573</v>
      </c>
      <c r="G8" s="67">
        <f>TOTAL_1!K9/TOTAL_2!$C8*1000</f>
        <v>0</v>
      </c>
      <c r="H8" s="67">
        <f>TOTAL_1!L9/TOTAL_2!$C8*1000</f>
        <v>0</v>
      </c>
      <c r="I8" s="68">
        <f t="shared" si="0"/>
        <v>-319.42990056721573</v>
      </c>
      <c r="J8" s="65">
        <f>TOTAL_1!Q9/TOTAL_2!$C8*1000</f>
        <v>9.1274943210413912</v>
      </c>
      <c r="K8" s="65">
        <f>TOTAL_1!R9/TOTAL_2!$C8*1000</f>
        <v>-30.902321911938735</v>
      </c>
      <c r="L8" s="69">
        <f>TOTAL_1!S9/TOTAL_2!$C8*1000</f>
        <v>-1816.1988927730999</v>
      </c>
    </row>
    <row r="9" spans="1:12" ht="15" customHeight="1" x14ac:dyDescent="0.25">
      <c r="B9" s="53" t="str">
        <f>DFIE!B50</f>
        <v>Schwyz</v>
      </c>
      <c r="C9" s="62">
        <v>159089</v>
      </c>
      <c r="D9" s="25">
        <f>TOTAL_1!C10</f>
        <v>173.219379146932</v>
      </c>
      <c r="E9" s="57">
        <f>TOTAL_1!G10/$C9*1000</f>
        <v>1271.7207349345333</v>
      </c>
      <c r="F9" s="58">
        <f>TOTAL_1!J10/TOTAL_2!$C9*1000</f>
        <v>-43.253160180779311</v>
      </c>
      <c r="G9" s="59">
        <f>TOTAL_1!K10/TOTAL_2!$C9*1000</f>
        <v>0</v>
      </c>
      <c r="H9" s="59">
        <f>TOTAL_1!L10/TOTAL_2!$C9*1000</f>
        <v>0</v>
      </c>
      <c r="I9" s="60">
        <f t="shared" si="0"/>
        <v>-43.253160180779311</v>
      </c>
      <c r="J9" s="57">
        <f>TOTAL_1!Q10/TOTAL_2!$C9*1000</f>
        <v>7.7857237143988591</v>
      </c>
      <c r="K9" s="57">
        <f>TOTAL_1!R10/TOTAL_2!$C9*1000</f>
        <v>0</v>
      </c>
      <c r="L9" s="61">
        <f>TOTAL_1!S10/TOTAL_2!$C9*1000</f>
        <v>1236.2532984681529</v>
      </c>
    </row>
    <row r="10" spans="1:12" ht="15" customHeight="1" x14ac:dyDescent="0.25">
      <c r="B10" s="63" t="str">
        <f>DFIE!B51</f>
        <v>Obwalden</v>
      </c>
      <c r="C10" s="64">
        <v>38005.166666666701</v>
      </c>
      <c r="D10" s="46">
        <f>TOTAL_1!C11</f>
        <v>107.111615894767</v>
      </c>
      <c r="E10" s="65">
        <f>TOTAL_1!G11/$C10*1000</f>
        <v>123.51907416096924</v>
      </c>
      <c r="F10" s="66">
        <f>TOTAL_1!J11/TOTAL_2!$C10*1000</f>
        <v>-163.0949826997205</v>
      </c>
      <c r="G10" s="67">
        <f>TOTAL_1!K11/TOTAL_2!$C10*1000</f>
        <v>0</v>
      </c>
      <c r="H10" s="67">
        <f>TOTAL_1!L11/TOTAL_2!$C10*1000</f>
        <v>0</v>
      </c>
      <c r="I10" s="68">
        <f t="shared" si="0"/>
        <v>-163.0949826997205</v>
      </c>
      <c r="J10" s="65">
        <f>TOTAL_1!Q11/TOTAL_2!$C10*1000</f>
        <v>8.2017269581767316</v>
      </c>
      <c r="K10" s="65">
        <f>TOTAL_1!R11/TOTAL_2!$C10*1000</f>
        <v>0</v>
      </c>
      <c r="L10" s="69">
        <f>TOTAL_1!S11/TOTAL_2!$C10*1000</f>
        <v>-31.37418158057454</v>
      </c>
    </row>
    <row r="11" spans="1:12" ht="15" customHeight="1" x14ac:dyDescent="0.25">
      <c r="B11" s="53" t="str">
        <f>DFIE!B52</f>
        <v>Nidwalden</v>
      </c>
      <c r="C11" s="62">
        <v>43266.166666666701</v>
      </c>
      <c r="D11" s="25">
        <f>TOTAL_1!C12</f>
        <v>158.13178939087601</v>
      </c>
      <c r="E11" s="57">
        <f>TOTAL_1!G12/$C11*1000</f>
        <v>1009.6698729184072</v>
      </c>
      <c r="F11" s="58">
        <f>TOTAL_1!J12/TOTAL_2!$C11*1000</f>
        <v>-32.67095536543178</v>
      </c>
      <c r="G11" s="59">
        <f>TOTAL_1!K12/TOTAL_2!$C11*1000</f>
        <v>0</v>
      </c>
      <c r="H11" s="59">
        <f>TOTAL_1!L12/TOTAL_2!$C11*1000</f>
        <v>0</v>
      </c>
      <c r="I11" s="60">
        <f t="shared" si="0"/>
        <v>-32.67095536543178</v>
      </c>
      <c r="J11" s="57">
        <f>TOTAL_1!Q12/TOTAL_2!$C11*1000</f>
        <v>8.2632002681078678</v>
      </c>
      <c r="K11" s="57">
        <f>TOTAL_1!R12/TOTAL_2!$C11*1000</f>
        <v>0</v>
      </c>
      <c r="L11" s="61">
        <f>TOTAL_1!S12/TOTAL_2!$C11*1000</f>
        <v>985.26211782108339</v>
      </c>
    </row>
    <row r="12" spans="1:12" ht="15" customHeight="1" x14ac:dyDescent="0.25">
      <c r="B12" s="63" t="str">
        <f>DFIE!B53</f>
        <v>Glarus</v>
      </c>
      <c r="C12" s="64">
        <v>40701</v>
      </c>
      <c r="D12" s="46">
        <f>TOTAL_1!C13</f>
        <v>72.908865813855002</v>
      </c>
      <c r="E12" s="65">
        <f>TOTAL_1!G13/$C12*1000</f>
        <v>-1315.0473207046509</v>
      </c>
      <c r="F12" s="66">
        <f>TOTAL_1!J13/TOTAL_2!$C12*1000</f>
        <v>-133.78403479029998</v>
      </c>
      <c r="G12" s="67">
        <f>TOTAL_1!K13/TOTAL_2!$C12*1000</f>
        <v>0</v>
      </c>
      <c r="H12" s="67">
        <f>TOTAL_1!L13/TOTAL_2!$C12*1000</f>
        <v>0</v>
      </c>
      <c r="I12" s="68">
        <f t="shared" si="0"/>
        <v>-133.78403479029998</v>
      </c>
      <c r="J12" s="65">
        <f>TOTAL_1!Q13/TOTAL_2!$C12*1000</f>
        <v>-111.29620893835533</v>
      </c>
      <c r="K12" s="65">
        <f>TOTAL_1!R13/TOTAL_2!$C12*1000</f>
        <v>-30.902336551927473</v>
      </c>
      <c r="L12" s="69">
        <f>TOTAL_1!S13/TOTAL_2!$C12*1000</f>
        <v>-1591.0299009852336</v>
      </c>
    </row>
    <row r="13" spans="1:12" ht="15" customHeight="1" x14ac:dyDescent="0.25">
      <c r="B13" s="53" t="str">
        <f>DFIE!B54</f>
        <v>Zug</v>
      </c>
      <c r="C13" s="62">
        <v>127783.33333333299</v>
      </c>
      <c r="D13" s="25">
        <f>TOTAL_1!C14</f>
        <v>265.93209281021802</v>
      </c>
      <c r="E13" s="57">
        <f>TOTAL_1!G14/$C13*1000</f>
        <v>2882.014088952662</v>
      </c>
      <c r="F13" s="58">
        <f>TOTAL_1!J14/TOTAL_2!$C13*1000</f>
        <v>0</v>
      </c>
      <c r="G13" s="59">
        <f>TOTAL_1!K14/TOTAL_2!$C13*1000</f>
        <v>-25.668347463153847</v>
      </c>
      <c r="H13" s="59">
        <f>TOTAL_1!L14/TOTAL_2!$C13*1000</f>
        <v>0</v>
      </c>
      <c r="I13" s="60">
        <f t="shared" si="0"/>
        <v>-25.668347463153847</v>
      </c>
      <c r="J13" s="57">
        <f>TOTAL_1!Q14/TOTAL_2!$C13*1000</f>
        <v>7.4427781400808861</v>
      </c>
      <c r="K13" s="57">
        <f>TOTAL_1!R14/TOTAL_2!$C13*1000</f>
        <v>0</v>
      </c>
      <c r="L13" s="61">
        <f>TOTAL_1!S14/TOTAL_2!$C13*1000</f>
        <v>2863.7885196295892</v>
      </c>
    </row>
    <row r="14" spans="1:12" ht="15" customHeight="1" x14ac:dyDescent="0.25">
      <c r="B14" s="63" t="str">
        <f>DFIE!B55</f>
        <v>Freiburg</v>
      </c>
      <c r="C14" s="64">
        <v>318642.66666666698</v>
      </c>
      <c r="D14" s="46">
        <f>TOTAL_1!C15</f>
        <v>70.242624084182296</v>
      </c>
      <c r="E14" s="65">
        <f>TOTAL_1!G15/$C14*1000</f>
        <v>-1533.3868753713652</v>
      </c>
      <c r="F14" s="66">
        <f>TOTAL_1!J15/TOTAL_2!$C14*1000</f>
        <v>-29.738208316944341</v>
      </c>
      <c r="G14" s="67">
        <f>TOTAL_1!K15/TOTAL_2!$C14*1000</f>
        <v>-3.2784341498522864</v>
      </c>
      <c r="H14" s="67">
        <f>TOTAL_1!L15/TOTAL_2!$C14*1000</f>
        <v>0</v>
      </c>
      <c r="I14" s="68">
        <f t="shared" si="0"/>
        <v>-33.016642466796625</v>
      </c>
      <c r="J14" s="65">
        <f>TOTAL_1!Q15/TOTAL_2!$C14*1000</f>
        <v>-251.28401616021262</v>
      </c>
      <c r="K14" s="65">
        <f>TOTAL_1!R15/TOTAL_2!$C14*1000</f>
        <v>-30.902327371935929</v>
      </c>
      <c r="L14" s="69">
        <f>TOTAL_1!S15/TOTAL_2!$C14*1000</f>
        <v>-1848.5898613703107</v>
      </c>
    </row>
    <row r="15" spans="1:12" ht="15" customHeight="1" x14ac:dyDescent="0.25">
      <c r="B15" s="53" t="str">
        <f>DFIE!B56</f>
        <v>Solothurn</v>
      </c>
      <c r="C15" s="62">
        <v>274581.66666666698</v>
      </c>
      <c r="D15" s="25">
        <f>TOTAL_1!C16</f>
        <v>70.815800532112107</v>
      </c>
      <c r="E15" s="57">
        <f>TOTAL_1!G16/$C15*1000</f>
        <v>-1485.3528349185715</v>
      </c>
      <c r="F15" s="58">
        <f>TOTAL_1!J16/TOTAL_2!$C15*1000</f>
        <v>0</v>
      </c>
      <c r="G15" s="59">
        <f>TOTAL_1!K16/TOTAL_2!$C15*1000</f>
        <v>-33.687161682316699</v>
      </c>
      <c r="H15" s="59">
        <f>TOTAL_1!L16/TOTAL_2!$C15*1000</f>
        <v>0</v>
      </c>
      <c r="I15" s="60">
        <f t="shared" si="0"/>
        <v>-33.687161682316699</v>
      </c>
      <c r="J15" s="57">
        <f>TOTAL_1!Q16/TOTAL_2!$C15*1000</f>
        <v>8.5618097833674156</v>
      </c>
      <c r="K15" s="57">
        <f>TOTAL_1!R16/TOTAL_2!$C15*1000</f>
        <v>-30.90232899744456</v>
      </c>
      <c r="L15" s="61">
        <f>TOTAL_1!S16/TOTAL_2!$C15*1000</f>
        <v>-1541.3805158149651</v>
      </c>
    </row>
    <row r="16" spans="1:12" ht="15" customHeight="1" x14ac:dyDescent="0.25">
      <c r="B16" s="63" t="str">
        <f>DFIE!B57</f>
        <v>Basel-Stadt</v>
      </c>
      <c r="C16" s="64">
        <v>197451.83333333299</v>
      </c>
      <c r="D16" s="46">
        <f>TOTAL_1!C17</f>
        <v>153.122046054435</v>
      </c>
      <c r="E16" s="65">
        <f>TOTAL_1!G17/$C16*1000</f>
        <v>922.65747004965942</v>
      </c>
      <c r="F16" s="66">
        <f>TOTAL_1!J17/TOTAL_2!$C16*1000</f>
        <v>0</v>
      </c>
      <c r="G16" s="67">
        <f>TOTAL_1!K17/TOTAL_2!$C16*1000</f>
        <v>-212.56954818516959</v>
      </c>
      <c r="H16" s="67">
        <f>TOTAL_1!L17/TOTAL_2!$C16*1000</f>
        <v>-123.33354716888782</v>
      </c>
      <c r="I16" s="68">
        <f t="shared" si="0"/>
        <v>-335.90309535405743</v>
      </c>
      <c r="J16" s="65">
        <f>TOTAL_1!Q17/TOTAL_2!$C16*1000</f>
        <v>9.4456859098970298</v>
      </c>
      <c r="K16" s="65">
        <f>TOTAL_1!R17/TOTAL_2!$C16*1000</f>
        <v>0</v>
      </c>
      <c r="L16" s="69">
        <f>TOTAL_1!S17/TOTAL_2!$C16*1000</f>
        <v>596.20006060549906</v>
      </c>
    </row>
    <row r="17" spans="2:19" ht="15" customHeight="1" x14ac:dyDescent="0.25">
      <c r="B17" s="53" t="str">
        <f>DFIE!B58</f>
        <v>Basel-Landschaft</v>
      </c>
      <c r="C17" s="62">
        <v>289116</v>
      </c>
      <c r="D17" s="25">
        <f>TOTAL_1!C18</f>
        <v>97.457499218033405</v>
      </c>
      <c r="E17" s="57">
        <f>TOTAL_1!G18/$C17*1000</f>
        <v>-27.382279085211476</v>
      </c>
      <c r="F17" s="58">
        <f>TOTAL_1!J18/TOTAL_2!$C17*1000</f>
        <v>0</v>
      </c>
      <c r="G17" s="59">
        <f>TOTAL_1!K18/TOTAL_2!$C17*1000</f>
        <v>0</v>
      </c>
      <c r="H17" s="59">
        <f>TOTAL_1!L18/TOTAL_2!$C17*1000</f>
        <v>0</v>
      </c>
      <c r="I17" s="60">
        <f t="shared" si="0"/>
        <v>0</v>
      </c>
      <c r="J17" s="57">
        <f>TOTAL_1!Q18/TOTAL_2!$C17*1000</f>
        <v>8.61679741003611</v>
      </c>
      <c r="K17" s="57">
        <f>TOTAL_1!R18/TOTAL_2!$C17*1000</f>
        <v>-30.902329860678758</v>
      </c>
      <c r="L17" s="61">
        <f>TOTAL_1!S18/TOTAL_2!$C17*1000</f>
        <v>-49.667811535854128</v>
      </c>
    </row>
    <row r="18" spans="2:19" ht="15" customHeight="1" x14ac:dyDescent="0.25">
      <c r="B18" s="63" t="str">
        <f>DFIE!B59</f>
        <v>Schaffhausen</v>
      </c>
      <c r="C18" s="64">
        <v>82401.833333333299</v>
      </c>
      <c r="D18" s="46">
        <f>TOTAL_1!C19</f>
        <v>98.897335739102303</v>
      </c>
      <c r="E18" s="65">
        <f>TOTAL_1!G19/$C18*1000</f>
        <v>-6.978582596261008</v>
      </c>
      <c r="F18" s="66">
        <f>TOTAL_1!J19/TOTAL_2!$C18*1000</f>
        <v>0</v>
      </c>
      <c r="G18" s="67">
        <f>TOTAL_1!K19/TOTAL_2!$C18*1000</f>
        <v>0</v>
      </c>
      <c r="H18" s="67">
        <f>TOTAL_1!L19/TOTAL_2!$C18*1000</f>
        <v>0</v>
      </c>
      <c r="I18" s="68">
        <f t="shared" si="0"/>
        <v>0</v>
      </c>
      <c r="J18" s="65">
        <f>TOTAL_1!Q19/TOTAL_2!$C18*1000</f>
        <v>8.6177208840418231</v>
      </c>
      <c r="K18" s="65">
        <f>TOTAL_1!R19/TOTAL_2!$C18*1000</f>
        <v>-30.902322157071758</v>
      </c>
      <c r="L18" s="69">
        <f>TOTAL_1!S19/TOTAL_2!$C18*1000</f>
        <v>-29.263183869290945</v>
      </c>
    </row>
    <row r="19" spans="2:19" ht="15" customHeight="1" x14ac:dyDescent="0.25">
      <c r="B19" s="53" t="str">
        <f>DFIE!B60</f>
        <v>Appenzell A.Rh.</v>
      </c>
      <c r="C19" s="62">
        <v>55337.5</v>
      </c>
      <c r="D19" s="25">
        <f>TOTAL_1!C20</f>
        <v>85.234585750588096</v>
      </c>
      <c r="E19" s="57">
        <f>TOTAL_1!G20/$C19*1000</f>
        <v>-487.10895866275126</v>
      </c>
      <c r="F19" s="58">
        <f>TOTAL_1!J20/TOTAL_2!$C19*1000</f>
        <v>-374.8042466681726</v>
      </c>
      <c r="G19" s="59">
        <f>TOTAL_1!K20/TOTAL_2!$C19*1000</f>
        <v>0</v>
      </c>
      <c r="H19" s="59">
        <f>TOTAL_1!L20/TOTAL_2!$C19*1000</f>
        <v>0</v>
      </c>
      <c r="I19" s="60">
        <f t="shared" si="0"/>
        <v>-374.8042466681726</v>
      </c>
      <c r="J19" s="57">
        <f>TOTAL_1!Q20/TOTAL_2!$C19*1000</f>
        <v>9.3497718545290276</v>
      </c>
      <c r="K19" s="57">
        <f>TOTAL_1!R20/TOTAL_2!$C19*1000</f>
        <v>-30.902335667494917</v>
      </c>
      <c r="L19" s="61">
        <f>TOTAL_1!S20/TOTAL_2!$C19*1000</f>
        <v>-883.46576914388982</v>
      </c>
    </row>
    <row r="20" spans="2:19" ht="15" customHeight="1" x14ac:dyDescent="0.25">
      <c r="B20" s="63" t="str">
        <f>DFIE!B61</f>
        <v>Appenzell I.Rh.</v>
      </c>
      <c r="C20" s="64">
        <v>16184.333333333299</v>
      </c>
      <c r="D20" s="46">
        <f>TOTAL_1!C21</f>
        <v>101.171692404937</v>
      </c>
      <c r="E20" s="65">
        <f>TOTAL_1!G21/$C20*1000</f>
        <v>20.350730129961114</v>
      </c>
      <c r="F20" s="66">
        <f>TOTAL_1!J21/TOTAL_2!$C20*1000</f>
        <v>-565.37979115605742</v>
      </c>
      <c r="G20" s="67">
        <f>TOTAL_1!K21/TOTAL_2!$C20*1000</f>
        <v>0</v>
      </c>
      <c r="H20" s="67">
        <f>TOTAL_1!L21/TOTAL_2!$C20*1000</f>
        <v>0</v>
      </c>
      <c r="I20" s="68">
        <f t="shared" si="0"/>
        <v>-565.37979115605742</v>
      </c>
      <c r="J20" s="65">
        <f>TOTAL_1!Q21/TOTAL_2!$C20*1000</f>
        <v>8.7618684736267767</v>
      </c>
      <c r="K20" s="65">
        <f>TOTAL_1!R21/TOTAL_2!$C20*1000</f>
        <v>0</v>
      </c>
      <c r="L20" s="69">
        <f>TOTAL_1!S21/TOTAL_2!$C20*1000</f>
        <v>-536.26719255246962</v>
      </c>
    </row>
    <row r="21" spans="2:19" ht="15" customHeight="1" x14ac:dyDescent="0.25">
      <c r="B21" s="53" t="str">
        <f>DFIE!B62</f>
        <v>St. Gallen</v>
      </c>
      <c r="C21" s="62">
        <v>509306.5</v>
      </c>
      <c r="D21" s="25">
        <f>TOTAL_1!C22</f>
        <v>83.643027760260097</v>
      </c>
      <c r="E21" s="57">
        <f>TOTAL_1!G22/$C21*1000</f>
        <v>-575.93621915290692</v>
      </c>
      <c r="F21" s="58">
        <f>TOTAL_1!J22/TOTAL_2!$C21*1000</f>
        <v>-3.666281502395905</v>
      </c>
      <c r="G21" s="59">
        <f>TOTAL_1!K22/TOTAL_2!$C21*1000</f>
        <v>0</v>
      </c>
      <c r="H21" s="59">
        <f>TOTAL_1!L22/TOTAL_2!$C21*1000</f>
        <v>0</v>
      </c>
      <c r="I21" s="60">
        <f t="shared" si="0"/>
        <v>-3.666281502395905</v>
      </c>
      <c r="J21" s="57">
        <f>TOTAL_1!Q22/TOTAL_2!$C21*1000</f>
        <v>8.5320352282957312</v>
      </c>
      <c r="K21" s="57">
        <f>TOTAL_1!R22/TOTAL_2!$C21*1000</f>
        <v>-30.902328951230739</v>
      </c>
      <c r="L21" s="61">
        <f>TOTAL_1!S22/TOTAL_2!$C21*1000</f>
        <v>-601.97279437823795</v>
      </c>
    </row>
    <row r="22" spans="2:19" ht="15" customHeight="1" x14ac:dyDescent="0.25">
      <c r="B22" s="63" t="str">
        <f>DFIE!B63</f>
        <v>Graubünden</v>
      </c>
      <c r="C22" s="64">
        <v>205541.66666666701</v>
      </c>
      <c r="D22" s="46">
        <f>TOTAL_1!C23</f>
        <v>83.186721975797994</v>
      </c>
      <c r="E22" s="65">
        <f>TOTAL_1!G23/$C22*1000</f>
        <v>-602.45981269004562</v>
      </c>
      <c r="F22" s="66">
        <f>TOTAL_1!J23/TOTAL_2!$C22*1000</f>
        <v>-683.90882627204428</v>
      </c>
      <c r="G22" s="67">
        <f>TOTAL_1!K23/TOTAL_2!$C22*1000</f>
        <v>0</v>
      </c>
      <c r="H22" s="67">
        <f>TOTAL_1!L23/TOTAL_2!$C22*1000</f>
        <v>0</v>
      </c>
      <c r="I22" s="68">
        <f t="shared" si="0"/>
        <v>-683.90882627204428</v>
      </c>
      <c r="J22" s="65">
        <f>TOTAL_1!Q23/TOTAL_2!$C22*1000</f>
        <v>8.8908153253598066</v>
      </c>
      <c r="K22" s="65">
        <f>TOTAL_1!R23/TOTAL_2!$C22*1000</f>
        <v>-30.902327995134755</v>
      </c>
      <c r="L22" s="69">
        <f>TOTAL_1!S23/TOTAL_2!$C22*1000</f>
        <v>-1308.3801516318647</v>
      </c>
    </row>
    <row r="23" spans="2:19" ht="15" customHeight="1" x14ac:dyDescent="0.25">
      <c r="B23" s="53" t="str">
        <f>DFIE!B64</f>
        <v>Aargau</v>
      </c>
      <c r="C23" s="62">
        <v>679360.5</v>
      </c>
      <c r="D23" s="25">
        <f>TOTAL_1!C24</f>
        <v>81.0690938373846</v>
      </c>
      <c r="E23" s="57">
        <f>TOTAL_1!G24/$C23*1000</f>
        <v>-731.52961645547543</v>
      </c>
      <c r="F23" s="58">
        <f>TOTAL_1!J24/TOTAL_2!$C23*1000</f>
        <v>0</v>
      </c>
      <c r="G23" s="59">
        <f>TOTAL_1!K24/TOTAL_2!$C23*1000</f>
        <v>0</v>
      </c>
      <c r="H23" s="59">
        <f>TOTAL_1!L24/TOTAL_2!$C23*1000</f>
        <v>0</v>
      </c>
      <c r="I23" s="60">
        <f t="shared" si="0"/>
        <v>0</v>
      </c>
      <c r="J23" s="57">
        <f>TOTAL_1!Q24/TOTAL_2!$C23*1000</f>
        <v>7.7111401089701275</v>
      </c>
      <c r="K23" s="57">
        <f>TOTAL_1!R24/TOTAL_2!$C23*1000</f>
        <v>-30.902327998168868</v>
      </c>
      <c r="L23" s="61">
        <f>TOTAL_1!S24/TOTAL_2!$C23*1000</f>
        <v>-754.72080434467409</v>
      </c>
    </row>
    <row r="24" spans="2:19" ht="15" customHeight="1" x14ac:dyDescent="0.25">
      <c r="B24" s="63" t="str">
        <f>DFIE!B65</f>
        <v>Thurgau</v>
      </c>
      <c r="C24" s="64">
        <v>276932</v>
      </c>
      <c r="D24" s="46">
        <f>TOTAL_1!C25</f>
        <v>80.119280048822105</v>
      </c>
      <c r="E24" s="65">
        <f>TOTAL_1!G25/$C24*1000</f>
        <v>-792.54176837635225</v>
      </c>
      <c r="F24" s="66">
        <f>TOTAL_1!J25/TOTAL_2!$C24*1000</f>
        <v>-11.900455707538313</v>
      </c>
      <c r="G24" s="67">
        <f>TOTAL_1!K25/TOTAL_2!$C24*1000</f>
        <v>0</v>
      </c>
      <c r="H24" s="67">
        <f>TOTAL_1!L25/TOTAL_2!$C24*1000</f>
        <v>0</v>
      </c>
      <c r="I24" s="68">
        <f t="shared" si="0"/>
        <v>-11.900455707538313</v>
      </c>
      <c r="J24" s="65">
        <f>TOTAL_1!Q25/TOTAL_2!$C24*1000</f>
        <v>7.9590188205046726</v>
      </c>
      <c r="K24" s="65">
        <f>TOTAL_1!R25/TOTAL_2!$C24*1000</f>
        <v>-30.902329813817108</v>
      </c>
      <c r="L24" s="69">
        <f>TOTAL_1!S25/TOTAL_2!$C24*1000</f>
        <v>-827.38553507720314</v>
      </c>
    </row>
    <row r="25" spans="2:19" ht="15" customHeight="1" x14ac:dyDescent="0.25">
      <c r="B25" s="53" t="str">
        <f>DFIE!B66</f>
        <v>Tessin</v>
      </c>
      <c r="C25" s="62">
        <v>356063.33333333302</v>
      </c>
      <c r="D25" s="25">
        <f>TOTAL_1!C26</f>
        <v>93.433435518025803</v>
      </c>
      <c r="E25" s="57">
        <f>TOTAL_1!G26/$C25*1000</f>
        <v>-129.35332759153346</v>
      </c>
      <c r="F25" s="58">
        <f>TOTAL_1!J26/TOTAL_2!$C25*1000</f>
        <v>-42.242176017375222</v>
      </c>
      <c r="G25" s="59">
        <f>TOTAL_1!K26/TOTAL_2!$C25*1000</f>
        <v>-1.078075061552721</v>
      </c>
      <c r="H25" s="59">
        <f>TOTAL_1!L26/TOTAL_2!$C25*1000</f>
        <v>0</v>
      </c>
      <c r="I25" s="60">
        <f t="shared" si="0"/>
        <v>-43.320251078927946</v>
      </c>
      <c r="J25" s="57">
        <f>TOTAL_1!Q26/TOTAL_2!$C25*1000</f>
        <v>8.3554180436064804</v>
      </c>
      <c r="K25" s="57">
        <f>TOTAL_1!R26/TOTAL_2!$C25*1000</f>
        <v>-30.902328237485868</v>
      </c>
      <c r="L25" s="61">
        <f>TOTAL_1!S26/TOTAL_2!$C25*1000</f>
        <v>-195.22048886434075</v>
      </c>
    </row>
    <row r="26" spans="2:19" ht="15" customHeight="1" x14ac:dyDescent="0.25">
      <c r="B26" s="63" t="str">
        <f>DFIE!B67</f>
        <v>Waadt</v>
      </c>
      <c r="C26" s="64">
        <v>804974.83333333302</v>
      </c>
      <c r="D26" s="46">
        <f>TOTAL_1!C27</f>
        <v>98.955644021175104</v>
      </c>
      <c r="E26" s="65">
        <f>TOTAL_1!G27/$C26*1000</f>
        <v>-6.3849598610639822</v>
      </c>
      <c r="F26" s="66">
        <f>TOTAL_1!J27/TOTAL_2!$C26*1000</f>
        <v>-0.17659682528377188</v>
      </c>
      <c r="G26" s="67">
        <f>TOTAL_1!K27/TOTAL_2!$C26*1000</f>
        <v>-148.35358952215697</v>
      </c>
      <c r="H26" s="67">
        <f>TOTAL_1!L27/TOTAL_2!$C26*1000</f>
        <v>-6.2353837563037713</v>
      </c>
      <c r="I26" s="68">
        <f t="shared" si="0"/>
        <v>-154.76557010374452</v>
      </c>
      <c r="J26" s="65">
        <f>TOTAL_1!Q27/TOTAL_2!$C26*1000</f>
        <v>7.5624413930953143</v>
      </c>
      <c r="K26" s="65">
        <f>TOTAL_1!R27/TOTAL_2!$C26*1000</f>
        <v>0</v>
      </c>
      <c r="L26" s="69">
        <f>TOTAL_1!S27/TOTAL_2!$C26*1000</f>
        <v>-153.5880885717132</v>
      </c>
    </row>
    <row r="27" spans="2:19" ht="15" customHeight="1" x14ac:dyDescent="0.25">
      <c r="B27" s="53" t="str">
        <f>DFIE!B68</f>
        <v>Wallis</v>
      </c>
      <c r="C27" s="62">
        <v>350426.33333333302</v>
      </c>
      <c r="D27" s="25">
        <f>TOTAL_1!C28</f>
        <v>63.775524412777699</v>
      </c>
      <c r="E27" s="57">
        <f>TOTAL_1!G28/$C27*1000</f>
        <v>-2140.0923066093792</v>
      </c>
      <c r="F27" s="58">
        <f>TOTAL_1!J28/TOTAL_2!$C27*1000</f>
        <v>-217.17833895664253</v>
      </c>
      <c r="G27" s="59">
        <f>TOTAL_1!K28/TOTAL_2!$C27*1000</f>
        <v>-27.599598203711885</v>
      </c>
      <c r="H27" s="59">
        <f>TOTAL_1!L28/TOTAL_2!$C27*1000</f>
        <v>0</v>
      </c>
      <c r="I27" s="60">
        <f t="shared" si="0"/>
        <v>-244.77793716035441</v>
      </c>
      <c r="J27" s="57">
        <f>TOTAL_1!Q28/TOTAL_2!$C27*1000</f>
        <v>7.550425719528314</v>
      </c>
      <c r="K27" s="57">
        <f>TOTAL_1!R28/TOTAL_2!$C27*1000</f>
        <v>-30.902329448224524</v>
      </c>
      <c r="L27" s="61">
        <f>TOTAL_1!S28/TOTAL_2!$C27*1000</f>
        <v>-2408.2221474984303</v>
      </c>
    </row>
    <row r="28" spans="2:19" ht="15" customHeight="1" x14ac:dyDescent="0.25">
      <c r="B28" s="63" t="str">
        <f>DFIE!B69</f>
        <v>Neuenburg</v>
      </c>
      <c r="C28" s="64">
        <v>178639.33333333299</v>
      </c>
      <c r="D28" s="46">
        <f>TOTAL_1!C29</f>
        <v>77.461536027083199</v>
      </c>
      <c r="E28" s="65">
        <f>TOTAL_1!G29/$C28*1000</f>
        <v>-973.17562574871715</v>
      </c>
      <c r="F28" s="66">
        <f>TOTAL_1!J29/TOTAL_2!$C28*1000</f>
        <v>-128.71988251934087</v>
      </c>
      <c r="G28" s="67">
        <f>TOTAL_1!K29/TOTAL_2!$C28*1000</f>
        <v>-75.656104105478974</v>
      </c>
      <c r="H28" s="67">
        <f>TOTAL_1!L29/TOTAL_2!$C28*1000</f>
        <v>0</v>
      </c>
      <c r="I28" s="68">
        <f t="shared" si="0"/>
        <v>-204.37598662481986</v>
      </c>
      <c r="J28" s="65">
        <f>TOTAL_1!Q29/TOTAL_2!$C28*1000</f>
        <v>-356.49956150008086</v>
      </c>
      <c r="K28" s="65">
        <f>TOTAL_1!R29/TOTAL_2!$C28*1000</f>
        <v>-30.902326475319047</v>
      </c>
      <c r="L28" s="69">
        <f>TOTAL_1!S29/TOTAL_2!$C28*1000</f>
        <v>-1564.953500348937</v>
      </c>
    </row>
    <row r="29" spans="2:19" ht="15" customHeight="1" x14ac:dyDescent="0.25">
      <c r="B29" s="53" t="str">
        <f>DFIE!B70</f>
        <v>Genf</v>
      </c>
      <c r="C29" s="62">
        <v>500784.33333333302</v>
      </c>
      <c r="D29" s="25">
        <f>TOTAL_1!C30</f>
        <v>137.43663794487699</v>
      </c>
      <c r="E29" s="57">
        <f>TOTAL_1!G30/$C29*1000</f>
        <v>650.22333033581356</v>
      </c>
      <c r="F29" s="58">
        <f>TOTAL_1!J30/TOTAL_2!$C29*1000</f>
        <v>0</v>
      </c>
      <c r="G29" s="59">
        <f>TOTAL_1!K30/TOTAL_2!$C29*1000</f>
        <v>-223.24222735934913</v>
      </c>
      <c r="H29" s="59">
        <f>TOTAL_1!L30/TOTAL_2!$C29*1000</f>
        <v>-90.454183537424342</v>
      </c>
      <c r="I29" s="60">
        <f t="shared" si="0"/>
        <v>-313.6964108967735</v>
      </c>
      <c r="J29" s="57">
        <f>TOTAL_1!Q30/TOTAL_2!$C29*1000</f>
        <v>7.8998317971874839</v>
      </c>
      <c r="K29" s="57">
        <f>TOTAL_1!R30/TOTAL_2!$C29*1000</f>
        <v>0</v>
      </c>
      <c r="L29" s="61">
        <f>TOTAL_1!S30/TOTAL_2!$C29*1000</f>
        <v>344.42675123622763</v>
      </c>
    </row>
    <row r="30" spans="2:19" ht="15" customHeight="1" x14ac:dyDescent="0.25">
      <c r="B30" s="70" t="str">
        <f>DFIE!B71</f>
        <v>Jura</v>
      </c>
      <c r="C30" s="71">
        <v>73589.166666666701</v>
      </c>
      <c r="D30" s="72">
        <f>TOTAL_1!C31</f>
        <v>66.737089904698905</v>
      </c>
      <c r="E30" s="74">
        <f>TOTAL_1!G31/$C30*1000</f>
        <v>-1861.1849570249235</v>
      </c>
      <c r="F30" s="75">
        <f>TOTAL_1!J31/TOTAL_2!$C30*1000</f>
        <v>-62.958275108428509</v>
      </c>
      <c r="G30" s="76">
        <f>TOTAL_1!K31/TOTAL_2!$C30*1000</f>
        <v>0</v>
      </c>
      <c r="H30" s="76">
        <f>TOTAL_1!L31/TOTAL_2!$C30*1000</f>
        <v>0</v>
      </c>
      <c r="I30" s="77">
        <f t="shared" si="0"/>
        <v>-62.958275108428509</v>
      </c>
      <c r="J30" s="74">
        <f>TOTAL_1!Q31/TOTAL_2!$C30*1000</f>
        <v>-149.1829232110704</v>
      </c>
      <c r="K30" s="74">
        <f>TOTAL_1!R31/TOTAL_2!$C30*1000</f>
        <v>-30.902333903314563</v>
      </c>
      <c r="L30" s="78">
        <f>TOTAL_1!S31/TOTAL_2!$C30*1000</f>
        <v>-2104.2284892477364</v>
      </c>
    </row>
    <row r="31" spans="2:19" ht="40.5" customHeight="1" x14ac:dyDescent="0.25">
      <c r="B31" s="120" t="str">
        <f>DFIE!$B$85</f>
        <v>RI = Ressourcenindex; GLA = Geografisch-topografischer Lastenausgleich; 
SLA = Soziodemografischer Lastenausgleich; A-C = Bereiche Armut, Alter, Ausländerintegration; F = Kernstadtproblematik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8"/>
      <c r="N31" s="18"/>
      <c r="O31" s="18"/>
      <c r="P31" s="18"/>
      <c r="Q31" s="18"/>
      <c r="R31" s="18"/>
      <c r="S31" s="18"/>
    </row>
  </sheetData>
  <mergeCells count="9">
    <mergeCell ref="B1:L1"/>
    <mergeCell ref="B31:L31"/>
    <mergeCell ref="E3:E4"/>
    <mergeCell ref="C3:C4"/>
    <mergeCell ref="L3:L4"/>
    <mergeCell ref="J3:J4"/>
    <mergeCell ref="F3:I3"/>
    <mergeCell ref="D3:D4"/>
    <mergeCell ref="K3:K4"/>
  </mergeCells>
  <conditionalFormatting sqref="C5:C30">
    <cfRule type="expression" dxfId="0" priority="1" stopIfTrue="1">
      <formula>ISBLANK(C5)</formula>
    </cfRule>
  </conditionalFormatting>
  <pageMargins left="0.78740157480314965" right="0.78740157480314965" top="0.98425196850393704" bottom="0.59055118110236227" header="0.51181102362204722" footer="0.51181102362204722"/>
  <pageSetup paperSize="9" scale="9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G4" sqref="G4"/>
    </sheetView>
  </sheetViews>
  <sheetFormatPr baseColWidth="10" defaultColWidth="8.88671875" defaultRowHeight="12.7" x14ac:dyDescent="0.25"/>
  <cols>
    <col min="1" max="1" width="2.6640625" customWidth="1"/>
    <col min="2" max="2" width="57.5546875" customWidth="1"/>
    <col min="3" max="3" width="6.6640625" customWidth="1"/>
    <col min="4" max="7" width="18.6640625" customWidth="1"/>
  </cols>
  <sheetData>
    <row r="1" spans="1:10" ht="12.85" customHeight="1" x14ac:dyDescent="0.25">
      <c r="B1" s="93" t="s">
        <v>73</v>
      </c>
      <c r="D1" s="84" t="s">
        <v>112</v>
      </c>
      <c r="G1" s="84" t="s">
        <v>70</v>
      </c>
    </row>
    <row r="2" spans="1:10" ht="12.85" customHeight="1" x14ac:dyDescent="0.25">
      <c r="B2" s="93" t="s">
        <v>127</v>
      </c>
      <c r="D2" s="86" t="s">
        <v>108</v>
      </c>
      <c r="E2" s="83"/>
      <c r="G2" s="92">
        <f>INTRO!D53</f>
        <v>2023</v>
      </c>
    </row>
    <row r="3" spans="1:10" ht="12.85" customHeight="1" x14ac:dyDescent="0.25">
      <c r="B3" s="93"/>
      <c r="D3" s="89" t="s">
        <v>109</v>
      </c>
      <c r="E3" s="83"/>
    </row>
    <row r="4" spans="1:10" ht="11.95" customHeight="1" x14ac:dyDescent="0.25">
      <c r="A4" s="4"/>
      <c r="B4" s="94" t="s">
        <v>124</v>
      </c>
      <c r="C4" s="83"/>
      <c r="D4" s="89" t="s">
        <v>110</v>
      </c>
      <c r="E4" s="83"/>
      <c r="F4" s="4"/>
      <c r="H4" s="4"/>
      <c r="J4" s="4"/>
    </row>
    <row r="5" spans="1:10" ht="11.95" customHeight="1" x14ac:dyDescent="0.25">
      <c r="B5" s="94" t="s">
        <v>125</v>
      </c>
      <c r="D5" s="91" t="s">
        <v>111</v>
      </c>
      <c r="E5" s="83"/>
    </row>
    <row r="6" spans="1:10" ht="12.85" customHeight="1" x14ac:dyDescent="0.25">
      <c r="B6" s="93"/>
      <c r="D6" s="88">
        <v>1</v>
      </c>
      <c r="E6" s="83"/>
    </row>
    <row r="7" spans="1:10" x14ac:dyDescent="0.25">
      <c r="B7" s="95"/>
      <c r="D7" s="85"/>
      <c r="E7" s="85"/>
    </row>
    <row r="8" spans="1:10" x14ac:dyDescent="0.25">
      <c r="B8" s="87">
        <f>ROW()</f>
        <v>8</v>
      </c>
      <c r="C8" s="83" t="s">
        <v>123</v>
      </c>
      <c r="D8" s="88">
        <v>1</v>
      </c>
      <c r="E8" s="88">
        <v>2</v>
      </c>
      <c r="F8" s="88">
        <v>3</v>
      </c>
      <c r="G8" s="88">
        <v>4</v>
      </c>
      <c r="H8" s="4" t="s">
        <v>123</v>
      </c>
    </row>
    <row r="9" spans="1:10" x14ac:dyDescent="0.25">
      <c r="A9" s="82"/>
      <c r="B9" s="90" t="str">
        <f>HLOOKUP($D$6,D8:G9,2,FALSE)</f>
        <v>Deutsch</v>
      </c>
      <c r="C9" s="83" t="s">
        <v>123</v>
      </c>
      <c r="D9" s="84" t="s">
        <v>108</v>
      </c>
      <c r="E9" s="84" t="s">
        <v>109</v>
      </c>
      <c r="F9" s="84" t="s">
        <v>110</v>
      </c>
      <c r="G9" s="84" t="s">
        <v>111</v>
      </c>
      <c r="H9" s="4" t="s">
        <v>123</v>
      </c>
    </row>
    <row r="10" spans="1:10" x14ac:dyDescent="0.25">
      <c r="B10" s="96" t="str">
        <f t="shared" ref="B10:B45" si="0">HLOOKUP($B$9,$D$9:$G$85,ROW()-$B$8,FALSE)</f>
        <v>Eidgenössisches Finanzdepartement EFD</v>
      </c>
      <c r="C10" s="83" t="s">
        <v>123</v>
      </c>
      <c r="D10" s="4" t="s">
        <v>115</v>
      </c>
      <c r="E10" s="4" t="s">
        <v>117</v>
      </c>
      <c r="F10" s="4" t="s">
        <v>154</v>
      </c>
      <c r="G10" s="4" t="s">
        <v>128</v>
      </c>
      <c r="H10" s="4" t="s">
        <v>123</v>
      </c>
    </row>
    <row r="11" spans="1:10" x14ac:dyDescent="0.25">
      <c r="B11" s="79" t="str">
        <f t="shared" si="0"/>
        <v>Eidgenössische Finanzverwaltung EFV</v>
      </c>
      <c r="C11" s="83" t="s">
        <v>123</v>
      </c>
      <c r="D11" s="4" t="s">
        <v>116</v>
      </c>
      <c r="E11" s="4" t="s">
        <v>118</v>
      </c>
      <c r="F11" s="4" t="s">
        <v>155</v>
      </c>
      <c r="G11" s="4" t="s">
        <v>146</v>
      </c>
      <c r="H11" s="4" t="s">
        <v>123</v>
      </c>
    </row>
    <row r="12" spans="1:10" x14ac:dyDescent="0.25">
      <c r="B12" s="79" t="str">
        <f t="shared" si="0"/>
        <v>Finanzausgleich zwischen Bund und Kantonen</v>
      </c>
      <c r="C12" s="83" t="s">
        <v>123</v>
      </c>
      <c r="D12" s="4" t="s">
        <v>113</v>
      </c>
      <c r="E12" s="4" t="s">
        <v>114</v>
      </c>
      <c r="F12" s="4" t="s">
        <v>156</v>
      </c>
      <c r="G12" s="4" t="s">
        <v>147</v>
      </c>
      <c r="H12" s="4" t="s">
        <v>123</v>
      </c>
    </row>
    <row r="13" spans="1:10" x14ac:dyDescent="0.25">
      <c r="B13" s="79" t="str">
        <f t="shared" si="0"/>
        <v>Zahlungen 2023</v>
      </c>
      <c r="C13" s="83" t="s">
        <v>123</v>
      </c>
      <c r="D13" s="4" t="str">
        <f>"Zahlungen " &amp; $G$2</f>
        <v>Zahlungen 2023</v>
      </c>
      <c r="E13" s="4" t="str">
        <f>"Paiements " &amp; $G$2</f>
        <v>Paiements 2023</v>
      </c>
      <c r="F13" s="4" t="str">
        <f>"Pagamenti " &amp; $G$2</f>
        <v>Pagamenti 2023</v>
      </c>
      <c r="G13" s="4" t="str">
        <f>"Payments "&amp;$G$2</f>
        <v>Payments 2023</v>
      </c>
      <c r="H13" s="4" t="s">
        <v>123</v>
      </c>
    </row>
    <row r="14" spans="1:10" x14ac:dyDescent="0.25">
      <c r="B14" s="79" t="str">
        <f t="shared" si="0"/>
        <v>Zahlungen in 1000 CHF</v>
      </c>
      <c r="C14" s="83" t="s">
        <v>123</v>
      </c>
      <c r="D14" s="4" t="s">
        <v>121</v>
      </c>
      <c r="E14" s="4" t="s">
        <v>151</v>
      </c>
      <c r="F14" s="4" t="s">
        <v>157</v>
      </c>
      <c r="G14" s="4" t="s">
        <v>148</v>
      </c>
      <c r="H14" s="4" t="s">
        <v>123</v>
      </c>
    </row>
    <row r="15" spans="1:10" x14ac:dyDescent="0.25">
      <c r="B15" s="80" t="str">
        <f t="shared" si="0"/>
        <v>Zahlungen in Franken pro Einwohner</v>
      </c>
      <c r="C15" s="83" t="s">
        <v>123</v>
      </c>
      <c r="D15" s="4" t="s">
        <v>122</v>
      </c>
      <c r="E15" s="4" t="s">
        <v>126</v>
      </c>
      <c r="F15" s="4" t="s">
        <v>158</v>
      </c>
      <c r="G15" s="4" t="s">
        <v>130</v>
      </c>
      <c r="H15" s="4" t="s">
        <v>123</v>
      </c>
    </row>
    <row r="16" spans="1:10" x14ac:dyDescent="0.25">
      <c r="B16" s="79" t="str">
        <f t="shared" si="0"/>
        <v>Referenzjahr</v>
      </c>
      <c r="C16" s="83"/>
      <c r="D16" s="4" t="s">
        <v>70</v>
      </c>
      <c r="E16" s="4" t="s">
        <v>223</v>
      </c>
      <c r="F16" s="4" t="s">
        <v>224</v>
      </c>
      <c r="G16" s="4" t="s">
        <v>225</v>
      </c>
    </row>
    <row r="17" spans="2:8" x14ac:dyDescent="0.25">
      <c r="B17" s="79" t="str">
        <f t="shared" si="0"/>
        <v>Berechnungsdatum</v>
      </c>
      <c r="C17" s="83"/>
      <c r="D17" s="4" t="s">
        <v>71</v>
      </c>
      <c r="E17" s="4" t="s">
        <v>226</v>
      </c>
      <c r="F17" s="4" t="s">
        <v>230</v>
      </c>
      <c r="G17" s="4" t="s">
        <v>227</v>
      </c>
    </row>
    <row r="18" spans="2:8" x14ac:dyDescent="0.25">
      <c r="B18" s="80" t="str">
        <f t="shared" si="0"/>
        <v>Berechnungs-ID</v>
      </c>
      <c r="C18" s="83"/>
      <c r="D18" s="4" t="s">
        <v>72</v>
      </c>
      <c r="E18" s="4" t="s">
        <v>228</v>
      </c>
      <c r="F18" s="4" t="s">
        <v>231</v>
      </c>
      <c r="G18" s="4" t="s">
        <v>229</v>
      </c>
    </row>
    <row r="19" spans="2:8" x14ac:dyDescent="0.25">
      <c r="B19" s="79" t="str">
        <f t="shared" si="0"/>
        <v>Zahlungen 2023</v>
      </c>
      <c r="C19" s="83" t="s">
        <v>123</v>
      </c>
      <c r="D19" s="4" t="str">
        <f>"Zahlungen "&amp;$G$2</f>
        <v>Zahlungen 2023</v>
      </c>
      <c r="E19" s="4" t="str">
        <f>"Paiements "&amp;$G$2</f>
        <v>Paiements 2023</v>
      </c>
      <c r="F19" s="4" t="str">
        <f>"Pagamenti "&amp;$G$2</f>
        <v>Pagamenti 2023</v>
      </c>
      <c r="G19" s="4" t="str">
        <f>"Payments "&amp;$G$2</f>
        <v>Payments 2023</v>
      </c>
      <c r="H19" s="4" t="s">
        <v>123</v>
      </c>
    </row>
    <row r="20" spans="2:8" x14ac:dyDescent="0.25">
      <c r="B20" s="79" t="str">
        <f t="shared" si="0"/>
        <v>in CHF 1'000; (+) Belastung Kanton; (-) Entlastung Kanton</v>
      </c>
      <c r="C20" s="83" t="s">
        <v>123</v>
      </c>
      <c r="D20" s="4" t="s">
        <v>0</v>
      </c>
      <c r="E20" s="4" t="s">
        <v>193</v>
      </c>
      <c r="F20" s="4" t="s">
        <v>201</v>
      </c>
      <c r="G20" s="4" t="s">
        <v>129</v>
      </c>
      <c r="H20" s="4" t="s">
        <v>123</v>
      </c>
    </row>
    <row r="21" spans="2:8" x14ac:dyDescent="0.25">
      <c r="B21" s="79" t="str">
        <f t="shared" si="0"/>
        <v>Ressourcenausgleich</v>
      </c>
      <c r="C21" s="83" t="s">
        <v>123</v>
      </c>
      <c r="D21" s="4" t="s">
        <v>64</v>
      </c>
      <c r="E21" s="4" t="s">
        <v>74</v>
      </c>
      <c r="F21" s="4" t="s">
        <v>159</v>
      </c>
      <c r="G21" s="4" t="s">
        <v>131</v>
      </c>
      <c r="H21" s="4" t="s">
        <v>123</v>
      </c>
    </row>
    <row r="22" spans="2:8" x14ac:dyDescent="0.25">
      <c r="B22" s="79" t="str">
        <f t="shared" si="0"/>
        <v>RI 2023</v>
      </c>
      <c r="C22" s="83" t="s">
        <v>123</v>
      </c>
      <c r="D22" s="4" t="str">
        <f>"RI " &amp; $G$2</f>
        <v>RI 2023</v>
      </c>
      <c r="E22" s="4" t="str">
        <f>"IR " &amp; $G$2</f>
        <v>IR 2023</v>
      </c>
      <c r="F22" s="4" t="str">
        <f>"IR " &amp; $G$2</f>
        <v>IR 2023</v>
      </c>
      <c r="G22" s="4" t="str">
        <f>"RI " &amp; $G$2</f>
        <v>RI 2023</v>
      </c>
      <c r="H22" s="4" t="s">
        <v>123</v>
      </c>
    </row>
    <row r="23" spans="2:8" x14ac:dyDescent="0.25">
      <c r="B23" s="79" t="str">
        <f t="shared" si="0"/>
        <v>horizontal</v>
      </c>
      <c r="C23" s="83" t="s">
        <v>123</v>
      </c>
      <c r="D23" s="4" t="s">
        <v>3</v>
      </c>
      <c r="E23" s="4" t="s">
        <v>152</v>
      </c>
      <c r="F23" s="4" t="s">
        <v>160</v>
      </c>
      <c r="G23" s="4" t="s">
        <v>132</v>
      </c>
      <c r="H23" s="4" t="s">
        <v>123</v>
      </c>
    </row>
    <row r="24" spans="2:8" x14ac:dyDescent="0.25">
      <c r="B24" s="79" t="str">
        <f t="shared" si="0"/>
        <v>vertikal</v>
      </c>
      <c r="C24" s="83" t="s">
        <v>123</v>
      </c>
      <c r="D24" s="4" t="s">
        <v>4</v>
      </c>
      <c r="E24" s="4" t="s">
        <v>153</v>
      </c>
      <c r="F24" s="4" t="s">
        <v>161</v>
      </c>
      <c r="G24" s="4" t="s">
        <v>135</v>
      </c>
      <c r="H24" s="4" t="s">
        <v>123</v>
      </c>
    </row>
    <row r="25" spans="2:8" x14ac:dyDescent="0.25">
      <c r="B25" s="79" t="str">
        <f t="shared" si="0"/>
        <v>Total</v>
      </c>
      <c r="C25" s="83" t="s">
        <v>123</v>
      </c>
      <c r="D25" s="4" t="s">
        <v>5</v>
      </c>
      <c r="E25" s="4" t="s">
        <v>5</v>
      </c>
      <c r="F25" s="4" t="s">
        <v>162</v>
      </c>
      <c r="G25" s="4" t="s">
        <v>5</v>
      </c>
      <c r="H25" s="4" t="s">
        <v>123</v>
      </c>
    </row>
    <row r="26" spans="2:8" x14ac:dyDescent="0.25">
      <c r="B26" s="79" t="str">
        <f t="shared" si="0"/>
        <v>Einzahlung</v>
      </c>
      <c r="C26" s="83" t="s">
        <v>123</v>
      </c>
      <c r="D26" s="4" t="s">
        <v>9</v>
      </c>
      <c r="E26" s="4" t="s">
        <v>203</v>
      </c>
      <c r="F26" s="4" t="s">
        <v>163</v>
      </c>
      <c r="G26" s="4" t="s">
        <v>133</v>
      </c>
      <c r="H26" s="4" t="s">
        <v>123</v>
      </c>
    </row>
    <row r="27" spans="2:8" x14ac:dyDescent="0.25">
      <c r="B27" s="79" t="str">
        <f t="shared" si="0"/>
        <v>Auszahlung</v>
      </c>
      <c r="C27" s="83" t="s">
        <v>123</v>
      </c>
      <c r="D27" s="4" t="s">
        <v>10</v>
      </c>
      <c r="E27" s="4" t="s">
        <v>204</v>
      </c>
      <c r="F27" s="4" t="s">
        <v>164</v>
      </c>
      <c r="G27" s="4" t="s">
        <v>134</v>
      </c>
      <c r="H27" s="4" t="s">
        <v>123</v>
      </c>
    </row>
    <row r="28" spans="2:8" x14ac:dyDescent="0.25">
      <c r="B28" s="79" t="str">
        <f t="shared" si="0"/>
        <v>Auszahlung</v>
      </c>
      <c r="C28" s="83" t="s">
        <v>123</v>
      </c>
      <c r="D28" s="4" t="s">
        <v>10</v>
      </c>
      <c r="E28" s="4" t="s">
        <v>204</v>
      </c>
      <c r="F28" s="4" t="s">
        <v>164</v>
      </c>
      <c r="G28" s="4" t="s">
        <v>134</v>
      </c>
      <c r="H28" s="4" t="s">
        <v>123</v>
      </c>
    </row>
    <row r="29" spans="2:8" x14ac:dyDescent="0.25">
      <c r="B29" s="79" t="str">
        <f t="shared" si="0"/>
        <v>Einz. - Ausz.</v>
      </c>
      <c r="C29" s="83" t="s">
        <v>123</v>
      </c>
      <c r="D29" s="4" t="s">
        <v>196</v>
      </c>
      <c r="E29" s="4" t="s">
        <v>205</v>
      </c>
      <c r="F29" s="4" t="s">
        <v>211</v>
      </c>
      <c r="G29" s="4" t="s">
        <v>217</v>
      </c>
      <c r="H29" s="4" t="s">
        <v>123</v>
      </c>
    </row>
    <row r="30" spans="2:8" x14ac:dyDescent="0.25">
      <c r="B30" s="79" t="str">
        <f t="shared" si="0"/>
        <v>Auszahlung</v>
      </c>
      <c r="C30" s="83" t="s">
        <v>123</v>
      </c>
      <c r="D30" s="4" t="s">
        <v>10</v>
      </c>
      <c r="E30" s="4" t="s">
        <v>206</v>
      </c>
      <c r="F30" s="4" t="s">
        <v>164</v>
      </c>
      <c r="G30" s="4" t="s">
        <v>134</v>
      </c>
      <c r="H30" s="4" t="s">
        <v>123</v>
      </c>
    </row>
    <row r="31" spans="2:8" ht="11.25" customHeight="1" x14ac:dyDescent="0.25">
      <c r="B31" s="79" t="str">
        <f t="shared" si="0"/>
        <v>Index
SSE
nach
RA</v>
      </c>
      <c r="C31" s="83" t="s">
        <v>123</v>
      </c>
      <c r="D31" s="4" t="s">
        <v>195</v>
      </c>
      <c r="E31" s="4" t="s">
        <v>207</v>
      </c>
      <c r="F31" s="4" t="s">
        <v>212</v>
      </c>
      <c r="G31" s="4" t="s">
        <v>218</v>
      </c>
      <c r="H31" s="4" t="s">
        <v>123</v>
      </c>
    </row>
    <row r="32" spans="2:8" x14ac:dyDescent="0.25">
      <c r="B32" s="79" t="str">
        <f t="shared" si="0"/>
        <v>Lastenausgleich</v>
      </c>
      <c r="C32" s="83" t="s">
        <v>123</v>
      </c>
      <c r="D32" s="4" t="s">
        <v>65</v>
      </c>
      <c r="E32" s="4" t="s">
        <v>75</v>
      </c>
      <c r="F32" s="4" t="s">
        <v>165</v>
      </c>
      <c r="G32" s="4" t="s">
        <v>141</v>
      </c>
      <c r="H32" s="4" t="s">
        <v>123</v>
      </c>
    </row>
    <row r="33" spans="2:8" x14ac:dyDescent="0.25">
      <c r="B33" s="79" t="str">
        <f t="shared" si="0"/>
        <v>GLA</v>
      </c>
      <c r="C33" s="83" t="s">
        <v>123</v>
      </c>
      <c r="D33" s="4" t="s">
        <v>6</v>
      </c>
      <c r="E33" s="4" t="s">
        <v>76</v>
      </c>
      <c r="F33" s="4" t="s">
        <v>166</v>
      </c>
      <c r="G33" s="4" t="s">
        <v>136</v>
      </c>
      <c r="H33" s="4" t="s">
        <v>123</v>
      </c>
    </row>
    <row r="34" spans="2:8" x14ac:dyDescent="0.25">
      <c r="B34" s="79" t="str">
        <f t="shared" si="0"/>
        <v>SLA A-C</v>
      </c>
      <c r="C34" s="83" t="s">
        <v>123</v>
      </c>
      <c r="D34" s="4" t="s">
        <v>7</v>
      </c>
      <c r="E34" s="4" t="s">
        <v>77</v>
      </c>
      <c r="F34" s="4" t="s">
        <v>167</v>
      </c>
      <c r="G34" s="4" t="s">
        <v>137</v>
      </c>
      <c r="H34" s="4" t="s">
        <v>123</v>
      </c>
    </row>
    <row r="35" spans="2:8" x14ac:dyDescent="0.25">
      <c r="B35" s="79" t="str">
        <f t="shared" si="0"/>
        <v>SLA F</v>
      </c>
      <c r="C35" s="83" t="s">
        <v>123</v>
      </c>
      <c r="D35" s="4" t="s">
        <v>8</v>
      </c>
      <c r="E35" s="4" t="s">
        <v>78</v>
      </c>
      <c r="F35" s="4" t="s">
        <v>168</v>
      </c>
      <c r="G35" s="4" t="s">
        <v>138</v>
      </c>
      <c r="H35" s="4" t="s">
        <v>123</v>
      </c>
    </row>
    <row r="36" spans="2:8" x14ac:dyDescent="0.25">
      <c r="B36" s="79" t="str">
        <f t="shared" si="0"/>
        <v>Total</v>
      </c>
      <c r="C36" s="83" t="s">
        <v>123</v>
      </c>
      <c r="D36" s="4" t="s">
        <v>5</v>
      </c>
      <c r="E36" s="4" t="s">
        <v>5</v>
      </c>
      <c r="F36" s="4" t="s">
        <v>162</v>
      </c>
      <c r="G36" s="4" t="s">
        <v>5</v>
      </c>
      <c r="H36" s="4" t="s">
        <v>123</v>
      </c>
    </row>
    <row r="37" spans="2:8" ht="11.25" customHeight="1" x14ac:dyDescent="0.25">
      <c r="B37" s="79" t="str">
        <f t="shared" si="0"/>
        <v>Total
RA + LA</v>
      </c>
      <c r="C37" s="83" t="s">
        <v>123</v>
      </c>
      <c r="D37" s="4" t="s">
        <v>1</v>
      </c>
      <c r="E37" s="4" t="s">
        <v>79</v>
      </c>
      <c r="F37" s="4" t="s">
        <v>238</v>
      </c>
      <c r="G37" s="4" t="s">
        <v>139</v>
      </c>
      <c r="H37" s="4" t="s">
        <v>123</v>
      </c>
    </row>
    <row r="38" spans="2:8" ht="11.25" customHeight="1" x14ac:dyDescent="0.25">
      <c r="B38" s="79" t="str">
        <f t="shared" si="0"/>
        <v>Härteausgleich</v>
      </c>
      <c r="C38" s="83" t="s">
        <v>123</v>
      </c>
      <c r="D38" s="4" t="s">
        <v>2</v>
      </c>
      <c r="E38" s="4" t="s">
        <v>232</v>
      </c>
      <c r="F38" s="4" t="s">
        <v>200</v>
      </c>
      <c r="G38" s="4" t="s">
        <v>140</v>
      </c>
      <c r="H38" s="4" t="s">
        <v>123</v>
      </c>
    </row>
    <row r="39" spans="2:8" x14ac:dyDescent="0.25">
      <c r="B39" s="79" t="str">
        <f t="shared" si="0"/>
        <v>Einzahlung</v>
      </c>
      <c r="C39" s="83" t="s">
        <v>123</v>
      </c>
      <c r="D39" s="4" t="s">
        <v>9</v>
      </c>
      <c r="E39" s="4" t="s">
        <v>203</v>
      </c>
      <c r="F39" s="4" t="s">
        <v>163</v>
      </c>
      <c r="G39" s="4" t="s">
        <v>133</v>
      </c>
      <c r="H39" s="4" t="s">
        <v>123</v>
      </c>
    </row>
    <row r="40" spans="2:8" x14ac:dyDescent="0.25">
      <c r="B40" s="79" t="str">
        <f t="shared" si="0"/>
        <v>Auszahlung</v>
      </c>
      <c r="C40" s="83" t="s">
        <v>123</v>
      </c>
      <c r="D40" s="4" t="s">
        <v>10</v>
      </c>
      <c r="E40" s="4" t="s">
        <v>204</v>
      </c>
      <c r="F40" s="4" t="s">
        <v>164</v>
      </c>
      <c r="G40" s="4" t="s">
        <v>134</v>
      </c>
      <c r="H40" s="4" t="s">
        <v>123</v>
      </c>
    </row>
    <row r="41" spans="2:8" x14ac:dyDescent="0.25">
      <c r="B41" s="79" t="str">
        <f t="shared" si="0"/>
        <v>Total</v>
      </c>
      <c r="C41" s="83" t="s">
        <v>123</v>
      </c>
      <c r="D41" s="4" t="s">
        <v>5</v>
      </c>
      <c r="E41" s="4" t="s">
        <v>5</v>
      </c>
      <c r="F41" s="4" t="s">
        <v>162</v>
      </c>
      <c r="G41" s="4" t="s">
        <v>5</v>
      </c>
      <c r="H41" s="4" t="s">
        <v>123</v>
      </c>
    </row>
    <row r="42" spans="2:8" ht="11.25" customHeight="1" x14ac:dyDescent="0.25">
      <c r="B42" s="79" t="str">
        <f t="shared" si="0"/>
        <v>Abfede-
rungs-
mass-
nahmen</v>
      </c>
      <c r="C42" s="83" t="s">
        <v>123</v>
      </c>
      <c r="D42" s="4" t="s">
        <v>233</v>
      </c>
      <c r="E42" s="4" t="s">
        <v>234</v>
      </c>
      <c r="F42" s="81" t="s">
        <v>242</v>
      </c>
      <c r="G42" s="4" t="s">
        <v>237</v>
      </c>
      <c r="H42" s="4" t="s">
        <v>123</v>
      </c>
    </row>
    <row r="43" spans="2:8" x14ac:dyDescent="0.25">
      <c r="B43" s="79" t="str">
        <f t="shared" si="0"/>
        <v>Total</v>
      </c>
      <c r="C43" s="83" t="s">
        <v>123</v>
      </c>
      <c r="D43" s="4" t="s">
        <v>5</v>
      </c>
      <c r="E43" s="4" t="s">
        <v>5</v>
      </c>
      <c r="F43" s="4" t="s">
        <v>162</v>
      </c>
      <c r="G43" s="4" t="s">
        <v>5</v>
      </c>
      <c r="H43" s="4" t="s">
        <v>123</v>
      </c>
    </row>
    <row r="44" spans="2:8" x14ac:dyDescent="0.25">
      <c r="B44" s="79" t="str">
        <f t="shared" si="0"/>
        <v>Schweiz</v>
      </c>
      <c r="C44" s="83" t="s">
        <v>123</v>
      </c>
      <c r="D44" s="4" t="s">
        <v>69</v>
      </c>
      <c r="E44" s="4" t="s">
        <v>80</v>
      </c>
      <c r="F44" s="4" t="s">
        <v>169</v>
      </c>
      <c r="G44" s="4" t="s">
        <v>142</v>
      </c>
      <c r="H44" s="4" t="s">
        <v>123</v>
      </c>
    </row>
    <row r="45" spans="2:8" x14ac:dyDescent="0.25">
      <c r="B45" s="80" t="str">
        <f t="shared" si="0"/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45" s="83" t="s">
        <v>123</v>
      </c>
      <c r="D45" s="4" t="s">
        <v>66</v>
      </c>
      <c r="E45" s="4" t="s">
        <v>240</v>
      </c>
      <c r="F45" s="4" t="s">
        <v>170</v>
      </c>
      <c r="G45" s="4" t="s">
        <v>241</v>
      </c>
      <c r="H45" s="4" t="s">
        <v>123</v>
      </c>
    </row>
    <row r="46" spans="2:8" x14ac:dyDescent="0.25">
      <c r="B46" s="79" t="str">
        <f t="shared" ref="B46:B77" si="1">HLOOKUP($B$9,$D$9:$G$85,ROW()-$B$8,FALSE)</f>
        <v>Zürich</v>
      </c>
      <c r="C46" s="83" t="s">
        <v>123</v>
      </c>
      <c r="D46" s="4" t="s">
        <v>38</v>
      </c>
      <c r="E46" s="4" t="s">
        <v>81</v>
      </c>
      <c r="F46" s="4" t="s">
        <v>171</v>
      </c>
      <c r="G46" s="4" t="s">
        <v>81</v>
      </c>
      <c r="H46" s="4" t="s">
        <v>123</v>
      </c>
    </row>
    <row r="47" spans="2:8" x14ac:dyDescent="0.25">
      <c r="B47" s="79" t="str">
        <f t="shared" si="1"/>
        <v>Bern</v>
      </c>
      <c r="C47" s="83" t="s">
        <v>123</v>
      </c>
      <c r="D47" s="4" t="s">
        <v>39</v>
      </c>
      <c r="E47" s="4" t="s">
        <v>82</v>
      </c>
      <c r="F47" s="4" t="s">
        <v>172</v>
      </c>
      <c r="G47" s="4" t="s">
        <v>39</v>
      </c>
      <c r="H47" s="4" t="s">
        <v>123</v>
      </c>
    </row>
    <row r="48" spans="2:8" x14ac:dyDescent="0.25">
      <c r="B48" s="79" t="str">
        <f t="shared" si="1"/>
        <v>Luzern</v>
      </c>
      <c r="C48" s="83" t="s">
        <v>123</v>
      </c>
      <c r="D48" s="4" t="s">
        <v>40</v>
      </c>
      <c r="E48" s="4" t="s">
        <v>83</v>
      </c>
      <c r="F48" s="4" t="s">
        <v>173</v>
      </c>
      <c r="G48" s="4" t="s">
        <v>40</v>
      </c>
      <c r="H48" s="4" t="s">
        <v>123</v>
      </c>
    </row>
    <row r="49" spans="2:8" x14ac:dyDescent="0.25">
      <c r="B49" s="79" t="str">
        <f t="shared" si="1"/>
        <v>Uri</v>
      </c>
      <c r="C49" s="83" t="s">
        <v>123</v>
      </c>
      <c r="D49" s="4" t="s">
        <v>41</v>
      </c>
      <c r="E49" s="4" t="s">
        <v>41</v>
      </c>
      <c r="F49" s="4" t="s">
        <v>41</v>
      </c>
      <c r="G49" s="4" t="s">
        <v>41</v>
      </c>
      <c r="H49" s="4" t="s">
        <v>123</v>
      </c>
    </row>
    <row r="50" spans="2:8" x14ac:dyDescent="0.25">
      <c r="B50" s="79" t="str">
        <f t="shared" si="1"/>
        <v>Schwyz</v>
      </c>
      <c r="C50" s="83" t="s">
        <v>123</v>
      </c>
      <c r="D50" s="4" t="s">
        <v>42</v>
      </c>
      <c r="E50" s="4" t="s">
        <v>42</v>
      </c>
      <c r="F50" s="4" t="s">
        <v>174</v>
      </c>
      <c r="G50" s="4" t="s">
        <v>42</v>
      </c>
      <c r="H50" s="4" t="s">
        <v>123</v>
      </c>
    </row>
    <row r="51" spans="2:8" x14ac:dyDescent="0.25">
      <c r="B51" s="79" t="str">
        <f t="shared" si="1"/>
        <v>Obwalden</v>
      </c>
      <c r="C51" s="83" t="s">
        <v>123</v>
      </c>
      <c r="D51" s="4" t="s">
        <v>43</v>
      </c>
      <c r="E51" s="4" t="s">
        <v>84</v>
      </c>
      <c r="F51" s="4" t="s">
        <v>175</v>
      </c>
      <c r="G51" s="4" t="s">
        <v>43</v>
      </c>
      <c r="H51" s="4" t="s">
        <v>123</v>
      </c>
    </row>
    <row r="52" spans="2:8" x14ac:dyDescent="0.25">
      <c r="B52" s="79" t="str">
        <f t="shared" si="1"/>
        <v>Nidwalden</v>
      </c>
      <c r="C52" s="83" t="s">
        <v>123</v>
      </c>
      <c r="D52" s="4" t="s">
        <v>44</v>
      </c>
      <c r="E52" s="4" t="s">
        <v>85</v>
      </c>
      <c r="F52" s="4" t="s">
        <v>176</v>
      </c>
      <c r="G52" s="4" t="s">
        <v>44</v>
      </c>
      <c r="H52" s="4" t="s">
        <v>123</v>
      </c>
    </row>
    <row r="53" spans="2:8" x14ac:dyDescent="0.25">
      <c r="B53" s="79" t="str">
        <f t="shared" si="1"/>
        <v>Glarus</v>
      </c>
      <c r="C53" s="83" t="s">
        <v>123</v>
      </c>
      <c r="D53" s="4" t="s">
        <v>45</v>
      </c>
      <c r="E53" s="4" t="s">
        <v>86</v>
      </c>
      <c r="F53" s="4" t="s">
        <v>177</v>
      </c>
      <c r="G53" s="4" t="s">
        <v>45</v>
      </c>
      <c r="H53" s="4" t="s">
        <v>123</v>
      </c>
    </row>
    <row r="54" spans="2:8" x14ac:dyDescent="0.25">
      <c r="B54" s="79" t="str">
        <f t="shared" si="1"/>
        <v>Zug</v>
      </c>
      <c r="C54" s="83" t="s">
        <v>123</v>
      </c>
      <c r="D54" s="4" t="s">
        <v>46</v>
      </c>
      <c r="E54" s="4" t="s">
        <v>87</v>
      </c>
      <c r="F54" s="4" t="s">
        <v>178</v>
      </c>
      <c r="G54" s="4" t="s">
        <v>46</v>
      </c>
      <c r="H54" s="4" t="s">
        <v>123</v>
      </c>
    </row>
    <row r="55" spans="2:8" x14ac:dyDescent="0.25">
      <c r="B55" s="79" t="str">
        <f t="shared" si="1"/>
        <v>Freiburg</v>
      </c>
      <c r="C55" s="83" t="s">
        <v>123</v>
      </c>
      <c r="D55" s="4" t="s">
        <v>47</v>
      </c>
      <c r="E55" s="4" t="s">
        <v>88</v>
      </c>
      <c r="F55" s="4" t="s">
        <v>179</v>
      </c>
      <c r="G55" s="4" t="s">
        <v>88</v>
      </c>
      <c r="H55" s="4" t="s">
        <v>123</v>
      </c>
    </row>
    <row r="56" spans="2:8" x14ac:dyDescent="0.25">
      <c r="B56" s="79" t="str">
        <f t="shared" si="1"/>
        <v>Solothurn</v>
      </c>
      <c r="C56" s="83" t="s">
        <v>123</v>
      </c>
      <c r="D56" s="4" t="s">
        <v>48</v>
      </c>
      <c r="E56" s="4" t="s">
        <v>89</v>
      </c>
      <c r="F56" s="4" t="s">
        <v>180</v>
      </c>
      <c r="G56" s="4" t="s">
        <v>48</v>
      </c>
      <c r="H56" s="4" t="s">
        <v>123</v>
      </c>
    </row>
    <row r="57" spans="2:8" x14ac:dyDescent="0.25">
      <c r="B57" s="79" t="str">
        <f t="shared" si="1"/>
        <v>Basel-Stadt</v>
      </c>
      <c r="C57" s="83" t="s">
        <v>123</v>
      </c>
      <c r="D57" s="4" t="s">
        <v>49</v>
      </c>
      <c r="E57" s="4" t="s">
        <v>90</v>
      </c>
      <c r="F57" s="4" t="s">
        <v>181</v>
      </c>
      <c r="G57" s="4" t="s">
        <v>149</v>
      </c>
      <c r="H57" s="4" t="s">
        <v>123</v>
      </c>
    </row>
    <row r="58" spans="2:8" x14ac:dyDescent="0.25">
      <c r="B58" s="79" t="str">
        <f t="shared" si="1"/>
        <v>Basel-Landschaft</v>
      </c>
      <c r="C58" s="83" t="s">
        <v>123</v>
      </c>
      <c r="D58" s="4" t="s">
        <v>50</v>
      </c>
      <c r="E58" s="4" t="s">
        <v>91</v>
      </c>
      <c r="F58" s="4" t="s">
        <v>182</v>
      </c>
      <c r="G58" s="4" t="s">
        <v>150</v>
      </c>
      <c r="H58" s="4" t="s">
        <v>123</v>
      </c>
    </row>
    <row r="59" spans="2:8" x14ac:dyDescent="0.25">
      <c r="B59" s="79" t="str">
        <f t="shared" si="1"/>
        <v>Schaffhausen</v>
      </c>
      <c r="C59" s="83" t="s">
        <v>123</v>
      </c>
      <c r="D59" s="4" t="s">
        <v>51</v>
      </c>
      <c r="E59" s="4" t="s">
        <v>92</v>
      </c>
      <c r="F59" s="4" t="s">
        <v>183</v>
      </c>
      <c r="G59" s="4" t="s">
        <v>51</v>
      </c>
      <c r="H59" s="4" t="s">
        <v>123</v>
      </c>
    </row>
    <row r="60" spans="2:8" x14ac:dyDescent="0.25">
      <c r="B60" s="79" t="str">
        <f t="shared" si="1"/>
        <v>Appenzell A.Rh.</v>
      </c>
      <c r="C60" s="83" t="s">
        <v>123</v>
      </c>
      <c r="D60" s="4" t="s">
        <v>52</v>
      </c>
      <c r="E60" s="4" t="s">
        <v>93</v>
      </c>
      <c r="F60" s="4" t="s">
        <v>184</v>
      </c>
      <c r="G60" s="4" t="s">
        <v>52</v>
      </c>
      <c r="H60" s="4" t="s">
        <v>123</v>
      </c>
    </row>
    <row r="61" spans="2:8" x14ac:dyDescent="0.25">
      <c r="B61" s="79" t="str">
        <f t="shared" si="1"/>
        <v>Appenzell I.Rh.</v>
      </c>
      <c r="C61" s="83" t="s">
        <v>123</v>
      </c>
      <c r="D61" s="4" t="s">
        <v>53</v>
      </c>
      <c r="E61" s="4" t="s">
        <v>94</v>
      </c>
      <c r="F61" s="4" t="s">
        <v>185</v>
      </c>
      <c r="G61" s="4" t="s">
        <v>53</v>
      </c>
      <c r="H61" s="4" t="s">
        <v>123</v>
      </c>
    </row>
    <row r="62" spans="2:8" x14ac:dyDescent="0.25">
      <c r="B62" s="79" t="str">
        <f t="shared" si="1"/>
        <v>St. Gallen</v>
      </c>
      <c r="C62" s="83" t="s">
        <v>123</v>
      </c>
      <c r="D62" s="4" t="s">
        <v>54</v>
      </c>
      <c r="E62" s="4" t="s">
        <v>95</v>
      </c>
      <c r="F62" s="4" t="s">
        <v>186</v>
      </c>
      <c r="G62" s="4" t="s">
        <v>54</v>
      </c>
      <c r="H62" s="4" t="s">
        <v>123</v>
      </c>
    </row>
    <row r="63" spans="2:8" x14ac:dyDescent="0.25">
      <c r="B63" s="79" t="str">
        <f t="shared" si="1"/>
        <v>Graubünden</v>
      </c>
      <c r="C63" s="83" t="s">
        <v>123</v>
      </c>
      <c r="D63" s="4" t="s">
        <v>55</v>
      </c>
      <c r="E63" s="4" t="s">
        <v>96</v>
      </c>
      <c r="F63" s="4" t="s">
        <v>187</v>
      </c>
      <c r="G63" s="4" t="s">
        <v>55</v>
      </c>
      <c r="H63" s="4" t="s">
        <v>123</v>
      </c>
    </row>
    <row r="64" spans="2:8" x14ac:dyDescent="0.25">
      <c r="B64" s="79" t="str">
        <f t="shared" si="1"/>
        <v>Aargau</v>
      </c>
      <c r="C64" s="83" t="s">
        <v>123</v>
      </c>
      <c r="D64" s="4" t="s">
        <v>56</v>
      </c>
      <c r="E64" s="4" t="s">
        <v>97</v>
      </c>
      <c r="F64" s="4" t="s">
        <v>188</v>
      </c>
      <c r="G64" s="4" t="s">
        <v>56</v>
      </c>
      <c r="H64" s="4" t="s">
        <v>123</v>
      </c>
    </row>
    <row r="65" spans="2:8" x14ac:dyDescent="0.25">
      <c r="B65" s="79" t="str">
        <f t="shared" si="1"/>
        <v>Thurgau</v>
      </c>
      <c r="C65" s="83" t="s">
        <v>123</v>
      </c>
      <c r="D65" s="4" t="s">
        <v>57</v>
      </c>
      <c r="E65" s="4" t="s">
        <v>98</v>
      </c>
      <c r="F65" s="4" t="s">
        <v>189</v>
      </c>
      <c r="G65" s="4" t="s">
        <v>57</v>
      </c>
      <c r="H65" s="4" t="s">
        <v>123</v>
      </c>
    </row>
    <row r="66" spans="2:8" x14ac:dyDescent="0.25">
      <c r="B66" s="79" t="str">
        <f t="shared" si="1"/>
        <v>Tessin</v>
      </c>
      <c r="C66" s="83" t="s">
        <v>123</v>
      </c>
      <c r="D66" s="4" t="s">
        <v>58</v>
      </c>
      <c r="E66" s="4" t="s">
        <v>58</v>
      </c>
      <c r="F66" s="4" t="s">
        <v>143</v>
      </c>
      <c r="G66" s="4" t="s">
        <v>143</v>
      </c>
      <c r="H66" s="4" t="s">
        <v>123</v>
      </c>
    </row>
    <row r="67" spans="2:8" x14ac:dyDescent="0.25">
      <c r="B67" s="79" t="str">
        <f t="shared" si="1"/>
        <v>Waadt</v>
      </c>
      <c r="C67" s="83" t="s">
        <v>123</v>
      </c>
      <c r="D67" s="4" t="s">
        <v>59</v>
      </c>
      <c r="E67" s="4" t="s">
        <v>99</v>
      </c>
      <c r="F67" s="4" t="s">
        <v>99</v>
      </c>
      <c r="G67" s="4" t="s">
        <v>99</v>
      </c>
      <c r="H67" s="4" t="s">
        <v>123</v>
      </c>
    </row>
    <row r="68" spans="2:8" x14ac:dyDescent="0.25">
      <c r="B68" s="79" t="str">
        <f t="shared" si="1"/>
        <v>Wallis</v>
      </c>
      <c r="C68" s="83" t="s">
        <v>123</v>
      </c>
      <c r="D68" s="4" t="s">
        <v>60</v>
      </c>
      <c r="E68" s="4" t="s">
        <v>100</v>
      </c>
      <c r="F68" s="4" t="s">
        <v>190</v>
      </c>
      <c r="G68" s="4" t="s">
        <v>100</v>
      </c>
      <c r="H68" s="4" t="s">
        <v>123</v>
      </c>
    </row>
    <row r="69" spans="2:8" x14ac:dyDescent="0.25">
      <c r="B69" s="79" t="str">
        <f t="shared" si="1"/>
        <v>Neuenburg</v>
      </c>
      <c r="C69" s="83" t="s">
        <v>123</v>
      </c>
      <c r="D69" s="4" t="s">
        <v>61</v>
      </c>
      <c r="E69" s="4" t="s">
        <v>101</v>
      </c>
      <c r="F69" s="4" t="s">
        <v>101</v>
      </c>
      <c r="G69" s="4" t="s">
        <v>101</v>
      </c>
      <c r="H69" s="4" t="s">
        <v>123</v>
      </c>
    </row>
    <row r="70" spans="2:8" x14ac:dyDescent="0.25">
      <c r="B70" s="79" t="str">
        <f t="shared" si="1"/>
        <v>Genf</v>
      </c>
      <c r="C70" s="83" t="s">
        <v>123</v>
      </c>
      <c r="D70" s="4" t="s">
        <v>62</v>
      </c>
      <c r="E70" s="4" t="s">
        <v>102</v>
      </c>
      <c r="F70" s="4" t="s">
        <v>191</v>
      </c>
      <c r="G70" s="4" t="s">
        <v>144</v>
      </c>
      <c r="H70" s="4" t="s">
        <v>123</v>
      </c>
    </row>
    <row r="71" spans="2:8" x14ac:dyDescent="0.25">
      <c r="B71" s="79" t="str">
        <f t="shared" si="1"/>
        <v>Jura</v>
      </c>
      <c r="C71" s="83" t="s">
        <v>123</v>
      </c>
      <c r="D71" s="4" t="s">
        <v>63</v>
      </c>
      <c r="E71" s="4" t="s">
        <v>63</v>
      </c>
      <c r="F71" s="4" t="s">
        <v>192</v>
      </c>
      <c r="G71" s="4" t="s">
        <v>63</v>
      </c>
      <c r="H71" s="4" t="s">
        <v>123</v>
      </c>
    </row>
    <row r="72" spans="2:8" x14ac:dyDescent="0.25">
      <c r="B72" s="79" t="str">
        <f t="shared" si="1"/>
        <v>Zahlungen pro Einwohner 2023</v>
      </c>
      <c r="C72" s="83" t="s">
        <v>123</v>
      </c>
      <c r="D72" s="4" t="str">
        <f>"Zahlungen pro Einwohner " &amp;$G$2</f>
        <v>Zahlungen pro Einwohner 2023</v>
      </c>
      <c r="E72" s="4" t="str">
        <f>"Paiements par habitant " &amp;$G$2</f>
        <v>Paiements par habitant 2023</v>
      </c>
      <c r="F72" s="4" t="str">
        <f>"Pagamenti per abitante " &amp;$G$2</f>
        <v>Pagamenti per abitante 2023</v>
      </c>
      <c r="G72" s="4" t="str">
        <f>"Payments per capita " &amp;$G$2</f>
        <v>Payments per capita 2023</v>
      </c>
      <c r="H72" s="4" t="s">
        <v>123</v>
      </c>
    </row>
    <row r="73" spans="2:8" x14ac:dyDescent="0.25">
      <c r="B73" s="79" t="str">
        <f t="shared" si="1"/>
        <v>in CHF; (+) Belastung Kanton; (-) Entlastung Kanton</v>
      </c>
      <c r="C73" s="83" t="s">
        <v>123</v>
      </c>
      <c r="D73" s="4" t="s">
        <v>37</v>
      </c>
      <c r="E73" s="4" t="s">
        <v>194</v>
      </c>
      <c r="F73" s="4" t="s">
        <v>202</v>
      </c>
      <c r="G73" s="4" t="s">
        <v>145</v>
      </c>
      <c r="H73" s="4" t="s">
        <v>123</v>
      </c>
    </row>
    <row r="74" spans="2:8" x14ac:dyDescent="0.25">
      <c r="B74" s="79" t="str">
        <f t="shared" si="1"/>
        <v>Massgebende
Wohnbevölkerung</v>
      </c>
      <c r="C74" s="83" t="s">
        <v>123</v>
      </c>
      <c r="D74" s="4" t="s">
        <v>197</v>
      </c>
      <c r="E74" s="4" t="s">
        <v>208</v>
      </c>
      <c r="F74" s="4" t="s">
        <v>213</v>
      </c>
      <c r="G74" s="4" t="s">
        <v>219</v>
      </c>
      <c r="H74" s="4" t="s">
        <v>123</v>
      </c>
    </row>
    <row r="75" spans="2:8" x14ac:dyDescent="0.25">
      <c r="B75" s="79" t="str">
        <f t="shared" si="1"/>
        <v>RI</v>
      </c>
      <c r="C75" s="83" t="s">
        <v>123</v>
      </c>
      <c r="D75" s="4" t="s">
        <v>67</v>
      </c>
      <c r="E75" s="4" t="s">
        <v>103</v>
      </c>
      <c r="F75" s="4" t="s">
        <v>103</v>
      </c>
      <c r="G75" s="4" t="s">
        <v>67</v>
      </c>
      <c r="H75" s="4" t="s">
        <v>123</v>
      </c>
    </row>
    <row r="76" spans="2:8" x14ac:dyDescent="0.25">
      <c r="B76" s="79" t="str">
        <f t="shared" si="1"/>
        <v>Ressourcen-
ausgleich</v>
      </c>
      <c r="C76" s="83" t="s">
        <v>123</v>
      </c>
      <c r="D76" s="4" t="s">
        <v>198</v>
      </c>
      <c r="E76" s="4" t="s">
        <v>209</v>
      </c>
      <c r="F76" s="4" t="s">
        <v>214</v>
      </c>
      <c r="G76" s="4" t="s">
        <v>220</v>
      </c>
      <c r="H76" s="4" t="s">
        <v>123</v>
      </c>
    </row>
    <row r="77" spans="2:8" x14ac:dyDescent="0.25">
      <c r="B77" s="79" t="str">
        <f t="shared" si="1"/>
        <v>Lastenausgleich</v>
      </c>
      <c r="C77" s="83" t="s">
        <v>123</v>
      </c>
      <c r="D77" s="4" t="s">
        <v>65</v>
      </c>
      <c r="E77" s="4" t="s">
        <v>75</v>
      </c>
      <c r="F77" s="4" t="s">
        <v>165</v>
      </c>
      <c r="G77" s="4" t="s">
        <v>141</v>
      </c>
      <c r="H77" s="4" t="s">
        <v>123</v>
      </c>
    </row>
    <row r="78" spans="2:8" x14ac:dyDescent="0.25">
      <c r="B78" s="79" t="str">
        <f t="shared" ref="B78:B85" si="2">HLOOKUP($B$9,$D$9:$G$85,ROW()-$B$8,FALSE)</f>
        <v>GLA</v>
      </c>
      <c r="C78" s="83" t="s">
        <v>123</v>
      </c>
      <c r="D78" s="4" t="s">
        <v>6</v>
      </c>
      <c r="E78" s="4" t="s">
        <v>76</v>
      </c>
      <c r="F78" s="4" t="s">
        <v>166</v>
      </c>
      <c r="G78" s="4" t="s">
        <v>136</v>
      </c>
      <c r="H78" s="4" t="s">
        <v>123</v>
      </c>
    </row>
    <row r="79" spans="2:8" x14ac:dyDescent="0.25">
      <c r="B79" s="79" t="str">
        <f t="shared" si="2"/>
        <v>SLA A-C</v>
      </c>
      <c r="C79" s="83" t="s">
        <v>123</v>
      </c>
      <c r="D79" s="4" t="s">
        <v>7</v>
      </c>
      <c r="E79" s="4" t="s">
        <v>77</v>
      </c>
      <c r="F79" s="4" t="s">
        <v>167</v>
      </c>
      <c r="G79" s="4" t="s">
        <v>137</v>
      </c>
      <c r="H79" s="4" t="s">
        <v>123</v>
      </c>
    </row>
    <row r="80" spans="2:8" x14ac:dyDescent="0.25">
      <c r="B80" s="79" t="str">
        <f t="shared" si="2"/>
        <v>SLA F</v>
      </c>
      <c r="C80" s="83" t="s">
        <v>123</v>
      </c>
      <c r="D80" s="4" t="s">
        <v>8</v>
      </c>
      <c r="E80" s="4" t="s">
        <v>78</v>
      </c>
      <c r="F80" s="4" t="s">
        <v>168</v>
      </c>
      <c r="G80" s="4" t="s">
        <v>138</v>
      </c>
      <c r="H80" s="4" t="s">
        <v>123</v>
      </c>
    </row>
    <row r="81" spans="2:8" x14ac:dyDescent="0.25">
      <c r="B81" s="79" t="str">
        <f t="shared" si="2"/>
        <v>Total</v>
      </c>
      <c r="C81" s="83" t="s">
        <v>123</v>
      </c>
      <c r="D81" s="4" t="s">
        <v>5</v>
      </c>
      <c r="E81" s="4" t="s">
        <v>5</v>
      </c>
      <c r="F81" s="4" t="s">
        <v>162</v>
      </c>
      <c r="G81" s="4" t="s">
        <v>5</v>
      </c>
      <c r="H81" s="4" t="s">
        <v>123</v>
      </c>
    </row>
    <row r="82" spans="2:8" x14ac:dyDescent="0.25">
      <c r="B82" s="79" t="str">
        <f t="shared" si="2"/>
        <v>Härte-
ausgleich</v>
      </c>
      <c r="C82" s="83" t="s">
        <v>123</v>
      </c>
      <c r="D82" s="4" t="s">
        <v>199</v>
      </c>
      <c r="E82" s="4" t="s">
        <v>210</v>
      </c>
      <c r="F82" s="4" t="s">
        <v>215</v>
      </c>
      <c r="G82" s="4" t="s">
        <v>221</v>
      </c>
      <c r="H82" s="4" t="s">
        <v>123</v>
      </c>
    </row>
    <row r="83" spans="2:8" ht="11.25" customHeight="1" x14ac:dyDescent="0.25">
      <c r="B83" s="79" t="str">
        <f t="shared" si="2"/>
        <v>Abfederungs-
massnahmen</v>
      </c>
      <c r="C83" s="83" t="s">
        <v>123</v>
      </c>
      <c r="D83" s="4" t="s">
        <v>235</v>
      </c>
      <c r="E83" s="4" t="s">
        <v>236</v>
      </c>
      <c r="F83" s="81" t="s">
        <v>243</v>
      </c>
      <c r="G83" s="4" t="s">
        <v>237</v>
      </c>
      <c r="H83" s="4" t="s">
        <v>123</v>
      </c>
    </row>
    <row r="84" spans="2:8" x14ac:dyDescent="0.25">
      <c r="B84" s="79" t="str">
        <f t="shared" si="2"/>
        <v>Total</v>
      </c>
      <c r="C84" s="83" t="s">
        <v>123</v>
      </c>
      <c r="D84" s="4" t="s">
        <v>5</v>
      </c>
      <c r="E84" s="4" t="s">
        <v>5</v>
      </c>
      <c r="F84" s="4" t="s">
        <v>162</v>
      </c>
      <c r="G84" s="4" t="s">
        <v>5</v>
      </c>
      <c r="H84" s="4" t="s">
        <v>123</v>
      </c>
    </row>
    <row r="85" spans="2:8" x14ac:dyDescent="0.25">
      <c r="B85" s="80" t="str">
        <f t="shared" si="2"/>
        <v>RI = Ressourcenindex; GLA = Geografisch-topografischer Lastenausgleich; 
SLA = Soziodemografischer Lastenausgleich; A-C = Bereiche Armut, Alter, Ausländerintegration; F = Kernstadtproblematik</v>
      </c>
      <c r="C85" s="83" t="s">
        <v>123</v>
      </c>
      <c r="D85" s="4" t="s">
        <v>68</v>
      </c>
      <c r="E85" s="4" t="s">
        <v>239</v>
      </c>
      <c r="F85" s="4" t="s">
        <v>216</v>
      </c>
      <c r="G85" s="4" t="s">
        <v>222</v>
      </c>
      <c r="H85" s="4" t="s">
        <v>123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TOTAL_1</vt:lpstr>
      <vt:lpstr>TOTAL_2</vt:lpstr>
      <vt:lpstr>TOTAL_1!Druckbereich</vt:lpstr>
      <vt:lpstr>TOTAL_2!Druckbereich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Kaufmann Susanne EFV</cp:lastModifiedBy>
  <dcterms:created xsi:type="dcterms:W3CDTF">2014-03-07T16:08:25Z</dcterms:created>
  <dcterms:modified xsi:type="dcterms:W3CDTF">2022-06-02T11:51:31Z</dcterms:modified>
</cp:coreProperties>
</file>