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E\"/>
    </mc:Choice>
  </mc:AlternateContent>
  <bookViews>
    <workbookView xWindow="-15" yWindow="-120" windowWidth="20730" windowHeight="6060"/>
  </bookViews>
  <sheets>
    <sheet name="Info" sheetId="1" r:id="rId1"/>
    <sheet name="Gross_wages" sheetId="2" r:id="rId2"/>
    <sheet name="Gamma" sheetId="3" r:id="rId3"/>
    <sheet name="Calculation_ITS" sheetId="4" r:id="rId4"/>
  </sheets>
  <definedNames>
    <definedName name="_xlnm.Print_Area">#REF!</definedName>
    <definedName name="_xlnm.Print_Titles">#REF!</definedName>
    <definedName name="gamma">Gamma!$C$7</definedName>
    <definedName name="sst">Calculation_ITS!$V$14</definedName>
  </definedNames>
  <calcPr calcId="152511"/>
</workbook>
</file>

<file path=xl/calcChain.xml><?xml version="1.0" encoding="utf-8"?>
<calcChain xmlns="http://schemas.openxmlformats.org/spreadsheetml/2006/main">
  <c r="O39" i="4" l="1"/>
  <c r="J38" i="4"/>
  <c r="E38" i="4"/>
  <c r="J37" i="4"/>
  <c r="G37" i="4"/>
  <c r="J36" i="4"/>
  <c r="G36" i="4"/>
  <c r="D36" i="4"/>
  <c r="J35" i="4"/>
  <c r="J34" i="4"/>
  <c r="E34" i="4"/>
  <c r="J33" i="4"/>
  <c r="G33" i="4"/>
  <c r="J32" i="4"/>
  <c r="G32" i="4"/>
  <c r="J31" i="4"/>
  <c r="J30" i="4"/>
  <c r="E30" i="4"/>
  <c r="J29" i="4"/>
  <c r="G29" i="4"/>
  <c r="J28" i="4"/>
  <c r="G28" i="4"/>
  <c r="J27" i="4"/>
  <c r="J26" i="4"/>
  <c r="E26" i="4"/>
  <c r="J25" i="4"/>
  <c r="G25" i="4"/>
  <c r="J24" i="4"/>
  <c r="G24" i="4"/>
  <c r="J23" i="4"/>
  <c r="J22" i="4"/>
  <c r="E22" i="4"/>
  <c r="J21" i="4"/>
  <c r="G21" i="4"/>
  <c r="J20" i="4"/>
  <c r="G20" i="4"/>
  <c r="D20" i="4"/>
  <c r="J19" i="4"/>
  <c r="J18" i="4"/>
  <c r="E18" i="4"/>
  <c r="J17" i="4"/>
  <c r="G17" i="4"/>
  <c r="J16" i="4"/>
  <c r="G16" i="4"/>
  <c r="J15" i="4"/>
  <c r="D15" i="4"/>
  <c r="V14" i="4"/>
  <c r="J14" i="4"/>
  <c r="G14" i="4"/>
  <c r="J13" i="4"/>
  <c r="D13" i="4"/>
  <c r="U11" i="4"/>
  <c r="O11" i="4"/>
  <c r="H11" i="4"/>
  <c r="G11" i="4"/>
  <c r="E11" i="4"/>
  <c r="D11" i="4"/>
  <c r="C11" i="4"/>
  <c r="U10" i="4"/>
  <c r="V9" i="4"/>
  <c r="O8" i="4"/>
  <c r="D7" i="4"/>
  <c r="A4" i="4"/>
  <c r="L3" i="4"/>
  <c r="A2" i="4"/>
  <c r="A1" i="4"/>
  <c r="C6" i="3"/>
  <c r="C7" i="3" s="1"/>
  <c r="B6" i="3"/>
  <c r="C3" i="3"/>
  <c r="A1" i="3"/>
  <c r="H36" i="2"/>
  <c r="G36" i="2"/>
  <c r="F36" i="2"/>
  <c r="E36" i="2"/>
  <c r="I36" i="2" s="1"/>
  <c r="D36" i="2"/>
  <c r="C36" i="2"/>
  <c r="B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2" i="2"/>
  <c r="A2" i="2"/>
  <c r="A2" i="3" s="1"/>
  <c r="A1" i="2"/>
  <c r="A5" i="1"/>
  <c r="A4" i="1"/>
  <c r="C38" i="4" l="1"/>
  <c r="C34" i="4"/>
  <c r="C30" i="4"/>
  <c r="C26" i="4"/>
  <c r="C22" i="4"/>
  <c r="C18" i="4"/>
  <c r="C36" i="4"/>
  <c r="C32" i="4"/>
  <c r="C28" i="4"/>
  <c r="C24" i="4"/>
  <c r="C20" i="4"/>
  <c r="C16" i="4"/>
  <c r="C14" i="4"/>
  <c r="C37" i="4"/>
  <c r="C33" i="4"/>
  <c r="C29" i="4"/>
  <c r="C25" i="4"/>
  <c r="C21" i="4"/>
  <c r="H37" i="4"/>
  <c r="H33" i="4"/>
  <c r="H29" i="4"/>
  <c r="H25" i="4"/>
  <c r="H21" i="4"/>
  <c r="H17" i="4"/>
  <c r="H14" i="4"/>
  <c r="H36" i="4"/>
  <c r="H32" i="4"/>
  <c r="H28" i="4"/>
  <c r="H24" i="4"/>
  <c r="H20" i="4"/>
  <c r="H16" i="4"/>
  <c r="H38" i="4"/>
  <c r="H34" i="4"/>
  <c r="H30" i="4"/>
  <c r="H26" i="4"/>
  <c r="H22" i="4"/>
  <c r="H18" i="4"/>
  <c r="C17" i="4"/>
  <c r="C19" i="4"/>
  <c r="H31" i="4"/>
  <c r="C35" i="4"/>
  <c r="D37" i="4"/>
  <c r="D33" i="4"/>
  <c r="D29" i="4"/>
  <c r="D25" i="4"/>
  <c r="D21" i="4"/>
  <c r="D17" i="4"/>
  <c r="D14" i="4"/>
  <c r="D38" i="4"/>
  <c r="D34" i="4"/>
  <c r="D30" i="4"/>
  <c r="D26" i="4"/>
  <c r="D22" i="4"/>
  <c r="D18" i="4"/>
  <c r="D35" i="4"/>
  <c r="D31" i="4"/>
  <c r="D27" i="4"/>
  <c r="D23" i="4"/>
  <c r="D19" i="4"/>
  <c r="H13" i="4"/>
  <c r="H15" i="4"/>
  <c r="H19" i="4"/>
  <c r="C23" i="4"/>
  <c r="D24" i="4"/>
  <c r="H35" i="4"/>
  <c r="D16" i="4"/>
  <c r="D39" i="4" s="1"/>
  <c r="H23" i="4"/>
  <c r="C27" i="4"/>
  <c r="D28" i="4"/>
  <c r="F11" i="4"/>
  <c r="B11" i="4"/>
  <c r="C13" i="4"/>
  <c r="C15" i="4"/>
  <c r="H27" i="4"/>
  <c r="C31" i="4"/>
  <c r="D32" i="4"/>
  <c r="E36" i="4"/>
  <c r="E32" i="4"/>
  <c r="E28" i="4"/>
  <c r="E24" i="4"/>
  <c r="E20" i="4"/>
  <c r="E16" i="4"/>
  <c r="E13" i="4"/>
  <c r="E15" i="4"/>
  <c r="E17" i="4"/>
  <c r="E19" i="4"/>
  <c r="E21" i="4"/>
  <c r="E23" i="4"/>
  <c r="E25" i="4"/>
  <c r="E27" i="4"/>
  <c r="E29" i="4"/>
  <c r="E31" i="4"/>
  <c r="E33" i="4"/>
  <c r="E35" i="4"/>
  <c r="E37" i="4"/>
  <c r="G38" i="4"/>
  <c r="G34" i="4"/>
  <c r="G30" i="4"/>
  <c r="G26" i="4"/>
  <c r="G22" i="4"/>
  <c r="G18" i="4"/>
  <c r="G13" i="4"/>
  <c r="E14" i="4"/>
  <c r="G15" i="4"/>
  <c r="G19" i="4"/>
  <c r="G23" i="4"/>
  <c r="G27" i="4"/>
  <c r="G31" i="4"/>
  <c r="G35" i="4"/>
  <c r="E39" i="4" l="1"/>
  <c r="I31" i="4"/>
  <c r="K31" i="4" s="1"/>
  <c r="B35" i="4"/>
  <c r="B31" i="4"/>
  <c r="B27" i="4"/>
  <c r="B23" i="4"/>
  <c r="B19" i="4"/>
  <c r="B15" i="4"/>
  <c r="B13" i="4"/>
  <c r="B38" i="4"/>
  <c r="B36" i="4"/>
  <c r="B34" i="4"/>
  <c r="B32" i="4"/>
  <c r="B30" i="4"/>
  <c r="B28" i="4"/>
  <c r="B26" i="4"/>
  <c r="B24" i="4"/>
  <c r="B22" i="4"/>
  <c r="B20" i="4"/>
  <c r="B18" i="4"/>
  <c r="B16" i="4"/>
  <c r="B37" i="4"/>
  <c r="B21" i="4"/>
  <c r="B17" i="4"/>
  <c r="B33" i="4"/>
  <c r="B29" i="4"/>
  <c r="B25" i="4"/>
  <c r="B14" i="4"/>
  <c r="G39" i="4"/>
  <c r="F35" i="4"/>
  <c r="F31" i="4"/>
  <c r="F27" i="4"/>
  <c r="F23" i="4"/>
  <c r="I23" i="4" s="1"/>
  <c r="K23" i="4" s="1"/>
  <c r="L23" i="4" s="1"/>
  <c r="F19" i="4"/>
  <c r="I19" i="4" s="1"/>
  <c r="K19" i="4" s="1"/>
  <c r="L19" i="4" s="1"/>
  <c r="F15" i="4"/>
  <c r="F37" i="4"/>
  <c r="F33" i="4"/>
  <c r="F29" i="4"/>
  <c r="I29" i="4" s="1"/>
  <c r="K29" i="4" s="1"/>
  <c r="L29" i="4" s="1"/>
  <c r="F25" i="4"/>
  <c r="F21" i="4"/>
  <c r="I21" i="4" s="1"/>
  <c r="K21" i="4" s="1"/>
  <c r="L21" i="4" s="1"/>
  <c r="F17" i="4"/>
  <c r="I17" i="4" s="1"/>
  <c r="K17" i="4" s="1"/>
  <c r="L17" i="4" s="1"/>
  <c r="F13" i="4"/>
  <c r="F38" i="4"/>
  <c r="F36" i="4"/>
  <c r="I36" i="4" s="1"/>
  <c r="K36" i="4" s="1"/>
  <c r="L36" i="4" s="1"/>
  <c r="F34" i="4"/>
  <c r="I34" i="4" s="1"/>
  <c r="K34" i="4" s="1"/>
  <c r="L34" i="4" s="1"/>
  <c r="F32" i="4"/>
  <c r="I32" i="4" s="1"/>
  <c r="K32" i="4" s="1"/>
  <c r="L32" i="4" s="1"/>
  <c r="F30" i="4"/>
  <c r="F28" i="4"/>
  <c r="F26" i="4"/>
  <c r="I26" i="4" s="1"/>
  <c r="K26" i="4" s="1"/>
  <c r="L26" i="4" s="1"/>
  <c r="F24" i="4"/>
  <c r="I24" i="4" s="1"/>
  <c r="K24" i="4" s="1"/>
  <c r="L24" i="4" s="1"/>
  <c r="F22" i="4"/>
  <c r="F20" i="4"/>
  <c r="F18" i="4"/>
  <c r="F16" i="4"/>
  <c r="I16" i="4" s="1"/>
  <c r="K16" i="4" s="1"/>
  <c r="L16" i="4" s="1"/>
  <c r="F14" i="4"/>
  <c r="I33" i="4"/>
  <c r="K33" i="4" s="1"/>
  <c r="L33" i="4" s="1"/>
  <c r="I20" i="4"/>
  <c r="K20" i="4" s="1"/>
  <c r="L20" i="4" s="1"/>
  <c r="I30" i="4"/>
  <c r="K30" i="4" s="1"/>
  <c r="L30" i="4" s="1"/>
  <c r="I15" i="4"/>
  <c r="K15" i="4" s="1"/>
  <c r="I35" i="4"/>
  <c r="K35" i="4" s="1"/>
  <c r="L35" i="4" s="1"/>
  <c r="I37" i="4"/>
  <c r="K37" i="4" s="1"/>
  <c r="L37" i="4" s="1"/>
  <c r="I18" i="4"/>
  <c r="K18" i="4" s="1"/>
  <c r="L18" i="4" s="1"/>
  <c r="C39" i="4"/>
  <c r="I27" i="4"/>
  <c r="K27" i="4" s="1"/>
  <c r="L27" i="4" s="1"/>
  <c r="H39" i="4"/>
  <c r="I25" i="4"/>
  <c r="K25" i="4" s="1"/>
  <c r="I14" i="4"/>
  <c r="K14" i="4" s="1"/>
  <c r="I28" i="4"/>
  <c r="K28" i="4" s="1"/>
  <c r="L28" i="4" s="1"/>
  <c r="I22" i="4"/>
  <c r="K22" i="4" s="1"/>
  <c r="I38" i="4"/>
  <c r="K38" i="4" s="1"/>
  <c r="L38" i="4" s="1"/>
  <c r="Q36" i="4" l="1"/>
  <c r="S36" i="4"/>
  <c r="Q21" i="4"/>
  <c r="S21" i="4" s="1"/>
  <c r="Q16" i="4"/>
  <c r="S16" i="4"/>
  <c r="Q24" i="4"/>
  <c r="S24" i="4"/>
  <c r="Q32" i="4"/>
  <c r="S32" i="4"/>
  <c r="Q29" i="4"/>
  <c r="S29" i="4" s="1"/>
  <c r="Q19" i="4"/>
  <c r="S19" i="4" s="1"/>
  <c r="Q26" i="4"/>
  <c r="S26" i="4" s="1"/>
  <c r="Q34" i="4"/>
  <c r="S34" i="4" s="1"/>
  <c r="Q17" i="4"/>
  <c r="S17" i="4" s="1"/>
  <c r="Q23" i="4"/>
  <c r="S23" i="4" s="1"/>
  <c r="Q28" i="4"/>
  <c r="S28" i="4"/>
  <c r="Q27" i="4"/>
  <c r="S27" i="4" s="1"/>
  <c r="Q18" i="4"/>
  <c r="S18" i="4" s="1"/>
  <c r="Q35" i="4"/>
  <c r="S35" i="4" s="1"/>
  <c r="Q20" i="4"/>
  <c r="S20" i="4"/>
  <c r="F39" i="4"/>
  <c r="L14" i="4"/>
  <c r="L15" i="4"/>
  <c r="S33" i="4"/>
  <c r="Q33" i="4"/>
  <c r="Q38" i="4"/>
  <c r="S38" i="4" s="1"/>
  <c r="L25" i="4"/>
  <c r="I13" i="4"/>
  <c r="Q37" i="4"/>
  <c r="S37" i="4" s="1"/>
  <c r="S30" i="4"/>
  <c r="Q30" i="4"/>
  <c r="L31" i="4"/>
  <c r="L22" i="4"/>
  <c r="B39" i="4"/>
  <c r="S25" i="4" l="1"/>
  <c r="Q25" i="4"/>
  <c r="Q22" i="4"/>
  <c r="S22" i="4" s="1"/>
  <c r="S15" i="4"/>
  <c r="Q15" i="4"/>
  <c r="Q31" i="4"/>
  <c r="S31" i="4" s="1"/>
  <c r="S14" i="4"/>
  <c r="Q14" i="4"/>
  <c r="K13" i="4"/>
  <c r="L13" i="4" s="1"/>
  <c r="I39" i="4"/>
  <c r="K39" i="4" s="1"/>
  <c r="L39" i="4" s="1"/>
  <c r="Q13" i="4" l="1"/>
  <c r="Q39" i="4" s="1"/>
  <c r="S13" i="4" l="1"/>
  <c r="S39" i="4" s="1"/>
</calcChain>
</file>

<file path=xl/comments1.xml><?xml version="1.0" encoding="utf-8"?>
<comments xmlns="http://schemas.openxmlformats.org/spreadsheetml/2006/main">
  <authors>
    <author>Utz Pascal EFV</author>
  </authors>
  <commentList>
    <comment ref="D7" authorId="0" shapeId="0">
      <text>
        <r>
          <rPr>
            <sz val="8"/>
            <rFont val="Tahoma"/>
            <family val="2"/>
          </rPr>
          <t>Bis 2005: 0.03/sst
ab 2006: 0.875 * gamma</t>
        </r>
      </text>
    </comment>
  </commentList>
</comments>
</file>

<file path=xl/sharedStrings.xml><?xml version="1.0" encoding="utf-8"?>
<sst xmlns="http://schemas.openxmlformats.org/spreadsheetml/2006/main" count="212" uniqueCount="102">
  <si>
    <t>Income taxed at source (ITS)</t>
  </si>
  <si>
    <t>Informations</t>
  </si>
  <si>
    <t>Environment</t>
  </si>
  <si>
    <t>Produktion</t>
  </si>
  <si>
    <t>Type</t>
  </si>
  <si>
    <t>Berechnung</t>
  </si>
  <si>
    <t>WS</t>
  </si>
  <si>
    <t>FA_2017_20160519</t>
  </si>
  <si>
    <t>SWS</t>
  </si>
  <si>
    <t>RA_2017_20160519</t>
  </si>
  <si>
    <t>RefYear</t>
  </si>
  <si>
    <t>AssesYear</t>
  </si>
  <si>
    <t>Column</t>
  </si>
  <si>
    <t>B</t>
  </si>
  <si>
    <t>C</t>
  </si>
  <si>
    <t>D</t>
  </si>
  <si>
    <t>E</t>
  </si>
  <si>
    <t>F</t>
  </si>
  <si>
    <t>G</t>
  </si>
  <si>
    <t>H</t>
  </si>
  <si>
    <t>I</t>
  </si>
  <si>
    <t>Formula</t>
  </si>
  <si>
    <t>C + D + E + F + G + H</t>
  </si>
  <si>
    <t>Category</t>
  </si>
  <si>
    <t>A2</t>
  </si>
  <si>
    <t>D2</t>
  </si>
  <si>
    <t>F2</t>
  </si>
  <si>
    <t>F3</t>
  </si>
  <si>
    <t>I2</t>
  </si>
  <si>
    <t>Resident foreigners and foreign boards of directors</t>
  </si>
  <si>
    <t>Fully taxed cross-border commuters</t>
  </si>
  <si>
    <t>Cross-border commuters with limited tax</t>
  </si>
  <si>
    <t>Total</t>
  </si>
  <si>
    <t>from Austria</t>
  </si>
  <si>
    <t>from Germany</t>
  </si>
  <si>
    <t>from France subject to taxation by the Canton of Geneva</t>
  </si>
  <si>
    <t>from France subject to taxation by France</t>
  </si>
  <si>
    <t>from Italy</t>
  </si>
  <si>
    <t>Data source</t>
  </si>
  <si>
    <t>FTA</t>
  </si>
  <si>
    <t>Unit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</si>
  <si>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</si>
  <si>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</si>
  <si>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</si>
  <si>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</si>
  <si>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</si>
  <si>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</si>
  <si>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</si>
  <si>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</si>
  <si>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</si>
  <si>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</si>
  <si>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</si>
  <si>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</si>
  <si>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</si>
  <si>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</si>
  <si>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</si>
  <si>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</si>
  <si>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</si>
  <si>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</si>
  <si>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</si>
  <si>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</si>
  <si>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</si>
  <si>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</si>
  <si>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</si>
  <si>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</si>
  <si>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</si>
  <si>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</si>
  <si>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</si>
  <si>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Switzerland</t>
  </si>
  <si>
    <t>CHF 1,000</t>
  </si>
  <si>
    <r>
      <rPr>
        <sz val="10"/>
        <rFont val="Arial"/>
        <family val="2"/>
      </rPr>
      <t>A</t>
    </r>
    <r>
      <rPr>
        <sz val="12"/>
        <rFont val="Arial"/>
        <family val="2"/>
      </rPr>
      <t xml:space="preserve">    Primary income of households</t>
    </r>
  </si>
  <si>
    <t>FSO</t>
  </si>
  <si>
    <r>
      <rPr>
        <sz val="10"/>
        <rFont val="Arial"/>
        <family val="2"/>
      </rPr>
      <t>B</t>
    </r>
    <r>
      <rPr>
        <sz val="12"/>
        <rFont val="Arial"/>
        <family val="2"/>
      </rPr>
      <t xml:space="preserve">    Relevant income</t>
    </r>
  </si>
  <si>
    <r>
      <rPr>
        <sz val="10"/>
        <rFont val="Arial"/>
        <family val="2"/>
      </rPr>
      <t>C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Gamma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(B / A)</t>
    </r>
  </si>
  <si>
    <t>Estimate based on employment statistics</t>
  </si>
  <si>
    <t>I</t>
  </si>
  <si>
    <t>J</t>
  </si>
  <si>
    <t>K</t>
  </si>
  <si>
    <t>L</t>
  </si>
  <si>
    <t>O</t>
  </si>
  <si>
    <t>P</t>
  </si>
  <si>
    <t>Q</t>
  </si>
  <si>
    <t>S</t>
  </si>
  <si>
    <t>g</t>
  </si>
  <si>
    <t>0.045 / STR</t>
  </si>
  <si>
    <t>g-0.035 / STR</t>
  </si>
  <si>
    <r>
      <rPr>
        <sz val="12"/>
        <rFont val="Arial"/>
        <family val="2"/>
      </rPr>
      <t xml:space="preserve">(1-0.4) * </t>
    </r>
    <r>
      <rPr>
        <sz val="8"/>
        <rFont val="Symbol"/>
        <family val="1"/>
        <charset val="2"/>
      </rPr>
      <t>g</t>
    </r>
  </si>
  <si>
    <t>C+D+E+F+G+H</t>
  </si>
  <si>
    <t>I * J</t>
  </si>
  <si>
    <t>B + K</t>
  </si>
  <si>
    <t>O * P, provided L=0</t>
  </si>
  <si>
    <t>L + Q</t>
  </si>
  <si>
    <t>Estimated relationship between relevant income taxed at source and relevant income =&gt; upper limit 95% confidence interval</t>
  </si>
  <si>
    <t>Result based on estimated data</t>
  </si>
  <si>
    <t>Relevant income taxed at source</t>
  </si>
  <si>
    <t>Total cross-border commuters</t>
  </si>
  <si>
    <t>Weighting factor
(as per EFBRO)</t>
  </si>
  <si>
    <t>Result based on gross wages 
(cross-border commuters)</t>
  </si>
  <si>
    <t>Result based on gross wages
(total)</t>
  </si>
  <si>
    <t>Value</t>
  </si>
  <si>
    <t>unrounded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</si>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</sst>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??_ ;_ @_ "/>
    <numFmt numFmtId="165" formatCode="0.0%"/>
    <numFmt numFmtId="166" formatCode="0.000"/>
    <numFmt numFmtId="167" formatCode="#,##0.00000000000"/>
    <numFmt numFmtId="168" formatCode="#,##0.000"/>
  </numFmts>
  <fonts count="28" x14ac:knownFonts="1"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name val="Symbol"/>
      <family val="1"/>
      <charset val="2"/>
    </font>
    <font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rgb="FF0000FF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9CDE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/>
      <right style="hair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hair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4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9" fillId="0" borderId="3" xfId="0" applyFont="1" applyFill="1" applyBorder="1"/>
    <xf numFmtId="1" fontId="24" fillId="0" borderId="4" xfId="0" applyNumberFormat="1" applyFont="1" applyFill="1" applyBorder="1" applyAlignment="1" applyProtection="1">
      <alignment horizontal="left" vertical="top"/>
      <protection locked="0"/>
    </xf>
    <xf numFmtId="1" fontId="24" fillId="0" borderId="5" xfId="0" applyNumberFormat="1" applyFont="1" applyFill="1" applyBorder="1" applyAlignment="1" applyProtection="1">
      <alignment horizontal="left" vertical="top"/>
      <protection locked="0"/>
    </xf>
    <xf numFmtId="0" fontId="9" fillId="0" borderId="6" xfId="0" applyFont="1" applyFill="1" applyBorder="1"/>
    <xf numFmtId="1" fontId="24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/>
    <xf numFmtId="0" fontId="11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7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16" fillId="0" borderId="0" xfId="0" applyFont="1" applyFill="1" applyAlignment="1">
      <alignment horizontal="right"/>
    </xf>
    <xf numFmtId="0" fontId="17" fillId="0" borderId="0" xfId="0" applyFont="1" applyFill="1"/>
    <xf numFmtId="0" fontId="17" fillId="0" borderId="1" xfId="0" applyFont="1" applyFill="1" applyBorder="1" applyAlignment="1">
      <alignment horizontal="right"/>
    </xf>
    <xf numFmtId="0" fontId="17" fillId="0" borderId="9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0" xfId="0" applyFont="1" applyFill="1"/>
    <xf numFmtId="0" fontId="22" fillId="0" borderId="1" xfId="0" applyFont="1" applyFill="1" applyBorder="1" applyAlignment="1">
      <alignment horizontal="right"/>
    </xf>
    <xf numFmtId="0" fontId="22" fillId="0" borderId="9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0" fillId="0" borderId="0" xfId="0" applyFont="1" applyFill="1"/>
    <xf numFmtId="0" fontId="18" fillId="0" borderId="1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/>
    </xf>
    <xf numFmtId="0" fontId="16" fillId="0" borderId="1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164" fontId="6" fillId="0" borderId="15" xfId="0" applyNumberFormat="1" applyFont="1" applyFill="1" applyBorder="1" applyAlignment="1" applyProtection="1">
      <alignment horizontal="right"/>
      <protection locked="0"/>
    </xf>
    <xf numFmtId="164" fontId="6" fillId="0" borderId="16" xfId="0" applyNumberFormat="1" applyFont="1" applyFill="1" applyBorder="1" applyAlignment="1" applyProtection="1">
      <alignment horizontal="right"/>
      <protection locked="0"/>
    </xf>
    <xf numFmtId="164" fontId="6" fillId="0" borderId="17" xfId="0" applyNumberFormat="1" applyFont="1" applyFill="1" applyBorder="1" applyAlignment="1" applyProtection="1">
      <alignment horizontal="right"/>
      <protection locked="0"/>
    </xf>
    <xf numFmtId="3" fontId="1" fillId="0" borderId="4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164" fontId="6" fillId="2" borderId="13" xfId="0" applyNumberFormat="1" applyFont="1" applyFill="1" applyBorder="1" applyAlignment="1" applyProtection="1">
      <alignment horizontal="right"/>
      <protection locked="0"/>
    </xf>
    <xf numFmtId="164" fontId="6" fillId="2" borderId="14" xfId="0" applyNumberFormat="1" applyFont="1" applyFill="1" applyBorder="1" applyAlignment="1" applyProtection="1">
      <alignment horizontal="right"/>
      <protection locked="0"/>
    </xf>
    <xf numFmtId="3" fontId="1" fillId="2" borderId="19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164" fontId="6" fillId="0" borderId="0" xfId="0" applyNumberFormat="1" applyFont="1" applyFill="1" applyBorder="1" applyAlignment="1" applyProtection="1">
      <alignment horizontal="right"/>
      <protection locked="0"/>
    </xf>
    <xf numFmtId="164" fontId="6" fillId="0" borderId="13" xfId="0" applyNumberFormat="1" applyFont="1" applyFill="1" applyBorder="1" applyAlignment="1" applyProtection="1">
      <alignment horizontal="right"/>
      <protection locked="0"/>
    </xf>
    <xf numFmtId="164" fontId="6" fillId="0" borderId="14" xfId="0" applyNumberFormat="1" applyFont="1" applyFill="1" applyBorder="1" applyAlignment="1" applyProtection="1">
      <alignment horizontal="right"/>
      <protection locked="0"/>
    </xf>
    <xf numFmtId="3" fontId="1" fillId="0" borderId="19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164" fontId="6" fillId="2" borderId="8" xfId="0" applyNumberFormat="1" applyFont="1" applyFill="1" applyBorder="1" applyAlignment="1" applyProtection="1">
      <alignment horizontal="right"/>
      <protection locked="0"/>
    </xf>
    <xf numFmtId="164" fontId="6" fillId="2" borderId="21" xfId="0" applyNumberFormat="1" applyFont="1" applyFill="1" applyBorder="1" applyAlignment="1" applyProtection="1">
      <alignment horizontal="right"/>
      <protection locked="0"/>
    </xf>
    <xf numFmtId="164" fontId="6" fillId="2" borderId="22" xfId="0" applyNumberFormat="1" applyFont="1" applyFill="1" applyBorder="1" applyAlignment="1" applyProtection="1">
      <alignment horizontal="right"/>
      <protection locked="0"/>
    </xf>
    <xf numFmtId="3" fontId="1" fillId="2" borderId="23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5" fillId="0" borderId="0" xfId="0" applyFont="1" applyFill="1"/>
    <xf numFmtId="0" fontId="21" fillId="0" borderId="0" xfId="0" applyFont="1" applyFill="1"/>
    <xf numFmtId="0" fontId="7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right" vertical="top"/>
    </xf>
    <xf numFmtId="0" fontId="16" fillId="0" borderId="0" xfId="0" applyFont="1" applyFill="1"/>
    <xf numFmtId="165" fontId="2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6" fillId="0" borderId="15" xfId="0" applyFont="1" applyFill="1" applyBorder="1"/>
    <xf numFmtId="3" fontId="8" fillId="0" borderId="15" xfId="0" applyNumberFormat="1" applyFont="1" applyFill="1" applyBorder="1" applyProtection="1">
      <protection locked="0"/>
    </xf>
    <xf numFmtId="3" fontId="0" fillId="0" borderId="0" xfId="0" applyNumberFormat="1" applyFont="1" applyFill="1"/>
    <xf numFmtId="0" fontId="0" fillId="0" borderId="8" xfId="0" applyFont="1" applyFill="1" applyBorder="1"/>
    <xf numFmtId="0" fontId="16" fillId="0" borderId="8" xfId="0" applyFont="1" applyFill="1" applyBorder="1"/>
    <xf numFmtId="3" fontId="0" fillId="0" borderId="8" xfId="0" applyNumberFormat="1" applyFont="1" applyFill="1" applyBorder="1" applyProtection="1">
      <protection locked="0"/>
    </xf>
    <xf numFmtId="0" fontId="7" fillId="0" borderId="27" xfId="0" applyFont="1" applyFill="1" applyBorder="1"/>
    <xf numFmtId="0" fontId="21" fillId="0" borderId="27" xfId="0" applyFont="1" applyFill="1" applyBorder="1"/>
    <xf numFmtId="166" fontId="7" fillId="0" borderId="27" xfId="0" applyNumberFormat="1" applyFont="1" applyFill="1" applyBorder="1"/>
    <xf numFmtId="0" fontId="0" fillId="0" borderId="0" xfId="0" applyFont="1" applyFill="1" applyBorder="1"/>
    <xf numFmtId="0" fontId="7" fillId="0" borderId="0" xfId="0" applyFont="1" applyFill="1" applyBorder="1" applyAlignment="1">
      <alignment horizontal="left"/>
    </xf>
    <xf numFmtId="1" fontId="12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165" fontId="13" fillId="0" borderId="9" xfId="0" applyNumberFormat="1" applyFont="1" applyFill="1" applyBorder="1"/>
    <xf numFmtId="0" fontId="0" fillId="0" borderId="9" xfId="0" applyFont="1" applyFill="1" applyBorder="1"/>
    <xf numFmtId="165" fontId="13" fillId="0" borderId="0" xfId="0" applyNumberFormat="1" applyFont="1" applyFill="1"/>
    <xf numFmtId="0" fontId="20" fillId="0" borderId="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0" borderId="18" xfId="0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166" fontId="2" fillId="0" borderId="28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2" xfId="0" applyFont="1" applyFill="1" applyBorder="1"/>
    <xf numFmtId="3" fontId="0" fillId="0" borderId="15" xfId="0" applyNumberFormat="1" applyFont="1" applyFill="1" applyBorder="1"/>
    <xf numFmtId="3" fontId="0" fillId="0" borderId="16" xfId="0" applyNumberFormat="1" applyFont="1" applyFill="1" applyBorder="1"/>
    <xf numFmtId="3" fontId="0" fillId="0" borderId="17" xfId="0" applyNumberFormat="1" applyFont="1" applyFill="1" applyBorder="1"/>
    <xf numFmtId="2" fontId="0" fillId="0" borderId="15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Protection="1">
      <protection locked="0"/>
    </xf>
    <xf numFmtId="165" fontId="8" fillId="0" borderId="15" xfId="0" applyNumberFormat="1" applyFont="1" applyFill="1" applyBorder="1" applyProtection="1">
      <protection locked="0"/>
    </xf>
    <xf numFmtId="3" fontId="7" fillId="0" borderId="18" xfId="0" applyNumberFormat="1" applyFont="1" applyFill="1" applyBorder="1"/>
    <xf numFmtId="3" fontId="7" fillId="0" borderId="29" xfId="0" applyNumberFormat="1" applyFont="1" applyFill="1" applyBorder="1"/>
    <xf numFmtId="0" fontId="0" fillId="0" borderId="18" xfId="0" applyFont="1" applyFill="1" applyBorder="1" applyAlignment="1">
      <alignment horizontal="right"/>
    </xf>
    <xf numFmtId="167" fontId="14" fillId="0" borderId="19" xfId="0" applyNumberFormat="1" applyFont="1" applyFill="1" applyBorder="1" applyProtection="1">
      <protection locked="0"/>
    </xf>
    <xf numFmtId="0" fontId="0" fillId="2" borderId="18" xfId="0" applyFont="1" applyFill="1" applyBorder="1"/>
    <xf numFmtId="3" fontId="0" fillId="2" borderId="0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2" fontId="0" fillId="2" borderId="0" xfId="0" applyNumberFormat="1" applyFont="1" applyFill="1" applyBorder="1" applyAlignment="1">
      <alignment horizontal="right"/>
    </xf>
    <xf numFmtId="3" fontId="0" fillId="2" borderId="19" xfId="0" applyNumberFormat="1" applyFont="1" applyFill="1" applyBorder="1"/>
    <xf numFmtId="164" fontId="8" fillId="2" borderId="0" xfId="0" applyNumberFormat="1" applyFont="1" applyFill="1" applyBorder="1" applyProtection="1">
      <protection locked="0"/>
    </xf>
    <xf numFmtId="165" fontId="8" fillId="2" borderId="0" xfId="0" applyNumberFormat="1" applyFont="1" applyFill="1" applyBorder="1" applyProtection="1">
      <protection locked="0"/>
    </xf>
    <xf numFmtId="3" fontId="7" fillId="2" borderId="30" xfId="0" applyNumberFormat="1" applyFont="1" applyFill="1" applyBorder="1"/>
    <xf numFmtId="0" fontId="0" fillId="0" borderId="6" xfId="0" applyFont="1" applyFill="1" applyBorder="1" applyAlignment="1">
      <alignment horizontal="right"/>
    </xf>
    <xf numFmtId="168" fontId="15" fillId="0" borderId="7" xfId="0" applyNumberFormat="1" applyFont="1" applyFill="1" applyBorder="1" applyAlignment="1">
      <alignment horizontal="right"/>
    </xf>
    <xf numFmtId="0" fontId="0" fillId="0" borderId="18" xfId="0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2" fontId="0" fillId="0" borderId="0" xfId="0" applyNumberFormat="1" applyFont="1" applyFill="1" applyBorder="1" applyAlignment="1">
      <alignment horizontal="right"/>
    </xf>
    <xf numFmtId="3" fontId="0" fillId="0" borderId="19" xfId="0" applyNumberFormat="1" applyFont="1" applyFill="1" applyBorder="1"/>
    <xf numFmtId="164" fontId="8" fillId="0" borderId="0" xfId="0" applyNumberFormat="1" applyFont="1" applyFill="1" applyBorder="1" applyProtection="1">
      <protection locked="0"/>
    </xf>
    <xf numFmtId="165" fontId="8" fillId="0" borderId="0" xfId="0" applyNumberFormat="1" applyFont="1" applyFill="1" applyBorder="1" applyProtection="1">
      <protection locked="0"/>
    </xf>
    <xf numFmtId="3" fontId="7" fillId="0" borderId="30" xfId="0" applyNumberFormat="1" applyFont="1" applyFill="1" applyBorder="1"/>
    <xf numFmtId="0" fontId="0" fillId="2" borderId="20" xfId="0" applyFont="1" applyFill="1" applyBorder="1"/>
    <xf numFmtId="3" fontId="0" fillId="2" borderId="8" xfId="0" applyNumberFormat="1" applyFont="1" applyFill="1" applyBorder="1"/>
    <xf numFmtId="3" fontId="0" fillId="2" borderId="21" xfId="0" applyNumberFormat="1" applyFont="1" applyFill="1" applyBorder="1"/>
    <xf numFmtId="3" fontId="0" fillId="2" borderId="22" xfId="0" applyNumberFormat="1" applyFont="1" applyFill="1" applyBorder="1"/>
    <xf numFmtId="2" fontId="0" fillId="2" borderId="8" xfId="0" applyNumberFormat="1" applyFont="1" applyFill="1" applyBorder="1" applyAlignment="1">
      <alignment horizontal="right"/>
    </xf>
    <xf numFmtId="3" fontId="0" fillId="2" borderId="23" xfId="0" applyNumberFormat="1" applyFont="1" applyFill="1" applyBorder="1"/>
    <xf numFmtId="164" fontId="8" fillId="2" borderId="8" xfId="0" applyNumberFormat="1" applyFont="1" applyFill="1" applyBorder="1" applyProtection="1">
      <protection locked="0"/>
    </xf>
    <xf numFmtId="165" fontId="8" fillId="2" borderId="8" xfId="0" applyNumberFormat="1" applyFont="1" applyFill="1" applyBorder="1" applyProtection="1">
      <protection locked="0"/>
    </xf>
    <xf numFmtId="3" fontId="7" fillId="2" borderId="31" xfId="0" applyNumberFormat="1" applyFont="1" applyFill="1" applyBorder="1"/>
    <xf numFmtId="0" fontId="7" fillId="0" borderId="1" xfId="0" applyFont="1" applyFill="1" applyBorder="1"/>
    <xf numFmtId="3" fontId="7" fillId="0" borderId="9" xfId="0" applyNumberFormat="1" applyFont="1" applyFill="1" applyBorder="1"/>
    <xf numFmtId="3" fontId="7" fillId="0" borderId="11" xfId="0" applyNumberFormat="1" applyFont="1" applyFill="1" applyBorder="1"/>
    <xf numFmtId="3" fontId="7" fillId="0" borderId="10" xfId="0" applyNumberFormat="1" applyFont="1" applyFill="1" applyBorder="1"/>
    <xf numFmtId="4" fontId="14" fillId="0" borderId="9" xfId="0" applyNumberFormat="1" applyFont="1" applyFill="1" applyBorder="1" applyAlignment="1" applyProtection="1">
      <alignment horizontal="right"/>
      <protection locked="0"/>
    </xf>
    <xf numFmtId="3" fontId="7" fillId="0" borderId="2" xfId="0" applyNumberFormat="1" applyFont="1" applyFill="1" applyBorder="1"/>
    <xf numFmtId="3" fontId="0" fillId="0" borderId="9" xfId="0" applyNumberFormat="1" applyFont="1" applyFill="1" applyBorder="1"/>
    <xf numFmtId="165" fontId="0" fillId="0" borderId="9" xfId="0" applyNumberFormat="1" applyFont="1" applyFill="1" applyBorder="1"/>
    <xf numFmtId="3" fontId="7" fillId="0" borderId="28" xfId="0" applyNumberFormat="1" applyFont="1" applyFill="1" applyBorder="1"/>
    <xf numFmtId="0" fontId="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wrapText="1"/>
    </xf>
    <xf numFmtId="0" fontId="1" fillId="0" borderId="15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30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1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5" sqref="A5:E5"/>
    </sheetView>
  </sheetViews>
  <sheetFormatPr baseColWidth="10" defaultColWidth="11.5546875" defaultRowHeight="12.75" x14ac:dyDescent="0.2"/>
  <cols>
    <col min="1" max="1" width="16.6640625" style="1" customWidth="1"/>
    <col min="2" max="2" width="9" style="1" customWidth="1"/>
    <col min="3" max="3" width="17.77734375" style="1" customWidth="1"/>
    <col min="4" max="4" width="10" style="1" customWidth="1"/>
    <col min="5" max="5" width="7.88671875" style="1" customWidth="1"/>
    <col min="6" max="6" width="11.5546875" style="1" customWidth="1"/>
    <col min="7" max="16384" width="11.5546875" style="1"/>
  </cols>
  <sheetData>
    <row r="1" spans="1:5" ht="27.75" customHeight="1" x14ac:dyDescent="0.4">
      <c r="A1" s="194" t="s">
        <v>0</v>
      </c>
      <c r="B1" s="194"/>
      <c r="C1" s="194"/>
      <c r="D1" s="194"/>
      <c r="E1" s="194"/>
    </row>
    <row r="2" spans="1:5" ht="24.75" customHeight="1" x14ac:dyDescent="0.35">
      <c r="A2" s="193"/>
      <c r="B2" s="193"/>
      <c r="C2" s="193"/>
      <c r="D2" s="193"/>
      <c r="E2" s="193"/>
    </row>
    <row r="4" spans="1:5" ht="18" customHeight="1" x14ac:dyDescent="0.25">
      <c r="A4" s="192" t="str">
        <f>"Assessment year "&amp;C31</f>
        <v>Assessment year 2013</v>
      </c>
      <c r="B4" s="192"/>
      <c r="C4" s="192"/>
      <c r="D4" s="192"/>
      <c r="E4" s="192"/>
    </row>
    <row r="5" spans="1:5" ht="18" customHeight="1" x14ac:dyDescent="0.25">
      <c r="A5" s="192" t="str">
        <f>"Reference year "&amp;C30</f>
        <v>Reference year 2017</v>
      </c>
      <c r="B5" s="192"/>
      <c r="C5" s="192"/>
      <c r="D5" s="192"/>
      <c r="E5" s="192"/>
    </row>
    <row r="25" spans="2:3" x14ac:dyDescent="0.2">
      <c r="B25" s="2" t="s">
        <v>1</v>
      </c>
      <c r="C25" s="3"/>
    </row>
    <row r="26" spans="2:3" x14ac:dyDescent="0.2">
      <c r="B26" s="4" t="s">
        <v>2</v>
      </c>
      <c r="C26" s="5" t="s">
        <v>3</v>
      </c>
    </row>
    <row r="27" spans="2:3" x14ac:dyDescent="0.2">
      <c r="B27" s="4" t="s">
        <v>4</v>
      </c>
      <c r="C27" s="6" t="s">
        <v>5</v>
      </c>
    </row>
    <row r="28" spans="2:3" x14ac:dyDescent="0.2">
      <c r="B28" s="4" t="s">
        <v>6</v>
      </c>
      <c r="C28" s="6" t="s">
        <v>7</v>
      </c>
    </row>
    <row r="29" spans="2:3" x14ac:dyDescent="0.2">
      <c r="B29" s="4" t="s">
        <v>8</v>
      </c>
      <c r="C29" s="6" t="s">
        <v>9</v>
      </c>
    </row>
    <row r="30" spans="2:3" x14ac:dyDescent="0.2">
      <c r="B30" s="4" t="s">
        <v>10</v>
      </c>
      <c r="C30" s="6">
        <v>2017</v>
      </c>
    </row>
    <row r="31" spans="2:3" x14ac:dyDescent="0.2">
      <c r="B31" s="7" t="s">
        <v>11</v>
      </c>
      <c r="C31" s="8">
        <v>2013</v>
      </c>
    </row>
  </sheetData>
  <mergeCells count="4">
    <mergeCell ref="A5:E5"/>
    <mergeCell ref="A4:E4"/>
    <mergeCell ref="A2:E2"/>
    <mergeCell ref="A1:E1"/>
  </mergeCells>
  <conditionalFormatting sqref="C26:C31">
    <cfRule type="expression" dxfId="10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7"/>
  <sheetViews>
    <sheetView showGridLines="0" zoomScale="90" workbookViewId="0"/>
  </sheetViews>
  <sheetFormatPr baseColWidth="10" defaultColWidth="11.5546875" defaultRowHeight="15" x14ac:dyDescent="0.2"/>
  <cols>
    <col min="1" max="1" width="12.77734375" style="9" customWidth="1"/>
    <col min="2" max="2" width="17.6640625" style="9" customWidth="1"/>
    <col min="3" max="3" width="13.5546875" style="9" customWidth="1"/>
    <col min="4" max="5" width="13.33203125" style="9" customWidth="1"/>
    <col min="6" max="6" width="17.21875" style="9" customWidth="1"/>
    <col min="7" max="7" width="16.5546875" style="9" customWidth="1"/>
    <col min="8" max="9" width="13.33203125" style="9" customWidth="1"/>
  </cols>
  <sheetData>
    <row r="1" spans="1:9" ht="26.25" customHeight="1" x14ac:dyDescent="0.2">
      <c r="A1" s="10" t="str">
        <f>"Gross wages "&amp;Info!C31</f>
        <v>Gross wages 2013</v>
      </c>
      <c r="B1" s="10"/>
      <c r="C1" s="10"/>
      <c r="I1" s="11"/>
    </row>
    <row r="2" spans="1:9" ht="31.5" customHeight="1" x14ac:dyDescent="0.2">
      <c r="A2" s="12" t="str">
        <f>Info!A5</f>
        <v>Reference year 2017</v>
      </c>
      <c r="B2" s="13"/>
      <c r="C2" s="13"/>
      <c r="D2" s="14"/>
      <c r="I2" s="15" t="str">
        <f>Info!C28</f>
        <v>FA_2017_20160519</v>
      </c>
    </row>
    <row r="3" spans="1:9" s="16" customFormat="1" ht="12.75" x14ac:dyDescent="0.2">
      <c r="A3" s="17" t="s">
        <v>12</v>
      </c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  <c r="I3" s="19" t="s">
        <v>20</v>
      </c>
    </row>
    <row r="4" spans="1:9" s="20" customFormat="1" ht="11.25" customHeight="1" x14ac:dyDescent="0.2">
      <c r="A4" s="21" t="s">
        <v>21</v>
      </c>
      <c r="B4" s="22"/>
      <c r="C4" s="22"/>
      <c r="D4" s="22"/>
      <c r="E4" s="22"/>
      <c r="F4" s="23"/>
      <c r="G4" s="23"/>
      <c r="H4" s="23"/>
      <c r="I4" s="24" t="s">
        <v>22</v>
      </c>
    </row>
    <row r="5" spans="1:9" ht="15.75" customHeight="1" x14ac:dyDescent="0.2">
      <c r="A5" s="25" t="s">
        <v>23</v>
      </c>
      <c r="B5" s="26">
        <v>0</v>
      </c>
      <c r="C5" s="27">
        <v>1</v>
      </c>
      <c r="D5" s="28" t="s">
        <v>24</v>
      </c>
      <c r="E5" s="26" t="s">
        <v>25</v>
      </c>
      <c r="F5" s="26" t="s">
        <v>26</v>
      </c>
      <c r="G5" s="26" t="s">
        <v>27</v>
      </c>
      <c r="H5" s="27" t="s">
        <v>28</v>
      </c>
      <c r="I5" s="29"/>
    </row>
    <row r="6" spans="1:9" ht="21.75" customHeight="1" x14ac:dyDescent="0.2">
      <c r="A6" s="200"/>
      <c r="B6" s="195" t="s">
        <v>29</v>
      </c>
      <c r="C6" s="195" t="s">
        <v>30</v>
      </c>
      <c r="D6" s="197" t="s">
        <v>31</v>
      </c>
      <c r="E6" s="198"/>
      <c r="F6" s="198"/>
      <c r="G6" s="198"/>
      <c r="H6" s="199"/>
      <c r="I6" s="202" t="s">
        <v>32</v>
      </c>
    </row>
    <row r="7" spans="1:9" ht="38.25" customHeight="1" x14ac:dyDescent="0.2">
      <c r="A7" s="201"/>
      <c r="B7" s="196"/>
      <c r="C7" s="196"/>
      <c r="D7" s="32" t="s">
        <v>33</v>
      </c>
      <c r="E7" s="33" t="s">
        <v>34</v>
      </c>
      <c r="F7" s="33" t="s">
        <v>35</v>
      </c>
      <c r="G7" s="33" t="s">
        <v>36</v>
      </c>
      <c r="H7" s="34" t="s">
        <v>37</v>
      </c>
      <c r="I7" s="203"/>
    </row>
    <row r="8" spans="1:9" s="35" customFormat="1" ht="11.25" customHeight="1" x14ac:dyDescent="0.2">
      <c r="A8" s="36" t="s">
        <v>38</v>
      </c>
      <c r="B8" s="37" t="s">
        <v>39</v>
      </c>
      <c r="C8" s="37" t="s">
        <v>39</v>
      </c>
      <c r="D8" s="38" t="s">
        <v>39</v>
      </c>
      <c r="E8" s="37" t="s">
        <v>39</v>
      </c>
      <c r="F8" s="37" t="s">
        <v>39</v>
      </c>
      <c r="G8" s="37" t="s">
        <v>39</v>
      </c>
      <c r="H8" s="39" t="s">
        <v>39</v>
      </c>
      <c r="I8" s="40"/>
    </row>
    <row r="9" spans="1:9" s="41" customFormat="1" ht="11.25" customHeight="1" x14ac:dyDescent="0.2">
      <c r="A9" s="42" t="s">
        <v>40</v>
      </c>
      <c r="B9" s="43" t="s">
        <v>41</v>
      </c>
      <c r="C9" s="43" t="s">
        <v>41</v>
      </c>
      <c r="D9" s="44" t="s">
        <v>41</v>
      </c>
      <c r="E9" s="43" t="s">
        <v>41</v>
      </c>
      <c r="F9" s="43" t="s">
        <v>41</v>
      </c>
      <c r="G9" s="43" t="s">
        <v>41</v>
      </c>
      <c r="H9" s="45" t="s">
        <v>41</v>
      </c>
      <c r="I9" s="46" t="s">
        <v>41</v>
      </c>
    </row>
    <row r="10" spans="1:9" x14ac:dyDescent="0.2">
      <c r="A10" s="47" t="s">
        <v>42</v>
      </c>
      <c r="B10" s="48">
        <v>5367932719.9200001</v>
      </c>
      <c r="C10" s="48">
        <v>67006731</v>
      </c>
      <c r="D10" s="49">
        <v>0</v>
      </c>
      <c r="E10" s="48">
        <v>543781673</v>
      </c>
      <c r="F10" s="48">
        <v>0</v>
      </c>
      <c r="G10" s="48">
        <v>0</v>
      </c>
      <c r="H10" s="50">
        <v>0</v>
      </c>
      <c r="I10" s="51">
        <f t="shared" ref="I10:I36" si="0">SUM(B10:H10)</f>
        <v>5978721123.9200001</v>
      </c>
    </row>
    <row r="11" spans="1:9" x14ac:dyDescent="0.2">
      <c r="A11" s="52" t="s">
        <v>43</v>
      </c>
      <c r="B11" s="53">
        <v>1680950600.1600001</v>
      </c>
      <c r="C11" s="53">
        <v>151032838.84999999</v>
      </c>
      <c r="D11" s="54">
        <v>176386</v>
      </c>
      <c r="E11" s="53">
        <v>17746047.239999998</v>
      </c>
      <c r="F11" s="53">
        <v>0</v>
      </c>
      <c r="G11" s="53">
        <v>145903863.75999999</v>
      </c>
      <c r="H11" s="55">
        <v>0</v>
      </c>
      <c r="I11" s="56">
        <f t="shared" si="0"/>
        <v>1995809736.01</v>
      </c>
    </row>
    <row r="12" spans="1:9" x14ac:dyDescent="0.2">
      <c r="A12" s="57" t="s">
        <v>44</v>
      </c>
      <c r="B12" s="58">
        <v>702761743</v>
      </c>
      <c r="C12" s="58">
        <v>64426257.859999999</v>
      </c>
      <c r="D12" s="59">
        <v>1792582.85</v>
      </c>
      <c r="E12" s="58">
        <v>7931298</v>
      </c>
      <c r="F12" s="58">
        <v>0</v>
      </c>
      <c r="G12" s="58">
        <v>0</v>
      </c>
      <c r="H12" s="60">
        <v>0</v>
      </c>
      <c r="I12" s="61">
        <f t="shared" si="0"/>
        <v>776911881.71000004</v>
      </c>
    </row>
    <row r="13" spans="1:9" x14ac:dyDescent="0.2">
      <c r="A13" s="52" t="s">
        <v>45</v>
      </c>
      <c r="B13" s="53">
        <v>82499943.450000003</v>
      </c>
      <c r="C13" s="53">
        <v>751008.55</v>
      </c>
      <c r="D13" s="54">
        <v>0</v>
      </c>
      <c r="E13" s="53">
        <v>0</v>
      </c>
      <c r="F13" s="53">
        <v>0</v>
      </c>
      <c r="G13" s="53">
        <v>0</v>
      </c>
      <c r="H13" s="55">
        <v>0</v>
      </c>
      <c r="I13" s="56">
        <f t="shared" si="0"/>
        <v>83250952</v>
      </c>
    </row>
    <row r="14" spans="1:9" x14ac:dyDescent="0.2">
      <c r="A14" s="57" t="s">
        <v>46</v>
      </c>
      <c r="B14" s="58">
        <v>340913825.5</v>
      </c>
      <c r="C14" s="58">
        <v>64254360.789999999</v>
      </c>
      <c r="D14" s="59">
        <v>1449290.4</v>
      </c>
      <c r="E14" s="58">
        <v>3110978.66</v>
      </c>
      <c r="F14" s="58">
        <v>0</v>
      </c>
      <c r="G14" s="58">
        <v>0</v>
      </c>
      <c r="H14" s="60">
        <v>0</v>
      </c>
      <c r="I14" s="61">
        <f t="shared" si="0"/>
        <v>409728455.35000002</v>
      </c>
    </row>
    <row r="15" spans="1:9" x14ac:dyDescent="0.2">
      <c r="A15" s="52" t="s">
        <v>47</v>
      </c>
      <c r="B15" s="53">
        <v>85576863.299999997</v>
      </c>
      <c r="C15" s="53">
        <v>6759161.3099999996</v>
      </c>
      <c r="D15" s="54">
        <v>302505.59999999998</v>
      </c>
      <c r="E15" s="53">
        <v>190020</v>
      </c>
      <c r="F15" s="53">
        <v>0</v>
      </c>
      <c r="G15" s="53">
        <v>0</v>
      </c>
      <c r="H15" s="55">
        <v>0</v>
      </c>
      <c r="I15" s="56">
        <f t="shared" si="0"/>
        <v>92828550.209999993</v>
      </c>
    </row>
    <row r="16" spans="1:9" x14ac:dyDescent="0.2">
      <c r="A16" s="57" t="s">
        <v>48</v>
      </c>
      <c r="B16" s="58">
        <v>90110699.140000001</v>
      </c>
      <c r="C16" s="58">
        <v>1223974.33</v>
      </c>
      <c r="D16" s="59">
        <v>3104493.2</v>
      </c>
      <c r="E16" s="58">
        <v>917572.3</v>
      </c>
      <c r="F16" s="58">
        <v>0</v>
      </c>
      <c r="G16" s="58">
        <v>0</v>
      </c>
      <c r="H16" s="60">
        <v>0</v>
      </c>
      <c r="I16" s="61">
        <f t="shared" si="0"/>
        <v>95356738.969999999</v>
      </c>
    </row>
    <row r="17" spans="1:9" x14ac:dyDescent="0.2">
      <c r="A17" s="52" t="s">
        <v>49</v>
      </c>
      <c r="B17" s="53">
        <v>131680473.84</v>
      </c>
      <c r="C17" s="53">
        <v>360007.9</v>
      </c>
      <c r="D17" s="54">
        <v>7346131.1699999999</v>
      </c>
      <c r="E17" s="53">
        <v>857451.2</v>
      </c>
      <c r="F17" s="53">
        <v>0</v>
      </c>
      <c r="G17" s="53">
        <v>0</v>
      </c>
      <c r="H17" s="55">
        <v>0</v>
      </c>
      <c r="I17" s="56">
        <f t="shared" si="0"/>
        <v>140244064.10999998</v>
      </c>
    </row>
    <row r="18" spans="1:9" x14ac:dyDescent="0.2">
      <c r="A18" s="57" t="s">
        <v>50</v>
      </c>
      <c r="B18" s="58">
        <v>548036380</v>
      </c>
      <c r="C18" s="58">
        <v>70421865</v>
      </c>
      <c r="D18" s="59">
        <v>4049822</v>
      </c>
      <c r="E18" s="58">
        <v>6219131</v>
      </c>
      <c r="F18" s="58">
        <v>0</v>
      </c>
      <c r="G18" s="58">
        <v>0</v>
      </c>
      <c r="H18" s="60">
        <v>0</v>
      </c>
      <c r="I18" s="61">
        <f t="shared" si="0"/>
        <v>628727198</v>
      </c>
    </row>
    <row r="19" spans="1:9" x14ac:dyDescent="0.2">
      <c r="A19" s="52" t="s">
        <v>51</v>
      </c>
      <c r="B19" s="53">
        <v>666558678</v>
      </c>
      <c r="C19" s="53">
        <v>0</v>
      </c>
      <c r="D19" s="54">
        <v>2496028</v>
      </c>
      <c r="E19" s="53">
        <v>0</v>
      </c>
      <c r="F19" s="53">
        <v>0</v>
      </c>
      <c r="G19" s="53">
        <v>0</v>
      </c>
      <c r="H19" s="55">
        <v>0</v>
      </c>
      <c r="I19" s="56">
        <f t="shared" si="0"/>
        <v>669054706</v>
      </c>
    </row>
    <row r="20" spans="1:9" x14ac:dyDescent="0.2">
      <c r="A20" s="57" t="s">
        <v>52</v>
      </c>
      <c r="B20" s="58">
        <v>387293408</v>
      </c>
      <c r="C20" s="58">
        <v>24061872</v>
      </c>
      <c r="D20" s="59">
        <v>936924</v>
      </c>
      <c r="E20" s="58">
        <v>40503064</v>
      </c>
      <c r="F20" s="58">
        <v>0</v>
      </c>
      <c r="G20" s="58">
        <v>84784530</v>
      </c>
      <c r="H20" s="60">
        <v>0</v>
      </c>
      <c r="I20" s="61">
        <f t="shared" si="0"/>
        <v>537579798</v>
      </c>
    </row>
    <row r="21" spans="1:9" x14ac:dyDescent="0.2">
      <c r="A21" s="52" t="s">
        <v>53</v>
      </c>
      <c r="B21" s="53">
        <v>787282225.5</v>
      </c>
      <c r="C21" s="53">
        <v>178917831.12</v>
      </c>
      <c r="D21" s="54">
        <v>839714.16</v>
      </c>
      <c r="E21" s="53">
        <v>1378208452.1900001</v>
      </c>
      <c r="F21" s="53">
        <v>0</v>
      </c>
      <c r="G21" s="53">
        <v>1658165553.7</v>
      </c>
      <c r="H21" s="55">
        <v>0</v>
      </c>
      <c r="I21" s="56">
        <f t="shared" si="0"/>
        <v>4003413776.6700001</v>
      </c>
    </row>
    <row r="22" spans="1:9" x14ac:dyDescent="0.2">
      <c r="A22" s="57" t="s">
        <v>54</v>
      </c>
      <c r="B22" s="58">
        <v>406098243.45999998</v>
      </c>
      <c r="C22" s="58">
        <v>100447655.81999999</v>
      </c>
      <c r="D22" s="59">
        <v>2137820.4</v>
      </c>
      <c r="E22" s="58">
        <v>680901825.47000003</v>
      </c>
      <c r="F22" s="58">
        <v>0</v>
      </c>
      <c r="G22" s="58">
        <v>975451140</v>
      </c>
      <c r="H22" s="60">
        <v>0</v>
      </c>
      <c r="I22" s="61">
        <f t="shared" si="0"/>
        <v>2165036685.1500001</v>
      </c>
    </row>
    <row r="23" spans="1:9" x14ac:dyDescent="0.2">
      <c r="A23" s="52" t="s">
        <v>55</v>
      </c>
      <c r="B23" s="53">
        <v>300746895.16000003</v>
      </c>
      <c r="C23" s="53">
        <v>26342254.550000001</v>
      </c>
      <c r="D23" s="54">
        <v>673350.35</v>
      </c>
      <c r="E23" s="53">
        <v>368186083.19999999</v>
      </c>
      <c r="F23" s="53">
        <v>0</v>
      </c>
      <c r="G23" s="53">
        <v>0</v>
      </c>
      <c r="H23" s="55">
        <v>0</v>
      </c>
      <c r="I23" s="56">
        <f t="shared" si="0"/>
        <v>695948583.25999999</v>
      </c>
    </row>
    <row r="24" spans="1:9" x14ac:dyDescent="0.2">
      <c r="A24" s="57" t="s">
        <v>56</v>
      </c>
      <c r="B24" s="58">
        <v>94268431</v>
      </c>
      <c r="C24" s="58">
        <v>6357195</v>
      </c>
      <c r="D24" s="59">
        <v>13276003</v>
      </c>
      <c r="E24" s="58">
        <v>3809893</v>
      </c>
      <c r="F24" s="58">
        <v>0</v>
      </c>
      <c r="G24" s="58">
        <v>0</v>
      </c>
      <c r="H24" s="60">
        <v>0</v>
      </c>
      <c r="I24" s="61">
        <f t="shared" si="0"/>
        <v>117711522</v>
      </c>
    </row>
    <row r="25" spans="1:9" x14ac:dyDescent="0.2">
      <c r="A25" s="52" t="s">
        <v>57</v>
      </c>
      <c r="B25" s="53">
        <v>21126541.940000001</v>
      </c>
      <c r="C25" s="53">
        <v>1319338.6000000001</v>
      </c>
      <c r="D25" s="54">
        <v>4386330.59</v>
      </c>
      <c r="E25" s="53">
        <v>719195.75</v>
      </c>
      <c r="F25" s="53">
        <v>0</v>
      </c>
      <c r="G25" s="53">
        <v>0</v>
      </c>
      <c r="H25" s="55">
        <v>0</v>
      </c>
      <c r="I25" s="56">
        <f t="shared" si="0"/>
        <v>27551406.880000003</v>
      </c>
    </row>
    <row r="26" spans="1:9" x14ac:dyDescent="0.2">
      <c r="A26" s="57" t="s">
        <v>58</v>
      </c>
      <c r="B26" s="58">
        <v>1052375416.47</v>
      </c>
      <c r="C26" s="58">
        <v>79176906</v>
      </c>
      <c r="D26" s="59">
        <v>496755471.77999997</v>
      </c>
      <c r="E26" s="58">
        <v>83326792</v>
      </c>
      <c r="F26" s="58">
        <v>0</v>
      </c>
      <c r="G26" s="58">
        <v>0</v>
      </c>
      <c r="H26" s="60">
        <v>0</v>
      </c>
      <c r="I26" s="61">
        <f t="shared" si="0"/>
        <v>1711634586.25</v>
      </c>
    </row>
    <row r="27" spans="1:9" x14ac:dyDescent="0.2">
      <c r="A27" s="52" t="s">
        <v>59</v>
      </c>
      <c r="B27" s="53">
        <v>900023976</v>
      </c>
      <c r="C27" s="53">
        <v>203944237</v>
      </c>
      <c r="D27" s="54">
        <v>23316310</v>
      </c>
      <c r="E27" s="53">
        <v>648686</v>
      </c>
      <c r="F27" s="53">
        <v>0</v>
      </c>
      <c r="G27" s="53">
        <v>0</v>
      </c>
      <c r="H27" s="55">
        <v>79396855</v>
      </c>
      <c r="I27" s="56">
        <f t="shared" si="0"/>
        <v>1207330064</v>
      </c>
    </row>
    <row r="28" spans="1:9" x14ac:dyDescent="0.2">
      <c r="A28" s="57" t="s">
        <v>60</v>
      </c>
      <c r="B28" s="58">
        <v>1192495724.5599999</v>
      </c>
      <c r="C28" s="58">
        <v>277188697.5</v>
      </c>
      <c r="D28" s="59">
        <v>3589400.5</v>
      </c>
      <c r="E28" s="58">
        <v>889603144</v>
      </c>
      <c r="F28" s="58">
        <v>0</v>
      </c>
      <c r="G28" s="58">
        <v>0</v>
      </c>
      <c r="H28" s="60">
        <v>0</v>
      </c>
      <c r="I28" s="61">
        <f t="shared" si="0"/>
        <v>2362876966.5599999</v>
      </c>
    </row>
    <row r="29" spans="1:9" x14ac:dyDescent="0.2">
      <c r="A29" s="52" t="s">
        <v>61</v>
      </c>
      <c r="B29" s="53">
        <v>629100286.84000003</v>
      </c>
      <c r="C29" s="53">
        <v>59071726.659999996</v>
      </c>
      <c r="D29" s="54">
        <v>16570844.300000001</v>
      </c>
      <c r="E29" s="53">
        <v>286174871.25999999</v>
      </c>
      <c r="F29" s="53">
        <v>0</v>
      </c>
      <c r="G29" s="53">
        <v>0</v>
      </c>
      <c r="H29" s="55">
        <v>0</v>
      </c>
      <c r="I29" s="56">
        <f t="shared" si="0"/>
        <v>990917729.05999994</v>
      </c>
    </row>
    <row r="30" spans="1:9" x14ac:dyDescent="0.2">
      <c r="A30" s="57" t="s">
        <v>62</v>
      </c>
      <c r="B30" s="58">
        <v>870514591</v>
      </c>
      <c r="C30" s="58">
        <v>589389157</v>
      </c>
      <c r="D30" s="59">
        <v>5359511</v>
      </c>
      <c r="E30" s="58">
        <v>0</v>
      </c>
      <c r="F30" s="58">
        <v>0</v>
      </c>
      <c r="G30" s="58">
        <v>0</v>
      </c>
      <c r="H30" s="60">
        <v>2683641032</v>
      </c>
      <c r="I30" s="61">
        <f t="shared" si="0"/>
        <v>4148904291</v>
      </c>
    </row>
    <row r="31" spans="1:9" x14ac:dyDescent="0.2">
      <c r="A31" s="52" t="s">
        <v>63</v>
      </c>
      <c r="B31" s="53">
        <v>2821796250</v>
      </c>
      <c r="C31" s="53">
        <v>0</v>
      </c>
      <c r="D31" s="54">
        <v>0</v>
      </c>
      <c r="E31" s="53">
        <v>0</v>
      </c>
      <c r="F31" s="53">
        <v>0</v>
      </c>
      <c r="G31" s="53">
        <v>2081665244.73</v>
      </c>
      <c r="H31" s="55">
        <v>0</v>
      </c>
      <c r="I31" s="56">
        <f t="shared" si="0"/>
        <v>4903461494.7299995</v>
      </c>
    </row>
    <row r="32" spans="1:9" x14ac:dyDescent="0.2">
      <c r="A32" s="57" t="s">
        <v>64</v>
      </c>
      <c r="B32" s="58">
        <v>1085344327.6600001</v>
      </c>
      <c r="C32" s="58">
        <v>10007565.949999999</v>
      </c>
      <c r="D32" s="59">
        <v>0</v>
      </c>
      <c r="E32" s="58">
        <v>241649.15</v>
      </c>
      <c r="F32" s="58">
        <v>0</v>
      </c>
      <c r="G32" s="58">
        <v>96846148.659999996</v>
      </c>
      <c r="H32" s="60">
        <v>62766515.170000002</v>
      </c>
      <c r="I32" s="61">
        <f t="shared" si="0"/>
        <v>1255206206.5900004</v>
      </c>
    </row>
    <row r="33" spans="1:9" x14ac:dyDescent="0.2">
      <c r="A33" s="52" t="s">
        <v>65</v>
      </c>
      <c r="B33" s="53">
        <v>377962217</v>
      </c>
      <c r="C33" s="53">
        <v>36638705</v>
      </c>
      <c r="D33" s="54">
        <v>68989</v>
      </c>
      <c r="E33" s="53">
        <v>272698</v>
      </c>
      <c r="F33" s="53">
        <v>0</v>
      </c>
      <c r="G33" s="53">
        <v>951588006</v>
      </c>
      <c r="H33" s="55">
        <v>0</v>
      </c>
      <c r="I33" s="56">
        <f t="shared" si="0"/>
        <v>1366530615</v>
      </c>
    </row>
    <row r="34" spans="1:9" x14ac:dyDescent="0.2">
      <c r="A34" s="57" t="s">
        <v>66</v>
      </c>
      <c r="B34" s="58">
        <v>3015523060</v>
      </c>
      <c r="C34" s="58">
        <v>432310044</v>
      </c>
      <c r="D34" s="59">
        <v>2618162</v>
      </c>
      <c r="E34" s="58">
        <v>0</v>
      </c>
      <c r="F34" s="58">
        <v>8011495231</v>
      </c>
      <c r="G34" s="58">
        <v>0</v>
      </c>
      <c r="H34" s="60">
        <v>0</v>
      </c>
      <c r="I34" s="61">
        <f t="shared" si="0"/>
        <v>11461946497</v>
      </c>
    </row>
    <row r="35" spans="1:9" x14ac:dyDescent="0.2">
      <c r="A35" s="62" t="s">
        <v>67</v>
      </c>
      <c r="B35" s="63">
        <v>81254548</v>
      </c>
      <c r="C35" s="63">
        <v>12835573</v>
      </c>
      <c r="D35" s="64">
        <v>0</v>
      </c>
      <c r="E35" s="63">
        <v>590388</v>
      </c>
      <c r="F35" s="63">
        <v>0</v>
      </c>
      <c r="G35" s="63">
        <v>495199796</v>
      </c>
      <c r="H35" s="65">
        <v>0</v>
      </c>
      <c r="I35" s="66">
        <f t="shared" si="0"/>
        <v>589880305</v>
      </c>
    </row>
    <row r="36" spans="1:9" x14ac:dyDescent="0.2">
      <c r="A36" s="2" t="s">
        <v>68</v>
      </c>
      <c r="B36" s="67">
        <f t="shared" ref="B36:H36" si="1">SUM(B10:B35)</f>
        <v>23720228068.899998</v>
      </c>
      <c r="C36" s="67">
        <f t="shared" si="1"/>
        <v>2464244964.79</v>
      </c>
      <c r="D36" s="68">
        <f t="shared" si="1"/>
        <v>591246070.29999995</v>
      </c>
      <c r="E36" s="67">
        <f t="shared" si="1"/>
        <v>4313940913.4200001</v>
      </c>
      <c r="F36" s="67">
        <f t="shared" si="1"/>
        <v>8011495231</v>
      </c>
      <c r="G36" s="67">
        <f t="shared" si="1"/>
        <v>6489604282.8500004</v>
      </c>
      <c r="H36" s="69">
        <f t="shared" si="1"/>
        <v>2825804402.1700001</v>
      </c>
      <c r="I36" s="70">
        <f t="shared" si="0"/>
        <v>48416563933.429993</v>
      </c>
    </row>
    <row r="37" spans="1:9" x14ac:dyDescent="0.2">
      <c r="A37" s="71"/>
      <c r="B37" s="71"/>
    </row>
  </sheetData>
  <mergeCells count="5">
    <mergeCell ref="C6:C7"/>
    <mergeCell ref="B6:B7"/>
    <mergeCell ref="D6:H6"/>
    <mergeCell ref="A6:A7"/>
    <mergeCell ref="I6:I7"/>
  </mergeCells>
  <conditionalFormatting sqref="B10:H35">
    <cfRule type="expression" dxfId="9" priority="1" stopIfTrue="1">
      <formula>ISBLANK(B10)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>
    <oddHeader>&amp;L&amp;10&amp;F&amp;R&amp;10&amp;A</oddHeader>
    <oddFooter>&amp;C&amp;10&amp;P/&amp;N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"/>
  <sheetViews>
    <sheetView showGridLines="0" workbookViewId="0"/>
  </sheetViews>
  <sheetFormatPr baseColWidth="10" defaultColWidth="11.5546875" defaultRowHeight="15" x14ac:dyDescent="0.2"/>
  <cols>
    <col min="1" max="1" width="36.109375" style="9" customWidth="1"/>
    <col min="2" max="2" width="12.33203125" style="35" customWidth="1"/>
    <col min="3" max="3" width="15.88671875" style="9" customWidth="1"/>
    <col min="4" max="4" width="10" style="9" customWidth="1"/>
  </cols>
  <sheetData>
    <row r="1" spans="1:4" ht="18" customHeight="1" x14ac:dyDescent="0.25">
      <c r="A1" s="72" t="str">
        <f>"Gamma calculation "&amp;Info!C31</f>
        <v>Gamma calculation 2013</v>
      </c>
      <c r="B1" s="73"/>
    </row>
    <row r="2" spans="1:4" ht="15.75" customHeight="1" x14ac:dyDescent="0.2">
      <c r="A2" s="74" t="str">
        <f>Gross_wages!A2</f>
        <v>Reference year 2017</v>
      </c>
      <c r="B2" s="75"/>
    </row>
    <row r="3" spans="1:4" ht="33" customHeight="1" x14ac:dyDescent="0.2">
      <c r="C3" s="76" t="str">
        <f>Info!$C$28</f>
        <v>FA_2017_20160519</v>
      </c>
    </row>
    <row r="4" spans="1:4" ht="15.75" customHeight="1" x14ac:dyDescent="0.25">
      <c r="B4" s="77" t="s">
        <v>38</v>
      </c>
      <c r="C4" s="78" t="s">
        <v>69</v>
      </c>
      <c r="D4" s="79"/>
    </row>
    <row r="5" spans="1:4" x14ac:dyDescent="0.2">
      <c r="A5" s="71" t="s">
        <v>70</v>
      </c>
      <c r="B5" s="80" t="s">
        <v>71</v>
      </c>
      <c r="C5" s="81">
        <v>470736198.29796499</v>
      </c>
      <c r="D5" s="82"/>
    </row>
    <row r="6" spans="1:4" x14ac:dyDescent="0.2">
      <c r="A6" s="83" t="s">
        <v>72</v>
      </c>
      <c r="B6" s="84" t="str">
        <f>"ATB_"&amp;Info!C30&amp;"_"&amp;Info!C31&amp;".xlsx"</f>
        <v>ATB_2017_2013.xlsx</v>
      </c>
      <c r="C6" s="85">
        <f>Calculation_ITS!O39</f>
        <v>166207085.79999995</v>
      </c>
      <c r="D6" s="82"/>
    </row>
    <row r="7" spans="1:4" ht="24.75" customHeight="1" x14ac:dyDescent="0.25">
      <c r="A7" s="86" t="s">
        <v>73</v>
      </c>
      <c r="B7" s="87"/>
      <c r="C7" s="88">
        <f>ROUND(C6/C5,3)</f>
        <v>0.35299999999999998</v>
      </c>
    </row>
    <row r="8" spans="1:4" ht="15.75" customHeight="1" x14ac:dyDescent="0.2"/>
  </sheetData>
  <conditionalFormatting sqref="C5:C6">
    <cfRule type="expression" dxfId="8" priority="1" stopIfTrue="1">
      <formula>ISBLANK(C5)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&amp;L&amp;10&amp;F&amp;R&amp;10&amp;A</oddHeader>
    <oddFooter>&amp;C&amp;10&amp;P/&amp;N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39"/>
  <sheetViews>
    <sheetView showGridLines="0" zoomScale="75" workbookViewId="0"/>
  </sheetViews>
  <sheetFormatPr baseColWidth="10" defaultColWidth="11.5546875" defaultRowHeight="15" x14ac:dyDescent="0.2"/>
  <cols>
    <col min="1" max="1" width="17.44140625" style="9" customWidth="1"/>
    <col min="2" max="2" width="18.77734375" style="9" customWidth="1"/>
    <col min="3" max="3" width="13.33203125" style="9" customWidth="1"/>
    <col min="4" max="5" width="13.44140625" style="9" customWidth="1"/>
    <col min="6" max="7" width="15.109375" style="9" customWidth="1"/>
    <col min="8" max="9" width="13.33203125" style="9" customWidth="1"/>
    <col min="10" max="10" width="10.88671875" style="9" customWidth="1"/>
    <col min="11" max="12" width="13.77734375" style="9" customWidth="1"/>
    <col min="13" max="13" width="2" style="9" customWidth="1"/>
    <col min="14" max="14" width="15.33203125" style="9" customWidth="1"/>
    <col min="15" max="15" width="15.21875" style="9" customWidth="1"/>
    <col min="16" max="16" width="21.6640625" style="9" customWidth="1"/>
    <col min="17" max="17" width="16.21875" style="9" customWidth="1"/>
    <col min="18" max="18" width="3.6640625" style="89" customWidth="1"/>
    <col min="19" max="19" width="18.77734375" style="9" customWidth="1"/>
    <col min="20" max="20" width="3.6640625" style="9" customWidth="1"/>
    <col min="21" max="21" width="11.5546875" style="9" customWidth="1"/>
    <col min="22" max="22" width="17.5546875" style="9" customWidth="1"/>
    <col min="23" max="23" width="11.5546875" style="9" customWidth="1"/>
    <col min="24" max="16384" width="11.5546875" style="9"/>
  </cols>
  <sheetData>
    <row r="1" spans="1:22" ht="26.25" customHeight="1" x14ac:dyDescent="0.2">
      <c r="A1" s="10" t="str">
        <f>"Income taxed at source (ITS) "&amp;Info!C31</f>
        <v>Income taxed at source (ITS) 2013</v>
      </c>
      <c r="B1" s="10"/>
      <c r="C1" s="10"/>
      <c r="D1" s="10"/>
      <c r="E1" s="10"/>
      <c r="F1" s="10"/>
      <c r="H1" s="11"/>
      <c r="R1" s="9"/>
    </row>
    <row r="2" spans="1:22" ht="18.75" customHeight="1" x14ac:dyDescent="0.25">
      <c r="A2" s="90" t="str">
        <f>Info!A5</f>
        <v>Reference year 2017</v>
      </c>
      <c r="B2" s="91"/>
      <c r="H2" s="89"/>
      <c r="R2" s="9"/>
    </row>
    <row r="3" spans="1:22" ht="18.75" customHeight="1" x14ac:dyDescent="0.25">
      <c r="A3" s="92"/>
      <c r="B3" s="91"/>
      <c r="H3" s="89"/>
      <c r="L3" s="93" t="str">
        <f>Info!C28</f>
        <v>FA_2017_20160519</v>
      </c>
      <c r="R3" s="9"/>
    </row>
    <row r="4" spans="1:22" ht="37.5" customHeight="1" x14ac:dyDescent="0.2">
      <c r="A4" s="205" t="str">
        <f>"Calculation based on gross wages "&amp;Info!C31</f>
        <v>Calculation based on gross wages 2013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7"/>
      <c r="N4" s="210" t="s">
        <v>74</v>
      </c>
      <c r="O4" s="211"/>
      <c r="P4" s="211"/>
      <c r="Q4" s="212"/>
      <c r="S4" s="94"/>
    </row>
    <row r="5" spans="1:22" ht="16.5" customHeight="1" x14ac:dyDescent="0.2">
      <c r="A5" s="95"/>
      <c r="B5" s="96"/>
      <c r="C5" s="96"/>
      <c r="D5" s="96"/>
      <c r="E5" s="96"/>
      <c r="F5" s="96"/>
      <c r="G5" s="96"/>
      <c r="H5" s="96"/>
      <c r="I5" s="95"/>
      <c r="J5" s="96"/>
      <c r="K5" s="96"/>
      <c r="N5" s="97"/>
    </row>
    <row r="6" spans="1:22" ht="16.5" customHeight="1" x14ac:dyDescent="0.2">
      <c r="A6" s="98" t="s">
        <v>12</v>
      </c>
      <c r="B6" s="99" t="s">
        <v>13</v>
      </c>
      <c r="C6" s="99" t="s">
        <v>14</v>
      </c>
      <c r="D6" s="99" t="s">
        <v>15</v>
      </c>
      <c r="E6" s="99" t="s">
        <v>16</v>
      </c>
      <c r="F6" s="99" t="s">
        <v>17</v>
      </c>
      <c r="G6" s="99" t="s">
        <v>18</v>
      </c>
      <c r="H6" s="99" t="s">
        <v>19</v>
      </c>
      <c r="I6" s="99" t="s">
        <v>75</v>
      </c>
      <c r="J6" s="99" t="s">
        <v>76</v>
      </c>
      <c r="K6" s="99" t="s">
        <v>77</v>
      </c>
      <c r="L6" s="100" t="s">
        <v>78</v>
      </c>
      <c r="M6" s="101"/>
      <c r="N6" s="102"/>
      <c r="O6" s="103" t="s">
        <v>79</v>
      </c>
      <c r="P6" s="103" t="s">
        <v>80</v>
      </c>
      <c r="Q6" s="104" t="s">
        <v>81</v>
      </c>
      <c r="R6" s="105"/>
      <c r="S6" s="106" t="s">
        <v>82</v>
      </c>
    </row>
    <row r="7" spans="1:22" ht="16.5" customHeight="1" x14ac:dyDescent="0.2">
      <c r="A7" s="107" t="s">
        <v>21</v>
      </c>
      <c r="B7" s="108" t="s">
        <v>83</v>
      </c>
      <c r="C7" s="108" t="s">
        <v>83</v>
      </c>
      <c r="D7" s="109" t="str">
        <f>IF(Info!C31&lt;2006,"0.03 / STR","(1-0.125)*gamma")</f>
        <v>(1-0.125)*gamma</v>
      </c>
      <c r="E7" s="110" t="s">
        <v>84</v>
      </c>
      <c r="F7" s="110" t="s">
        <v>85</v>
      </c>
      <c r="G7" s="110" t="s">
        <v>84</v>
      </c>
      <c r="H7" s="111" t="s">
        <v>86</v>
      </c>
      <c r="I7" s="110" t="s">
        <v>87</v>
      </c>
      <c r="J7" s="110"/>
      <c r="K7" s="110" t="s">
        <v>88</v>
      </c>
      <c r="L7" s="112" t="s">
        <v>89</v>
      </c>
      <c r="M7" s="101"/>
      <c r="N7" s="113" t="s">
        <v>21</v>
      </c>
      <c r="O7" s="114"/>
      <c r="P7" s="114"/>
      <c r="Q7" s="115" t="s">
        <v>90</v>
      </c>
      <c r="R7" s="105"/>
      <c r="S7" s="116" t="s">
        <v>91</v>
      </c>
    </row>
    <row r="8" spans="1:22" s="1" customFormat="1" ht="15.75" customHeight="1" x14ac:dyDescent="0.2">
      <c r="A8" s="25" t="s">
        <v>23</v>
      </c>
      <c r="B8" s="26">
        <v>0</v>
      </c>
      <c r="C8" s="26">
        <v>1</v>
      </c>
      <c r="D8" s="28" t="s">
        <v>24</v>
      </c>
      <c r="E8" s="26" t="s">
        <v>25</v>
      </c>
      <c r="F8" s="26" t="s">
        <v>26</v>
      </c>
      <c r="G8" s="26" t="s">
        <v>27</v>
      </c>
      <c r="H8" s="27" t="s">
        <v>28</v>
      </c>
      <c r="I8" s="26"/>
      <c r="J8" s="26"/>
      <c r="K8" s="117"/>
      <c r="L8" s="29"/>
      <c r="M8" s="118"/>
      <c r="N8" s="30"/>
      <c r="O8" s="220" t="str">
        <f>"Relevant income "&amp;Info!C31</f>
        <v>Relevant income 2013</v>
      </c>
      <c r="P8" s="195" t="s">
        <v>92</v>
      </c>
      <c r="Q8" s="202" t="s">
        <v>93</v>
      </c>
      <c r="R8" s="119"/>
      <c r="S8" s="213" t="s">
        <v>94</v>
      </c>
    </row>
    <row r="9" spans="1:22" s="120" customFormat="1" ht="15.75" customHeight="1" x14ac:dyDescent="0.2">
      <c r="A9" s="30"/>
      <c r="B9" s="195" t="s">
        <v>29</v>
      </c>
      <c r="C9" s="195" t="s">
        <v>30</v>
      </c>
      <c r="D9" s="197" t="s">
        <v>31</v>
      </c>
      <c r="E9" s="198"/>
      <c r="F9" s="198"/>
      <c r="G9" s="198"/>
      <c r="H9" s="199"/>
      <c r="I9" s="195" t="s">
        <v>95</v>
      </c>
      <c r="J9" s="195" t="s">
        <v>96</v>
      </c>
      <c r="K9" s="195" t="s">
        <v>97</v>
      </c>
      <c r="L9" s="202" t="s">
        <v>98</v>
      </c>
      <c r="M9" s="118"/>
      <c r="N9" s="121"/>
      <c r="O9" s="221"/>
      <c r="P9" s="204"/>
      <c r="Q9" s="208"/>
      <c r="R9" s="119"/>
      <c r="S9" s="214"/>
      <c r="U9" s="122"/>
      <c r="V9" s="123" t="str">
        <f>Info!C28</f>
        <v>FA_2017_20160519</v>
      </c>
    </row>
    <row r="10" spans="1:22" s="120" customFormat="1" ht="66" customHeight="1" x14ac:dyDescent="0.2">
      <c r="A10" s="31"/>
      <c r="B10" s="204"/>
      <c r="C10" s="204"/>
      <c r="D10" s="32" t="s">
        <v>33</v>
      </c>
      <c r="E10" s="33" t="s">
        <v>34</v>
      </c>
      <c r="F10" s="33" t="s">
        <v>35</v>
      </c>
      <c r="G10" s="33" t="s">
        <v>36</v>
      </c>
      <c r="H10" s="34" t="s">
        <v>37</v>
      </c>
      <c r="I10" s="204"/>
      <c r="J10" s="204"/>
      <c r="K10" s="204"/>
      <c r="L10" s="208"/>
      <c r="M10" s="118"/>
      <c r="N10" s="124"/>
      <c r="O10" s="222"/>
      <c r="P10" s="219"/>
      <c r="Q10" s="209"/>
      <c r="R10" s="119"/>
      <c r="S10" s="214"/>
      <c r="U10" s="217" t="str">
        <f>"Standardised tax rate 
(STRate) "&amp;Info!C30-1</f>
        <v>Standardised tax rate 
(STRate) 2016</v>
      </c>
      <c r="V10" s="218"/>
    </row>
    <row r="11" spans="1:22" s="125" customFormat="1" ht="15" customHeight="1" x14ac:dyDescent="0.2">
      <c r="A11" s="126" t="s">
        <v>99</v>
      </c>
      <c r="B11" s="127">
        <f>gamma</f>
        <v>0.35299999999999998</v>
      </c>
      <c r="C11" s="127">
        <f>gamma</f>
        <v>0.35299999999999998</v>
      </c>
      <c r="D11" s="128">
        <f>IF(Info!C31&lt;2006,0.03/sst,0.875*gamma)</f>
        <v>0.30887500000000001</v>
      </c>
      <c r="E11" s="127">
        <f>0.045/sst</f>
        <v>0.16853932584269662</v>
      </c>
      <c r="F11" s="127">
        <f>gamma-0.035/sst</f>
        <v>0.22191385767790259</v>
      </c>
      <c r="G11" s="127">
        <f>0.045/sst</f>
        <v>0.16853932584269662</v>
      </c>
      <c r="H11" s="129">
        <f>0.6*gamma</f>
        <v>0.21179999999999999</v>
      </c>
      <c r="I11" s="127"/>
      <c r="J11" s="127"/>
      <c r="K11" s="127"/>
      <c r="L11" s="130"/>
      <c r="M11" s="131"/>
      <c r="N11" s="132" t="s">
        <v>38</v>
      </c>
      <c r="O11" s="133" t="str">
        <f>Gamma!B6</f>
        <v>ATB_2017_2013.xlsx</v>
      </c>
      <c r="P11" s="133"/>
      <c r="Q11" s="133"/>
      <c r="R11" s="134"/>
      <c r="S11" s="135"/>
      <c r="U11" s="215" t="str">
        <f>"Data source: ER_"&amp;Info!C30-1&amp;".xlsx"</f>
        <v>Data source: ER_2016.xlsx</v>
      </c>
      <c r="V11" s="216"/>
    </row>
    <row r="12" spans="1:22" s="125" customFormat="1" ht="12.75" x14ac:dyDescent="0.2">
      <c r="A12" s="126" t="s">
        <v>40</v>
      </c>
      <c r="B12" s="127" t="s">
        <v>69</v>
      </c>
      <c r="C12" s="127" t="s">
        <v>69</v>
      </c>
      <c r="D12" s="128" t="s">
        <v>69</v>
      </c>
      <c r="E12" s="127" t="s">
        <v>69</v>
      </c>
      <c r="F12" s="127" t="s">
        <v>69</v>
      </c>
      <c r="G12" s="127" t="s">
        <v>69</v>
      </c>
      <c r="H12" s="129" t="s">
        <v>69</v>
      </c>
      <c r="I12" s="127" t="s">
        <v>69</v>
      </c>
      <c r="J12" s="127"/>
      <c r="K12" s="127" t="s">
        <v>69</v>
      </c>
      <c r="L12" s="136" t="s">
        <v>69</v>
      </c>
      <c r="M12" s="131"/>
      <c r="N12" s="126" t="s">
        <v>40</v>
      </c>
      <c r="O12" s="127" t="s">
        <v>69</v>
      </c>
      <c r="P12" s="137"/>
      <c r="Q12" s="136" t="s">
        <v>69</v>
      </c>
      <c r="R12" s="134"/>
      <c r="S12" s="138" t="s">
        <v>69</v>
      </c>
      <c r="U12" s="139"/>
      <c r="V12" s="140"/>
    </row>
    <row r="13" spans="1:22" ht="15.75" customHeight="1" x14ac:dyDescent="0.25">
      <c r="A13" s="141" t="s">
        <v>42</v>
      </c>
      <c r="B13" s="142">
        <f>(Gross_wages!B10*B$11)/1000</f>
        <v>1894880.2501317598</v>
      </c>
      <c r="C13" s="142">
        <f>(Gross_wages!C10*C$11)/1000</f>
        <v>23653.376042999997</v>
      </c>
      <c r="D13" s="143">
        <f>(Gross_wages!D10*D$11)/1000</f>
        <v>0</v>
      </c>
      <c r="E13" s="142">
        <f>(Gross_wages!E10*E$11)/1000</f>
        <v>91648.596573033705</v>
      </c>
      <c r="F13" s="142">
        <f>(Gross_wages!F10*F$11)/1000</f>
        <v>0</v>
      </c>
      <c r="G13" s="142">
        <f>(Gross_wages!G10*G$11)/1000</f>
        <v>0</v>
      </c>
      <c r="H13" s="144">
        <f>(Gross_wages!H10*H$11)/1000</f>
        <v>0</v>
      </c>
      <c r="I13" s="142">
        <f t="shared" ref="I13:I38" si="0">SUM(C13:H13)</f>
        <v>115301.9726160337</v>
      </c>
      <c r="J13" s="145">
        <f t="shared" ref="J13:J38" si="1">$J$39</f>
        <v>0.75</v>
      </c>
      <c r="K13" s="142">
        <f t="shared" ref="K13:K39" si="2">I13*J13</f>
        <v>86476.47946202528</v>
      </c>
      <c r="L13" s="146">
        <f t="shared" ref="L13:L39" si="3">K13+B13</f>
        <v>1981356.729593785</v>
      </c>
      <c r="M13" s="147"/>
      <c r="N13" s="141" t="s">
        <v>42</v>
      </c>
      <c r="O13" s="148">
        <v>35650095.5</v>
      </c>
      <c r="P13" s="149">
        <v>0</v>
      </c>
      <c r="Q13" s="146">
        <f>IF(Calculation_ITS!L13=0,O13*P13,0)</f>
        <v>0</v>
      </c>
      <c r="R13" s="150"/>
      <c r="S13" s="151">
        <f>Calculation_ITS!L13+Q13</f>
        <v>1981356.729593785</v>
      </c>
      <c r="U13" s="152" t="s">
        <v>100</v>
      </c>
      <c r="V13" s="153">
        <v>0.26674108014242298</v>
      </c>
    </row>
    <row r="14" spans="1:22" ht="15.75" customHeight="1" x14ac:dyDescent="0.25">
      <c r="A14" s="154" t="s">
        <v>43</v>
      </c>
      <c r="B14" s="155">
        <f>(Gross_wages!B11*B$11)/1000</f>
        <v>593375.56185647997</v>
      </c>
      <c r="C14" s="155">
        <f>(Gross_wages!C11*C$11)/1000</f>
        <v>53314.592114049992</v>
      </c>
      <c r="D14" s="156">
        <f>(Gross_wages!D11*D$11)/1000</f>
        <v>54.481225750000007</v>
      </c>
      <c r="E14" s="155">
        <f>(Gross_wages!E11*E$11)/1000</f>
        <v>2990.9068382022469</v>
      </c>
      <c r="F14" s="155">
        <f>(Gross_wages!F11*F$11)/1000</f>
        <v>0</v>
      </c>
      <c r="G14" s="155">
        <f>(Gross_wages!G11*G$11)/1000</f>
        <v>24590.538835955052</v>
      </c>
      <c r="H14" s="157">
        <f>(Gross_wages!H11*H$11)/1000</f>
        <v>0</v>
      </c>
      <c r="I14" s="155">
        <f t="shared" si="0"/>
        <v>80950.519013957295</v>
      </c>
      <c r="J14" s="158">
        <f t="shared" si="1"/>
        <v>0.75</v>
      </c>
      <c r="K14" s="155">
        <f t="shared" si="2"/>
        <v>60712.889260467971</v>
      </c>
      <c r="L14" s="159">
        <f t="shared" si="3"/>
        <v>654088.45111694792</v>
      </c>
      <c r="M14" s="147"/>
      <c r="N14" s="154" t="s">
        <v>43</v>
      </c>
      <c r="O14" s="160">
        <v>16191220.5</v>
      </c>
      <c r="P14" s="161">
        <v>0</v>
      </c>
      <c r="Q14" s="159">
        <f>IF(Calculation_ITS!L14=0,O14*P14,0)</f>
        <v>0</v>
      </c>
      <c r="R14" s="150"/>
      <c r="S14" s="162">
        <f>Calculation_ITS!L14+Q14</f>
        <v>654088.45111694792</v>
      </c>
      <c r="U14" s="163" t="s">
        <v>101</v>
      </c>
      <c r="V14" s="164">
        <f>ROUND(V13,3)</f>
        <v>0.26700000000000002</v>
      </c>
    </row>
    <row r="15" spans="1:22" ht="15.75" customHeight="1" x14ac:dyDescent="0.25">
      <c r="A15" s="165" t="s">
        <v>44</v>
      </c>
      <c r="B15" s="166">
        <f>(Gross_wages!B12*B$11)/1000</f>
        <v>248074.89527899999</v>
      </c>
      <c r="C15" s="166">
        <f>(Gross_wages!C12*C$11)/1000</f>
        <v>22742.469024579997</v>
      </c>
      <c r="D15" s="167">
        <f>(Gross_wages!D12*D$11)/1000</f>
        <v>553.68402779375003</v>
      </c>
      <c r="E15" s="166">
        <f>(Gross_wages!E12*E$11)/1000</f>
        <v>1336.7356179775281</v>
      </c>
      <c r="F15" s="166">
        <f>(Gross_wages!F12*F$11)/1000</f>
        <v>0</v>
      </c>
      <c r="G15" s="166">
        <f>(Gross_wages!G12*G$11)/1000</f>
        <v>0</v>
      </c>
      <c r="H15" s="168">
        <f>(Gross_wages!H12*H$11)/1000</f>
        <v>0</v>
      </c>
      <c r="I15" s="166">
        <f t="shared" si="0"/>
        <v>24632.888670351276</v>
      </c>
      <c r="J15" s="169">
        <f t="shared" si="1"/>
        <v>0.75</v>
      </c>
      <c r="K15" s="166">
        <f t="shared" si="2"/>
        <v>18474.666502763459</v>
      </c>
      <c r="L15" s="170">
        <f t="shared" si="3"/>
        <v>266549.56178176345</v>
      </c>
      <c r="M15" s="147"/>
      <c r="N15" s="165" t="s">
        <v>44</v>
      </c>
      <c r="O15" s="171">
        <v>6988144.5</v>
      </c>
      <c r="P15" s="172">
        <v>0</v>
      </c>
      <c r="Q15" s="170">
        <f>IF(Calculation_ITS!L15=0,O15*P15,0)</f>
        <v>0</v>
      </c>
      <c r="R15" s="150"/>
      <c r="S15" s="173">
        <f>Calculation_ITS!L15+Q15</f>
        <v>266549.56178176345</v>
      </c>
    </row>
    <row r="16" spans="1:22" ht="15.75" customHeight="1" x14ac:dyDescent="0.25">
      <c r="A16" s="154" t="s">
        <v>45</v>
      </c>
      <c r="B16" s="155">
        <f>(Gross_wages!B13*B$11)/1000</f>
        <v>29122.48003785</v>
      </c>
      <c r="C16" s="155">
        <f>(Gross_wages!C13*C$11)/1000</f>
        <v>265.10601815000001</v>
      </c>
      <c r="D16" s="156">
        <f>(Gross_wages!D13*D$11)/1000</f>
        <v>0</v>
      </c>
      <c r="E16" s="155">
        <f>(Gross_wages!E13*E$11)/1000</f>
        <v>0</v>
      </c>
      <c r="F16" s="155">
        <f>(Gross_wages!F13*F$11)/1000</f>
        <v>0</v>
      </c>
      <c r="G16" s="155">
        <f>(Gross_wages!G13*G$11)/1000</f>
        <v>0</v>
      </c>
      <c r="H16" s="157">
        <f>(Gross_wages!H13*H$11)/1000</f>
        <v>0</v>
      </c>
      <c r="I16" s="155">
        <f t="shared" si="0"/>
        <v>265.10601815000001</v>
      </c>
      <c r="J16" s="158">
        <f t="shared" si="1"/>
        <v>0.75</v>
      </c>
      <c r="K16" s="155">
        <f t="shared" si="2"/>
        <v>198.82951361250002</v>
      </c>
      <c r="L16" s="159">
        <f t="shared" si="3"/>
        <v>29321.309551462502</v>
      </c>
      <c r="M16" s="147"/>
      <c r="N16" s="154" t="s">
        <v>45</v>
      </c>
      <c r="O16" s="160">
        <v>484826.9</v>
      </c>
      <c r="P16" s="161">
        <v>0</v>
      </c>
      <c r="Q16" s="159">
        <f>IF(Calculation_ITS!L16=0,O16*P16,0)</f>
        <v>0</v>
      </c>
      <c r="R16" s="150"/>
      <c r="S16" s="162">
        <f>Calculation_ITS!L16+Q16</f>
        <v>29321.309551462502</v>
      </c>
    </row>
    <row r="17" spans="1:19" ht="15.75" customHeight="1" x14ac:dyDescent="0.25">
      <c r="A17" s="165" t="s">
        <v>46</v>
      </c>
      <c r="B17" s="166">
        <f>(Gross_wages!B14*B$11)/1000</f>
        <v>120342.58040149999</v>
      </c>
      <c r="C17" s="166">
        <f>(Gross_wages!C14*C$11)/1000</f>
        <v>22681.789358869999</v>
      </c>
      <c r="D17" s="167">
        <f>(Gross_wages!D14*D$11)/1000</f>
        <v>447.64957229999999</v>
      </c>
      <c r="E17" s="166">
        <f>(Gross_wages!E14*E$11)/1000</f>
        <v>524.32224606741568</v>
      </c>
      <c r="F17" s="166">
        <f>(Gross_wages!F14*F$11)/1000</f>
        <v>0</v>
      </c>
      <c r="G17" s="166">
        <f>(Gross_wages!G14*G$11)/1000</f>
        <v>0</v>
      </c>
      <c r="H17" s="168">
        <f>(Gross_wages!H14*H$11)/1000</f>
        <v>0</v>
      </c>
      <c r="I17" s="166">
        <f t="shared" si="0"/>
        <v>23653.761177237415</v>
      </c>
      <c r="J17" s="169">
        <f t="shared" si="1"/>
        <v>0.75</v>
      </c>
      <c r="K17" s="166">
        <f t="shared" si="2"/>
        <v>17740.320882928063</v>
      </c>
      <c r="L17" s="170">
        <f t="shared" si="3"/>
        <v>138082.90128442805</v>
      </c>
      <c r="M17" s="147"/>
      <c r="N17" s="165" t="s">
        <v>46</v>
      </c>
      <c r="O17" s="171">
        <v>5363915.3</v>
      </c>
      <c r="P17" s="172">
        <v>0</v>
      </c>
      <c r="Q17" s="170">
        <f>IF(Calculation_ITS!L17=0,O17*P17,0)</f>
        <v>0</v>
      </c>
      <c r="R17" s="150"/>
      <c r="S17" s="173">
        <f>Calculation_ITS!L17+Q17</f>
        <v>138082.90128442805</v>
      </c>
    </row>
    <row r="18" spans="1:19" ht="15.75" customHeight="1" x14ac:dyDescent="0.25">
      <c r="A18" s="154" t="s">
        <v>47</v>
      </c>
      <c r="B18" s="155">
        <f>(Gross_wages!B15*B$11)/1000</f>
        <v>30208.632744899995</v>
      </c>
      <c r="C18" s="155">
        <f>(Gross_wages!C15*C$11)/1000</f>
        <v>2385.9839424299998</v>
      </c>
      <c r="D18" s="156">
        <f>(Gross_wages!D15*D$11)/1000</f>
        <v>93.436417199999994</v>
      </c>
      <c r="E18" s="155">
        <f>(Gross_wages!E15*E$11)/1000</f>
        <v>32.025842696629212</v>
      </c>
      <c r="F18" s="155">
        <f>(Gross_wages!F15*F$11)/1000</f>
        <v>0</v>
      </c>
      <c r="G18" s="155">
        <f>(Gross_wages!G15*G$11)/1000</f>
        <v>0</v>
      </c>
      <c r="H18" s="157">
        <f>(Gross_wages!H15*H$11)/1000</f>
        <v>0</v>
      </c>
      <c r="I18" s="155">
        <f t="shared" si="0"/>
        <v>2511.4462023266292</v>
      </c>
      <c r="J18" s="158">
        <f t="shared" si="1"/>
        <v>0.75</v>
      </c>
      <c r="K18" s="155">
        <f t="shared" si="2"/>
        <v>1883.5846517449718</v>
      </c>
      <c r="L18" s="159">
        <f t="shared" si="3"/>
        <v>32092.217396644966</v>
      </c>
      <c r="M18" s="147"/>
      <c r="N18" s="154" t="s">
        <v>47</v>
      </c>
      <c r="O18" s="160">
        <v>864085.3</v>
      </c>
      <c r="P18" s="161">
        <v>0</v>
      </c>
      <c r="Q18" s="159">
        <f>IF(Calculation_ITS!L18=0,O18*P18,0)</f>
        <v>0</v>
      </c>
      <c r="R18" s="150"/>
      <c r="S18" s="162">
        <f>Calculation_ITS!L18+Q18</f>
        <v>32092.217396644966</v>
      </c>
    </row>
    <row r="19" spans="1:19" ht="15.75" customHeight="1" x14ac:dyDescent="0.25">
      <c r="A19" s="165" t="s">
        <v>48</v>
      </c>
      <c r="B19" s="166">
        <f>(Gross_wages!B16*B$11)/1000</f>
        <v>31809.076796419999</v>
      </c>
      <c r="C19" s="166">
        <f>(Gross_wages!C16*C$11)/1000</f>
        <v>432.06293849000002</v>
      </c>
      <c r="D19" s="167">
        <f>(Gross_wages!D16*D$11)/1000</f>
        <v>958.90033715000004</v>
      </c>
      <c r="E19" s="166">
        <f>(Gross_wages!E16*E$11)/1000</f>
        <v>154.64701685393257</v>
      </c>
      <c r="F19" s="166">
        <f>(Gross_wages!F16*F$11)/1000</f>
        <v>0</v>
      </c>
      <c r="G19" s="166">
        <f>(Gross_wages!G16*G$11)/1000</f>
        <v>0</v>
      </c>
      <c r="H19" s="168">
        <f>(Gross_wages!H16*H$11)/1000</f>
        <v>0</v>
      </c>
      <c r="I19" s="166">
        <f t="shared" si="0"/>
        <v>1545.6102924939328</v>
      </c>
      <c r="J19" s="169">
        <f t="shared" si="1"/>
        <v>0.75</v>
      </c>
      <c r="K19" s="166">
        <f t="shared" si="2"/>
        <v>1159.2077193704495</v>
      </c>
      <c r="L19" s="170">
        <f t="shared" si="3"/>
        <v>32968.284515790445</v>
      </c>
      <c r="M19" s="147"/>
      <c r="N19" s="165" t="s">
        <v>48</v>
      </c>
      <c r="O19" s="171">
        <v>1239332.3999999999</v>
      </c>
      <c r="P19" s="172">
        <v>0</v>
      </c>
      <c r="Q19" s="170">
        <f>IF(Calculation_ITS!L19=0,O19*P19,0)</f>
        <v>0</v>
      </c>
      <c r="R19" s="150"/>
      <c r="S19" s="173">
        <f>Calculation_ITS!L19+Q19</f>
        <v>32968.284515790445</v>
      </c>
    </row>
    <row r="20" spans="1:19" ht="15.75" customHeight="1" x14ac:dyDescent="0.25">
      <c r="A20" s="154" t="s">
        <v>49</v>
      </c>
      <c r="B20" s="155">
        <f>(Gross_wages!B17*B$11)/1000</f>
        <v>46483.207265519995</v>
      </c>
      <c r="C20" s="155">
        <f>(Gross_wages!C17*C$11)/1000</f>
        <v>127.08278870000001</v>
      </c>
      <c r="D20" s="156">
        <f>(Gross_wages!D17*D$11)/1000</f>
        <v>2269.03626513375</v>
      </c>
      <c r="E20" s="155">
        <f>(Gross_wages!E17*E$11)/1000</f>
        <v>144.51424719101124</v>
      </c>
      <c r="F20" s="155">
        <f>(Gross_wages!F17*F$11)/1000</f>
        <v>0</v>
      </c>
      <c r="G20" s="155">
        <f>(Gross_wages!G17*G$11)/1000</f>
        <v>0</v>
      </c>
      <c r="H20" s="157">
        <f>(Gross_wages!H17*H$11)/1000</f>
        <v>0</v>
      </c>
      <c r="I20" s="155">
        <f t="shared" si="0"/>
        <v>2540.6333010247613</v>
      </c>
      <c r="J20" s="158">
        <f t="shared" si="1"/>
        <v>0.75</v>
      </c>
      <c r="K20" s="155">
        <f t="shared" si="2"/>
        <v>1905.4749757685709</v>
      </c>
      <c r="L20" s="159">
        <f t="shared" si="3"/>
        <v>48388.682241288567</v>
      </c>
      <c r="M20" s="147"/>
      <c r="N20" s="154" t="s">
        <v>49</v>
      </c>
      <c r="O20" s="160">
        <v>611329.19999999995</v>
      </c>
      <c r="P20" s="161">
        <v>0</v>
      </c>
      <c r="Q20" s="159">
        <f>IF(Calculation_ITS!L20=0,O20*P20,0)</f>
        <v>0</v>
      </c>
      <c r="R20" s="150"/>
      <c r="S20" s="162">
        <f>Calculation_ITS!L20+Q20</f>
        <v>48388.682241288567</v>
      </c>
    </row>
    <row r="21" spans="1:19" ht="15.75" customHeight="1" x14ac:dyDescent="0.25">
      <c r="A21" s="165" t="s">
        <v>50</v>
      </c>
      <c r="B21" s="166">
        <f>(Gross_wages!B18*B$11)/1000</f>
        <v>193456.84213999999</v>
      </c>
      <c r="C21" s="166">
        <f>(Gross_wages!C18*C$11)/1000</f>
        <v>24858.918344999998</v>
      </c>
      <c r="D21" s="167">
        <f>(Gross_wages!D18*D$11)/1000</f>
        <v>1250.8887702500001</v>
      </c>
      <c r="E21" s="166">
        <f>(Gross_wages!E18*E$11)/1000</f>
        <v>1048.1681460674158</v>
      </c>
      <c r="F21" s="166">
        <f>(Gross_wages!F18*F$11)/1000</f>
        <v>0</v>
      </c>
      <c r="G21" s="166">
        <f>(Gross_wages!G18*G$11)/1000</f>
        <v>0</v>
      </c>
      <c r="H21" s="168">
        <f>(Gross_wages!H18*H$11)/1000</f>
        <v>0</v>
      </c>
      <c r="I21" s="166">
        <f t="shared" si="0"/>
        <v>27157.975261317413</v>
      </c>
      <c r="J21" s="169">
        <f t="shared" si="1"/>
        <v>0.75</v>
      </c>
      <c r="K21" s="166">
        <f t="shared" si="2"/>
        <v>20368.481445988058</v>
      </c>
      <c r="L21" s="170">
        <f t="shared" si="3"/>
        <v>213825.32358598805</v>
      </c>
      <c r="M21" s="147"/>
      <c r="N21" s="165" t="s">
        <v>50</v>
      </c>
      <c r="O21" s="171">
        <v>4692580.8</v>
      </c>
      <c r="P21" s="172">
        <v>0</v>
      </c>
      <c r="Q21" s="170">
        <f>IF(Calculation_ITS!L21=0,O21*P21,0)</f>
        <v>0</v>
      </c>
      <c r="R21" s="150"/>
      <c r="S21" s="173">
        <f>Calculation_ITS!L21+Q21</f>
        <v>213825.32358598805</v>
      </c>
    </row>
    <row r="22" spans="1:19" ht="15.75" customHeight="1" x14ac:dyDescent="0.25">
      <c r="A22" s="154" t="s">
        <v>51</v>
      </c>
      <c r="B22" s="155">
        <f>(Gross_wages!B19*B$11)/1000</f>
        <v>235295.213334</v>
      </c>
      <c r="C22" s="155">
        <f>(Gross_wages!C19*C$11)/1000</f>
        <v>0</v>
      </c>
      <c r="D22" s="156">
        <f>(Gross_wages!D19*D$11)/1000</f>
        <v>770.96064850000005</v>
      </c>
      <c r="E22" s="155">
        <f>(Gross_wages!E19*E$11)/1000</f>
        <v>0</v>
      </c>
      <c r="F22" s="155">
        <f>(Gross_wages!F19*F$11)/1000</f>
        <v>0</v>
      </c>
      <c r="G22" s="155">
        <f>(Gross_wages!G19*G$11)/1000</f>
        <v>0</v>
      </c>
      <c r="H22" s="157">
        <f>(Gross_wages!H19*H$11)/1000</f>
        <v>0</v>
      </c>
      <c r="I22" s="155">
        <f t="shared" si="0"/>
        <v>770.96064850000005</v>
      </c>
      <c r="J22" s="158">
        <f t="shared" si="1"/>
        <v>0.75</v>
      </c>
      <c r="K22" s="155">
        <f t="shared" si="2"/>
        <v>578.22048637500006</v>
      </c>
      <c r="L22" s="159">
        <f t="shared" si="3"/>
        <v>235873.43382037501</v>
      </c>
      <c r="M22" s="147"/>
      <c r="N22" s="154" t="s">
        <v>51</v>
      </c>
      <c r="O22" s="160">
        <v>4880130.0999999996</v>
      </c>
      <c r="P22" s="161">
        <v>0</v>
      </c>
      <c r="Q22" s="159">
        <f>IF(Calculation_ITS!L22=0,O22*P22,0)</f>
        <v>0</v>
      </c>
      <c r="R22" s="150"/>
      <c r="S22" s="162">
        <f>Calculation_ITS!L22+Q22</f>
        <v>235873.43382037501</v>
      </c>
    </row>
    <row r="23" spans="1:19" ht="15.75" customHeight="1" x14ac:dyDescent="0.25">
      <c r="A23" s="165" t="s">
        <v>52</v>
      </c>
      <c r="B23" s="166">
        <f>(Gross_wages!B20*B$11)/1000</f>
        <v>136714.57302399998</v>
      </c>
      <c r="C23" s="166">
        <f>(Gross_wages!C20*C$11)/1000</f>
        <v>8493.8408159999999</v>
      </c>
      <c r="D23" s="167">
        <f>(Gross_wages!D20*D$11)/1000</f>
        <v>289.39240050000001</v>
      </c>
      <c r="E23" s="166">
        <f>(Gross_wages!E20*E$11)/1000</f>
        <v>6826.3591011235958</v>
      </c>
      <c r="F23" s="166">
        <f>(Gross_wages!F20*F$11)/1000</f>
        <v>0</v>
      </c>
      <c r="G23" s="166">
        <f>(Gross_wages!G20*G$11)/1000</f>
        <v>14289.527528089886</v>
      </c>
      <c r="H23" s="168">
        <f>(Gross_wages!H20*H$11)/1000</f>
        <v>0</v>
      </c>
      <c r="I23" s="166">
        <f t="shared" si="0"/>
        <v>29899.119845713481</v>
      </c>
      <c r="J23" s="169">
        <f t="shared" si="1"/>
        <v>0.75</v>
      </c>
      <c r="K23" s="166">
        <f t="shared" si="2"/>
        <v>22424.339884285109</v>
      </c>
      <c r="L23" s="170">
        <f t="shared" si="3"/>
        <v>159138.9129082851</v>
      </c>
      <c r="M23" s="147"/>
      <c r="N23" s="165" t="s">
        <v>52</v>
      </c>
      <c r="O23" s="171">
        <v>4572784.0999999996</v>
      </c>
      <c r="P23" s="172">
        <v>0</v>
      </c>
      <c r="Q23" s="170">
        <f>IF(Calculation_ITS!L23=0,O23*P23,0)</f>
        <v>0</v>
      </c>
      <c r="R23" s="150"/>
      <c r="S23" s="173">
        <f>Calculation_ITS!L23+Q23</f>
        <v>159138.9129082851</v>
      </c>
    </row>
    <row r="24" spans="1:19" ht="15.75" customHeight="1" x14ac:dyDescent="0.25">
      <c r="A24" s="154" t="s">
        <v>53</v>
      </c>
      <c r="B24" s="155">
        <f>(Gross_wages!B21*B$11)/1000</f>
        <v>277910.62560149998</v>
      </c>
      <c r="C24" s="155">
        <f>(Gross_wages!C21*C$11)/1000</f>
        <v>63157.994385359998</v>
      </c>
      <c r="D24" s="156">
        <f>(Gross_wages!D21*D$11)/1000</f>
        <v>259.36671117000003</v>
      </c>
      <c r="E24" s="155">
        <f>(Gross_wages!E21*E$11)/1000</f>
        <v>232282.32340280901</v>
      </c>
      <c r="F24" s="155">
        <f>(Gross_wages!F21*F$11)/1000</f>
        <v>0</v>
      </c>
      <c r="G24" s="155">
        <f>(Gross_wages!G21*G$11)/1000</f>
        <v>279466.10455617978</v>
      </c>
      <c r="H24" s="157">
        <f>(Gross_wages!H21*H$11)/1000</f>
        <v>0</v>
      </c>
      <c r="I24" s="155">
        <f t="shared" si="0"/>
        <v>575165.78905551881</v>
      </c>
      <c r="J24" s="158">
        <f t="shared" si="1"/>
        <v>0.75</v>
      </c>
      <c r="K24" s="155">
        <f t="shared" si="2"/>
        <v>431374.3417916391</v>
      </c>
      <c r="L24" s="159">
        <f t="shared" si="3"/>
        <v>709284.96739313914</v>
      </c>
      <c r="M24" s="147"/>
      <c r="N24" s="154" t="s">
        <v>53</v>
      </c>
      <c r="O24" s="160">
        <v>4738050.5</v>
      </c>
      <c r="P24" s="161">
        <v>0</v>
      </c>
      <c r="Q24" s="159">
        <f>IF(Calculation_ITS!L24=0,O24*P24,0)</f>
        <v>0</v>
      </c>
      <c r="R24" s="150"/>
      <c r="S24" s="162">
        <f>Calculation_ITS!L24+Q24</f>
        <v>709284.96739313914</v>
      </c>
    </row>
    <row r="25" spans="1:19" ht="15.75" customHeight="1" x14ac:dyDescent="0.25">
      <c r="A25" s="165" t="s">
        <v>54</v>
      </c>
      <c r="B25" s="166">
        <f>(Gross_wages!B22*B$11)/1000</f>
        <v>143352.67994137999</v>
      </c>
      <c r="C25" s="166">
        <f>(Gross_wages!C22*C$11)/1000</f>
        <v>35458.022504459994</v>
      </c>
      <c r="D25" s="167">
        <f>(Gross_wages!D22*D$11)/1000</f>
        <v>660.31927604999998</v>
      </c>
      <c r="E25" s="166">
        <f>(Gross_wages!E22*E$11)/1000</f>
        <v>114758.73462977528</v>
      </c>
      <c r="F25" s="166">
        <f>(Gross_wages!F22*F$11)/1000</f>
        <v>0</v>
      </c>
      <c r="G25" s="166">
        <f>(Gross_wages!G22*G$11)/1000</f>
        <v>164401.87752808988</v>
      </c>
      <c r="H25" s="168">
        <f>(Gross_wages!H22*H$11)/1000</f>
        <v>0</v>
      </c>
      <c r="I25" s="166">
        <f t="shared" si="0"/>
        <v>315278.95393837517</v>
      </c>
      <c r="J25" s="169">
        <f t="shared" si="1"/>
        <v>0.75</v>
      </c>
      <c r="K25" s="166">
        <f t="shared" si="2"/>
        <v>236459.21545378136</v>
      </c>
      <c r="L25" s="170">
        <f t="shared" si="3"/>
        <v>379811.89539516135</v>
      </c>
      <c r="M25" s="147"/>
      <c r="N25" s="165" t="s">
        <v>54</v>
      </c>
      <c r="O25" s="171">
        <v>6513931.5</v>
      </c>
      <c r="P25" s="172">
        <v>0</v>
      </c>
      <c r="Q25" s="170">
        <f>IF(Calculation_ITS!L25=0,O25*P25,0)</f>
        <v>0</v>
      </c>
      <c r="R25" s="150"/>
      <c r="S25" s="173">
        <f>Calculation_ITS!L25+Q25</f>
        <v>379811.89539516135</v>
      </c>
    </row>
    <row r="26" spans="1:19" ht="15.75" customHeight="1" x14ac:dyDescent="0.25">
      <c r="A26" s="154" t="s">
        <v>55</v>
      </c>
      <c r="B26" s="155">
        <f>(Gross_wages!B23*B$11)/1000</f>
        <v>106163.65399148001</v>
      </c>
      <c r="C26" s="155">
        <f>(Gross_wages!C23*C$11)/1000</f>
        <v>9298.8158561499986</v>
      </c>
      <c r="D26" s="156">
        <f>(Gross_wages!D23*D$11)/1000</f>
        <v>207.98108935625001</v>
      </c>
      <c r="E26" s="155">
        <f>(Gross_wages!E23*E$11)/1000</f>
        <v>62053.834247191007</v>
      </c>
      <c r="F26" s="155">
        <f>(Gross_wages!F23*F$11)/1000</f>
        <v>0</v>
      </c>
      <c r="G26" s="155">
        <f>(Gross_wages!G23*G$11)/1000</f>
        <v>0</v>
      </c>
      <c r="H26" s="157">
        <f>(Gross_wages!H23*H$11)/1000</f>
        <v>0</v>
      </c>
      <c r="I26" s="155">
        <f t="shared" si="0"/>
        <v>71560.631192697256</v>
      </c>
      <c r="J26" s="158">
        <f t="shared" si="1"/>
        <v>0.75</v>
      </c>
      <c r="K26" s="155">
        <f t="shared" si="2"/>
        <v>53670.473394522938</v>
      </c>
      <c r="L26" s="159">
        <f t="shared" si="3"/>
        <v>159834.12738600295</v>
      </c>
      <c r="M26" s="147"/>
      <c r="N26" s="154" t="s">
        <v>55</v>
      </c>
      <c r="O26" s="160">
        <v>1311566</v>
      </c>
      <c r="P26" s="161">
        <v>0</v>
      </c>
      <c r="Q26" s="159">
        <f>IF(Calculation_ITS!L26=0,O26*P26,0)</f>
        <v>0</v>
      </c>
      <c r="R26" s="150"/>
      <c r="S26" s="162">
        <f>Calculation_ITS!L26+Q26</f>
        <v>159834.12738600295</v>
      </c>
    </row>
    <row r="27" spans="1:19" ht="15.75" customHeight="1" x14ac:dyDescent="0.25">
      <c r="A27" s="165" t="s">
        <v>56</v>
      </c>
      <c r="B27" s="166">
        <f>(Gross_wages!B24*B$11)/1000</f>
        <v>33276.756142999999</v>
      </c>
      <c r="C27" s="166">
        <f>(Gross_wages!C24*C$11)/1000</f>
        <v>2244.0898349999998</v>
      </c>
      <c r="D27" s="167">
        <f>(Gross_wages!D24*D$11)/1000</f>
        <v>4100.6254266250007</v>
      </c>
      <c r="E27" s="166">
        <f>(Gross_wages!E24*E$11)/1000</f>
        <v>642.11679775280902</v>
      </c>
      <c r="F27" s="166">
        <f>(Gross_wages!F24*F$11)/1000</f>
        <v>0</v>
      </c>
      <c r="G27" s="166">
        <f>(Gross_wages!G24*G$11)/1000</f>
        <v>0</v>
      </c>
      <c r="H27" s="168">
        <f>(Gross_wages!H24*H$11)/1000</f>
        <v>0</v>
      </c>
      <c r="I27" s="166">
        <f t="shared" si="0"/>
        <v>6986.8320593778099</v>
      </c>
      <c r="J27" s="169">
        <f t="shared" si="1"/>
        <v>0.75</v>
      </c>
      <c r="K27" s="166">
        <f t="shared" si="2"/>
        <v>5240.1240445333569</v>
      </c>
      <c r="L27" s="170">
        <f t="shared" si="3"/>
        <v>38516.880187533359</v>
      </c>
      <c r="M27" s="147"/>
      <c r="N27" s="165" t="s">
        <v>56</v>
      </c>
      <c r="O27" s="171">
        <v>938493.3</v>
      </c>
      <c r="P27" s="172">
        <v>0</v>
      </c>
      <c r="Q27" s="170">
        <f>IF(Calculation_ITS!L27=0,O27*P27,0)</f>
        <v>0</v>
      </c>
      <c r="R27" s="150"/>
      <c r="S27" s="173">
        <f>Calculation_ITS!L27+Q27</f>
        <v>38516.880187533359</v>
      </c>
    </row>
    <row r="28" spans="1:19" ht="15.75" customHeight="1" x14ac:dyDescent="0.25">
      <c r="A28" s="154" t="s">
        <v>57</v>
      </c>
      <c r="B28" s="155">
        <f>(Gross_wages!B25*B$11)/1000</f>
        <v>7457.6693048200004</v>
      </c>
      <c r="C28" s="155">
        <f>(Gross_wages!C25*C$11)/1000</f>
        <v>465.72652579999999</v>
      </c>
      <c r="D28" s="156">
        <f>(Gross_wages!D25*D$11)/1000</f>
        <v>1354.82786098625</v>
      </c>
      <c r="E28" s="155">
        <f>(Gross_wages!E25*E$11)/1000</f>
        <v>121.21276685393258</v>
      </c>
      <c r="F28" s="155">
        <f>(Gross_wages!F25*F$11)/1000</f>
        <v>0</v>
      </c>
      <c r="G28" s="155">
        <f>(Gross_wages!G25*G$11)/1000</f>
        <v>0</v>
      </c>
      <c r="H28" s="157">
        <f>(Gross_wages!H25*H$11)/1000</f>
        <v>0</v>
      </c>
      <c r="I28" s="155">
        <f t="shared" si="0"/>
        <v>1941.7671536401826</v>
      </c>
      <c r="J28" s="158">
        <f t="shared" si="1"/>
        <v>0.75</v>
      </c>
      <c r="K28" s="155">
        <f t="shared" si="2"/>
        <v>1456.3253652301369</v>
      </c>
      <c r="L28" s="159">
        <f t="shared" si="3"/>
        <v>8913.9946700501368</v>
      </c>
      <c r="M28" s="147"/>
      <c r="N28" s="154" t="s">
        <v>57</v>
      </c>
      <c r="O28" s="160">
        <v>283224.7</v>
      </c>
      <c r="P28" s="161">
        <v>0</v>
      </c>
      <c r="Q28" s="159">
        <f>IF(Calculation_ITS!L28=0,O28*P28,0)</f>
        <v>0</v>
      </c>
      <c r="R28" s="150"/>
      <c r="S28" s="162">
        <f>Calculation_ITS!L28+Q28</f>
        <v>8913.9946700501368</v>
      </c>
    </row>
    <row r="29" spans="1:19" ht="15.75" customHeight="1" x14ac:dyDescent="0.25">
      <c r="A29" s="165" t="s">
        <v>58</v>
      </c>
      <c r="B29" s="166">
        <f>(Gross_wages!B26*B$11)/1000</f>
        <v>371488.52201391</v>
      </c>
      <c r="C29" s="166">
        <f>(Gross_wages!C26*C$11)/1000</f>
        <v>27949.447818000001</v>
      </c>
      <c r="D29" s="167">
        <f>(Gross_wages!D26*D$11)/1000</f>
        <v>153435.3463460475</v>
      </c>
      <c r="E29" s="166">
        <f>(Gross_wages!E26*E$11)/1000</f>
        <v>14043.841348314605</v>
      </c>
      <c r="F29" s="166">
        <f>(Gross_wages!F26*F$11)/1000</f>
        <v>0</v>
      </c>
      <c r="G29" s="166">
        <f>(Gross_wages!G26*G$11)/1000</f>
        <v>0</v>
      </c>
      <c r="H29" s="168">
        <f>(Gross_wages!H26*H$11)/1000</f>
        <v>0</v>
      </c>
      <c r="I29" s="166">
        <f t="shared" si="0"/>
        <v>195428.63551236212</v>
      </c>
      <c r="J29" s="169">
        <f t="shared" si="1"/>
        <v>0.75</v>
      </c>
      <c r="K29" s="166">
        <f t="shared" si="2"/>
        <v>146571.47663427159</v>
      </c>
      <c r="L29" s="170">
        <f t="shared" si="3"/>
        <v>518059.99864818156</v>
      </c>
      <c r="M29" s="147"/>
      <c r="N29" s="165" t="s">
        <v>58</v>
      </c>
      <c r="O29" s="171">
        <v>7681428.5999999996</v>
      </c>
      <c r="P29" s="172">
        <v>0</v>
      </c>
      <c r="Q29" s="170">
        <f>IF(Calculation_ITS!L29=0,O29*P29,0)</f>
        <v>0</v>
      </c>
      <c r="R29" s="150"/>
      <c r="S29" s="173">
        <f>Calculation_ITS!L29+Q29</f>
        <v>518059.99864818156</v>
      </c>
    </row>
    <row r="30" spans="1:19" ht="15.75" customHeight="1" x14ac:dyDescent="0.25">
      <c r="A30" s="154" t="s">
        <v>59</v>
      </c>
      <c r="B30" s="155">
        <f>(Gross_wages!B27*B$11)/1000</f>
        <v>317708.46352799999</v>
      </c>
      <c r="C30" s="155">
        <f>(Gross_wages!C27*C$11)/1000</f>
        <v>71992.315661000001</v>
      </c>
      <c r="D30" s="156">
        <f>(Gross_wages!D27*D$11)/1000</f>
        <v>7201.8252512500003</v>
      </c>
      <c r="E30" s="155">
        <f>(Gross_wages!E27*E$11)/1000</f>
        <v>109.32910112359551</v>
      </c>
      <c r="F30" s="155">
        <f>(Gross_wages!F27*F$11)/1000</f>
        <v>0</v>
      </c>
      <c r="G30" s="155">
        <f>(Gross_wages!G27*G$11)/1000</f>
        <v>0</v>
      </c>
      <c r="H30" s="157">
        <f>(Gross_wages!H27*H$11)/1000</f>
        <v>16816.253889</v>
      </c>
      <c r="I30" s="155">
        <f t="shared" si="0"/>
        <v>96119.723902373604</v>
      </c>
      <c r="J30" s="158">
        <f t="shared" si="1"/>
        <v>0.75</v>
      </c>
      <c r="K30" s="155">
        <f t="shared" si="2"/>
        <v>72089.79292678021</v>
      </c>
      <c r="L30" s="159">
        <f t="shared" si="3"/>
        <v>389798.25645478023</v>
      </c>
      <c r="M30" s="147"/>
      <c r="N30" s="154" t="s">
        <v>59</v>
      </c>
      <c r="O30" s="160">
        <v>3347946.2</v>
      </c>
      <c r="P30" s="161">
        <v>0</v>
      </c>
      <c r="Q30" s="159">
        <f>IF(Calculation_ITS!L30=0,O30*P30,0)</f>
        <v>0</v>
      </c>
      <c r="R30" s="150"/>
      <c r="S30" s="162">
        <f>Calculation_ITS!L30+Q30</f>
        <v>389798.25645478023</v>
      </c>
    </row>
    <row r="31" spans="1:19" ht="15.75" customHeight="1" x14ac:dyDescent="0.25">
      <c r="A31" s="165" t="s">
        <v>60</v>
      </c>
      <c r="B31" s="166">
        <f>(Gross_wages!B28*B$11)/1000</f>
        <v>420950.99076967995</v>
      </c>
      <c r="C31" s="166">
        <f>(Gross_wages!C28*C$11)/1000</f>
        <v>97847.610217499998</v>
      </c>
      <c r="D31" s="167">
        <f>(Gross_wages!D28*D$11)/1000</f>
        <v>1108.6760794375</v>
      </c>
      <c r="E31" s="166">
        <f>(Gross_wages!E28*E$11)/1000</f>
        <v>149933.11415730335</v>
      </c>
      <c r="F31" s="166">
        <f>(Gross_wages!F28*F$11)/1000</f>
        <v>0</v>
      </c>
      <c r="G31" s="166">
        <f>(Gross_wages!G28*G$11)/1000</f>
        <v>0</v>
      </c>
      <c r="H31" s="168">
        <f>(Gross_wages!H28*H$11)/1000</f>
        <v>0</v>
      </c>
      <c r="I31" s="166">
        <f t="shared" si="0"/>
        <v>248889.40045424085</v>
      </c>
      <c r="J31" s="169">
        <f t="shared" si="1"/>
        <v>0.75</v>
      </c>
      <c r="K31" s="166">
        <f t="shared" si="2"/>
        <v>186667.05034068064</v>
      </c>
      <c r="L31" s="170">
        <f t="shared" si="3"/>
        <v>607618.04111036053</v>
      </c>
      <c r="M31" s="147"/>
      <c r="N31" s="165" t="s">
        <v>60</v>
      </c>
      <c r="O31" s="171">
        <v>12058814.699999999</v>
      </c>
      <c r="P31" s="172">
        <v>0</v>
      </c>
      <c r="Q31" s="170">
        <f>IF(Calculation_ITS!L31=0,O31*P31,0)</f>
        <v>0</v>
      </c>
      <c r="R31" s="150"/>
      <c r="S31" s="173">
        <f>Calculation_ITS!L31+Q31</f>
        <v>607618.04111036053</v>
      </c>
    </row>
    <row r="32" spans="1:19" ht="15.75" customHeight="1" x14ac:dyDescent="0.25">
      <c r="A32" s="154" t="s">
        <v>61</v>
      </c>
      <c r="B32" s="155">
        <f>(Gross_wages!B29*B$11)/1000</f>
        <v>222072.40125451999</v>
      </c>
      <c r="C32" s="155">
        <f>(Gross_wages!C29*C$11)/1000</f>
        <v>20852.31951098</v>
      </c>
      <c r="D32" s="156">
        <f>(Gross_wages!D29*D$11)/1000</f>
        <v>5118.3195331625011</v>
      </c>
      <c r="E32" s="155">
        <f>(Gross_wages!E29*E$11)/1000</f>
        <v>48231.719875280891</v>
      </c>
      <c r="F32" s="155">
        <f>(Gross_wages!F29*F$11)/1000</f>
        <v>0</v>
      </c>
      <c r="G32" s="155">
        <f>(Gross_wages!G29*G$11)/1000</f>
        <v>0</v>
      </c>
      <c r="H32" s="157">
        <f>(Gross_wages!H29*H$11)/1000</f>
        <v>0</v>
      </c>
      <c r="I32" s="155">
        <f t="shared" si="0"/>
        <v>74202.358919423394</v>
      </c>
      <c r="J32" s="158">
        <f t="shared" si="1"/>
        <v>0.75</v>
      </c>
      <c r="K32" s="155">
        <f t="shared" si="2"/>
        <v>55651.769189567545</v>
      </c>
      <c r="L32" s="159">
        <f t="shared" si="3"/>
        <v>277724.17044408753</v>
      </c>
      <c r="M32" s="147"/>
      <c r="N32" s="154" t="s">
        <v>61</v>
      </c>
      <c r="O32" s="160">
        <v>4494134.5999999996</v>
      </c>
      <c r="P32" s="161">
        <v>0</v>
      </c>
      <c r="Q32" s="159">
        <f>IF(Calculation_ITS!L32=0,O32*P32,0)</f>
        <v>0</v>
      </c>
      <c r="R32" s="150"/>
      <c r="S32" s="162">
        <f>Calculation_ITS!L32+Q32</f>
        <v>277724.17044408753</v>
      </c>
    </row>
    <row r="33" spans="1:19" ht="15.75" customHeight="1" x14ac:dyDescent="0.25">
      <c r="A33" s="165" t="s">
        <v>62</v>
      </c>
      <c r="B33" s="166">
        <f>(Gross_wages!B30*B$11)/1000</f>
        <v>307291.65062299999</v>
      </c>
      <c r="C33" s="166">
        <f>(Gross_wages!C30*C$11)/1000</f>
        <v>208054.37242099998</v>
      </c>
      <c r="D33" s="167">
        <f>(Gross_wages!D30*D$11)/1000</f>
        <v>1655.418960125</v>
      </c>
      <c r="E33" s="166">
        <f>(Gross_wages!E30*E$11)/1000</f>
        <v>0</v>
      </c>
      <c r="F33" s="166">
        <f>(Gross_wages!F30*F$11)/1000</f>
        <v>0</v>
      </c>
      <c r="G33" s="166">
        <f>(Gross_wages!G30*G$11)/1000</f>
        <v>0</v>
      </c>
      <c r="H33" s="168">
        <f>(Gross_wages!H30*H$11)/1000</f>
        <v>568395.17057760002</v>
      </c>
      <c r="I33" s="166">
        <f t="shared" si="0"/>
        <v>778104.96195872501</v>
      </c>
      <c r="J33" s="169">
        <f t="shared" si="1"/>
        <v>0.75</v>
      </c>
      <c r="K33" s="166">
        <f t="shared" si="2"/>
        <v>583578.72146904375</v>
      </c>
      <c r="L33" s="170">
        <f t="shared" si="3"/>
        <v>890870.37209204375</v>
      </c>
      <c r="M33" s="147"/>
      <c r="N33" s="165" t="s">
        <v>62</v>
      </c>
      <c r="O33" s="171">
        <v>6511434.7000000002</v>
      </c>
      <c r="P33" s="172">
        <v>0</v>
      </c>
      <c r="Q33" s="170">
        <f>IF(Calculation_ITS!L33=0,O33*P33,0)</f>
        <v>0</v>
      </c>
      <c r="R33" s="150"/>
      <c r="S33" s="173">
        <f>Calculation_ITS!L33+Q33</f>
        <v>890870.37209204375</v>
      </c>
    </row>
    <row r="34" spans="1:19" ht="15.75" customHeight="1" x14ac:dyDescent="0.25">
      <c r="A34" s="154" t="s">
        <v>63</v>
      </c>
      <c r="B34" s="155">
        <f>(Gross_wages!B31*B$11)/1000</f>
        <v>996094.07625000004</v>
      </c>
      <c r="C34" s="155">
        <f>(Gross_wages!C31*C$11)/1000</f>
        <v>0</v>
      </c>
      <c r="D34" s="156">
        <f>(Gross_wages!D31*D$11)/1000</f>
        <v>0</v>
      </c>
      <c r="E34" s="155">
        <f>(Gross_wages!E31*E$11)/1000</f>
        <v>0</v>
      </c>
      <c r="F34" s="155">
        <f>(Gross_wages!F31*F$11)/1000</f>
        <v>0</v>
      </c>
      <c r="G34" s="155">
        <f>(Gross_wages!G31*G$11)/1000</f>
        <v>350842.45697696623</v>
      </c>
      <c r="H34" s="157">
        <f>(Gross_wages!H31*H$11)/1000</f>
        <v>0</v>
      </c>
      <c r="I34" s="155">
        <f t="shared" si="0"/>
        <v>350842.45697696623</v>
      </c>
      <c r="J34" s="158">
        <f t="shared" si="1"/>
        <v>0.75</v>
      </c>
      <c r="K34" s="155">
        <f t="shared" si="2"/>
        <v>263131.84273272468</v>
      </c>
      <c r="L34" s="159">
        <f t="shared" si="3"/>
        <v>1259225.9189827247</v>
      </c>
      <c r="M34" s="147"/>
      <c r="N34" s="154" t="s">
        <v>63</v>
      </c>
      <c r="O34" s="160">
        <v>16158364.6</v>
      </c>
      <c r="P34" s="161">
        <v>0</v>
      </c>
      <c r="Q34" s="159">
        <f>IF(Calculation_ITS!L34=0,O34*P34,0)</f>
        <v>0</v>
      </c>
      <c r="R34" s="150"/>
      <c r="S34" s="162">
        <f>Calculation_ITS!L34+Q34</f>
        <v>1259225.9189827247</v>
      </c>
    </row>
    <row r="35" spans="1:19" ht="15.75" customHeight="1" x14ac:dyDescent="0.25">
      <c r="A35" s="165" t="s">
        <v>64</v>
      </c>
      <c r="B35" s="166">
        <f>(Gross_wages!B32*B$11)/1000</f>
        <v>383126.54766397999</v>
      </c>
      <c r="C35" s="166">
        <f>(Gross_wages!C32*C$11)/1000</f>
        <v>3532.6707803499999</v>
      </c>
      <c r="D35" s="167">
        <f>(Gross_wages!D32*D$11)/1000</f>
        <v>0</v>
      </c>
      <c r="E35" s="166">
        <f>(Gross_wages!E32*E$11)/1000</f>
        <v>40.727384831460675</v>
      </c>
      <c r="F35" s="166">
        <f>(Gross_wages!F32*F$11)/1000</f>
        <v>0</v>
      </c>
      <c r="G35" s="166">
        <f>(Gross_wages!G32*G$11)/1000</f>
        <v>16322.384605617975</v>
      </c>
      <c r="H35" s="168">
        <f>(Gross_wages!H32*H$11)/1000</f>
        <v>13293.947913006001</v>
      </c>
      <c r="I35" s="166">
        <f t="shared" si="0"/>
        <v>33189.730683805436</v>
      </c>
      <c r="J35" s="169">
        <f t="shared" si="1"/>
        <v>0.75</v>
      </c>
      <c r="K35" s="166">
        <f t="shared" si="2"/>
        <v>24892.298012854077</v>
      </c>
      <c r="L35" s="170">
        <f t="shared" si="3"/>
        <v>408018.84567683405</v>
      </c>
      <c r="M35" s="147"/>
      <c r="N35" s="165" t="s">
        <v>64</v>
      </c>
      <c r="O35" s="171">
        <v>4898896.7</v>
      </c>
      <c r="P35" s="172">
        <v>0</v>
      </c>
      <c r="Q35" s="170">
        <f>IF(Calculation_ITS!L35=0,O35*P35,0)</f>
        <v>0</v>
      </c>
      <c r="R35" s="150"/>
      <c r="S35" s="173">
        <f>Calculation_ITS!L35+Q35</f>
        <v>408018.84567683405</v>
      </c>
    </row>
    <row r="36" spans="1:19" ht="15.75" customHeight="1" x14ac:dyDescent="0.25">
      <c r="A36" s="154" t="s">
        <v>65</v>
      </c>
      <c r="B36" s="155">
        <f>(Gross_wages!B33*B$11)/1000</f>
        <v>133420.66260099999</v>
      </c>
      <c r="C36" s="155">
        <f>(Gross_wages!C33*C$11)/1000</f>
        <v>12933.462864999998</v>
      </c>
      <c r="D36" s="156">
        <f>(Gross_wages!D33*D$11)/1000</f>
        <v>21.308977375000001</v>
      </c>
      <c r="E36" s="155">
        <f>(Gross_wages!E33*E$11)/1000</f>
        <v>45.960337078651683</v>
      </c>
      <c r="F36" s="155">
        <f>(Gross_wages!F33*F$11)/1000</f>
        <v>0</v>
      </c>
      <c r="G36" s="155">
        <f>(Gross_wages!G33*G$11)/1000</f>
        <v>160380.00101123596</v>
      </c>
      <c r="H36" s="157">
        <f>(Gross_wages!H33*H$11)/1000</f>
        <v>0</v>
      </c>
      <c r="I36" s="155">
        <f t="shared" si="0"/>
        <v>173380.73319068961</v>
      </c>
      <c r="J36" s="158">
        <f t="shared" si="1"/>
        <v>0.75</v>
      </c>
      <c r="K36" s="155">
        <f t="shared" si="2"/>
        <v>130035.54989301722</v>
      </c>
      <c r="L36" s="159">
        <f t="shared" si="3"/>
        <v>263456.21249401721</v>
      </c>
      <c r="M36" s="147"/>
      <c r="N36" s="154" t="s">
        <v>65</v>
      </c>
      <c r="O36" s="160">
        <v>2778760.1</v>
      </c>
      <c r="P36" s="161">
        <v>0</v>
      </c>
      <c r="Q36" s="159">
        <f>IF(Calculation_ITS!L36=0,O36*P36,0)</f>
        <v>0</v>
      </c>
      <c r="R36" s="150"/>
      <c r="S36" s="162">
        <f>Calculation_ITS!L36+Q36</f>
        <v>263456.21249401721</v>
      </c>
    </row>
    <row r="37" spans="1:19" ht="15.75" customHeight="1" x14ac:dyDescent="0.25">
      <c r="A37" s="165" t="s">
        <v>66</v>
      </c>
      <c r="B37" s="166">
        <f>(Gross_wages!B34*B$11)/1000</f>
        <v>1064479.6401799999</v>
      </c>
      <c r="C37" s="166">
        <f>(Gross_wages!C34*C$11)/1000</f>
        <v>152605.44553200001</v>
      </c>
      <c r="D37" s="167">
        <f>(Gross_wages!D34*D$11)/1000</f>
        <v>808.68478775000005</v>
      </c>
      <c r="E37" s="166">
        <f>(Gross_wages!E34*E$11)/1000</f>
        <v>0</v>
      </c>
      <c r="F37" s="166">
        <f>(Gross_wages!F34*F$11)/1000</f>
        <v>1777861.8124793293</v>
      </c>
      <c r="G37" s="166">
        <f>(Gross_wages!G34*G$11)/1000</f>
        <v>0</v>
      </c>
      <c r="H37" s="168">
        <f>(Gross_wages!H34*H$11)/1000</f>
        <v>0</v>
      </c>
      <c r="I37" s="166">
        <f t="shared" si="0"/>
        <v>1931275.9427990792</v>
      </c>
      <c r="J37" s="169">
        <f t="shared" si="1"/>
        <v>0.75</v>
      </c>
      <c r="K37" s="166">
        <f t="shared" si="2"/>
        <v>1448456.9570993094</v>
      </c>
      <c r="L37" s="170">
        <f t="shared" si="3"/>
        <v>2512936.5972793093</v>
      </c>
      <c r="M37" s="147"/>
      <c r="N37" s="165" t="s">
        <v>66</v>
      </c>
      <c r="O37" s="171">
        <v>12028802.300000001</v>
      </c>
      <c r="P37" s="172">
        <v>0</v>
      </c>
      <c r="Q37" s="170">
        <f>IF(Calculation_ITS!L37=0,O37*P37,0)</f>
        <v>0</v>
      </c>
      <c r="R37" s="150"/>
      <c r="S37" s="173">
        <f>Calculation_ITS!L37+Q37</f>
        <v>2512936.5972793093</v>
      </c>
    </row>
    <row r="38" spans="1:19" ht="15.75" customHeight="1" x14ac:dyDescent="0.25">
      <c r="A38" s="174" t="s">
        <v>67</v>
      </c>
      <c r="B38" s="175">
        <f>(Gross_wages!B35*B$11)/1000</f>
        <v>28682.855443999997</v>
      </c>
      <c r="C38" s="175">
        <f>(Gross_wages!C35*C$11)/1000</f>
        <v>4530.9572689999995</v>
      </c>
      <c r="D38" s="176">
        <f>(Gross_wages!D35*D$11)/1000</f>
        <v>0</v>
      </c>
      <c r="E38" s="175">
        <f>(Gross_wages!E35*E$11)/1000</f>
        <v>99.50359550561798</v>
      </c>
      <c r="F38" s="175">
        <f>(Gross_wages!F35*F$11)/1000</f>
        <v>0</v>
      </c>
      <c r="G38" s="175">
        <f>(Gross_wages!G35*G$11)/1000</f>
        <v>83460.639775280899</v>
      </c>
      <c r="H38" s="177">
        <f>(Gross_wages!H35*H$11)/1000</f>
        <v>0</v>
      </c>
      <c r="I38" s="175">
        <f t="shared" si="0"/>
        <v>88091.100639786513</v>
      </c>
      <c r="J38" s="178">
        <f t="shared" si="1"/>
        <v>0.75</v>
      </c>
      <c r="K38" s="175">
        <f t="shared" si="2"/>
        <v>66068.325479839885</v>
      </c>
      <c r="L38" s="179">
        <f t="shared" si="3"/>
        <v>94751.180923839886</v>
      </c>
      <c r="M38" s="147"/>
      <c r="N38" s="174" t="s">
        <v>67</v>
      </c>
      <c r="O38" s="180">
        <v>924792.7</v>
      </c>
      <c r="P38" s="181">
        <v>0</v>
      </c>
      <c r="Q38" s="179">
        <f>IF(Calculation_ITS!L38=0,O38*P38,0)</f>
        <v>0</v>
      </c>
      <c r="R38" s="150"/>
      <c r="S38" s="182">
        <f>Calculation_ITS!L38+Q38</f>
        <v>94751.180923839886</v>
      </c>
    </row>
    <row r="39" spans="1:19" ht="15.75" customHeight="1" x14ac:dyDescent="0.25">
      <c r="A39" s="183" t="s">
        <v>68</v>
      </c>
      <c r="B39" s="184">
        <f t="shared" ref="B39:I39" si="4">SUM(B13:B38)</f>
        <v>8373240.5083216988</v>
      </c>
      <c r="C39" s="184">
        <f t="shared" si="4"/>
        <v>869878.47257087007</v>
      </c>
      <c r="D39" s="185">
        <f t="shared" si="4"/>
        <v>182621.12996391251</v>
      </c>
      <c r="E39" s="184">
        <f t="shared" si="4"/>
        <v>727068.69327303371</v>
      </c>
      <c r="F39" s="184">
        <f t="shared" si="4"/>
        <v>1777861.8124793293</v>
      </c>
      <c r="G39" s="184">
        <f t="shared" si="4"/>
        <v>1093753.5308174158</v>
      </c>
      <c r="H39" s="186">
        <f t="shared" si="4"/>
        <v>598505.37237960601</v>
      </c>
      <c r="I39" s="184">
        <f t="shared" si="4"/>
        <v>5249689.0114841666</v>
      </c>
      <c r="J39" s="187">
        <v>0.75</v>
      </c>
      <c r="K39" s="184">
        <f t="shared" si="2"/>
        <v>3937266.758613125</v>
      </c>
      <c r="L39" s="188">
        <f t="shared" si="3"/>
        <v>12310507.266934823</v>
      </c>
      <c r="M39" s="147"/>
      <c r="N39" s="183" t="s">
        <v>68</v>
      </c>
      <c r="O39" s="189">
        <f>SUM(O13:O38)</f>
        <v>166207085.79999995</v>
      </c>
      <c r="P39" s="190"/>
      <c r="Q39" s="188">
        <f>SUM(Q13:Q38)</f>
        <v>0</v>
      </c>
      <c r="R39" s="150"/>
      <c r="S39" s="191">
        <f>SUM(S13:S38)</f>
        <v>12310507.266934825</v>
      </c>
    </row>
  </sheetData>
  <mergeCells count="15">
    <mergeCell ref="Q8:Q10"/>
    <mergeCell ref="N4:Q4"/>
    <mergeCell ref="S8:S10"/>
    <mergeCell ref="U11:V11"/>
    <mergeCell ref="U10:V10"/>
    <mergeCell ref="P8:P10"/>
    <mergeCell ref="O8:O10"/>
    <mergeCell ref="D9:H9"/>
    <mergeCell ref="C9:C10"/>
    <mergeCell ref="B9:B10"/>
    <mergeCell ref="A4:L4"/>
    <mergeCell ref="I9:I10"/>
    <mergeCell ref="L9:L10"/>
    <mergeCell ref="K9:K10"/>
    <mergeCell ref="J9:J10"/>
  </mergeCells>
  <conditionalFormatting sqref="V13 O13:P38 J39">
    <cfRule type="expression" dxfId="7" priority="1" stopIfTrue="1">
      <formula>ISBLANK(J13)</formula>
    </cfRule>
  </conditionalFormatting>
  <conditionalFormatting sqref="B11:H11">
    <cfRule type="cellIs" dxfId="6" priority="2" stopIfTrue="1" operator="equal">
      <formula>"Eingabe Formel gemäss obiger Zeile"</formula>
    </cfRule>
    <cfRule type="expression" dxfId="5" priority="3" stopIfTrue="1">
      <formula>ISBLANK(B11)</formula>
    </cfRule>
  </conditionalFormatting>
  <conditionalFormatting sqref="B11:H11">
    <cfRule type="cellIs" dxfId="4" priority="4" stopIfTrue="1" operator="equal">
      <formula>"Eingabe Formel gemäss obiger Zeile"</formula>
    </cfRule>
    <cfRule type="expression" dxfId="3" priority="5" stopIfTrue="1">
      <formula>ISBLANK(B11)</formula>
    </cfRule>
  </conditionalFormatting>
  <conditionalFormatting sqref="V13">
    <cfRule type="expression" dxfId="2" priority="6" stopIfTrue="1">
      <formula>ISBLANK(V13)</formula>
    </cfRule>
  </conditionalFormatting>
  <conditionalFormatting sqref="B11:H11">
    <cfRule type="cellIs" dxfId="1" priority="7" stopIfTrue="1" operator="equal">
      <formula>"Eingabe Formel gemäss obiger Zeile"</formula>
    </cfRule>
    <cfRule type="expression" dxfId="0" priority="8" stopIfTrue="1">
      <formula>ISBLANK(B11)</formula>
    </cfRule>
  </conditionalFormatting>
  <printOptions verticalCentered="1"/>
  <pageMargins left="0.74803149606299213" right="0.74803149606299213" top="0.98425196850393704" bottom="0.98425196850393704" header="0.51181102362204722" footer="0.51181102362204722"/>
  <pageSetup paperSize="9" scale="63" fitToWidth="2" orientation="landscape" r:id="rId1"/>
  <headerFooter>
    <oddHeader>&amp;L&amp;10&amp;F&amp;R&amp;10&amp;A</oddHeader>
    <oddFooter>&amp;C&amp;10&amp;P/&amp;N</oddFooter>
  </headerFooter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Gross_wages</vt:lpstr>
      <vt:lpstr>Gamma</vt:lpstr>
      <vt:lpstr>Calculation_ITS</vt:lpstr>
      <vt:lpstr>gamma</vt:lpstr>
      <vt:lpstr>sst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2012-01-04T09:25:45Z</cp:lastPrinted>
  <dcterms:created xsi:type="dcterms:W3CDTF">2006-06-26T16:01:42Z</dcterms:created>
  <dcterms:modified xsi:type="dcterms:W3CDTF">2016-06-10T09:03:52Z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ITS_2017_2013.xlsx</vt:lpwstr>
  </property>
</Properties>
</file>