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F\"/>
    </mc:Choice>
  </mc:AlternateContent>
  <bookViews>
    <workbookView xWindow="-15" yWindow="-120" windowWidth="25230" windowHeight="6030"/>
  </bookViews>
  <sheets>
    <sheet name="Payments" sheetId="1" r:id="rId1"/>
    <sheet name="Payments_per_capita" sheetId="2" r:id="rId2"/>
  </sheets>
  <definedNames>
    <definedName name="B">#REF!</definedName>
    <definedName name="_xlnm.Print_Area">Payments!$A$1:$R$33</definedName>
    <definedName name="RI">#REF!</definedName>
    <definedName name="sse">#REF!</definedName>
    <definedName name="Summe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G30" i="2" l="1"/>
  <c r="F30" i="2"/>
  <c r="H30" i="2" s="1"/>
  <c r="E30" i="2"/>
  <c r="C30" i="2"/>
  <c r="G29" i="2"/>
  <c r="F29" i="2"/>
  <c r="H29" i="2" s="1"/>
  <c r="E29" i="2"/>
  <c r="C29" i="2"/>
  <c r="G28" i="2"/>
  <c r="F28" i="2"/>
  <c r="H28" i="2" s="1"/>
  <c r="E28" i="2"/>
  <c r="C28" i="2"/>
  <c r="G27" i="2"/>
  <c r="F27" i="2"/>
  <c r="E27" i="2"/>
  <c r="C27" i="2"/>
  <c r="G26" i="2"/>
  <c r="F26" i="2"/>
  <c r="H26" i="2" s="1"/>
  <c r="E26" i="2"/>
  <c r="C26" i="2"/>
  <c r="G25" i="2"/>
  <c r="F25" i="2"/>
  <c r="H25" i="2" s="1"/>
  <c r="E25" i="2"/>
  <c r="C25" i="2"/>
  <c r="G24" i="2"/>
  <c r="F24" i="2"/>
  <c r="H24" i="2" s="1"/>
  <c r="E24" i="2"/>
  <c r="C24" i="2"/>
  <c r="G23" i="2"/>
  <c r="F23" i="2"/>
  <c r="E23" i="2"/>
  <c r="C23" i="2"/>
  <c r="G22" i="2"/>
  <c r="F22" i="2"/>
  <c r="H22" i="2" s="1"/>
  <c r="E22" i="2"/>
  <c r="C22" i="2"/>
  <c r="G21" i="2"/>
  <c r="F21" i="2"/>
  <c r="H21" i="2" s="1"/>
  <c r="E21" i="2"/>
  <c r="C21" i="2"/>
  <c r="G20" i="2"/>
  <c r="F20" i="2"/>
  <c r="H20" i="2" s="1"/>
  <c r="E20" i="2"/>
  <c r="C20" i="2"/>
  <c r="G19" i="2"/>
  <c r="F19" i="2"/>
  <c r="E19" i="2"/>
  <c r="C19" i="2"/>
  <c r="G18" i="2"/>
  <c r="F18" i="2"/>
  <c r="H18" i="2" s="1"/>
  <c r="E18" i="2"/>
  <c r="C18" i="2"/>
  <c r="G17" i="2"/>
  <c r="F17" i="2"/>
  <c r="H17" i="2" s="1"/>
  <c r="E17" i="2"/>
  <c r="C17" i="2"/>
  <c r="G16" i="2"/>
  <c r="F16" i="2"/>
  <c r="H16" i="2" s="1"/>
  <c r="E16" i="2"/>
  <c r="C16" i="2"/>
  <c r="G15" i="2"/>
  <c r="F15" i="2"/>
  <c r="E15" i="2"/>
  <c r="C15" i="2"/>
  <c r="G14" i="2"/>
  <c r="F14" i="2"/>
  <c r="H14" i="2" s="1"/>
  <c r="E14" i="2"/>
  <c r="C14" i="2"/>
  <c r="G13" i="2"/>
  <c r="F13" i="2"/>
  <c r="H13" i="2" s="1"/>
  <c r="E13" i="2"/>
  <c r="C13" i="2"/>
  <c r="H12" i="2"/>
  <c r="G12" i="2"/>
  <c r="F12" i="2"/>
  <c r="E12" i="2"/>
  <c r="D12" i="2"/>
  <c r="C12" i="2"/>
  <c r="G11" i="2"/>
  <c r="H11" i="2" s="1"/>
  <c r="F11" i="2"/>
  <c r="E11" i="2"/>
  <c r="C11" i="2"/>
  <c r="G10" i="2"/>
  <c r="F10" i="2"/>
  <c r="H10" i="2" s="1"/>
  <c r="E10" i="2"/>
  <c r="C10" i="2"/>
  <c r="G9" i="2"/>
  <c r="F9" i="2"/>
  <c r="H9" i="2" s="1"/>
  <c r="E9" i="2"/>
  <c r="C9" i="2"/>
  <c r="H8" i="2"/>
  <c r="G8" i="2"/>
  <c r="F8" i="2"/>
  <c r="E8" i="2"/>
  <c r="D8" i="2"/>
  <c r="C8" i="2"/>
  <c r="G7" i="2"/>
  <c r="H7" i="2" s="1"/>
  <c r="F7" i="2"/>
  <c r="E7" i="2"/>
  <c r="C7" i="2"/>
  <c r="G6" i="2"/>
  <c r="F6" i="2"/>
  <c r="H6" i="2" s="1"/>
  <c r="E6" i="2"/>
  <c r="C6" i="2"/>
  <c r="G5" i="2"/>
  <c r="F5" i="2"/>
  <c r="H5" i="2" s="1"/>
  <c r="E5" i="2"/>
  <c r="C5" i="2"/>
  <c r="L3" i="2"/>
  <c r="J3" i="2"/>
  <c r="C3" i="2"/>
  <c r="L2" i="2"/>
  <c r="B1" i="2"/>
  <c r="Q32" i="1"/>
  <c r="P32" i="1"/>
  <c r="O32" i="1"/>
  <c r="L32" i="1"/>
  <c r="K32" i="1"/>
  <c r="J32" i="1"/>
  <c r="F32" i="1"/>
  <c r="E32" i="1"/>
  <c r="D32" i="1"/>
  <c r="Q31" i="1"/>
  <c r="I30" i="2" s="1"/>
  <c r="M31" i="1"/>
  <c r="H31" i="1"/>
  <c r="G31" i="1"/>
  <c r="Q30" i="1"/>
  <c r="I29" i="2" s="1"/>
  <c r="M30" i="1"/>
  <c r="N30" i="1" s="1"/>
  <c r="R30" i="1" s="1"/>
  <c r="J29" i="2" s="1"/>
  <c r="H30" i="1"/>
  <c r="G30" i="1"/>
  <c r="D29" i="2" s="1"/>
  <c r="Q29" i="1"/>
  <c r="I28" i="2" s="1"/>
  <c r="M29" i="1"/>
  <c r="H29" i="1"/>
  <c r="G29" i="1"/>
  <c r="Q28" i="1"/>
  <c r="I27" i="2" s="1"/>
  <c r="N28" i="1"/>
  <c r="R28" i="1" s="1"/>
  <c r="J27" i="2" s="1"/>
  <c r="M28" i="1"/>
  <c r="H28" i="1"/>
  <c r="G28" i="1"/>
  <c r="D27" i="2" s="1"/>
  <c r="Q27" i="1"/>
  <c r="I26" i="2" s="1"/>
  <c r="M27" i="1"/>
  <c r="H27" i="1"/>
  <c r="G27" i="1"/>
  <c r="Q26" i="1"/>
  <c r="I25" i="2" s="1"/>
  <c r="M26" i="1"/>
  <c r="N26" i="1" s="1"/>
  <c r="R26" i="1" s="1"/>
  <c r="J25" i="2" s="1"/>
  <c r="H26" i="1"/>
  <c r="G26" i="1"/>
  <c r="D25" i="2" s="1"/>
  <c r="Q25" i="1"/>
  <c r="I24" i="2" s="1"/>
  <c r="M25" i="1"/>
  <c r="H25" i="1"/>
  <c r="G25" i="1"/>
  <c r="Q24" i="1"/>
  <c r="I23" i="2" s="1"/>
  <c r="N24" i="1"/>
  <c r="R24" i="1" s="1"/>
  <c r="J23" i="2" s="1"/>
  <c r="M24" i="1"/>
  <c r="H24" i="1"/>
  <c r="G24" i="1"/>
  <c r="D23" i="2" s="1"/>
  <c r="Q23" i="1"/>
  <c r="I22" i="2" s="1"/>
  <c r="M23" i="1"/>
  <c r="H23" i="1"/>
  <c r="G23" i="1"/>
  <c r="Q22" i="1"/>
  <c r="I21" i="2" s="1"/>
  <c r="M22" i="1"/>
  <c r="N22" i="1" s="1"/>
  <c r="R22" i="1" s="1"/>
  <c r="J21" i="2" s="1"/>
  <c r="H22" i="1"/>
  <c r="G22" i="1"/>
  <c r="D21" i="2" s="1"/>
  <c r="Q21" i="1"/>
  <c r="I20" i="2" s="1"/>
  <c r="M21" i="1"/>
  <c r="H21" i="1"/>
  <c r="G21" i="1"/>
  <c r="Q20" i="1"/>
  <c r="I19" i="2" s="1"/>
  <c r="N20" i="1"/>
  <c r="R20" i="1" s="1"/>
  <c r="J19" i="2" s="1"/>
  <c r="M20" i="1"/>
  <c r="H20" i="1"/>
  <c r="G20" i="1"/>
  <c r="D19" i="2" s="1"/>
  <c r="Q19" i="1"/>
  <c r="I18" i="2" s="1"/>
  <c r="M19" i="1"/>
  <c r="H19" i="1"/>
  <c r="G19" i="1"/>
  <c r="Q18" i="1"/>
  <c r="I17" i="2" s="1"/>
  <c r="M18" i="1"/>
  <c r="N18" i="1" s="1"/>
  <c r="R18" i="1" s="1"/>
  <c r="J17" i="2" s="1"/>
  <c r="H18" i="1"/>
  <c r="G18" i="1"/>
  <c r="D17" i="2" s="1"/>
  <c r="Q17" i="1"/>
  <c r="I16" i="2" s="1"/>
  <c r="M17" i="1"/>
  <c r="H17" i="1"/>
  <c r="G17" i="1"/>
  <c r="Q16" i="1"/>
  <c r="I15" i="2" s="1"/>
  <c r="N16" i="1"/>
  <c r="R16" i="1" s="1"/>
  <c r="J15" i="2" s="1"/>
  <c r="M16" i="1"/>
  <c r="H16" i="1"/>
  <c r="G16" i="1"/>
  <c r="D15" i="2" s="1"/>
  <c r="Q15" i="1"/>
  <c r="I14" i="2" s="1"/>
  <c r="M15" i="1"/>
  <c r="H15" i="1"/>
  <c r="G15" i="1"/>
  <c r="N15" i="1" s="1"/>
  <c r="R15" i="1" s="1"/>
  <c r="J14" i="2" s="1"/>
  <c r="Q14" i="1"/>
  <c r="I13" i="2" s="1"/>
  <c r="M14" i="1"/>
  <c r="N14" i="1" s="1"/>
  <c r="R14" i="1" s="1"/>
  <c r="J13" i="2" s="1"/>
  <c r="H14" i="1"/>
  <c r="G14" i="1"/>
  <c r="D13" i="2" s="1"/>
  <c r="Q13" i="1"/>
  <c r="I12" i="2" s="1"/>
  <c r="M13" i="1"/>
  <c r="H13" i="1"/>
  <c r="G13" i="1"/>
  <c r="Q12" i="1"/>
  <c r="I11" i="2" s="1"/>
  <c r="N12" i="1"/>
  <c r="R12" i="1" s="1"/>
  <c r="J11" i="2" s="1"/>
  <c r="M12" i="1"/>
  <c r="H12" i="1"/>
  <c r="G12" i="1"/>
  <c r="D11" i="2" s="1"/>
  <c r="Q11" i="1"/>
  <c r="I10" i="2" s="1"/>
  <c r="M11" i="1"/>
  <c r="H11" i="1"/>
  <c r="G11" i="1"/>
  <c r="N11" i="1" s="1"/>
  <c r="R11" i="1" s="1"/>
  <c r="J10" i="2" s="1"/>
  <c r="Q10" i="1"/>
  <c r="I9" i="2" s="1"/>
  <c r="M10" i="1"/>
  <c r="N10" i="1" s="1"/>
  <c r="R10" i="1" s="1"/>
  <c r="J9" i="2" s="1"/>
  <c r="H10" i="1"/>
  <c r="G10" i="1"/>
  <c r="D9" i="2" s="1"/>
  <c r="Q9" i="1"/>
  <c r="I8" i="2" s="1"/>
  <c r="M9" i="1"/>
  <c r="H9" i="1"/>
  <c r="G9" i="1"/>
  <c r="Q8" i="1"/>
  <c r="I7" i="2" s="1"/>
  <c r="N8" i="1"/>
  <c r="R8" i="1" s="1"/>
  <c r="J7" i="2" s="1"/>
  <c r="M8" i="1"/>
  <c r="H8" i="1"/>
  <c r="G8" i="1"/>
  <c r="D7" i="2" s="1"/>
  <c r="Q7" i="1"/>
  <c r="I6" i="2" s="1"/>
  <c r="M7" i="1"/>
  <c r="H7" i="1"/>
  <c r="H32" i="1" s="1"/>
  <c r="G7" i="1"/>
  <c r="N7" i="1" s="1"/>
  <c r="R7" i="1" s="1"/>
  <c r="J6" i="2" s="1"/>
  <c r="Q6" i="1"/>
  <c r="I5" i="2" s="1"/>
  <c r="M6" i="1"/>
  <c r="N6" i="1" s="1"/>
  <c r="H6" i="1"/>
  <c r="G6" i="1"/>
  <c r="D5" i="2" s="1"/>
  <c r="R3" i="1"/>
  <c r="J3" i="1"/>
  <c r="D3" i="1"/>
  <c r="C3" i="1"/>
  <c r="B1" i="1"/>
  <c r="R6" i="1" l="1"/>
  <c r="N19" i="1"/>
  <c r="R19" i="1" s="1"/>
  <c r="J18" i="2" s="1"/>
  <c r="D18" i="2"/>
  <c r="N23" i="1"/>
  <c r="R23" i="1" s="1"/>
  <c r="J22" i="2" s="1"/>
  <c r="D22" i="2"/>
  <c r="N27" i="1"/>
  <c r="R27" i="1" s="1"/>
  <c r="J26" i="2" s="1"/>
  <c r="D26" i="2"/>
  <c r="N31" i="1"/>
  <c r="R31" i="1" s="1"/>
  <c r="J30" i="2" s="1"/>
  <c r="D30" i="2"/>
  <c r="G32" i="1"/>
  <c r="M32" i="1"/>
  <c r="N9" i="1"/>
  <c r="R9" i="1" s="1"/>
  <c r="J8" i="2" s="1"/>
  <c r="N13" i="1"/>
  <c r="R13" i="1" s="1"/>
  <c r="J12" i="2" s="1"/>
  <c r="N17" i="1"/>
  <c r="R17" i="1" s="1"/>
  <c r="J16" i="2" s="1"/>
  <c r="D16" i="2"/>
  <c r="N21" i="1"/>
  <c r="R21" i="1" s="1"/>
  <c r="J20" i="2" s="1"/>
  <c r="D20" i="2"/>
  <c r="N25" i="1"/>
  <c r="R25" i="1" s="1"/>
  <c r="J24" i="2" s="1"/>
  <c r="D24" i="2"/>
  <c r="N29" i="1"/>
  <c r="R29" i="1" s="1"/>
  <c r="J28" i="2" s="1"/>
  <c r="D28" i="2"/>
  <c r="D6" i="2"/>
  <c r="D10" i="2"/>
  <c r="D14" i="2"/>
  <c r="H15" i="2"/>
  <c r="H19" i="2"/>
  <c r="H23" i="2"/>
  <c r="H27" i="2"/>
  <c r="N32" i="1" l="1"/>
  <c r="R32" i="1"/>
  <c r="J5" i="2"/>
</calcChain>
</file>

<file path=xl/sharedStrings.xml><?xml version="1.0" encoding="utf-8"?>
<sst xmlns="http://schemas.openxmlformats.org/spreadsheetml/2006/main" count="91" uniqueCount="55">
  <si>
    <t>in CHF 1,000; (+) cantonal burden; (-) cantonal relief</t>
  </si>
  <si>
    <t>STR index after RE</t>
  </si>
  <si>
    <t>Total
RE + CC</t>
  </si>
  <si>
    <t>Cohesion fund</t>
  </si>
  <si>
    <t>Horizontal</t>
  </si>
  <si>
    <t>Vertical</t>
  </si>
  <si>
    <t>Total</t>
  </si>
  <si>
    <t>GCC</t>
  </si>
  <si>
    <t>SCC A-C</t>
  </si>
  <si>
    <t>SCC F</t>
  </si>
  <si>
    <t>Inpayment</t>
  </si>
  <si>
    <t>Outpayment</t>
  </si>
  <si>
    <t>Inpay. - outpay.</t>
  </si>
  <si>
    <t>Inpay.</t>
  </si>
  <si>
    <t>Outpay.</t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</si>
  <si>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</si>
  <si>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</si>
  <si>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</si>
  <si>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</si>
  <si>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</si>
  <si>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</si>
  <si>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</si>
  <si>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</si>
  <si>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</si>
  <si>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</si>
  <si>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</si>
  <si>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</si>
  <si>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</si>
  <si>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</si>
  <si>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</si>
  <si>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</si>
  <si>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</si>
  <si>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</si>
  <si>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</si>
  <si>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</si>
  <si>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</si>
  <si>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</si>
  <si>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</si>
  <si>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</si>
  <si>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</si>
  <si>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</si>
  <si>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RE = resource equalization; SCC = socio-demographic cost compensation; A-C = areas poverty, age, immigrant integration; F = core city issues; GCC = geographical/topographic cost compensation;
STR = standardized tax revenue</t>
  </si>
  <si>
    <t>Environment</t>
  </si>
  <si>
    <t>Produktion</t>
  </si>
  <si>
    <t>Type</t>
  </si>
  <si>
    <t>Berechnung</t>
  </si>
  <si>
    <t>WS</t>
  </si>
  <si>
    <t>FA_2017_20160519</t>
  </si>
  <si>
    <t>SWS</t>
  </si>
  <si>
    <t>Zahlungen_2017_20160525</t>
  </si>
  <si>
    <t>RefYear</t>
  </si>
  <si>
    <t>in CHF; (+) cantonal burden; (-) cantonal relief</t>
  </si>
  <si>
    <t>Resource equalization</t>
  </si>
  <si>
    <t>Cost compensation</t>
  </si>
  <si>
    <t>Any differences are due to 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</si>
</sst>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i/>
      <sz val="8"/>
      <color rgb="FF3333FF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/>
      <diagonal/>
    </border>
    <border diagonalUp="1" diagonalDown="1">
      <left style="thin">
        <color auto="1"/>
      </left>
      <right/>
      <top/>
      <bottom/>
      <diagonal/>
    </border>
    <border diagonalUp="1" diagonalDown="1"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/>
      <diagonal/>
    </border>
    <border diagonalUp="1" diagonalDown="1">
      <left/>
      <right style="hair">
        <color rgb="FF000000"/>
      </right>
      <top/>
      <bottom/>
      <diagonal/>
    </border>
    <border diagonalUp="1" diagonalDown="1">
      <left style="hair">
        <color rgb="FF000000"/>
      </left>
      <right style="hair">
        <color rgb="FF000000"/>
      </right>
      <top/>
      <bottom/>
      <diagonal/>
    </border>
    <border diagonalUp="1" diagonalDown="1">
      <left style="hair">
        <color rgb="FF000000"/>
      </left>
      <right/>
      <top/>
      <bottom/>
      <diagonal/>
    </border>
    <border diagonalUp="1" diagonalDown="1">
      <left style="thin">
        <color rgb="FF000000"/>
      </left>
      <right style="hair">
        <color rgb="FF000000"/>
      </right>
      <top/>
      <bottom/>
      <diagonal/>
    </border>
    <border diagonalUp="1" diagonalDown="1">
      <left style="hair">
        <color rgb="FF000000"/>
      </left>
      <right style="thin">
        <color rgb="FF000000"/>
      </right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/>
      <right style="hair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/>
      <top/>
      <bottom style="thin">
        <color rgb="FF000000"/>
      </bottom>
      <diagonal/>
    </border>
    <border diagonalUp="1" diagonalDown="1"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auto="1"/>
      </left>
      <right/>
      <top style="thin">
        <color rgb="FF000000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/>
      <right/>
      <top style="thin">
        <color auto="1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auto="1"/>
      </top>
      <bottom style="thin">
        <color auto="1"/>
      </bottom>
      <diagonal/>
    </border>
    <border diagonalUp="1" diagonalDown="1">
      <left style="hair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 style="hair">
        <color rgb="FF000000"/>
      </right>
      <top style="thin">
        <color rgb="FF000000"/>
      </top>
      <bottom/>
      <diagonal/>
    </border>
    <border diagonalUp="1" diagonalDown="1">
      <left style="hair">
        <color rgb="FF000000"/>
      </left>
      <right style="hair">
        <color rgb="FF000000"/>
      </right>
      <top style="thin">
        <color rgb="FF000000"/>
      </top>
      <bottom/>
      <diagonal/>
    </border>
    <border diagonalUp="1" diagonalDown="1">
      <left style="hair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 diagonalDown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 diagonalDown="1">
      <left style="hair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hair">
        <color auto="1"/>
      </right>
      <top style="thin">
        <color rgb="FF000000"/>
      </top>
      <bottom/>
      <diagonal/>
    </border>
    <border diagonalUp="1" diagonalDown="1">
      <left style="hair">
        <color auto="1"/>
      </left>
      <right style="hair">
        <color auto="1"/>
      </right>
      <top style="thin">
        <color rgb="FF000000"/>
      </top>
      <bottom/>
      <diagonal/>
    </border>
    <border diagonalUp="1" diagonalDown="1">
      <left style="hair">
        <color auto="1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hair">
        <color auto="1"/>
      </right>
      <top/>
      <bottom/>
      <diagonal/>
    </border>
    <border diagonalUp="1" diagonalDown="1">
      <left style="hair">
        <color auto="1"/>
      </left>
      <right style="hair">
        <color auto="1"/>
      </right>
      <top/>
      <bottom/>
      <diagonal/>
    </border>
    <border diagonalUp="1" diagonalDown="1">
      <left style="hair">
        <color auto="1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auto="1"/>
      </left>
      <right style="hair">
        <color auto="1"/>
      </right>
      <top/>
      <bottom style="thin">
        <color rgb="FF000000"/>
      </bottom>
      <diagonal/>
    </border>
    <border diagonalUp="1" diagonalDown="1">
      <left style="hair">
        <color auto="1"/>
      </left>
      <right style="hair">
        <color auto="1"/>
      </right>
      <top/>
      <bottom style="thin">
        <color rgb="FF000000"/>
      </bottom>
      <diagonal/>
    </border>
    <border diagonalUp="1" diagonalDown="1">
      <left style="hair">
        <color auto="1"/>
      </left>
      <right style="thin">
        <color rgb="FF000000"/>
      </right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left" vertical="center"/>
    </xf>
    <xf numFmtId="164" fontId="2" fillId="0" borderId="10" xfId="0" applyNumberFormat="1" applyFont="1" applyFill="1" applyBorder="1" applyAlignment="1">
      <alignment vertical="center"/>
    </xf>
    <xf numFmtId="3" fontId="0" fillId="0" borderId="11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vertical="center"/>
    </xf>
    <xf numFmtId="3" fontId="0" fillId="0" borderId="13" xfId="0" applyNumberFormat="1" applyFont="1" applyFill="1" applyBorder="1" applyAlignment="1">
      <alignment vertical="center"/>
    </xf>
    <xf numFmtId="3" fontId="0" fillId="0" borderId="14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1" fillId="0" borderId="16" xfId="0" applyNumberFormat="1" applyFont="1" applyFill="1" applyBorder="1" applyAlignment="1">
      <alignment vertical="center"/>
    </xf>
    <xf numFmtId="0" fontId="0" fillId="2" borderId="9" xfId="0" applyFont="1" applyFill="1" applyBorder="1" applyAlignment="1">
      <alignment horizontal="left" vertical="center"/>
    </xf>
    <xf numFmtId="164" fontId="2" fillId="2" borderId="10" xfId="0" applyNumberFormat="1" applyFont="1" applyFill="1" applyBorder="1" applyAlignment="1">
      <alignment vertical="center"/>
    </xf>
    <xf numFmtId="3" fontId="0" fillId="2" borderId="11" xfId="0" applyNumberFormat="1" applyFont="1" applyFill="1" applyBorder="1" applyAlignment="1">
      <alignment vertical="center"/>
    </xf>
    <xf numFmtId="3" fontId="0" fillId="2" borderId="12" xfId="0" applyNumberFormat="1" applyFont="1" applyFill="1" applyBorder="1" applyAlignment="1">
      <alignment vertical="center"/>
    </xf>
    <xf numFmtId="3" fontId="0" fillId="2" borderId="13" xfId="0" applyNumberFormat="1" applyFont="1" applyFill="1" applyBorder="1" applyAlignment="1">
      <alignment vertical="center"/>
    </xf>
    <xf numFmtId="3" fontId="0" fillId="2" borderId="14" xfId="0" applyNumberFormat="1" applyFont="1" applyFill="1" applyBorder="1" applyAlignment="1">
      <alignment vertical="center"/>
    </xf>
    <xf numFmtId="3" fontId="0" fillId="2" borderId="15" xfId="0" applyNumberFormat="1" applyFont="1" applyFill="1" applyBorder="1" applyAlignment="1">
      <alignment vertical="center"/>
    </xf>
    <xf numFmtId="3" fontId="0" fillId="2" borderId="0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vertical="center"/>
    </xf>
    <xf numFmtId="0" fontId="0" fillId="2" borderId="17" xfId="0" applyFont="1" applyFill="1" applyBorder="1" applyAlignment="1">
      <alignment horizontal="left" vertical="center"/>
    </xf>
    <xf numFmtId="164" fontId="2" fillId="2" borderId="18" xfId="0" applyNumberFormat="1" applyFont="1" applyFill="1" applyBorder="1" applyAlignment="1">
      <alignment vertical="center"/>
    </xf>
    <xf numFmtId="3" fontId="0" fillId="2" borderId="19" xfId="0" applyNumberFormat="1" applyFont="1" applyFill="1" applyBorder="1" applyAlignment="1">
      <alignment vertical="center"/>
    </xf>
    <xf numFmtId="3" fontId="0" fillId="2" borderId="20" xfId="0" applyNumberFormat="1" applyFont="1" applyFill="1" applyBorder="1" applyAlignment="1">
      <alignment vertical="center"/>
    </xf>
    <xf numFmtId="3" fontId="0" fillId="2" borderId="21" xfId="0" applyNumberFormat="1" applyFont="1" applyFill="1" applyBorder="1" applyAlignment="1">
      <alignment vertical="center"/>
    </xf>
    <xf numFmtId="3" fontId="0" fillId="2" borderId="22" xfId="0" applyNumberFormat="1" applyFont="1" applyFill="1" applyBorder="1" applyAlignment="1">
      <alignment vertical="center"/>
    </xf>
    <xf numFmtId="3" fontId="0" fillId="2" borderId="23" xfId="0" applyNumberFormat="1" applyFont="1" applyFill="1" applyBorder="1" applyAlignment="1">
      <alignment vertical="center"/>
    </xf>
    <xf numFmtId="3" fontId="0" fillId="2" borderId="24" xfId="0" applyNumberFormat="1" applyFont="1" applyFill="1" applyBorder="1" applyAlignment="1">
      <alignment vertical="center"/>
    </xf>
    <xf numFmtId="3" fontId="1" fillId="2" borderId="25" xfId="0" applyNumberFormat="1" applyFont="1" applyFill="1" applyBorder="1" applyAlignment="1">
      <alignment vertical="center"/>
    </xf>
    <xf numFmtId="0" fontId="1" fillId="0" borderId="26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165" fontId="2" fillId="0" borderId="27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28" xfId="0" applyNumberFormat="1" applyFont="1" applyFill="1" applyBorder="1" applyAlignment="1">
      <alignment vertical="center"/>
    </xf>
    <xf numFmtId="3" fontId="1" fillId="0" borderId="29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0" fillId="0" borderId="3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vertical="center"/>
    </xf>
    <xf numFmtId="0" fontId="6" fillId="0" borderId="30" xfId="0" applyFont="1" applyFill="1" applyBorder="1" applyAlignment="1">
      <alignment horizontal="right" vertical="center"/>
    </xf>
    <xf numFmtId="3" fontId="7" fillId="0" borderId="30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vertical="center"/>
    </xf>
    <xf numFmtId="1" fontId="7" fillId="0" borderId="3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Alignment="1">
      <alignment horizontal="right"/>
    </xf>
    <xf numFmtId="0" fontId="1" fillId="0" borderId="39" xfId="0" applyFont="1" applyFill="1" applyBorder="1" applyAlignment="1">
      <alignment wrapText="1"/>
    </xf>
    <xf numFmtId="0" fontId="1" fillId="0" borderId="18" xfId="0" applyFont="1" applyFill="1" applyBorder="1" applyAlignment="1">
      <alignment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left" vertical="center"/>
    </xf>
    <xf numFmtId="164" fontId="2" fillId="0" borderId="43" xfId="0" applyNumberFormat="1" applyFont="1" applyFill="1" applyBorder="1" applyAlignment="1">
      <alignment vertical="center"/>
    </xf>
    <xf numFmtId="3" fontId="0" fillId="0" borderId="44" xfId="0" applyNumberFormat="1" applyFont="1" applyFill="1" applyBorder="1" applyAlignment="1">
      <alignment horizontal="right" vertical="center" indent="1"/>
    </xf>
    <xf numFmtId="3" fontId="0" fillId="0" borderId="45" xfId="0" applyNumberFormat="1" applyFont="1" applyFill="1" applyBorder="1" applyAlignment="1">
      <alignment horizontal="right" vertical="center" indent="1"/>
    </xf>
    <xf numFmtId="3" fontId="0" fillId="0" borderId="46" xfId="0" applyNumberFormat="1" applyFont="1" applyFill="1" applyBorder="1" applyAlignment="1">
      <alignment horizontal="right" vertical="center" indent="1"/>
    </xf>
    <xf numFmtId="3" fontId="0" fillId="0" borderId="47" xfId="0" applyNumberFormat="1" applyFont="1" applyFill="1" applyBorder="1" applyAlignment="1">
      <alignment horizontal="right" vertical="center" indent="1"/>
    </xf>
    <xf numFmtId="3" fontId="0" fillId="0" borderId="39" xfId="0" applyNumberFormat="1" applyFont="1" applyFill="1" applyBorder="1" applyAlignment="1">
      <alignment horizontal="right" vertical="center" indent="1"/>
    </xf>
    <xf numFmtId="3" fontId="1" fillId="0" borderId="39" xfId="0" applyNumberFormat="1" applyFont="1" applyFill="1" applyBorder="1" applyAlignment="1">
      <alignment horizontal="right" vertical="center" indent="1"/>
    </xf>
    <xf numFmtId="3" fontId="2" fillId="0" borderId="10" xfId="0" applyNumberFormat="1" applyFont="1" applyFill="1" applyBorder="1" applyAlignment="1">
      <alignment vertical="center"/>
    </xf>
    <xf numFmtId="0" fontId="0" fillId="2" borderId="10" xfId="0" applyFont="1" applyFill="1" applyBorder="1" applyAlignment="1">
      <alignment horizontal="left" vertical="center"/>
    </xf>
    <xf numFmtId="3" fontId="0" fillId="2" borderId="16" xfId="0" applyNumberFormat="1" applyFont="1" applyFill="1" applyBorder="1" applyAlignment="1">
      <alignment horizontal="right" vertical="center" indent="1"/>
    </xf>
    <xf numFmtId="3" fontId="0" fillId="2" borderId="48" xfId="0" applyNumberFormat="1" applyFont="1" applyFill="1" applyBorder="1" applyAlignment="1">
      <alignment horizontal="right" vertical="center" indent="1"/>
    </xf>
    <xf numFmtId="3" fontId="0" fillId="2" borderId="49" xfId="0" applyNumberFormat="1" applyFont="1" applyFill="1" applyBorder="1" applyAlignment="1">
      <alignment horizontal="right" vertical="center" indent="1"/>
    </xf>
    <xf numFmtId="3" fontId="0" fillId="2" borderId="50" xfId="0" applyNumberFormat="1" applyFont="1" applyFill="1" applyBorder="1" applyAlignment="1">
      <alignment horizontal="right" vertical="center" indent="1"/>
    </xf>
    <xf numFmtId="3" fontId="0" fillId="2" borderId="10" xfId="0" applyNumberFormat="1" applyFont="1" applyFill="1" applyBorder="1" applyAlignment="1">
      <alignment horizontal="right" vertical="center" indent="1"/>
    </xf>
    <xf numFmtId="3" fontId="1" fillId="2" borderId="10" xfId="0" applyNumberFormat="1" applyFont="1" applyFill="1" applyBorder="1" applyAlignment="1">
      <alignment horizontal="right" vertical="center" indent="1"/>
    </xf>
    <xf numFmtId="3" fontId="2" fillId="2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horizontal="left" vertical="center"/>
    </xf>
    <xf numFmtId="3" fontId="0" fillId="0" borderId="16" xfId="0" applyNumberFormat="1" applyFont="1" applyFill="1" applyBorder="1" applyAlignment="1">
      <alignment horizontal="right" vertical="center" indent="1"/>
    </xf>
    <xf numFmtId="3" fontId="0" fillId="0" borderId="48" xfId="0" applyNumberFormat="1" applyFont="1" applyFill="1" applyBorder="1" applyAlignment="1">
      <alignment horizontal="right" vertical="center" indent="1"/>
    </xf>
    <xf numFmtId="3" fontId="0" fillId="0" borderId="49" xfId="0" applyNumberFormat="1" applyFont="1" applyFill="1" applyBorder="1" applyAlignment="1">
      <alignment horizontal="right" vertical="center" indent="1"/>
    </xf>
    <xf numFmtId="3" fontId="0" fillId="0" borderId="50" xfId="0" applyNumberFormat="1" applyFont="1" applyFill="1" applyBorder="1" applyAlignment="1">
      <alignment horizontal="right" vertical="center" indent="1"/>
    </xf>
    <xf numFmtId="3" fontId="0" fillId="0" borderId="10" xfId="0" applyNumberFormat="1" applyFont="1" applyFill="1" applyBorder="1" applyAlignment="1">
      <alignment horizontal="right" vertical="center" indent="1"/>
    </xf>
    <xf numFmtId="3" fontId="1" fillId="0" borderId="10" xfId="0" applyNumberFormat="1" applyFont="1" applyFill="1" applyBorder="1" applyAlignment="1">
      <alignment horizontal="right" vertical="center" indent="1"/>
    </xf>
    <xf numFmtId="0" fontId="0" fillId="2" borderId="51" xfId="0" applyFont="1" applyFill="1" applyBorder="1" applyAlignment="1">
      <alignment horizontal="left" vertical="center"/>
    </xf>
    <xf numFmtId="164" fontId="2" fillId="2" borderId="51" xfId="0" applyNumberFormat="1" applyFont="1" applyFill="1" applyBorder="1" applyAlignment="1">
      <alignment vertical="center"/>
    </xf>
    <xf numFmtId="3" fontId="0" fillId="2" borderId="25" xfId="0" applyNumberFormat="1" applyFont="1" applyFill="1" applyBorder="1" applyAlignment="1">
      <alignment horizontal="right" vertical="center" indent="1"/>
    </xf>
    <xf numFmtId="3" fontId="0" fillId="2" borderId="52" xfId="0" applyNumberFormat="1" applyFont="1" applyFill="1" applyBorder="1" applyAlignment="1">
      <alignment horizontal="right" vertical="center" indent="1"/>
    </xf>
    <xf numFmtId="3" fontId="0" fillId="2" borderId="53" xfId="0" applyNumberFormat="1" applyFont="1" applyFill="1" applyBorder="1" applyAlignment="1">
      <alignment horizontal="right" vertical="center" indent="1"/>
    </xf>
    <xf numFmtId="3" fontId="0" fillId="2" borderId="54" xfId="0" applyNumberFormat="1" applyFont="1" applyFill="1" applyBorder="1" applyAlignment="1">
      <alignment horizontal="right" vertical="center" indent="1"/>
    </xf>
    <xf numFmtId="3" fontId="0" fillId="2" borderId="18" xfId="0" applyNumberFormat="1" applyFont="1" applyFill="1" applyBorder="1" applyAlignment="1">
      <alignment horizontal="right" vertical="center" indent="1"/>
    </xf>
    <xf numFmtId="3" fontId="1" fillId="2" borderId="51" xfId="0" applyNumberFormat="1" applyFont="1" applyFill="1" applyBorder="1" applyAlignment="1">
      <alignment horizontal="right" vertical="center" indent="1"/>
    </xf>
    <xf numFmtId="3" fontId="2" fillId="2" borderId="5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wrapText="1"/>
    </xf>
    <xf numFmtId="0" fontId="0" fillId="0" borderId="27" xfId="0" applyFont="1" applyFill="1" applyBorder="1" applyAlignment="1">
      <alignment horizont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left"/>
    </xf>
    <xf numFmtId="0" fontId="0" fillId="0" borderId="55" xfId="0" applyFont="1" applyFill="1" applyBorder="1"/>
    <xf numFmtId="0" fontId="1" fillId="0" borderId="27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2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35"/>
  <sheetViews>
    <sheetView showGridLines="0" tabSelected="1" workbookViewId="0"/>
  </sheetViews>
  <sheetFormatPr baseColWidth="10" defaultColWidth="11.42578125" defaultRowHeight="12.75" x14ac:dyDescent="0.2"/>
  <cols>
    <col min="1" max="1" width="1.42578125" style="1" customWidth="1"/>
    <col min="2" max="2" width="15.85546875" style="2" customWidth="1"/>
    <col min="3" max="3" width="9.42578125" style="3" customWidth="1"/>
    <col min="4" max="4" width="10.28515625" style="3" customWidth="1"/>
    <col min="5" max="6" width="11.7109375" style="3" customWidth="1"/>
    <col min="8" max="8" width="11.7109375" style="3" customWidth="1"/>
    <col min="9" max="9" width="7.42578125" style="3" customWidth="1"/>
    <col min="10" max="13" width="10" style="3" customWidth="1"/>
    <col min="14" max="14" width="10.85546875" style="3" customWidth="1"/>
    <col min="15" max="17" width="10" style="3" customWidth="1"/>
    <col min="18" max="18" width="10.85546875" style="3" customWidth="1"/>
  </cols>
  <sheetData>
    <row r="1" spans="1:19" ht="18" customHeight="1" x14ac:dyDescent="0.25">
      <c r="B1" s="102" t="str">
        <f>"Payments "&amp;R35</f>
        <v>Payments 2017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4"/>
    </row>
    <row r="2" spans="1:19" ht="22.5" customHeight="1" x14ac:dyDescent="0.2">
      <c r="B2" s="5" t="s">
        <v>0</v>
      </c>
    </row>
    <row r="3" spans="1:19" ht="15.75" customHeight="1" x14ac:dyDescent="0.2">
      <c r="A3" s="6"/>
      <c r="B3" s="7"/>
      <c r="C3" s="110" t="str">
        <f>"Resource index "&amp;R35</f>
        <v>Resource index 2017</v>
      </c>
      <c r="D3" s="126" t="str">
        <f>"Resource equalization "&amp;R35</f>
        <v>Resource equalization 2017</v>
      </c>
      <c r="E3" s="127"/>
      <c r="F3" s="127"/>
      <c r="G3" s="127"/>
      <c r="H3" s="128"/>
      <c r="I3" s="110" t="s">
        <v>1</v>
      </c>
      <c r="J3" s="129" t="str">
        <f>"Cost compensation "&amp;R35</f>
        <v>Cost compensation 2017</v>
      </c>
      <c r="K3" s="127"/>
      <c r="L3" s="127"/>
      <c r="M3" s="130"/>
      <c r="N3" s="112" t="s">
        <v>2</v>
      </c>
      <c r="O3" s="106" t="s">
        <v>3</v>
      </c>
      <c r="P3" s="104"/>
      <c r="Q3" s="122"/>
      <c r="R3" s="115" t="str">
        <f>"Total payments "&amp;R35&amp;" net"</f>
        <v>Total payments 2017 net</v>
      </c>
    </row>
    <row r="4" spans="1:19" ht="15.75" customHeight="1" x14ac:dyDescent="0.2">
      <c r="A4" s="6"/>
      <c r="B4" s="8"/>
      <c r="C4" s="110"/>
      <c r="D4" s="120" t="s">
        <v>4</v>
      </c>
      <c r="E4" s="121"/>
      <c r="F4" s="9" t="s">
        <v>5</v>
      </c>
      <c r="G4" s="118" t="s">
        <v>6</v>
      </c>
      <c r="H4" s="119"/>
      <c r="I4" s="110"/>
      <c r="J4" s="106" t="s">
        <v>7</v>
      </c>
      <c r="K4" s="104" t="s">
        <v>8</v>
      </c>
      <c r="L4" s="104" t="s">
        <v>9</v>
      </c>
      <c r="M4" s="108" t="s">
        <v>6</v>
      </c>
      <c r="N4" s="113"/>
      <c r="O4" s="123"/>
      <c r="P4" s="124"/>
      <c r="Q4" s="125"/>
      <c r="R4" s="116"/>
    </row>
    <row r="5" spans="1:19" ht="24.75" customHeight="1" x14ac:dyDescent="0.2">
      <c r="A5" s="10"/>
      <c r="B5" s="11"/>
      <c r="C5" s="111"/>
      <c r="D5" s="12" t="s">
        <v>10</v>
      </c>
      <c r="E5" s="13" t="s">
        <v>11</v>
      </c>
      <c r="F5" s="13" t="s">
        <v>11</v>
      </c>
      <c r="G5" s="13" t="s">
        <v>12</v>
      </c>
      <c r="H5" s="14" t="s">
        <v>11</v>
      </c>
      <c r="I5" s="111"/>
      <c r="J5" s="107"/>
      <c r="K5" s="105"/>
      <c r="L5" s="105"/>
      <c r="M5" s="109"/>
      <c r="N5" s="114"/>
      <c r="O5" s="15" t="s">
        <v>13</v>
      </c>
      <c r="P5" s="13" t="s">
        <v>14</v>
      </c>
      <c r="Q5" s="16" t="s">
        <v>6</v>
      </c>
      <c r="R5" s="117"/>
    </row>
    <row r="6" spans="1:19" s="17" customFormat="1" ht="15" customHeight="1" x14ac:dyDescent="0.2">
      <c r="A6" s="18"/>
      <c r="B6" s="19" t="s">
        <v>15</v>
      </c>
      <c r="C6" s="20">
        <v>120.427530742215</v>
      </c>
      <c r="D6" s="21">
        <v>510014.70422418602</v>
      </c>
      <c r="E6" s="22">
        <v>0</v>
      </c>
      <c r="F6" s="22">
        <v>0</v>
      </c>
      <c r="G6" s="22">
        <f t="shared" ref="G6:G31" si="0">SUM(D6:F6)</f>
        <v>510014.70422418602</v>
      </c>
      <c r="H6" s="23">
        <f t="shared" ref="H6:H31" si="1">SUM(E6:F6)</f>
        <v>0</v>
      </c>
      <c r="I6" s="20">
        <v>116.2</v>
      </c>
      <c r="J6" s="24">
        <v>0</v>
      </c>
      <c r="K6" s="22">
        <v>-19368.788327490998</v>
      </c>
      <c r="L6" s="22">
        <v>-64821.586728679402</v>
      </c>
      <c r="M6" s="25">
        <f t="shared" ref="M6:M31" si="2">SUM(J6:L6)</f>
        <v>-84190.375056170393</v>
      </c>
      <c r="N6" s="26">
        <f t="shared" ref="N6:N31" si="3">G6+M6</f>
        <v>425824.32916801563</v>
      </c>
      <c r="O6" s="24">
        <v>18226.011999999999</v>
      </c>
      <c r="P6" s="22">
        <v>0</v>
      </c>
      <c r="Q6" s="25">
        <f t="shared" ref="Q6:Q31" si="4">O6+P6</f>
        <v>18226.011999999999</v>
      </c>
      <c r="R6" s="27">
        <f t="shared" ref="R6:R31" si="5">N6+Q6</f>
        <v>444050.34116801561</v>
      </c>
    </row>
    <row r="7" spans="1:19" s="17" customFormat="1" ht="15" customHeight="1" x14ac:dyDescent="0.2">
      <c r="A7" s="18"/>
      <c r="B7" s="28" t="s">
        <v>16</v>
      </c>
      <c r="C7" s="29">
        <v>74.337755857493704</v>
      </c>
      <c r="D7" s="30">
        <v>0</v>
      </c>
      <c r="E7" s="31">
        <v>-490519.730840476</v>
      </c>
      <c r="F7" s="31">
        <v>-721126.34178726398</v>
      </c>
      <c r="G7" s="31">
        <f t="shared" si="0"/>
        <v>-1211646.07262774</v>
      </c>
      <c r="H7" s="32">
        <f t="shared" si="1"/>
        <v>-1211646.07262774</v>
      </c>
      <c r="I7" s="29">
        <v>88.5</v>
      </c>
      <c r="J7" s="33">
        <v>-27426.1819942728</v>
      </c>
      <c r="K7" s="31">
        <v>-15510.9540061221</v>
      </c>
      <c r="L7" s="31">
        <v>0</v>
      </c>
      <c r="M7" s="34">
        <f t="shared" si="2"/>
        <v>-42937.136000394901</v>
      </c>
      <c r="N7" s="35">
        <f t="shared" si="3"/>
        <v>-1254583.2086281348</v>
      </c>
      <c r="O7" s="33">
        <v>14220.88</v>
      </c>
      <c r="P7" s="31">
        <v>-46921.194000000003</v>
      </c>
      <c r="Q7" s="34">
        <f t="shared" si="4"/>
        <v>-32700.314000000006</v>
      </c>
      <c r="R7" s="36">
        <f t="shared" si="5"/>
        <v>-1287283.5226281348</v>
      </c>
    </row>
    <row r="8" spans="1:19" s="17" customFormat="1" ht="15" customHeight="1" x14ac:dyDescent="0.2">
      <c r="A8" s="18"/>
      <c r="B8" s="19" t="s">
        <v>17</v>
      </c>
      <c r="C8" s="20">
        <v>86.879410655456994</v>
      </c>
      <c r="D8" s="21">
        <v>0</v>
      </c>
      <c r="E8" s="22">
        <v>-67682.597039443703</v>
      </c>
      <c r="F8" s="22">
        <v>-99502.019056575999</v>
      </c>
      <c r="G8" s="22">
        <f t="shared" si="0"/>
        <v>-167184.61609601969</v>
      </c>
      <c r="H8" s="23">
        <f t="shared" si="1"/>
        <v>-167184.61609601969</v>
      </c>
      <c r="I8" s="20">
        <v>91.9</v>
      </c>
      <c r="J8" s="24">
        <v>-6465.9505524985498</v>
      </c>
      <c r="K8" s="22">
        <v>0</v>
      </c>
      <c r="L8" s="22">
        <v>0</v>
      </c>
      <c r="M8" s="25">
        <f t="shared" si="2"/>
        <v>-6465.9505524985498</v>
      </c>
      <c r="N8" s="26">
        <f t="shared" si="3"/>
        <v>-173650.56664851823</v>
      </c>
      <c r="O8" s="24">
        <v>5156.1620000000003</v>
      </c>
      <c r="P8" s="22">
        <v>-21322.862000000001</v>
      </c>
      <c r="Q8" s="25">
        <f t="shared" si="4"/>
        <v>-16166.7</v>
      </c>
      <c r="R8" s="27">
        <f t="shared" si="5"/>
        <v>-189817.26664851824</v>
      </c>
    </row>
    <row r="9" spans="1:19" s="17" customFormat="1" ht="15" customHeight="1" x14ac:dyDescent="0.2">
      <c r="A9" s="18"/>
      <c r="B9" s="28" t="s">
        <v>18</v>
      </c>
      <c r="C9" s="29">
        <v>66.214583542761602</v>
      </c>
      <c r="D9" s="30">
        <v>0</v>
      </c>
      <c r="E9" s="31">
        <v>-27043.166709685</v>
      </c>
      <c r="F9" s="31">
        <v>-39756.891830392997</v>
      </c>
      <c r="G9" s="31">
        <f t="shared" si="0"/>
        <v>-66800.058540077996</v>
      </c>
      <c r="H9" s="32">
        <f t="shared" si="1"/>
        <v>-66800.058540077996</v>
      </c>
      <c r="I9" s="29">
        <v>87.8</v>
      </c>
      <c r="J9" s="33">
        <v>-11506.1927281062</v>
      </c>
      <c r="K9" s="31">
        <v>0</v>
      </c>
      <c r="L9" s="31">
        <v>0</v>
      </c>
      <c r="M9" s="34">
        <f t="shared" si="2"/>
        <v>-11506.1927281062</v>
      </c>
      <c r="N9" s="35">
        <f t="shared" si="3"/>
        <v>-78306.251268184191</v>
      </c>
      <c r="O9" s="33">
        <v>516.86599999999999</v>
      </c>
      <c r="P9" s="31">
        <v>0</v>
      </c>
      <c r="Q9" s="34">
        <f t="shared" si="4"/>
        <v>516.86599999999999</v>
      </c>
      <c r="R9" s="36">
        <f t="shared" si="5"/>
        <v>-77789.385268184196</v>
      </c>
    </row>
    <row r="10" spans="1:19" s="17" customFormat="1" ht="15" customHeight="1" x14ac:dyDescent="0.2">
      <c r="A10" s="18"/>
      <c r="B10" s="19" t="s">
        <v>19</v>
      </c>
      <c r="C10" s="20">
        <v>170.296509128525</v>
      </c>
      <c r="D10" s="21">
        <v>186748.561749852</v>
      </c>
      <c r="E10" s="22">
        <v>0</v>
      </c>
      <c r="F10" s="22">
        <v>0</v>
      </c>
      <c r="G10" s="22">
        <f t="shared" si="0"/>
        <v>186748.561749852</v>
      </c>
      <c r="H10" s="23">
        <f t="shared" si="1"/>
        <v>0</v>
      </c>
      <c r="I10" s="20">
        <v>155.9</v>
      </c>
      <c r="J10" s="24">
        <v>-6765.0996158652497</v>
      </c>
      <c r="K10" s="22">
        <v>0</v>
      </c>
      <c r="L10" s="22">
        <v>0</v>
      </c>
      <c r="M10" s="25">
        <f t="shared" si="2"/>
        <v>-6765.0996158652497</v>
      </c>
      <c r="N10" s="26">
        <f t="shared" si="3"/>
        <v>179983.46213398676</v>
      </c>
      <c r="O10" s="24">
        <v>1908.127</v>
      </c>
      <c r="P10" s="22">
        <v>0</v>
      </c>
      <c r="Q10" s="25">
        <f t="shared" si="4"/>
        <v>1908.127</v>
      </c>
      <c r="R10" s="27">
        <f t="shared" si="5"/>
        <v>181891.58913398677</v>
      </c>
    </row>
    <row r="11" spans="1:19" s="17" customFormat="1" ht="15" customHeight="1" x14ac:dyDescent="0.2">
      <c r="A11" s="18"/>
      <c r="B11" s="28" t="s">
        <v>20</v>
      </c>
      <c r="C11" s="29">
        <v>99.116130380201497</v>
      </c>
      <c r="D11" s="30">
        <v>0</v>
      </c>
      <c r="E11" s="31">
        <v>-99.883305178002004</v>
      </c>
      <c r="F11" s="31">
        <v>-146.841152230955</v>
      </c>
      <c r="G11" s="31">
        <f t="shared" si="0"/>
        <v>-246.72445740895699</v>
      </c>
      <c r="H11" s="32">
        <f t="shared" si="1"/>
        <v>-246.72445740895699</v>
      </c>
      <c r="I11" s="29">
        <v>99.2</v>
      </c>
      <c r="J11" s="33">
        <v>-6206.9489057849696</v>
      </c>
      <c r="K11" s="31">
        <v>0</v>
      </c>
      <c r="L11" s="31">
        <v>0</v>
      </c>
      <c r="M11" s="34">
        <f t="shared" si="2"/>
        <v>-6206.9489057849696</v>
      </c>
      <c r="N11" s="35">
        <f t="shared" si="3"/>
        <v>-6453.6733631939269</v>
      </c>
      <c r="O11" s="33">
        <v>480.19299999999998</v>
      </c>
      <c r="P11" s="31">
        <v>-8497.4089999999997</v>
      </c>
      <c r="Q11" s="34">
        <f t="shared" si="4"/>
        <v>-8017.2159999999994</v>
      </c>
      <c r="R11" s="36">
        <f t="shared" si="5"/>
        <v>-14470.889363193926</v>
      </c>
    </row>
    <row r="12" spans="1:19" s="17" customFormat="1" ht="15" customHeight="1" x14ac:dyDescent="0.2">
      <c r="A12" s="18"/>
      <c r="B12" s="19" t="s">
        <v>21</v>
      </c>
      <c r="C12" s="20">
        <v>151.51789107669299</v>
      </c>
      <c r="D12" s="21">
        <v>38012.547489755001</v>
      </c>
      <c r="E12" s="22">
        <v>0</v>
      </c>
      <c r="F12" s="22">
        <v>0</v>
      </c>
      <c r="G12" s="22">
        <f t="shared" si="0"/>
        <v>38012.547489755001</v>
      </c>
      <c r="H12" s="23">
        <f t="shared" si="1"/>
        <v>0</v>
      </c>
      <c r="I12" s="20">
        <v>140.9</v>
      </c>
      <c r="J12" s="24">
        <v>-1269.7713090044101</v>
      </c>
      <c r="K12" s="22">
        <v>0</v>
      </c>
      <c r="L12" s="22">
        <v>0</v>
      </c>
      <c r="M12" s="25">
        <f t="shared" si="2"/>
        <v>-1269.7713090044101</v>
      </c>
      <c r="N12" s="26">
        <f t="shared" si="3"/>
        <v>36742.776180750589</v>
      </c>
      <c r="O12" s="24">
        <v>550.76300000000003</v>
      </c>
      <c r="P12" s="22">
        <v>0</v>
      </c>
      <c r="Q12" s="25">
        <f t="shared" si="4"/>
        <v>550.76300000000003</v>
      </c>
      <c r="R12" s="27">
        <f t="shared" si="5"/>
        <v>37293.539180750588</v>
      </c>
    </row>
    <row r="13" spans="1:19" s="17" customFormat="1" ht="15" customHeight="1" x14ac:dyDescent="0.2">
      <c r="A13" s="18"/>
      <c r="B13" s="28" t="s">
        <v>22</v>
      </c>
      <c r="C13" s="29">
        <v>70.788738948919899</v>
      </c>
      <c r="D13" s="30">
        <v>0</v>
      </c>
      <c r="E13" s="31">
        <v>-23928.759119233298</v>
      </c>
      <c r="F13" s="31">
        <v>-35178.316879516402</v>
      </c>
      <c r="G13" s="31">
        <f t="shared" si="0"/>
        <v>-59107.0759987497</v>
      </c>
      <c r="H13" s="32">
        <f t="shared" si="1"/>
        <v>-59107.0759987497</v>
      </c>
      <c r="I13" s="29">
        <v>88</v>
      </c>
      <c r="J13" s="33">
        <v>-5381.7080417296102</v>
      </c>
      <c r="K13" s="31">
        <v>0</v>
      </c>
      <c r="L13" s="31">
        <v>0</v>
      </c>
      <c r="M13" s="34">
        <f t="shared" si="2"/>
        <v>-5381.7080417296102</v>
      </c>
      <c r="N13" s="35">
        <f t="shared" si="3"/>
        <v>-64488.78404047931</v>
      </c>
      <c r="O13" s="33">
        <v>572.13</v>
      </c>
      <c r="P13" s="31">
        <v>-7351.8810000000003</v>
      </c>
      <c r="Q13" s="34">
        <f t="shared" si="4"/>
        <v>-6779.7510000000002</v>
      </c>
      <c r="R13" s="36">
        <f t="shared" si="5"/>
        <v>-71268.535040479313</v>
      </c>
    </row>
    <row r="14" spans="1:19" s="17" customFormat="1" ht="15" customHeight="1" x14ac:dyDescent="0.2">
      <c r="A14" s="18"/>
      <c r="B14" s="19" t="s">
        <v>23</v>
      </c>
      <c r="C14" s="20">
        <v>264.11698353052998</v>
      </c>
      <c r="D14" s="21">
        <v>339876.46680330898</v>
      </c>
      <c r="E14" s="22">
        <v>0</v>
      </c>
      <c r="F14" s="22">
        <v>0</v>
      </c>
      <c r="G14" s="22">
        <f t="shared" si="0"/>
        <v>339876.46680330898</v>
      </c>
      <c r="H14" s="23">
        <f t="shared" si="1"/>
        <v>0</v>
      </c>
      <c r="I14" s="20">
        <v>230.4</v>
      </c>
      <c r="J14" s="24">
        <v>0</v>
      </c>
      <c r="K14" s="22">
        <v>0</v>
      </c>
      <c r="L14" s="22">
        <v>0</v>
      </c>
      <c r="M14" s="25">
        <f t="shared" si="2"/>
        <v>0</v>
      </c>
      <c r="N14" s="26">
        <f t="shared" si="3"/>
        <v>339876.46680330898</v>
      </c>
      <c r="O14" s="24">
        <v>1465.133</v>
      </c>
      <c r="P14" s="22">
        <v>0</v>
      </c>
      <c r="Q14" s="25">
        <f t="shared" si="4"/>
        <v>1465.133</v>
      </c>
      <c r="R14" s="27">
        <f t="shared" si="5"/>
        <v>341341.59980330896</v>
      </c>
    </row>
    <row r="15" spans="1:19" s="17" customFormat="1" ht="15" customHeight="1" x14ac:dyDescent="0.2">
      <c r="A15" s="18"/>
      <c r="B15" s="28" t="s">
        <v>24</v>
      </c>
      <c r="C15" s="29">
        <v>78.504949514077893</v>
      </c>
      <c r="D15" s="30">
        <v>0</v>
      </c>
      <c r="E15" s="31">
        <v>-108693.14509736501</v>
      </c>
      <c r="F15" s="31">
        <v>-159792.736506466</v>
      </c>
      <c r="G15" s="31">
        <f t="shared" si="0"/>
        <v>-268485.88160383102</v>
      </c>
      <c r="H15" s="32">
        <f t="shared" si="1"/>
        <v>-268485.88160383102</v>
      </c>
      <c r="I15" s="29">
        <v>89.2</v>
      </c>
      <c r="J15" s="33">
        <v>-9045.1991027412805</v>
      </c>
      <c r="K15" s="31">
        <v>0</v>
      </c>
      <c r="L15" s="31">
        <v>0</v>
      </c>
      <c r="M15" s="34">
        <f t="shared" si="2"/>
        <v>-9045.1991027412805</v>
      </c>
      <c r="N15" s="35">
        <f t="shared" si="3"/>
        <v>-277531.08070657228</v>
      </c>
      <c r="O15" s="33">
        <v>3540.442</v>
      </c>
      <c r="P15" s="31">
        <v>-123552.027</v>
      </c>
      <c r="Q15" s="34">
        <f t="shared" si="4"/>
        <v>-120011.58500000001</v>
      </c>
      <c r="R15" s="36">
        <f t="shared" si="5"/>
        <v>-397542.6657065723</v>
      </c>
    </row>
    <row r="16" spans="1:19" s="17" customFormat="1" ht="15" customHeight="1" x14ac:dyDescent="0.2">
      <c r="A16" s="18"/>
      <c r="B16" s="19" t="s">
        <v>25</v>
      </c>
      <c r="C16" s="20">
        <v>74.818028423563902</v>
      </c>
      <c r="D16" s="21">
        <v>0</v>
      </c>
      <c r="E16" s="22">
        <v>-124205.837566899</v>
      </c>
      <c r="F16" s="22">
        <v>-182598.365859354</v>
      </c>
      <c r="G16" s="22">
        <f t="shared" si="0"/>
        <v>-306804.20342625299</v>
      </c>
      <c r="H16" s="23">
        <f t="shared" si="1"/>
        <v>-306804.20342625299</v>
      </c>
      <c r="I16" s="20">
        <v>88.5</v>
      </c>
      <c r="J16" s="24">
        <v>0</v>
      </c>
      <c r="K16" s="22">
        <v>-2490.00930032003</v>
      </c>
      <c r="L16" s="22">
        <v>0</v>
      </c>
      <c r="M16" s="25">
        <f t="shared" si="2"/>
        <v>-2490.00930032003</v>
      </c>
      <c r="N16" s="26">
        <f t="shared" si="3"/>
        <v>-309294.21272657299</v>
      </c>
      <c r="O16" s="24">
        <v>3621.6379999999999</v>
      </c>
      <c r="P16" s="22">
        <v>0</v>
      </c>
      <c r="Q16" s="25">
        <f t="shared" si="4"/>
        <v>3621.6379999999999</v>
      </c>
      <c r="R16" s="27">
        <f t="shared" si="5"/>
        <v>-305672.57472657302</v>
      </c>
    </row>
    <row r="17" spans="1:31" s="17" customFormat="1" ht="15" customHeight="1" x14ac:dyDescent="0.2">
      <c r="A17" s="18"/>
      <c r="B17" s="28" t="s">
        <v>26</v>
      </c>
      <c r="C17" s="29">
        <v>146.47753383233899</v>
      </c>
      <c r="D17" s="30">
        <v>156177.675088713</v>
      </c>
      <c r="E17" s="31">
        <v>0</v>
      </c>
      <c r="F17" s="31">
        <v>0</v>
      </c>
      <c r="G17" s="31">
        <f t="shared" si="0"/>
        <v>156177.675088713</v>
      </c>
      <c r="H17" s="32">
        <f t="shared" si="1"/>
        <v>0</v>
      </c>
      <c r="I17" s="29">
        <v>136.9</v>
      </c>
      <c r="J17" s="33">
        <v>0</v>
      </c>
      <c r="K17" s="31">
        <v>-31543.088486026099</v>
      </c>
      <c r="L17" s="31">
        <v>-18528.3109516267</v>
      </c>
      <c r="M17" s="34">
        <f t="shared" si="2"/>
        <v>-50071.399437652799</v>
      </c>
      <c r="N17" s="35">
        <f t="shared" si="3"/>
        <v>106106.2756510602</v>
      </c>
      <c r="O17" s="33">
        <v>2873.1790000000001</v>
      </c>
      <c r="P17" s="31">
        <v>0</v>
      </c>
      <c r="Q17" s="34">
        <f t="shared" si="4"/>
        <v>2873.1790000000001</v>
      </c>
      <c r="R17" s="36">
        <f t="shared" si="5"/>
        <v>108979.45465106021</v>
      </c>
    </row>
    <row r="18" spans="1:31" s="17" customFormat="1" ht="15" customHeight="1" x14ac:dyDescent="0.2">
      <c r="A18" s="18"/>
      <c r="B18" s="19" t="s">
        <v>27</v>
      </c>
      <c r="C18" s="20">
        <v>96.227026733001793</v>
      </c>
      <c r="D18" s="21">
        <v>0</v>
      </c>
      <c r="E18" s="22">
        <v>-7120.0551175589198</v>
      </c>
      <c r="F18" s="22">
        <v>-10467.3858714131</v>
      </c>
      <c r="G18" s="22">
        <f t="shared" si="0"/>
        <v>-17587.440988972019</v>
      </c>
      <c r="H18" s="23">
        <f t="shared" si="1"/>
        <v>-17587.440988972019</v>
      </c>
      <c r="I18" s="20">
        <v>97</v>
      </c>
      <c r="J18" s="24">
        <v>0</v>
      </c>
      <c r="K18" s="22">
        <v>0</v>
      </c>
      <c r="L18" s="22">
        <v>0</v>
      </c>
      <c r="M18" s="25">
        <f t="shared" si="2"/>
        <v>0</v>
      </c>
      <c r="N18" s="26">
        <f t="shared" si="3"/>
        <v>-17587.440988972019</v>
      </c>
      <c r="O18" s="24">
        <v>3837.8330000000001</v>
      </c>
      <c r="P18" s="22">
        <v>0</v>
      </c>
      <c r="Q18" s="25">
        <f t="shared" si="4"/>
        <v>3837.8330000000001</v>
      </c>
      <c r="R18" s="27">
        <f t="shared" si="5"/>
        <v>-13749.607988972019</v>
      </c>
    </row>
    <row r="19" spans="1:31" s="17" customFormat="1" ht="15" customHeight="1" x14ac:dyDescent="0.2">
      <c r="A19" s="18"/>
      <c r="B19" s="28" t="s">
        <v>28</v>
      </c>
      <c r="C19" s="29">
        <v>95.416203033487506</v>
      </c>
      <c r="D19" s="30">
        <v>0</v>
      </c>
      <c r="E19" s="31">
        <v>-2711.4008429054602</v>
      </c>
      <c r="F19" s="31">
        <v>-3986.10381607504</v>
      </c>
      <c r="G19" s="31">
        <f t="shared" si="0"/>
        <v>-6697.5046589805006</v>
      </c>
      <c r="H19" s="32">
        <f t="shared" si="1"/>
        <v>-6697.5046589805006</v>
      </c>
      <c r="I19" s="29">
        <v>96.4</v>
      </c>
      <c r="J19" s="33">
        <v>0</v>
      </c>
      <c r="K19" s="31">
        <v>-1328.1614982879901</v>
      </c>
      <c r="L19" s="31">
        <v>0</v>
      </c>
      <c r="M19" s="34">
        <f t="shared" si="2"/>
        <v>-1328.1614982879901</v>
      </c>
      <c r="N19" s="35">
        <f t="shared" si="3"/>
        <v>-8025.6661572684907</v>
      </c>
      <c r="O19" s="33">
        <v>1093.95</v>
      </c>
      <c r="P19" s="31">
        <v>0</v>
      </c>
      <c r="Q19" s="34">
        <f t="shared" si="4"/>
        <v>1093.95</v>
      </c>
      <c r="R19" s="36">
        <f t="shared" si="5"/>
        <v>-6931.7161572684909</v>
      </c>
    </row>
    <row r="20" spans="1:31" s="17" customFormat="1" ht="15" customHeight="1" x14ac:dyDescent="0.2">
      <c r="A20" s="18"/>
      <c r="B20" s="19" t="s">
        <v>29</v>
      </c>
      <c r="C20" s="20">
        <v>84.747837782088695</v>
      </c>
      <c r="D20" s="21">
        <v>0</v>
      </c>
      <c r="E20" s="22">
        <v>-11830.287026858299</v>
      </c>
      <c r="F20" s="22">
        <v>-17392.025375521702</v>
      </c>
      <c r="G20" s="22">
        <f t="shared" si="0"/>
        <v>-29222.312402380001</v>
      </c>
      <c r="H20" s="23">
        <f t="shared" si="1"/>
        <v>-29222.312402380001</v>
      </c>
      <c r="I20" s="20">
        <v>91.1</v>
      </c>
      <c r="J20" s="24">
        <v>-18929.032600836399</v>
      </c>
      <c r="K20" s="22">
        <v>0</v>
      </c>
      <c r="L20" s="22">
        <v>0</v>
      </c>
      <c r="M20" s="25">
        <f t="shared" si="2"/>
        <v>-18929.032600836399</v>
      </c>
      <c r="N20" s="26">
        <f t="shared" si="3"/>
        <v>-48151.345003216396</v>
      </c>
      <c r="O20" s="24">
        <v>797.05499999999995</v>
      </c>
      <c r="P20" s="22">
        <v>0</v>
      </c>
      <c r="Q20" s="25">
        <f t="shared" si="4"/>
        <v>797.05499999999995</v>
      </c>
      <c r="R20" s="27">
        <f t="shared" si="5"/>
        <v>-47354.290003216396</v>
      </c>
    </row>
    <row r="21" spans="1:31" s="17" customFormat="1" ht="15" customHeight="1" x14ac:dyDescent="0.2">
      <c r="A21" s="18"/>
      <c r="B21" s="28" t="s">
        <v>30</v>
      </c>
      <c r="C21" s="29">
        <v>85.099463309211401</v>
      </c>
      <c r="D21" s="30">
        <v>0</v>
      </c>
      <c r="E21" s="31">
        <v>-3361.5062666282902</v>
      </c>
      <c r="F21" s="31">
        <v>-4941.84140726638</v>
      </c>
      <c r="G21" s="31">
        <f t="shared" si="0"/>
        <v>-8303.3476738946702</v>
      </c>
      <c r="H21" s="32">
        <f t="shared" si="1"/>
        <v>-8303.3476738946702</v>
      </c>
      <c r="I21" s="29">
        <v>91.2</v>
      </c>
      <c r="J21" s="33">
        <v>-8230.9915508416507</v>
      </c>
      <c r="K21" s="31">
        <v>0</v>
      </c>
      <c r="L21" s="31">
        <v>0</v>
      </c>
      <c r="M21" s="34">
        <f t="shared" si="2"/>
        <v>-8230.9915508416507</v>
      </c>
      <c r="N21" s="35">
        <f t="shared" si="3"/>
        <v>-16534.339224736323</v>
      </c>
      <c r="O21" s="33">
        <v>218.45500000000001</v>
      </c>
      <c r="P21" s="31">
        <v>0</v>
      </c>
      <c r="Q21" s="34">
        <f t="shared" si="4"/>
        <v>218.45500000000001</v>
      </c>
      <c r="R21" s="36">
        <f t="shared" si="5"/>
        <v>-16315.884224736323</v>
      </c>
    </row>
    <row r="22" spans="1:31" s="17" customFormat="1" ht="15" customHeight="1" x14ac:dyDescent="0.2">
      <c r="A22" s="18"/>
      <c r="B22" s="19" t="s">
        <v>31</v>
      </c>
      <c r="C22" s="20">
        <v>79.368268040057799</v>
      </c>
      <c r="D22" s="21">
        <v>0</v>
      </c>
      <c r="E22" s="22">
        <v>-171679.10384113499</v>
      </c>
      <c r="F22" s="22">
        <v>-252390.100398501</v>
      </c>
      <c r="G22" s="22">
        <f t="shared" si="0"/>
        <v>-424069.20423963596</v>
      </c>
      <c r="H22" s="23">
        <f t="shared" si="1"/>
        <v>-424069.20423963596</v>
      </c>
      <c r="I22" s="20">
        <v>89.5</v>
      </c>
      <c r="J22" s="24">
        <v>-1766.77520764315</v>
      </c>
      <c r="K22" s="22">
        <v>0</v>
      </c>
      <c r="L22" s="22">
        <v>0</v>
      </c>
      <c r="M22" s="25">
        <f t="shared" si="2"/>
        <v>-1766.77520764315</v>
      </c>
      <c r="N22" s="26">
        <f t="shared" si="3"/>
        <v>-425835.97944727913</v>
      </c>
      <c r="O22" s="24">
        <v>6694.2169999999996</v>
      </c>
      <c r="P22" s="22">
        <v>0</v>
      </c>
      <c r="Q22" s="25">
        <f t="shared" si="4"/>
        <v>6694.2169999999996</v>
      </c>
      <c r="R22" s="27">
        <f t="shared" si="5"/>
        <v>-419141.76244727912</v>
      </c>
    </row>
    <row r="23" spans="1:31" s="17" customFormat="1" ht="15" customHeight="1" x14ac:dyDescent="0.2">
      <c r="A23" s="18"/>
      <c r="B23" s="28" t="s">
        <v>32</v>
      </c>
      <c r="C23" s="29">
        <v>82.533272328543603</v>
      </c>
      <c r="D23" s="30">
        <v>0</v>
      </c>
      <c r="E23" s="31">
        <v>-54959.075946074503</v>
      </c>
      <c r="F23" s="31">
        <v>-80796.8260870839</v>
      </c>
      <c r="G23" s="31">
        <f t="shared" si="0"/>
        <v>-135755.9020331584</v>
      </c>
      <c r="H23" s="32">
        <f t="shared" si="1"/>
        <v>-135755.9020331584</v>
      </c>
      <c r="I23" s="29">
        <v>90.3</v>
      </c>
      <c r="J23" s="33">
        <v>-135513.20428751301</v>
      </c>
      <c r="K23" s="31">
        <v>0</v>
      </c>
      <c r="L23" s="31">
        <v>0</v>
      </c>
      <c r="M23" s="34">
        <f t="shared" si="2"/>
        <v>-135513.20428751301</v>
      </c>
      <c r="N23" s="35">
        <f t="shared" si="3"/>
        <v>-271269.10632067139</v>
      </c>
      <c r="O23" s="33">
        <v>2815.201</v>
      </c>
      <c r="P23" s="31">
        <v>0</v>
      </c>
      <c r="Q23" s="34">
        <f t="shared" si="4"/>
        <v>2815.201</v>
      </c>
      <c r="R23" s="36">
        <f t="shared" si="5"/>
        <v>-268453.90532067139</v>
      </c>
    </row>
    <row r="24" spans="1:31" s="17" customFormat="1" ht="15" customHeight="1" x14ac:dyDescent="0.2">
      <c r="A24" s="18"/>
      <c r="B24" s="19" t="s">
        <v>33</v>
      </c>
      <c r="C24" s="20">
        <v>87.001994773027107</v>
      </c>
      <c r="D24" s="21">
        <v>0</v>
      </c>
      <c r="E24" s="22">
        <v>-108240.57112356101</v>
      </c>
      <c r="F24" s="22">
        <v>-159127.39524983999</v>
      </c>
      <c r="G24" s="22">
        <f t="shared" si="0"/>
        <v>-267367.966373401</v>
      </c>
      <c r="H24" s="23">
        <f t="shared" si="1"/>
        <v>-267367.966373401</v>
      </c>
      <c r="I24" s="20">
        <v>92</v>
      </c>
      <c r="J24" s="24">
        <v>0</v>
      </c>
      <c r="K24" s="22">
        <v>0</v>
      </c>
      <c r="L24" s="22">
        <v>0</v>
      </c>
      <c r="M24" s="25">
        <f t="shared" si="2"/>
        <v>0</v>
      </c>
      <c r="N24" s="26">
        <f t="shared" si="3"/>
        <v>-267367.966373401</v>
      </c>
      <c r="O24" s="24">
        <v>8070.2470000000003</v>
      </c>
      <c r="P24" s="22">
        <v>0</v>
      </c>
      <c r="Q24" s="25">
        <f t="shared" si="4"/>
        <v>8070.2470000000003</v>
      </c>
      <c r="R24" s="27">
        <f t="shared" si="5"/>
        <v>-259297.71937340099</v>
      </c>
    </row>
    <row r="25" spans="1:31" s="17" customFormat="1" ht="15" customHeight="1" x14ac:dyDescent="0.2">
      <c r="A25" s="18"/>
      <c r="B25" s="28" t="s">
        <v>34</v>
      </c>
      <c r="C25" s="29">
        <v>79.183489406954195</v>
      </c>
      <c r="D25" s="30">
        <v>0</v>
      </c>
      <c r="E25" s="31">
        <v>-91401.490507556897</v>
      </c>
      <c r="F25" s="31">
        <v>-134371.80675827601</v>
      </c>
      <c r="G25" s="31">
        <f t="shared" si="0"/>
        <v>-225773.29726583289</v>
      </c>
      <c r="H25" s="32">
        <f t="shared" si="1"/>
        <v>-225773.29726583289</v>
      </c>
      <c r="I25" s="29">
        <v>89.4</v>
      </c>
      <c r="J25" s="33">
        <v>-3751.8219954071301</v>
      </c>
      <c r="K25" s="31">
        <v>0</v>
      </c>
      <c r="L25" s="31">
        <v>0</v>
      </c>
      <c r="M25" s="34">
        <f t="shared" si="2"/>
        <v>-3751.8219954071301</v>
      </c>
      <c r="N25" s="35">
        <f t="shared" si="3"/>
        <v>-229525.11926124003</v>
      </c>
      <c r="O25" s="33">
        <v>3395.4760000000001</v>
      </c>
      <c r="P25" s="31">
        <v>0</v>
      </c>
      <c r="Q25" s="34">
        <f t="shared" si="4"/>
        <v>3395.4760000000001</v>
      </c>
      <c r="R25" s="36">
        <f t="shared" si="5"/>
        <v>-226129.64326124004</v>
      </c>
    </row>
    <row r="26" spans="1:31" s="17" customFormat="1" ht="15" customHeight="1" x14ac:dyDescent="0.2">
      <c r="A26" s="18"/>
      <c r="B26" s="19" t="s">
        <v>35</v>
      </c>
      <c r="C26" s="20">
        <v>96.569809354569998</v>
      </c>
      <c r="D26" s="21">
        <v>0</v>
      </c>
      <c r="E26" s="22">
        <v>-7572.3217876650097</v>
      </c>
      <c r="F26" s="22">
        <v>-11132.275352549999</v>
      </c>
      <c r="G26" s="22">
        <f t="shared" si="0"/>
        <v>-18704.59714021501</v>
      </c>
      <c r="H26" s="23">
        <f t="shared" si="1"/>
        <v>-18704.59714021501</v>
      </c>
      <c r="I26" s="20">
        <v>97.2</v>
      </c>
      <c r="J26" s="24">
        <v>-14142.7689320481</v>
      </c>
      <c r="K26" s="22">
        <v>-19372.887841459698</v>
      </c>
      <c r="L26" s="22">
        <v>0</v>
      </c>
      <c r="M26" s="25">
        <f t="shared" si="2"/>
        <v>-33515.656773507799</v>
      </c>
      <c r="N26" s="26">
        <f t="shared" si="3"/>
        <v>-52220.253913722809</v>
      </c>
      <c r="O26" s="24">
        <v>4583.1440000000002</v>
      </c>
      <c r="P26" s="22">
        <v>0</v>
      </c>
      <c r="Q26" s="25">
        <f t="shared" si="4"/>
        <v>4583.1440000000002</v>
      </c>
      <c r="R26" s="27">
        <f t="shared" si="5"/>
        <v>-47637.109913722808</v>
      </c>
    </row>
    <row r="27" spans="1:31" s="17" customFormat="1" ht="15" customHeight="1" x14ac:dyDescent="0.2">
      <c r="A27" s="18"/>
      <c r="B27" s="28" t="s">
        <v>36</v>
      </c>
      <c r="C27" s="29">
        <v>101.386878638559</v>
      </c>
      <c r="D27" s="30">
        <v>18125.385443010899</v>
      </c>
      <c r="E27" s="31">
        <v>0</v>
      </c>
      <c r="F27" s="31">
        <v>0</v>
      </c>
      <c r="G27" s="31">
        <f t="shared" si="0"/>
        <v>18125.385443010899</v>
      </c>
      <c r="H27" s="32">
        <f t="shared" si="1"/>
        <v>0</v>
      </c>
      <c r="I27" s="29">
        <v>101.1</v>
      </c>
      <c r="J27" s="33">
        <v>-33.362293734987901</v>
      </c>
      <c r="K27" s="31">
        <v>-62731.907502906601</v>
      </c>
      <c r="L27" s="31">
        <v>-3652.3172504825802</v>
      </c>
      <c r="M27" s="34">
        <f t="shared" si="2"/>
        <v>-66417.587047124165</v>
      </c>
      <c r="N27" s="35">
        <f t="shared" si="3"/>
        <v>-48292.201604113267</v>
      </c>
      <c r="O27" s="33">
        <v>9378.0439999999999</v>
      </c>
      <c r="P27" s="31">
        <v>0</v>
      </c>
      <c r="Q27" s="34">
        <f t="shared" si="4"/>
        <v>9378.0439999999999</v>
      </c>
      <c r="R27" s="36">
        <f t="shared" si="5"/>
        <v>-38914.157604113265</v>
      </c>
    </row>
    <row r="28" spans="1:31" s="17" customFormat="1" ht="15" customHeight="1" x14ac:dyDescent="0.2">
      <c r="A28" s="18"/>
      <c r="B28" s="19" t="s">
        <v>37</v>
      </c>
      <c r="C28" s="20">
        <v>66.924123530778104</v>
      </c>
      <c r="D28" s="21">
        <v>0</v>
      </c>
      <c r="E28" s="22">
        <v>-238233.42665713499</v>
      </c>
      <c r="F28" s="22">
        <v>-350233.41296045698</v>
      </c>
      <c r="G28" s="22">
        <f t="shared" si="0"/>
        <v>-588466.83961759193</v>
      </c>
      <c r="H28" s="23">
        <f t="shared" si="1"/>
        <v>-588466.83961759193</v>
      </c>
      <c r="I28" s="20">
        <v>87.8</v>
      </c>
      <c r="J28" s="24">
        <v>-73225.120398696599</v>
      </c>
      <c r="K28" s="22">
        <v>-5732.6324670289996</v>
      </c>
      <c r="L28" s="22">
        <v>0</v>
      </c>
      <c r="M28" s="25">
        <f t="shared" si="2"/>
        <v>-78957.752865725604</v>
      </c>
      <c r="N28" s="26">
        <f t="shared" si="3"/>
        <v>-667424.59248331748</v>
      </c>
      <c r="O28" s="24">
        <v>4076.018</v>
      </c>
      <c r="P28" s="22">
        <v>0</v>
      </c>
      <c r="Q28" s="25">
        <f t="shared" si="4"/>
        <v>4076.018</v>
      </c>
      <c r="R28" s="27">
        <f t="shared" si="5"/>
        <v>-663348.57448331744</v>
      </c>
    </row>
    <row r="29" spans="1:31" s="17" customFormat="1" ht="15" customHeight="1" x14ac:dyDescent="0.2">
      <c r="A29" s="18"/>
      <c r="B29" s="28" t="s">
        <v>38</v>
      </c>
      <c r="C29" s="29">
        <v>96.987092772431097</v>
      </c>
      <c r="D29" s="30">
        <v>0</v>
      </c>
      <c r="E29" s="31">
        <v>-3179.4212463143799</v>
      </c>
      <c r="F29" s="31">
        <v>-4674.1532872222597</v>
      </c>
      <c r="G29" s="31">
        <f t="shared" si="0"/>
        <v>-7853.5745335366391</v>
      </c>
      <c r="H29" s="32">
        <f t="shared" si="1"/>
        <v>-7853.5745335366391</v>
      </c>
      <c r="I29" s="29">
        <v>97.5</v>
      </c>
      <c r="J29" s="33">
        <v>-23291.4493540646</v>
      </c>
      <c r="K29" s="31">
        <v>-14893.6488471271</v>
      </c>
      <c r="L29" s="31">
        <v>0</v>
      </c>
      <c r="M29" s="34">
        <f t="shared" si="2"/>
        <v>-38185.0982011917</v>
      </c>
      <c r="N29" s="35">
        <f t="shared" si="3"/>
        <v>-46038.672734728338</v>
      </c>
      <c r="O29" s="33">
        <v>2487.623</v>
      </c>
      <c r="P29" s="31">
        <v>-97949.453999999998</v>
      </c>
      <c r="Q29" s="34">
        <f t="shared" si="4"/>
        <v>-95461.830999999991</v>
      </c>
      <c r="R29" s="36">
        <f t="shared" si="5"/>
        <v>-141500.50373472832</v>
      </c>
    </row>
    <row r="30" spans="1:31" s="17" customFormat="1" ht="15" customHeight="1" x14ac:dyDescent="0.2">
      <c r="A30" s="18"/>
      <c r="B30" s="19" t="s">
        <v>39</v>
      </c>
      <c r="C30" s="20">
        <v>142.44036350907299</v>
      </c>
      <c r="D30" s="21">
        <v>349636.22612786997</v>
      </c>
      <c r="E30" s="22">
        <v>0</v>
      </c>
      <c r="F30" s="22">
        <v>0</v>
      </c>
      <c r="G30" s="22">
        <f t="shared" si="0"/>
        <v>349636.22612786997</v>
      </c>
      <c r="H30" s="23">
        <f t="shared" si="1"/>
        <v>0</v>
      </c>
      <c r="I30" s="20">
        <v>133.69999999999999</v>
      </c>
      <c r="J30" s="24">
        <v>0</v>
      </c>
      <c r="K30" s="22">
        <v>-65136.6815947012</v>
      </c>
      <c r="L30" s="22">
        <v>-32166.1130414523</v>
      </c>
      <c r="M30" s="25">
        <f t="shared" si="2"/>
        <v>-97302.7946361535</v>
      </c>
      <c r="N30" s="26">
        <f t="shared" si="3"/>
        <v>252333.43149171647</v>
      </c>
      <c r="O30" s="24">
        <v>6094.4790000000003</v>
      </c>
      <c r="P30" s="22">
        <v>0</v>
      </c>
      <c r="Q30" s="25">
        <f t="shared" si="4"/>
        <v>6094.4790000000003</v>
      </c>
      <c r="R30" s="27">
        <f t="shared" si="5"/>
        <v>258427.91049171647</v>
      </c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s="17" customFormat="1" ht="15" customHeight="1" x14ac:dyDescent="0.2">
      <c r="A31" s="18"/>
      <c r="B31" s="37" t="s">
        <v>40</v>
      </c>
      <c r="C31" s="38">
        <v>65.134176149224501</v>
      </c>
      <c r="D31" s="39">
        <v>0</v>
      </c>
      <c r="E31" s="40">
        <v>-56129.786885023197</v>
      </c>
      <c r="F31" s="40">
        <v>-82517.919946545793</v>
      </c>
      <c r="G31" s="40">
        <f t="shared" si="0"/>
        <v>-138647.706831569</v>
      </c>
      <c r="H31" s="41">
        <f t="shared" si="1"/>
        <v>-138647.706831569</v>
      </c>
      <c r="I31" s="38">
        <v>87.8</v>
      </c>
      <c r="J31" s="42">
        <v>-4553.4050459358996</v>
      </c>
      <c r="K31" s="40">
        <v>-227.89607301227599</v>
      </c>
      <c r="L31" s="40">
        <v>0</v>
      </c>
      <c r="M31" s="43">
        <f t="shared" si="2"/>
        <v>-4781.3011189481758</v>
      </c>
      <c r="N31" s="44">
        <f t="shared" si="3"/>
        <v>-143429.00795051717</v>
      </c>
      <c r="O31" s="42">
        <v>1007.942</v>
      </c>
      <c r="P31" s="40">
        <v>-17448.798999999999</v>
      </c>
      <c r="Q31" s="43">
        <f t="shared" si="4"/>
        <v>-16440.857</v>
      </c>
      <c r="R31" s="45">
        <f t="shared" si="5"/>
        <v>-159869.86495051716</v>
      </c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s="17" customFormat="1" ht="18.75" customHeight="1" x14ac:dyDescent="0.2">
      <c r="A32" s="18"/>
      <c r="B32" s="46" t="s">
        <v>6</v>
      </c>
      <c r="C32" s="47">
        <v>100</v>
      </c>
      <c r="D32" s="48">
        <f>SUM(D6:D31)</f>
        <v>1598591.5669266956</v>
      </c>
      <c r="E32" s="49">
        <f>SUM(E6:E31)</f>
        <v>-1598591.5669266956</v>
      </c>
      <c r="F32" s="49">
        <f>SUM(F6:F31)</f>
        <v>-2350132.7595825521</v>
      </c>
      <c r="G32" s="49">
        <f>SUM(G6:G31)</f>
        <v>-2350132.7595825526</v>
      </c>
      <c r="H32" s="50">
        <f>SUM(H6:H31)</f>
        <v>-3948724.3265092475</v>
      </c>
      <c r="I32" s="51"/>
      <c r="J32" s="52">
        <f t="shared" ref="J32:R32" si="6">SUM(J6:J31)</f>
        <v>-357504.98391672457</v>
      </c>
      <c r="K32" s="49">
        <f t="shared" si="6"/>
        <v>-238336.65594448309</v>
      </c>
      <c r="L32" s="49">
        <f t="shared" si="6"/>
        <v>-119168.32797224098</v>
      </c>
      <c r="M32" s="53">
        <f t="shared" si="6"/>
        <v>-715009.96783344867</v>
      </c>
      <c r="N32" s="54">
        <f t="shared" si="6"/>
        <v>-3065142.7274160022</v>
      </c>
      <c r="O32" s="52">
        <f t="shared" si="6"/>
        <v>107681.209</v>
      </c>
      <c r="P32" s="49">
        <f t="shared" si="6"/>
        <v>-323043.62600000005</v>
      </c>
      <c r="Q32" s="53">
        <f t="shared" si="6"/>
        <v>-215362.41699999999</v>
      </c>
      <c r="R32" s="55">
        <f t="shared" si="6"/>
        <v>-3280505.1444160002</v>
      </c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24" ht="27" customHeight="1" x14ac:dyDescent="0.2">
      <c r="B33" s="103" t="s">
        <v>41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56"/>
      <c r="T33" s="56"/>
      <c r="U33" s="56"/>
      <c r="V33" s="56"/>
      <c r="W33" s="56"/>
      <c r="X33" s="56"/>
    </row>
    <row r="34" spans="1:24" s="3" customFormat="1" ht="22.5" customHeight="1" x14ac:dyDescent="0.2">
      <c r="A34" s="1"/>
      <c r="B34" s="2"/>
    </row>
    <row r="35" spans="1:24" s="17" customFormat="1" x14ac:dyDescent="0.2">
      <c r="A35" s="18"/>
      <c r="B35" s="57"/>
      <c r="C35" s="58"/>
      <c r="D35" s="59" t="s">
        <v>42</v>
      </c>
      <c r="E35" s="60" t="s">
        <v>43</v>
      </c>
      <c r="F35" s="58"/>
      <c r="G35" s="59" t="s">
        <v>44</v>
      </c>
      <c r="H35" s="60" t="s">
        <v>45</v>
      </c>
      <c r="I35" s="59" t="s">
        <v>46</v>
      </c>
      <c r="J35" s="60" t="s">
        <v>47</v>
      </c>
      <c r="K35" s="61"/>
      <c r="L35" s="61"/>
      <c r="M35" s="59" t="s">
        <v>48</v>
      </c>
      <c r="N35" s="60" t="s">
        <v>49</v>
      </c>
      <c r="O35" s="61"/>
      <c r="P35" s="61"/>
      <c r="Q35" s="59" t="s">
        <v>50</v>
      </c>
      <c r="R35" s="62">
        <v>2017</v>
      </c>
    </row>
  </sheetData>
  <mergeCells count="15">
    <mergeCell ref="B1:R1"/>
    <mergeCell ref="B33:R33"/>
    <mergeCell ref="K4:K5"/>
    <mergeCell ref="L4:L5"/>
    <mergeCell ref="J4:J5"/>
    <mergeCell ref="M4:M5"/>
    <mergeCell ref="C3:C5"/>
    <mergeCell ref="I3:I5"/>
    <mergeCell ref="N3:N5"/>
    <mergeCell ref="R3:R5"/>
    <mergeCell ref="G4:H4"/>
    <mergeCell ref="D4:E4"/>
    <mergeCell ref="O3:Q4"/>
    <mergeCell ref="D3:H3"/>
    <mergeCell ref="J3:M3"/>
  </mergeCells>
  <conditionalFormatting sqref="C6:F31">
    <cfRule type="expression" dxfId="11" priority="1" stopIfTrue="1">
      <formula>ISBLANK(C6)</formula>
    </cfRule>
  </conditionalFormatting>
  <conditionalFormatting sqref="I6:L31">
    <cfRule type="expression" dxfId="10" priority="2" stopIfTrue="1">
      <formula>ISBLANK(I6)</formula>
    </cfRule>
  </conditionalFormatting>
  <conditionalFormatting sqref="O6:P31">
    <cfRule type="expression" dxfId="9" priority="3" stopIfTrue="1">
      <formula>ISBLANK(O6)</formula>
    </cfRule>
  </conditionalFormatting>
  <conditionalFormatting sqref="E35">
    <cfRule type="expression" dxfId="8" priority="4" stopIfTrue="1">
      <formula>ISBLANK(E35)</formula>
    </cfRule>
  </conditionalFormatting>
  <conditionalFormatting sqref="H35">
    <cfRule type="expression" dxfId="7" priority="5" stopIfTrue="1">
      <formula>ISBLANK(H35)</formula>
    </cfRule>
  </conditionalFormatting>
  <conditionalFormatting sqref="J35">
    <cfRule type="expression" dxfId="6" priority="6" stopIfTrue="1">
      <formula>ISBLANK(J35)</formula>
    </cfRule>
  </conditionalFormatting>
  <conditionalFormatting sqref="N35">
    <cfRule type="expression" dxfId="5" priority="7" stopIfTrue="1">
      <formula>ISBLANK(N35)</formula>
    </cfRule>
  </conditionalFormatting>
  <conditionalFormatting sqref="R35">
    <cfRule type="expression" dxfId="4" priority="8" stopIfTrue="1">
      <formula>ISBLANK(R35)</formula>
    </cfRule>
  </conditionalFormatting>
  <conditionalFormatting sqref="C6:F31">
    <cfRule type="expression" dxfId="3" priority="9" stopIfTrue="1">
      <formula>ISBLANK(C6)</formula>
    </cfRule>
  </conditionalFormatting>
  <conditionalFormatting sqref="I6:L31">
    <cfRule type="expression" dxfId="2" priority="10" stopIfTrue="1">
      <formula>ISBLANK(I6)</formula>
    </cfRule>
  </conditionalFormatting>
  <conditionalFormatting sqref="O6:P31">
    <cfRule type="expression" dxfId="1" priority="11" stopIfTrue="1">
      <formula>ISBLANK(O6)</formula>
    </cfRule>
  </conditionalFormatting>
  <printOptions horizontalCentered="1"/>
  <pageMargins left="0.59055118110236227" right="0.59055118110236227" top="0.98425196850393704" bottom="0.98425196850393704" header="0.51181102362204722" footer="0.51181102362204722"/>
  <pageSetup paperSize="9" scale="74" orientation="landscape" r:id="rId1"/>
  <headerFooter>
    <oddHeader>&amp;L&amp;F&amp;R&amp;A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1"/>
  <sheetViews>
    <sheetView showGridLines="0" workbookViewId="0"/>
  </sheetViews>
  <sheetFormatPr baseColWidth="10" defaultColWidth="11.42578125" defaultRowHeight="12.75" x14ac:dyDescent="0.2"/>
  <cols>
    <col min="1" max="1" width="1.42578125" style="1" customWidth="1"/>
    <col min="2" max="2" width="15.7109375" style="2" customWidth="1"/>
    <col min="3" max="3" width="7.140625" style="3" customWidth="1"/>
    <col min="4" max="4" width="14.5703125" style="3" customWidth="1"/>
    <col min="5" max="8" width="9.28515625" style="3" customWidth="1"/>
    <col min="9" max="9" width="10" style="3" customWidth="1"/>
    <col min="10" max="10" width="10.85546875" style="3" customWidth="1"/>
    <col min="11" max="11" width="2.140625" style="3" customWidth="1"/>
    <col min="12" max="12" width="13.7109375" style="3" customWidth="1"/>
    <col min="13" max="13" width="11.42578125" style="3" customWidth="1"/>
    <col min="14" max="16384" width="11.42578125" style="3"/>
  </cols>
  <sheetData>
    <row r="1" spans="1:12" ht="18" customHeight="1" x14ac:dyDescent="0.25">
      <c r="B1" s="102" t="str">
        <f>"Payments per capita "&amp;Payments!R35</f>
        <v>Payments per capita 2017</v>
      </c>
      <c r="C1" s="102"/>
      <c r="D1" s="102"/>
      <c r="E1" s="102"/>
      <c r="F1" s="102"/>
      <c r="G1" s="102"/>
      <c r="H1" s="102"/>
      <c r="I1" s="102"/>
      <c r="J1" s="102"/>
      <c r="K1" s="4"/>
    </row>
    <row r="2" spans="1:12" ht="22.5" customHeight="1" x14ac:dyDescent="0.2">
      <c r="B2" s="5" t="s">
        <v>51</v>
      </c>
      <c r="L2" s="63" t="str">
        <f>Payments!J35</f>
        <v>FA_2017_20160519</v>
      </c>
    </row>
    <row r="3" spans="1:12" ht="15.75" customHeight="1" x14ac:dyDescent="0.2">
      <c r="A3" s="6"/>
      <c r="B3" s="64"/>
      <c r="C3" s="141" t="str">
        <f>"RI "&amp;Payments!R35</f>
        <v>RI 2017</v>
      </c>
      <c r="D3" s="140" t="s">
        <v>52</v>
      </c>
      <c r="E3" s="137" t="s">
        <v>53</v>
      </c>
      <c r="F3" s="138"/>
      <c r="G3" s="138"/>
      <c r="H3" s="139"/>
      <c r="I3" s="135" t="s">
        <v>3</v>
      </c>
      <c r="J3" s="135" t="str">
        <f>"Total payments "&amp;Payments!R35&amp;" net"</f>
        <v>Total payments 2017 net</v>
      </c>
      <c r="L3" s="131" t="str">
        <f>"Relevant population "&amp;Payments!R35</f>
        <v>Relevant population 2017</v>
      </c>
    </row>
    <row r="4" spans="1:12" ht="39" customHeight="1" x14ac:dyDescent="0.2">
      <c r="A4" s="6"/>
      <c r="B4" s="65"/>
      <c r="C4" s="141"/>
      <c r="D4" s="140"/>
      <c r="E4" s="66" t="s">
        <v>7</v>
      </c>
      <c r="F4" s="67" t="s">
        <v>8</v>
      </c>
      <c r="G4" s="67" t="s">
        <v>9</v>
      </c>
      <c r="H4" s="68" t="s">
        <v>6</v>
      </c>
      <c r="I4" s="136"/>
      <c r="J4" s="135"/>
      <c r="L4" s="132"/>
    </row>
    <row r="5" spans="1:12" s="17" customFormat="1" ht="15" customHeight="1" x14ac:dyDescent="0.2">
      <c r="A5" s="18"/>
      <c r="B5" s="69" t="s">
        <v>15</v>
      </c>
      <c r="C5" s="70">
        <f>Payments!C6</f>
        <v>120.427530742215</v>
      </c>
      <c r="D5" s="71">
        <f>Payments!G6/L5*1000</f>
        <v>361.03482639092306</v>
      </c>
      <c r="E5" s="72">
        <f>Payments!J6/$L5*1000</f>
        <v>0</v>
      </c>
      <c r="F5" s="73">
        <f>Payments!K6/$L5*1000</f>
        <v>-13.710991219077552</v>
      </c>
      <c r="G5" s="73">
        <f>Payments!L6/$L5*1000</f>
        <v>-45.886618791849166</v>
      </c>
      <c r="H5" s="74">
        <f t="shared" ref="H5:H30" si="0">SUM(E5:G5)</f>
        <v>-59.597610010926715</v>
      </c>
      <c r="I5" s="75">
        <f>Payments!Q6/L5*1000</f>
        <v>12.902030125246007</v>
      </c>
      <c r="J5" s="76">
        <f>Payments!R6/L5*1000</f>
        <v>314.33924650524239</v>
      </c>
      <c r="L5" s="77">
        <v>1412646.83333333</v>
      </c>
    </row>
    <row r="6" spans="1:12" s="17" customFormat="1" ht="15" customHeight="1" x14ac:dyDescent="0.2">
      <c r="A6" s="18"/>
      <c r="B6" s="78" t="s">
        <v>16</v>
      </c>
      <c r="C6" s="29">
        <f>Payments!C7</f>
        <v>74.337755857493704</v>
      </c>
      <c r="D6" s="79">
        <f>Payments!G7/L6*1000</f>
        <v>-1215.0047507604249</v>
      </c>
      <c r="E6" s="80">
        <f>Payments!J7/$L6*1000</f>
        <v>-27.502207262548897</v>
      </c>
      <c r="F6" s="81">
        <f>Payments!K7/$L6*1000</f>
        <v>-15.553950309427455</v>
      </c>
      <c r="G6" s="81">
        <f>Payments!L7/$L6*1000</f>
        <v>0</v>
      </c>
      <c r="H6" s="82">
        <f t="shared" si="0"/>
        <v>-43.05615757197635</v>
      </c>
      <c r="I6" s="83">
        <f>Payments!Q7/L6*1000</f>
        <v>-32.790959141386502</v>
      </c>
      <c r="J6" s="84">
        <f>Payments!R7/L6*1000</f>
        <v>-1290.8518674737879</v>
      </c>
      <c r="L6" s="85">
        <v>997235.66666666698</v>
      </c>
    </row>
    <row r="7" spans="1:12" s="17" customFormat="1" ht="15" customHeight="1" x14ac:dyDescent="0.2">
      <c r="A7" s="18"/>
      <c r="B7" s="86" t="s">
        <v>17</v>
      </c>
      <c r="C7" s="20">
        <f>Payments!C8</f>
        <v>86.879410655456994</v>
      </c>
      <c r="D7" s="87">
        <f>Payments!G8/L7*1000</f>
        <v>-432.22347414181564</v>
      </c>
      <c r="E7" s="88">
        <f>Payments!J8/$L7*1000</f>
        <v>-16.716463970734043</v>
      </c>
      <c r="F7" s="89">
        <f>Payments!K8/$L7*1000</f>
        <v>0</v>
      </c>
      <c r="G7" s="89">
        <f>Payments!L8/$L7*1000</f>
        <v>0</v>
      </c>
      <c r="H7" s="90">
        <f t="shared" si="0"/>
        <v>-16.716463970734043</v>
      </c>
      <c r="I7" s="91">
        <f>Payments!Q8/L7*1000</f>
        <v>-41.795874540246366</v>
      </c>
      <c r="J7" s="92">
        <f>Payments!R8/L7*1000</f>
        <v>-490.73581265279608</v>
      </c>
      <c r="L7" s="77">
        <v>386801.33333333302</v>
      </c>
    </row>
    <row r="8" spans="1:12" s="17" customFormat="1" ht="15" customHeight="1" x14ac:dyDescent="0.2">
      <c r="A8" s="18"/>
      <c r="B8" s="78" t="s">
        <v>18</v>
      </c>
      <c r="C8" s="29">
        <f>Payments!C9</f>
        <v>66.214583542761602</v>
      </c>
      <c r="D8" s="79">
        <f>Payments!G9/L8*1000</f>
        <v>-1856.0555669599632</v>
      </c>
      <c r="E8" s="80">
        <f>Payments!J9/$L8*1000</f>
        <v>-319.70231066044249</v>
      </c>
      <c r="F8" s="81">
        <f>Payments!K9/$L8*1000</f>
        <v>0</v>
      </c>
      <c r="G8" s="81">
        <f>Payments!L9/$L8*1000</f>
        <v>0</v>
      </c>
      <c r="H8" s="82">
        <f t="shared" si="0"/>
        <v>-319.70231066044249</v>
      </c>
      <c r="I8" s="83">
        <f>Payments!Q9/L8*1000</f>
        <v>14.361245149160435</v>
      </c>
      <c r="J8" s="84">
        <f>Payments!R9/L8*1000</f>
        <v>-2161.3966324712451</v>
      </c>
      <c r="L8" s="85">
        <v>35990.333333333299</v>
      </c>
    </row>
    <row r="9" spans="1:12" s="17" customFormat="1" ht="15" customHeight="1" x14ac:dyDescent="0.2">
      <c r="A9" s="18"/>
      <c r="B9" s="86" t="s">
        <v>19</v>
      </c>
      <c r="C9" s="20">
        <f>Payments!C10</f>
        <v>170.296509128525</v>
      </c>
      <c r="D9" s="87">
        <f>Payments!G10/L9*1000</f>
        <v>1242.4158499322123</v>
      </c>
      <c r="E9" s="88">
        <f>Payments!J10/$L9*1000</f>
        <v>-45.007398773864814</v>
      </c>
      <c r="F9" s="89">
        <f>Payments!K10/$L9*1000</f>
        <v>0</v>
      </c>
      <c r="G9" s="89">
        <f>Payments!L10/$L9*1000</f>
        <v>0</v>
      </c>
      <c r="H9" s="90">
        <f t="shared" si="0"/>
        <v>-45.007398773864814</v>
      </c>
      <c r="I9" s="91">
        <f>Payments!Q10/L9*1000</f>
        <v>12.694540757208701</v>
      </c>
      <c r="J9" s="92">
        <f>Payments!R10/L9*1000</f>
        <v>1210.1029919155562</v>
      </c>
      <c r="L9" s="77">
        <v>150310.83333333299</v>
      </c>
    </row>
    <row r="10" spans="1:12" s="17" customFormat="1" ht="15" customHeight="1" x14ac:dyDescent="0.2">
      <c r="A10" s="18"/>
      <c r="B10" s="78" t="s">
        <v>20</v>
      </c>
      <c r="C10" s="29">
        <f>Payments!C11</f>
        <v>99.116130380201497</v>
      </c>
      <c r="D10" s="79">
        <f>Payments!G11/L10*1000</f>
        <v>-6.7713854506661999</v>
      </c>
      <c r="E10" s="80">
        <f>Payments!J11/$L10*1000</f>
        <v>-170.3505357962741</v>
      </c>
      <c r="F10" s="81">
        <f>Payments!K11/$L10*1000</f>
        <v>0</v>
      </c>
      <c r="G10" s="81">
        <f>Payments!L11/$L10*1000</f>
        <v>0</v>
      </c>
      <c r="H10" s="82">
        <f t="shared" si="0"/>
        <v>-170.3505357962741</v>
      </c>
      <c r="I10" s="83">
        <f>Payments!Q11/L10*1000</f>
        <v>-220.03355624879947</v>
      </c>
      <c r="J10" s="84">
        <f>Payments!R11/L10*1000</f>
        <v>-397.15547749573977</v>
      </c>
      <c r="L10" s="85">
        <v>36436.333333333299</v>
      </c>
    </row>
    <row r="11" spans="1:12" s="17" customFormat="1" ht="15" customHeight="1" x14ac:dyDescent="0.2">
      <c r="A11" s="18"/>
      <c r="B11" s="86" t="s">
        <v>21</v>
      </c>
      <c r="C11" s="20">
        <f>Payments!C12</f>
        <v>151.51789107669299</v>
      </c>
      <c r="D11" s="87">
        <f>Payments!G12/L11*1000</f>
        <v>910.52379730178689</v>
      </c>
      <c r="E11" s="88">
        <f>Payments!J12/$L11*1000</f>
        <v>-30.415141060755246</v>
      </c>
      <c r="F11" s="89">
        <f>Payments!K12/$L11*1000</f>
        <v>0</v>
      </c>
      <c r="G11" s="89">
        <f>Payments!L12/$L11*1000</f>
        <v>0</v>
      </c>
      <c r="H11" s="90">
        <f t="shared" si="0"/>
        <v>-30.415141060755246</v>
      </c>
      <c r="I11" s="91">
        <f>Payments!Q12/L11*1000</f>
        <v>13.192560122640607</v>
      </c>
      <c r="J11" s="92">
        <f>Payments!R12/L11*1000</f>
        <v>893.30121636367221</v>
      </c>
      <c r="L11" s="77">
        <v>41748</v>
      </c>
    </row>
    <row r="12" spans="1:12" s="17" customFormat="1" ht="15" customHeight="1" x14ac:dyDescent="0.2">
      <c r="A12" s="18"/>
      <c r="B12" s="78" t="s">
        <v>22</v>
      </c>
      <c r="C12" s="29">
        <f>Payments!C13</f>
        <v>70.788738948919899</v>
      </c>
      <c r="D12" s="79">
        <f>Payments!G13/L12*1000</f>
        <v>-1483.3755343130631</v>
      </c>
      <c r="E12" s="80">
        <f>Payments!J13/$L12*1000</f>
        <v>-135.06156254602135</v>
      </c>
      <c r="F12" s="81">
        <f>Payments!K13/$L12*1000</f>
        <v>0</v>
      </c>
      <c r="G12" s="81">
        <f>Payments!L13/$L12*1000</f>
        <v>0</v>
      </c>
      <c r="H12" s="82">
        <f t="shared" si="0"/>
        <v>-135.06156254602135</v>
      </c>
      <c r="I12" s="83">
        <f>Payments!Q13/L12*1000</f>
        <v>-170.14742468985034</v>
      </c>
      <c r="J12" s="84">
        <f>Payments!R13/L12*1000</f>
        <v>-1788.5845215489348</v>
      </c>
      <c r="L12" s="85">
        <v>39846.333333333299</v>
      </c>
    </row>
    <row r="13" spans="1:12" s="17" customFormat="1" ht="15" customHeight="1" x14ac:dyDescent="0.2">
      <c r="A13" s="18"/>
      <c r="B13" s="86" t="s">
        <v>23</v>
      </c>
      <c r="C13" s="20">
        <f>Payments!C14</f>
        <v>264.11698353052998</v>
      </c>
      <c r="D13" s="87">
        <f>Payments!G14/L13*1000</f>
        <v>2900.592705230873</v>
      </c>
      <c r="E13" s="88">
        <f>Payments!J14/$L13*1000</f>
        <v>0</v>
      </c>
      <c r="F13" s="89">
        <f>Payments!K14/$L13*1000</f>
        <v>0</v>
      </c>
      <c r="G13" s="89">
        <f>Payments!L14/$L13*1000</f>
        <v>0</v>
      </c>
      <c r="H13" s="90">
        <f t="shared" si="0"/>
        <v>0</v>
      </c>
      <c r="I13" s="91">
        <f>Payments!Q14/L13*1000</f>
        <v>12.503819790654742</v>
      </c>
      <c r="J13" s="92">
        <f>Payments!R14/L13*1000</f>
        <v>2913.0965250215272</v>
      </c>
      <c r="L13" s="77">
        <v>117174.83333333299</v>
      </c>
    </row>
    <row r="14" spans="1:12" s="17" customFormat="1" ht="15" customHeight="1" x14ac:dyDescent="0.2">
      <c r="A14" s="18"/>
      <c r="B14" s="78" t="s">
        <v>24</v>
      </c>
      <c r="C14" s="29">
        <f>Payments!C15</f>
        <v>78.504949514077893</v>
      </c>
      <c r="D14" s="79">
        <f>Payments!G15/L14*1000</f>
        <v>-924.72284961814341</v>
      </c>
      <c r="E14" s="80">
        <f>Payments!J15/$L14*1000</f>
        <v>-31.153601968510518</v>
      </c>
      <c r="F14" s="81">
        <f>Payments!K15/$L14*1000</f>
        <v>0</v>
      </c>
      <c r="G14" s="81">
        <f>Payments!L15/$L14*1000</f>
        <v>0</v>
      </c>
      <c r="H14" s="82">
        <f t="shared" si="0"/>
        <v>-31.153601968510518</v>
      </c>
      <c r="I14" s="83">
        <f>Payments!Q15/L14*1000</f>
        <v>-413.34558899504725</v>
      </c>
      <c r="J14" s="84">
        <f>Payments!R15/L14*1000</f>
        <v>-1369.2220405817013</v>
      </c>
      <c r="L14" s="85">
        <v>290342</v>
      </c>
    </row>
    <row r="15" spans="1:12" s="17" customFormat="1" ht="15" customHeight="1" x14ac:dyDescent="0.2">
      <c r="A15" s="18"/>
      <c r="B15" s="86" t="s">
        <v>25</v>
      </c>
      <c r="C15" s="20">
        <f>Payments!C16</f>
        <v>74.818028423563902</v>
      </c>
      <c r="D15" s="87">
        <f>Payments!G16/L15*1000</f>
        <v>-1180.1485554838014</v>
      </c>
      <c r="E15" s="88">
        <f>Payments!J16/$L15*1000</f>
        <v>0</v>
      </c>
      <c r="F15" s="89">
        <f>Payments!K16/$L15*1000</f>
        <v>-9.5780333062492264</v>
      </c>
      <c r="G15" s="89">
        <f>Payments!L16/$L15*1000</f>
        <v>0</v>
      </c>
      <c r="H15" s="90">
        <f t="shared" si="0"/>
        <v>-9.5780333062492264</v>
      </c>
      <c r="I15" s="91">
        <f>Payments!Q16/L15*1000</f>
        <v>13.930939688747152</v>
      </c>
      <c r="J15" s="92">
        <f>Payments!R16/L15*1000</f>
        <v>-1175.7956491013033</v>
      </c>
      <c r="L15" s="77">
        <v>259970.83333333299</v>
      </c>
    </row>
    <row r="16" spans="1:12" s="17" customFormat="1" ht="15" customHeight="1" x14ac:dyDescent="0.2">
      <c r="A16" s="18"/>
      <c r="B16" s="78" t="s">
        <v>26</v>
      </c>
      <c r="C16" s="29">
        <f>Payments!C17</f>
        <v>146.47753383233899</v>
      </c>
      <c r="D16" s="79">
        <f>Payments!G17/L16*1000</f>
        <v>821.44085694899445</v>
      </c>
      <c r="E16" s="80">
        <f>Payments!J17/$L16*1000</f>
        <v>0</v>
      </c>
      <c r="F16" s="81">
        <f>Payments!K17/$L16*1000</f>
        <v>-165.90579685644082</v>
      </c>
      <c r="G16" s="81">
        <f>Payments!L17/$L16*1000</f>
        <v>-97.452543183757655</v>
      </c>
      <c r="H16" s="82">
        <f t="shared" si="0"/>
        <v>-263.35834004019847</v>
      </c>
      <c r="I16" s="83">
        <f>Payments!Q17/L16*1000</f>
        <v>15.111933370676891</v>
      </c>
      <c r="J16" s="84">
        <f>Payments!R17/L16*1000</f>
        <v>573.1944502794729</v>
      </c>
      <c r="L16" s="85">
        <v>190126.5</v>
      </c>
    </row>
    <row r="17" spans="1:23" s="17" customFormat="1" ht="15" customHeight="1" x14ac:dyDescent="0.2">
      <c r="A17" s="18"/>
      <c r="B17" s="86" t="s">
        <v>27</v>
      </c>
      <c r="C17" s="20">
        <f>Payments!C18</f>
        <v>96.227026733001793</v>
      </c>
      <c r="D17" s="87">
        <f>Payments!G18/L17*1000</f>
        <v>-63.354003688582573</v>
      </c>
      <c r="E17" s="88">
        <f>Payments!J18/$L17*1000</f>
        <v>0</v>
      </c>
      <c r="F17" s="89">
        <f>Payments!K18/$L17*1000</f>
        <v>0</v>
      </c>
      <c r="G17" s="89">
        <f>Payments!L18/$L17*1000</f>
        <v>0</v>
      </c>
      <c r="H17" s="90">
        <f t="shared" si="0"/>
        <v>0</v>
      </c>
      <c r="I17" s="91">
        <f>Payments!Q18/L17*1000</f>
        <v>13.824756324164673</v>
      </c>
      <c r="J17" s="92">
        <f>Payments!R18/L17*1000</f>
        <v>-49.529247364417898</v>
      </c>
      <c r="L17" s="77">
        <v>277605.83333333302</v>
      </c>
    </row>
    <row r="18" spans="1:23" s="17" customFormat="1" ht="15" customHeight="1" x14ac:dyDescent="0.2">
      <c r="A18" s="18"/>
      <c r="B18" s="78" t="s">
        <v>28</v>
      </c>
      <c r="C18" s="29">
        <f>Payments!C19</f>
        <v>95.416203033487506</v>
      </c>
      <c r="D18" s="79">
        <f>Payments!G19/L18*1000</f>
        <v>-85.512067553918257</v>
      </c>
      <c r="E18" s="80">
        <f>Payments!J19/$L18*1000</f>
        <v>0</v>
      </c>
      <c r="F18" s="81">
        <f>Payments!K19/$L18*1000</f>
        <v>-16.95763445447221</v>
      </c>
      <c r="G18" s="81">
        <f>Payments!L19/$L18*1000</f>
        <v>0</v>
      </c>
      <c r="H18" s="82">
        <f t="shared" si="0"/>
        <v>-16.95763445447221</v>
      </c>
      <c r="I18" s="83">
        <f>Payments!Q19/L18*1000</f>
        <v>13.96728051173144</v>
      </c>
      <c r="J18" s="84">
        <f>Payments!R19/L18*1000</f>
        <v>-88.502421496659025</v>
      </c>
      <c r="L18" s="85">
        <v>78322.333333333299</v>
      </c>
    </row>
    <row r="19" spans="1:23" s="17" customFormat="1" ht="15" customHeight="1" x14ac:dyDescent="0.2">
      <c r="A19" s="18"/>
      <c r="B19" s="86" t="s">
        <v>29</v>
      </c>
      <c r="C19" s="20">
        <f>Payments!C20</f>
        <v>84.747837782088695</v>
      </c>
      <c r="D19" s="87">
        <f>Payments!G20/L19*1000</f>
        <v>-545.05003175252727</v>
      </c>
      <c r="E19" s="88">
        <f>Payments!J20/$L19*1000</f>
        <v>-353.06137577566307</v>
      </c>
      <c r="F19" s="89">
        <f>Payments!K20/$L19*1000</f>
        <v>0</v>
      </c>
      <c r="G19" s="89">
        <f>Payments!L20/$L19*1000</f>
        <v>0</v>
      </c>
      <c r="H19" s="90">
        <f t="shared" si="0"/>
        <v>-353.06137577566307</v>
      </c>
      <c r="I19" s="91">
        <f>Payments!Q20/L19*1000</f>
        <v>14.866546051404482</v>
      </c>
      <c r="J19" s="92">
        <f>Payments!R20/L19*1000</f>
        <v>-883.24486147678579</v>
      </c>
      <c r="L19" s="77">
        <v>53614</v>
      </c>
    </row>
    <row r="20" spans="1:23" s="17" customFormat="1" ht="15" customHeight="1" x14ac:dyDescent="0.2">
      <c r="A20" s="18"/>
      <c r="B20" s="78" t="s">
        <v>30</v>
      </c>
      <c r="C20" s="29">
        <f>Payments!C21</f>
        <v>85.099463309211401</v>
      </c>
      <c r="D20" s="79">
        <f>Payments!G21/L20*1000</f>
        <v>-525.8112069084425</v>
      </c>
      <c r="E20" s="80">
        <f>Payments!J21/$L20*1000</f>
        <v>-521.22924046744458</v>
      </c>
      <c r="F20" s="81">
        <f>Payments!K21/$L20*1000</f>
        <v>0</v>
      </c>
      <c r="G20" s="81">
        <f>Payments!L21/$L20*1000</f>
        <v>0</v>
      </c>
      <c r="H20" s="82">
        <f t="shared" si="0"/>
        <v>-521.22924046744458</v>
      </c>
      <c r="I20" s="83">
        <f>Payments!Q21/L20*1000</f>
        <v>13.833708007472374</v>
      </c>
      <c r="J20" s="84">
        <f>Payments!R21/L20*1000</f>
        <v>-1033.2067393684147</v>
      </c>
      <c r="L20" s="85">
        <v>15791.5</v>
      </c>
    </row>
    <row r="21" spans="1:23" s="17" customFormat="1" ht="15" customHeight="1" x14ac:dyDescent="0.2">
      <c r="A21" s="18"/>
      <c r="B21" s="86" t="s">
        <v>31</v>
      </c>
      <c r="C21" s="20">
        <f>Payments!C22</f>
        <v>79.368268040057799</v>
      </c>
      <c r="D21" s="87">
        <f>Payments!G22/L21*1000</f>
        <v>-868.12614483802258</v>
      </c>
      <c r="E21" s="88">
        <f>Payments!J22/$L21*1000</f>
        <v>-3.6168241750936563</v>
      </c>
      <c r="F21" s="89">
        <f>Payments!K22/$L21*1000</f>
        <v>0</v>
      </c>
      <c r="G21" s="89">
        <f>Payments!L22/$L21*1000</f>
        <v>0</v>
      </c>
      <c r="H21" s="90">
        <f t="shared" si="0"/>
        <v>-3.6168241750936563</v>
      </c>
      <c r="I21" s="91">
        <f>Payments!Q22/L21*1000</f>
        <v>13.703953833052193</v>
      </c>
      <c r="J21" s="92">
        <f>Payments!R22/L21*1000</f>
        <v>-858.0390151800641</v>
      </c>
      <c r="L21" s="77">
        <v>488488</v>
      </c>
    </row>
    <row r="22" spans="1:23" s="17" customFormat="1" ht="15" customHeight="1" x14ac:dyDescent="0.2">
      <c r="A22" s="18"/>
      <c r="B22" s="78" t="s">
        <v>32</v>
      </c>
      <c r="C22" s="29">
        <f>Payments!C23</f>
        <v>82.533272328543603</v>
      </c>
      <c r="D22" s="79">
        <f>Payments!G23/L22*1000</f>
        <v>-671.66545357006362</v>
      </c>
      <c r="E22" s="80">
        <f>Payments!J23/$L22*1000</f>
        <v>-670.46468300342167</v>
      </c>
      <c r="F22" s="81">
        <f>Payments!K23/$L22*1000</f>
        <v>0</v>
      </c>
      <c r="G22" s="81">
        <f>Payments!L23/$L22*1000</f>
        <v>0</v>
      </c>
      <c r="H22" s="82">
        <f t="shared" si="0"/>
        <v>-670.46468300342167</v>
      </c>
      <c r="I22" s="83">
        <f>Payments!Q23/L22*1000</f>
        <v>13.928479191232883</v>
      </c>
      <c r="J22" s="84">
        <f>Payments!R23/L22*1000</f>
        <v>-1328.2016573822521</v>
      </c>
      <c r="L22" s="85">
        <v>202118.33333333299</v>
      </c>
    </row>
    <row r="23" spans="1:23" s="17" customFormat="1" ht="15" customHeight="1" x14ac:dyDescent="0.2">
      <c r="A23" s="18"/>
      <c r="B23" s="86" t="s">
        <v>33</v>
      </c>
      <c r="C23" s="20">
        <f>Payments!C24</f>
        <v>87.001994773027107</v>
      </c>
      <c r="D23" s="87">
        <f>Payments!G24/L23*1000</f>
        <v>-426.0175356910525</v>
      </c>
      <c r="E23" s="88">
        <f>Payments!J24/$L23*1000</f>
        <v>0</v>
      </c>
      <c r="F23" s="89">
        <f>Payments!K24/$L23*1000</f>
        <v>0</v>
      </c>
      <c r="G23" s="89">
        <f>Payments!L24/$L23*1000</f>
        <v>0</v>
      </c>
      <c r="H23" s="90">
        <f t="shared" si="0"/>
        <v>0</v>
      </c>
      <c r="I23" s="91">
        <f>Payments!Q24/L23*1000</f>
        <v>12.858932900572579</v>
      </c>
      <c r="J23" s="92">
        <f>Payments!R24/L23*1000</f>
        <v>-413.1586027904799</v>
      </c>
      <c r="L23" s="77">
        <v>627598.5</v>
      </c>
    </row>
    <row r="24" spans="1:23" s="17" customFormat="1" ht="15" customHeight="1" x14ac:dyDescent="0.2">
      <c r="A24" s="18"/>
      <c r="B24" s="78" t="s">
        <v>34</v>
      </c>
      <c r="C24" s="29">
        <f>Payments!C25</f>
        <v>79.183489406954195</v>
      </c>
      <c r="D24" s="79">
        <f>Payments!G25/L24*1000</f>
        <v>-880.13401319512366</v>
      </c>
      <c r="E24" s="80">
        <f>Payments!J25/$L24*1000</f>
        <v>-14.625760395940029</v>
      </c>
      <c r="F24" s="81">
        <f>Payments!K25/$L24*1000</f>
        <v>0</v>
      </c>
      <c r="G24" s="81">
        <f>Payments!L25/$L24*1000</f>
        <v>0</v>
      </c>
      <c r="H24" s="82">
        <f t="shared" si="0"/>
        <v>-14.625760395940029</v>
      </c>
      <c r="I24" s="83">
        <f>Payments!Q25/L24*1000</f>
        <v>13.23661369514836</v>
      </c>
      <c r="J24" s="84">
        <f>Payments!R25/L24*1000</f>
        <v>-881.52315989591534</v>
      </c>
      <c r="L24" s="85">
        <v>256521.5</v>
      </c>
    </row>
    <row r="25" spans="1:23" s="17" customFormat="1" ht="15" customHeight="1" x14ac:dyDescent="0.2">
      <c r="A25" s="18"/>
      <c r="B25" s="86" t="s">
        <v>35</v>
      </c>
      <c r="C25" s="20">
        <f>Payments!C26</f>
        <v>96.569809354569998</v>
      </c>
      <c r="D25" s="87">
        <f>Payments!G26/L25*1000</f>
        <v>-54.706920889587941</v>
      </c>
      <c r="E25" s="88">
        <f>Payments!J26/$L25*1000</f>
        <v>-41.364555212034027</v>
      </c>
      <c r="F25" s="89">
        <f>Payments!K26/$L25*1000</f>
        <v>-56.661527356125298</v>
      </c>
      <c r="G25" s="89">
        <f>Payments!L26/$L25*1000</f>
        <v>0</v>
      </c>
      <c r="H25" s="90">
        <f t="shared" si="0"/>
        <v>-98.026082568159325</v>
      </c>
      <c r="I25" s="91">
        <f>Payments!Q26/L25*1000</f>
        <v>13.404709780918997</v>
      </c>
      <c r="J25" s="92">
        <f>Payments!R26/L25*1000</f>
        <v>-139.32829367682828</v>
      </c>
      <c r="L25" s="77">
        <v>341905.5</v>
      </c>
    </row>
    <row r="26" spans="1:23" s="17" customFormat="1" ht="15" customHeight="1" x14ac:dyDescent="0.2">
      <c r="A26" s="18"/>
      <c r="B26" s="78" t="s">
        <v>36</v>
      </c>
      <c r="C26" s="29">
        <f>Payments!C27</f>
        <v>101.386878638559</v>
      </c>
      <c r="D26" s="79">
        <f>Payments!G27/L26*1000</f>
        <v>24.511601270669129</v>
      </c>
      <c r="E26" s="80">
        <f>Payments!J27/$L26*1000</f>
        <v>-4.5117012494887025E-2</v>
      </c>
      <c r="F26" s="81">
        <f>Payments!K27/$L26*1000</f>
        <v>-84.834582331746276</v>
      </c>
      <c r="G26" s="81">
        <f>Payments!L27/$L26*1000</f>
        <v>-4.9391580906951615</v>
      </c>
      <c r="H26" s="82">
        <f t="shared" si="0"/>
        <v>-89.818857434936319</v>
      </c>
      <c r="I26" s="83">
        <f>Payments!Q27/L26*1000</f>
        <v>12.682261348291966</v>
      </c>
      <c r="J26" s="84">
        <f>Payments!R27/L26*1000</f>
        <v>-52.624994815975228</v>
      </c>
      <c r="L26" s="85">
        <v>739461.5</v>
      </c>
    </row>
    <row r="27" spans="1:23" s="17" customFormat="1" ht="15" customHeight="1" x14ac:dyDescent="0.2">
      <c r="A27" s="18"/>
      <c r="B27" s="86" t="s">
        <v>37</v>
      </c>
      <c r="C27" s="20">
        <f>Payments!C28</f>
        <v>66.924123530778104</v>
      </c>
      <c r="D27" s="87">
        <f>Payments!G28/L27*1000</f>
        <v>-1796.3416048250872</v>
      </c>
      <c r="E27" s="88">
        <f>Payments!J28/$L27*1000</f>
        <v>-223.52547575320102</v>
      </c>
      <c r="F27" s="89">
        <f>Payments!K28/$L27*1000</f>
        <v>-17.499314340952758</v>
      </c>
      <c r="G27" s="89">
        <f>Payments!L28/$L27*1000</f>
        <v>0</v>
      </c>
      <c r="H27" s="90">
        <f t="shared" si="0"/>
        <v>-241.02479009415379</v>
      </c>
      <c r="I27" s="91">
        <f>Payments!Q28/L27*1000</f>
        <v>12.442367560037884</v>
      </c>
      <c r="J27" s="92">
        <f>Payments!R28/L27*1000</f>
        <v>-2024.9240273592029</v>
      </c>
      <c r="L27" s="77">
        <v>327591.83333333302</v>
      </c>
    </row>
    <row r="28" spans="1:23" s="17" customFormat="1" ht="15" customHeight="1" x14ac:dyDescent="0.2">
      <c r="A28" s="18"/>
      <c r="B28" s="78" t="s">
        <v>38</v>
      </c>
      <c r="C28" s="29">
        <f>Payments!C29</f>
        <v>96.987092772431097</v>
      </c>
      <c r="D28" s="79">
        <f>Payments!G29/L28*1000</f>
        <v>-44.797189805358606</v>
      </c>
      <c r="E28" s="80">
        <f>Payments!J29/$L28*1000</f>
        <v>-132.85561537620842</v>
      </c>
      <c r="F28" s="81">
        <f>Payments!K29/$L28*1000</f>
        <v>-84.954132853777224</v>
      </c>
      <c r="G28" s="81">
        <f>Payments!L29/$L28*1000</f>
        <v>0</v>
      </c>
      <c r="H28" s="82">
        <f t="shared" si="0"/>
        <v>-217.80974822998564</v>
      </c>
      <c r="I28" s="83">
        <f>Payments!Q29/L28*1000</f>
        <v>-544.51915420331511</v>
      </c>
      <c r="J28" s="84">
        <f>Payments!R29/L28*1000</f>
        <v>-807.12609223865923</v>
      </c>
      <c r="L28" s="85">
        <v>175314</v>
      </c>
    </row>
    <row r="29" spans="1:23" s="17" customFormat="1" ht="15" customHeight="1" x14ac:dyDescent="0.2">
      <c r="A29" s="18"/>
      <c r="B29" s="86" t="s">
        <v>39</v>
      </c>
      <c r="C29" s="20">
        <f>Payments!C30</f>
        <v>142.44036350907299</v>
      </c>
      <c r="D29" s="87">
        <f>Payments!G30/L29*1000</f>
        <v>750.08817584599524</v>
      </c>
      <c r="E29" s="88">
        <f>Payments!J30/$L29*1000</f>
        <v>0</v>
      </c>
      <c r="F29" s="89">
        <f>Payments!K30/$L29*1000</f>
        <v>-139.74025294553502</v>
      </c>
      <c r="G29" s="89">
        <f>Payments!L30/$L29*1000</f>
        <v>-69.007211645440535</v>
      </c>
      <c r="H29" s="90">
        <f t="shared" si="0"/>
        <v>-208.74746459097554</v>
      </c>
      <c r="I29" s="91">
        <f>Payments!Q30/L29*1000</f>
        <v>13.074722509359944</v>
      </c>
      <c r="J29" s="92">
        <f>Payments!R30/L29*1000</f>
        <v>554.41543376437949</v>
      </c>
      <c r="K29" s="18"/>
      <c r="L29" s="77">
        <v>466126.83333333302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1:23" s="17" customFormat="1" ht="15" customHeight="1" x14ac:dyDescent="0.2">
      <c r="A30" s="18"/>
      <c r="B30" s="93" t="s">
        <v>40</v>
      </c>
      <c r="C30" s="94">
        <f>Payments!C31</f>
        <v>65.134176149224501</v>
      </c>
      <c r="D30" s="95">
        <f>Payments!G31/L30*1000</f>
        <v>-1948.2889037488949</v>
      </c>
      <c r="E30" s="96">
        <f>Payments!J31/$L30*1000</f>
        <v>-63.984819713233108</v>
      </c>
      <c r="F30" s="97">
        <f>Payments!K31/$L30*1000</f>
        <v>-3.2024142368048767</v>
      </c>
      <c r="G30" s="97">
        <f>Payments!L31/$L30*1000</f>
        <v>0</v>
      </c>
      <c r="H30" s="98">
        <f t="shared" si="0"/>
        <v>-67.187233950037978</v>
      </c>
      <c r="I30" s="99">
        <f>Payments!Q31/L30*1000</f>
        <v>-231.02826576233727</v>
      </c>
      <c r="J30" s="100">
        <f>Payments!R31/L30*1000</f>
        <v>-2246.5044034612702</v>
      </c>
      <c r="K30" s="18"/>
      <c r="L30" s="101">
        <v>71163.833333333299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23" x14ac:dyDescent="0.2">
      <c r="B31" s="133" t="s">
        <v>54</v>
      </c>
      <c r="C31" s="134"/>
      <c r="D31" s="134"/>
    </row>
  </sheetData>
  <mergeCells count="8">
    <mergeCell ref="B1:J1"/>
    <mergeCell ref="L3:L4"/>
    <mergeCell ref="B31:D31"/>
    <mergeCell ref="J3:J4"/>
    <mergeCell ref="I3:I4"/>
    <mergeCell ref="E3:H3"/>
    <mergeCell ref="D3:D4"/>
    <mergeCell ref="C3:C4"/>
  </mergeCells>
  <conditionalFormatting sqref="L5:L30">
    <cfRule type="expression" dxfId="0" priority="1" stopIfTrue="1">
      <formula>ISBLANK(L5)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&amp;L&amp;F&amp;R&amp;A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Payments</vt:lpstr>
      <vt:lpstr>Payments_per_capita</vt:lpstr>
      <vt:lpstr>Druckbereich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2013-03-07T14:19:51Z</cp:lastPrinted>
  <dcterms:created xsi:type="dcterms:W3CDTF">2007-03-30T08:04:01Z</dcterms:created>
  <dcterms:modified xsi:type="dcterms:W3CDTF">2016-06-10T07:33:52Z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0x010100E30D380D957B59469852DA09B4612C42</vt:lpwstr>
  </property>
  <property fmtid="{D5CDD505-2E9C-101B-9397-08002B2CF9AE}" pid="3" name="BExAnalyzer_OldName">
    <vt:lpwstr>Payments_2017.xlsx</vt:lpwstr>
  </property>
</Properties>
</file>