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Berechnungen_FA\01_RA\2016\Output\Französisch\"/>
    </mc:Choice>
  </mc:AlternateContent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52511"/>
</workbook>
</file>

<file path=xl/calcChain.xml><?xml version="1.0" encoding="utf-8"?>
<calcChain xmlns="http://schemas.openxmlformats.org/spreadsheetml/2006/main">
  <c r="H40" i="8" l="1"/>
  <c r="H39" i="8"/>
  <c r="G39" i="8"/>
  <c r="G40" i="8" s="1"/>
  <c r="F39" i="8"/>
  <c r="F40" i="8" s="1"/>
  <c r="J40" i="8" s="1"/>
  <c r="J36" i="8"/>
  <c r="A35" i="8"/>
  <c r="J1" i="8"/>
  <c r="A1" i="8"/>
  <c r="C26" i="7"/>
  <c r="C25" i="7"/>
  <c r="C19" i="7"/>
  <c r="C18" i="7"/>
  <c r="C11" i="7"/>
  <c r="C9" i="7"/>
  <c r="H2" i="7"/>
  <c r="A1" i="7"/>
  <c r="C29" i="6"/>
  <c r="C20" i="6"/>
  <c r="C13" i="6"/>
  <c r="C12" i="6"/>
  <c r="F2" i="6"/>
  <c r="A1" i="6"/>
  <c r="B28" i="5"/>
  <c r="B23" i="5"/>
  <c r="C15" i="5"/>
  <c r="C14" i="5"/>
  <c r="C13" i="5"/>
  <c r="C12" i="5"/>
  <c r="G4" i="5"/>
  <c r="D12" i="5" s="1"/>
  <c r="C4" i="5"/>
  <c r="G3" i="5"/>
  <c r="B1" i="5"/>
  <c r="D33" i="4"/>
  <c r="F31" i="4"/>
  <c r="E31" i="4"/>
  <c r="E29" i="4"/>
  <c r="F29" i="4" s="1"/>
  <c r="F27" i="4"/>
  <c r="E25" i="4"/>
  <c r="F25" i="4" s="1"/>
  <c r="F24" i="4"/>
  <c r="F23" i="4"/>
  <c r="E23" i="4"/>
  <c r="E22" i="4"/>
  <c r="F22" i="4" s="1"/>
  <c r="E21" i="4"/>
  <c r="F21" i="4" s="1"/>
  <c r="E19" i="4"/>
  <c r="F19" i="4" s="1"/>
  <c r="E17" i="4"/>
  <c r="F17" i="4" s="1"/>
  <c r="E16" i="4"/>
  <c r="F16" i="4" s="1"/>
  <c r="E13" i="4"/>
  <c r="F13" i="4" s="1"/>
  <c r="F11" i="4"/>
  <c r="F10" i="4"/>
  <c r="E9" i="4"/>
  <c r="F9" i="4" s="1"/>
  <c r="E8" i="4"/>
  <c r="F8" i="4" s="1"/>
  <c r="E5" i="4"/>
  <c r="H5" i="4" s="1"/>
  <c r="D5" i="4"/>
  <c r="G5" i="4" s="1"/>
  <c r="C4" i="4"/>
  <c r="I2" i="4"/>
  <c r="B1" i="4"/>
  <c r="E33" i="3"/>
  <c r="D33" i="3"/>
  <c r="C33" i="3"/>
  <c r="F32" i="3"/>
  <c r="G32" i="2" s="1"/>
  <c r="C32" i="6" s="1"/>
  <c r="F31" i="3"/>
  <c r="G31" i="2" s="1"/>
  <c r="F30" i="3"/>
  <c r="G30" i="2" s="1"/>
  <c r="F29" i="3"/>
  <c r="F28" i="3"/>
  <c r="G28" i="2" s="1"/>
  <c r="D27" i="8" s="1"/>
  <c r="F27" i="3"/>
  <c r="F26" i="3"/>
  <c r="F25" i="3"/>
  <c r="F24" i="3"/>
  <c r="G24" i="2" s="1"/>
  <c r="F23" i="3"/>
  <c r="G23" i="2" s="1"/>
  <c r="F22" i="3"/>
  <c r="G22" i="2" s="1"/>
  <c r="F21" i="3"/>
  <c r="F20" i="3"/>
  <c r="G20" i="2" s="1"/>
  <c r="D19" i="8" s="1"/>
  <c r="F19" i="3"/>
  <c r="F18" i="3"/>
  <c r="F17" i="3"/>
  <c r="G17" i="2" s="1"/>
  <c r="F16" i="3"/>
  <c r="G16" i="2" s="1"/>
  <c r="F15" i="3"/>
  <c r="F14" i="3"/>
  <c r="G14" i="2" s="1"/>
  <c r="F13" i="3"/>
  <c r="F12" i="3"/>
  <c r="G12" i="2" s="1"/>
  <c r="D11" i="8" s="1"/>
  <c r="F11" i="3"/>
  <c r="F10" i="3"/>
  <c r="F9" i="3"/>
  <c r="G9" i="2" s="1"/>
  <c r="F8" i="3"/>
  <c r="G8" i="2" s="1"/>
  <c r="F7" i="3"/>
  <c r="F5" i="3"/>
  <c r="F1" i="3"/>
  <c r="B1" i="3"/>
  <c r="E33" i="2"/>
  <c r="D33" i="2"/>
  <c r="C33" i="2"/>
  <c r="F32" i="2"/>
  <c r="E32" i="4" s="1"/>
  <c r="F32" i="4" s="1"/>
  <c r="F31" i="2"/>
  <c r="F30" i="2"/>
  <c r="H29" i="2"/>
  <c r="G29" i="2"/>
  <c r="F29" i="2"/>
  <c r="F28" i="2"/>
  <c r="E28" i="4" s="1"/>
  <c r="F28" i="4" s="1"/>
  <c r="H27" i="2"/>
  <c r="G27" i="2"/>
  <c r="F27" i="2"/>
  <c r="E27" i="4" s="1"/>
  <c r="G26" i="2"/>
  <c r="F26" i="2"/>
  <c r="H26" i="2" s="1"/>
  <c r="G25" i="2"/>
  <c r="F25" i="2"/>
  <c r="F24" i="2"/>
  <c r="E24" i="4" s="1"/>
  <c r="F23" i="2"/>
  <c r="H22" i="2"/>
  <c r="F22" i="2"/>
  <c r="H21" i="2"/>
  <c r="G21" i="2"/>
  <c r="F21" i="2"/>
  <c r="F20" i="2"/>
  <c r="E20" i="4" s="1"/>
  <c r="F20" i="4" s="1"/>
  <c r="G19" i="2"/>
  <c r="F19" i="2"/>
  <c r="G18" i="2"/>
  <c r="C17" i="7" s="1"/>
  <c r="F18" i="2"/>
  <c r="E18" i="4" s="1"/>
  <c r="F18" i="4" s="1"/>
  <c r="H17" i="2"/>
  <c r="F17" i="2"/>
  <c r="F16" i="2"/>
  <c r="G15" i="2"/>
  <c r="C15" i="6" s="1"/>
  <c r="F15" i="2"/>
  <c r="E15" i="4" s="1"/>
  <c r="F15" i="4" s="1"/>
  <c r="F14" i="2"/>
  <c r="H14" i="2" s="1"/>
  <c r="G13" i="2"/>
  <c r="D12" i="8" s="1"/>
  <c r="F13" i="2"/>
  <c r="F12" i="2"/>
  <c r="H11" i="2"/>
  <c r="G11" i="2"/>
  <c r="F11" i="2"/>
  <c r="E11" i="4" s="1"/>
  <c r="G10" i="2"/>
  <c r="F10" i="2"/>
  <c r="E10" i="4" s="1"/>
  <c r="F9" i="2"/>
  <c r="F8" i="2"/>
  <c r="G7" i="2"/>
  <c r="F7" i="2"/>
  <c r="E7" i="4" s="1"/>
  <c r="E5" i="2"/>
  <c r="D5" i="2"/>
  <c r="C5" i="2"/>
  <c r="E4" i="2"/>
  <c r="D4" i="2"/>
  <c r="C4" i="2"/>
  <c r="I1" i="2"/>
  <c r="B1" i="2"/>
  <c r="A5" i="1"/>
  <c r="F33" i="2" l="1"/>
  <c r="D8" i="8"/>
  <c r="C8" i="7"/>
  <c r="C9" i="6"/>
  <c r="H9" i="2"/>
  <c r="D16" i="8"/>
  <c r="C17" i="6"/>
  <c r="C16" i="7"/>
  <c r="D6" i="8"/>
  <c r="C6" i="7"/>
  <c r="C33" i="6" s="1"/>
  <c r="C7" i="6"/>
  <c r="G33" i="2"/>
  <c r="C32" i="7" s="1"/>
  <c r="H7" i="2"/>
  <c r="E30" i="4"/>
  <c r="F30" i="4" s="1"/>
  <c r="H30" i="2"/>
  <c r="D21" i="8"/>
  <c r="C21" i="7"/>
  <c r="D29" i="8"/>
  <c r="C29" i="7"/>
  <c r="C30" i="6"/>
  <c r="D24" i="8"/>
  <c r="C25" i="6"/>
  <c r="C24" i="7"/>
  <c r="H25" i="2"/>
  <c r="H12" i="2"/>
  <c r="E12" i="4"/>
  <c r="F12" i="4" s="1"/>
  <c r="D13" i="8"/>
  <c r="C14" i="6"/>
  <c r="C13" i="7"/>
  <c r="D22" i="8"/>
  <c r="C23" i="6"/>
  <c r="C22" i="7"/>
  <c r="H23" i="2"/>
  <c r="D30" i="8"/>
  <c r="C31" i="6"/>
  <c r="H31" i="2"/>
  <c r="C30" i="7"/>
  <c r="C22" i="6"/>
  <c r="H15" i="2"/>
  <c r="D23" i="8"/>
  <c r="C23" i="7"/>
  <c r="H10" i="2"/>
  <c r="D18" i="8"/>
  <c r="C19" i="6"/>
  <c r="E14" i="4"/>
  <c r="F14" i="4" s="1"/>
  <c r="D31" i="8"/>
  <c r="C31" i="7"/>
  <c r="H28" i="2"/>
  <c r="H24" i="2"/>
  <c r="H19" i="2"/>
  <c r="D26" i="8"/>
  <c r="C27" i="6"/>
  <c r="H32" i="2"/>
  <c r="E26" i="4"/>
  <c r="F26" i="4" s="1"/>
  <c r="D14" i="8"/>
  <c r="C14" i="7"/>
  <c r="D15" i="8"/>
  <c r="C15" i="7"/>
  <c r="C16" i="6"/>
  <c r="C12" i="7"/>
  <c r="H8" i="2"/>
  <c r="H13" i="2"/>
  <c r="H18" i="2"/>
  <c r="D20" i="8"/>
  <c r="C20" i="7"/>
  <c r="C21" i="6"/>
  <c r="F7" i="4"/>
  <c r="C24" i="6"/>
  <c r="F33" i="3"/>
  <c r="J41" i="8" s="1"/>
  <c r="J42" i="8" s="1"/>
  <c r="H20" i="2"/>
  <c r="D7" i="8"/>
  <c r="C7" i="7"/>
  <c r="C8" i="6"/>
  <c r="D10" i="8"/>
  <c r="C11" i="6"/>
  <c r="C10" i="7"/>
  <c r="H16" i="2"/>
  <c r="D28" i="8"/>
  <c r="C28" i="7"/>
  <c r="C28" i="6"/>
  <c r="C27" i="7"/>
  <c r="D9" i="8"/>
  <c r="C10" i="6"/>
  <c r="D17" i="8"/>
  <c r="C18" i="6"/>
  <c r="D25" i="8"/>
  <c r="C26" i="6"/>
  <c r="I18" i="2" l="1"/>
  <c r="C17" i="8"/>
  <c r="E17" i="8" s="1"/>
  <c r="C12" i="8"/>
  <c r="E12" i="8" s="1"/>
  <c r="I13" i="2"/>
  <c r="C7" i="8"/>
  <c r="E7" i="8" s="1"/>
  <c r="I25" i="2"/>
  <c r="D32" i="8"/>
  <c r="C18" i="8"/>
  <c r="E18" i="8" s="1"/>
  <c r="I19" i="2"/>
  <c r="I31" i="2"/>
  <c r="C30" i="8"/>
  <c r="E30" i="8" s="1"/>
  <c r="I20" i="2"/>
  <c r="I24" i="2"/>
  <c r="C23" i="8"/>
  <c r="E23" i="8" s="1"/>
  <c r="I12" i="2"/>
  <c r="C11" i="8"/>
  <c r="E11" i="8" s="1"/>
  <c r="I28" i="2"/>
  <c r="C27" i="8"/>
  <c r="E27" i="8" s="1"/>
  <c r="I15" i="2"/>
  <c r="E33" i="4"/>
  <c r="F33" i="4" s="1"/>
  <c r="D5" i="5" s="1"/>
  <c r="E5" i="5" s="1"/>
  <c r="G5" i="5" s="1"/>
  <c r="C6" i="8"/>
  <c r="I7" i="2"/>
  <c r="C8" i="8"/>
  <c r="E8" i="8" s="1"/>
  <c r="I9" i="2"/>
  <c r="I10" i="2"/>
  <c r="C9" i="8"/>
  <c r="E9" i="8" s="1"/>
  <c r="C22" i="8"/>
  <c r="E22" i="8" s="1"/>
  <c r="I16" i="2"/>
  <c r="C15" i="8"/>
  <c r="E15" i="8" s="1"/>
  <c r="I32" i="2"/>
  <c r="C31" i="8"/>
  <c r="E31" i="8" s="1"/>
  <c r="I30" i="2"/>
  <c r="C29" i="8"/>
  <c r="E29" i="8" s="1"/>
  <c r="H33" i="2"/>
  <c r="I8" i="2" s="1"/>
  <c r="B8" i="6" l="1"/>
  <c r="B7" i="7"/>
  <c r="C8" i="4"/>
  <c r="B7" i="8"/>
  <c r="B12" i="7"/>
  <c r="B12" i="8"/>
  <c r="B13" i="6"/>
  <c r="C13" i="4"/>
  <c r="B32" i="6"/>
  <c r="B31" i="7"/>
  <c r="B31" i="8"/>
  <c r="C32" i="4"/>
  <c r="B11" i="7"/>
  <c r="B12" i="6"/>
  <c r="C12" i="4"/>
  <c r="B11" i="8"/>
  <c r="B19" i="7"/>
  <c r="B20" i="6"/>
  <c r="B19" i="8"/>
  <c r="C20" i="4"/>
  <c r="B8" i="7"/>
  <c r="B8" i="8"/>
  <c r="C9" i="4"/>
  <c r="B9" i="6"/>
  <c r="B14" i="7"/>
  <c r="B15" i="6"/>
  <c r="C15" i="4"/>
  <c r="B14" i="8"/>
  <c r="B29" i="8"/>
  <c r="B29" i="7"/>
  <c r="C30" i="4"/>
  <c r="B30" i="6"/>
  <c r="B9" i="7"/>
  <c r="B9" i="8"/>
  <c r="B10" i="6"/>
  <c r="C10" i="4"/>
  <c r="B30" i="7"/>
  <c r="B31" i="6"/>
  <c r="B30" i="8"/>
  <c r="C31" i="4"/>
  <c r="C19" i="4"/>
  <c r="B19" i="6"/>
  <c r="B18" i="7"/>
  <c r="B18" i="8"/>
  <c r="B16" i="6"/>
  <c r="C16" i="4"/>
  <c r="B15" i="8"/>
  <c r="B15" i="7"/>
  <c r="B17" i="8"/>
  <c r="C18" i="4"/>
  <c r="B17" i="7"/>
  <c r="B18" i="6"/>
  <c r="B24" i="6"/>
  <c r="C24" i="4"/>
  <c r="B23" i="7"/>
  <c r="B23" i="8"/>
  <c r="B27" i="7"/>
  <c r="C28" i="4"/>
  <c r="B28" i="6"/>
  <c r="B27" i="8"/>
  <c r="B6" i="7"/>
  <c r="B7" i="6"/>
  <c r="C7" i="4"/>
  <c r="B6" i="8"/>
  <c r="E6" i="8"/>
  <c r="C32" i="8"/>
  <c r="E32" i="8" s="1"/>
  <c r="D15" i="5"/>
  <c r="D13" i="5"/>
  <c r="D24" i="5"/>
  <c r="C25" i="4"/>
  <c r="B24" i="8"/>
  <c r="B24" i="7"/>
  <c r="B25" i="6"/>
  <c r="J43" i="8"/>
  <c r="J44" i="8" s="1"/>
  <c r="I33" i="2"/>
  <c r="I21" i="2"/>
  <c r="C10" i="8"/>
  <c r="E10" i="8" s="1"/>
  <c r="C25" i="8"/>
  <c r="E25" i="8" s="1"/>
  <c r="I27" i="2"/>
  <c r="C16" i="8"/>
  <c r="E16" i="8" s="1"/>
  <c r="C26" i="8"/>
  <c r="E26" i="8" s="1"/>
  <c r="I17" i="2"/>
  <c r="I29" i="2"/>
  <c r="I14" i="2"/>
  <c r="C13" i="8"/>
  <c r="E13" i="8" s="1"/>
  <c r="C20" i="8"/>
  <c r="E20" i="8" s="1"/>
  <c r="C21" i="8"/>
  <c r="E21" i="8" s="1"/>
  <c r="I22" i="2"/>
  <c r="C28" i="8"/>
  <c r="E28" i="8" s="1"/>
  <c r="I11" i="2"/>
  <c r="I26" i="2"/>
  <c r="I23" i="2"/>
  <c r="C14" i="8"/>
  <c r="E14" i="8" s="1"/>
  <c r="C19" i="8"/>
  <c r="E19" i="8" s="1"/>
  <c r="C24" i="8"/>
  <c r="E24" i="8" s="1"/>
  <c r="J32" i="8" l="1"/>
  <c r="K13" i="7"/>
  <c r="E19" i="6"/>
  <c r="F19" i="6" s="1"/>
  <c r="D19" i="6"/>
  <c r="E9" i="6"/>
  <c r="F9" i="6" s="1"/>
  <c r="D9" i="6"/>
  <c r="J26" i="8"/>
  <c r="D28" i="6"/>
  <c r="E14" i="7"/>
  <c r="F14" i="7" s="1"/>
  <c r="D14" i="7"/>
  <c r="J16" i="8"/>
  <c r="D18" i="6"/>
  <c r="J30" i="8"/>
  <c r="B26" i="7"/>
  <c r="C27" i="4"/>
  <c r="B26" i="8"/>
  <c r="B27" i="6"/>
  <c r="E16" i="6"/>
  <c r="F16" i="6" s="1"/>
  <c r="D16" i="6"/>
  <c r="J14" i="8"/>
  <c r="B22" i="7"/>
  <c r="B23" i="6"/>
  <c r="B22" i="8"/>
  <c r="C23" i="4"/>
  <c r="B13" i="7"/>
  <c r="B13" i="8"/>
  <c r="B14" i="6"/>
  <c r="C14" i="4"/>
  <c r="C21" i="4"/>
  <c r="B20" i="8"/>
  <c r="B21" i="6"/>
  <c r="B20" i="7"/>
  <c r="J12" i="8"/>
  <c r="I24" i="4"/>
  <c r="H24" i="4"/>
  <c r="G24" i="4"/>
  <c r="J23" i="8"/>
  <c r="D31" i="6"/>
  <c r="H10" i="4"/>
  <c r="I10" i="4"/>
  <c r="G10" i="4"/>
  <c r="J11" i="8"/>
  <c r="G20" i="4"/>
  <c r="I20" i="4"/>
  <c r="H20" i="4"/>
  <c r="E12" i="6"/>
  <c r="F12" i="6" s="1"/>
  <c r="D12" i="6"/>
  <c r="H13" i="4"/>
  <c r="I13" i="4" s="1"/>
  <c r="G13" i="4"/>
  <c r="B10" i="7"/>
  <c r="C11" i="4"/>
  <c r="B11" i="6"/>
  <c r="B10" i="8"/>
  <c r="B17" i="6"/>
  <c r="B16" i="8"/>
  <c r="C17" i="4"/>
  <c r="B16" i="7"/>
  <c r="J22" i="8"/>
  <c r="E25" i="6"/>
  <c r="F25" i="6" s="1"/>
  <c r="D25" i="6"/>
  <c r="D9" i="7"/>
  <c r="B21" i="8"/>
  <c r="C22" i="4"/>
  <c r="B21" i="7"/>
  <c r="B22" i="6"/>
  <c r="H28" i="4"/>
  <c r="I28" i="4" s="1"/>
  <c r="G28" i="4"/>
  <c r="J8" i="8"/>
  <c r="J9" i="8"/>
  <c r="J24" i="8"/>
  <c r="G7" i="4"/>
  <c r="I7" i="4" s="1"/>
  <c r="H7" i="4"/>
  <c r="D8" i="7"/>
  <c r="J19" i="8"/>
  <c r="B25" i="8"/>
  <c r="B25" i="7"/>
  <c r="C26" i="4"/>
  <c r="B26" i="6"/>
  <c r="B29" i="6"/>
  <c r="B28" i="7"/>
  <c r="B28" i="8"/>
  <c r="C29" i="4"/>
  <c r="C33" i="4"/>
  <c r="B32" i="7"/>
  <c r="B32" i="8"/>
  <c r="B33" i="6"/>
  <c r="E24" i="6"/>
  <c r="F24" i="6" s="1"/>
  <c r="D24" i="6"/>
  <c r="D18" i="7"/>
  <c r="E30" i="7"/>
  <c r="F30" i="7" s="1"/>
  <c r="D30" i="7"/>
  <c r="E10" i="6"/>
  <c r="F10" i="6" s="1"/>
  <c r="D10" i="6"/>
  <c r="G15" i="4"/>
  <c r="H15" i="4"/>
  <c r="I15" i="4" s="1"/>
  <c r="D11" i="7"/>
  <c r="D13" i="6"/>
  <c r="D15" i="7"/>
  <c r="J31" i="8"/>
  <c r="D15" i="6"/>
  <c r="D20" i="6"/>
  <c r="E20" i="6"/>
  <c r="F20" i="6" s="1"/>
  <c r="J15" i="8"/>
  <c r="J6" i="8"/>
  <c r="G19" i="4"/>
  <c r="H19" i="4"/>
  <c r="I19" i="4"/>
  <c r="I9" i="4"/>
  <c r="H9" i="4"/>
  <c r="G9" i="4"/>
  <c r="E12" i="7"/>
  <c r="F12" i="7" s="1"/>
  <c r="D12" i="7"/>
  <c r="D24" i="7"/>
  <c r="G16" i="4"/>
  <c r="H16" i="4"/>
  <c r="I16" i="4"/>
  <c r="D30" i="6"/>
  <c r="E30" i="6"/>
  <c r="F30" i="6" s="1"/>
  <c r="H32" i="4"/>
  <c r="G32" i="4"/>
  <c r="I32" i="4"/>
  <c r="E17" i="7"/>
  <c r="F17" i="7" s="1"/>
  <c r="D17" i="7"/>
  <c r="I30" i="4"/>
  <c r="G30" i="4"/>
  <c r="H30" i="4"/>
  <c r="G8" i="4"/>
  <c r="H8" i="4"/>
  <c r="I8" i="4"/>
  <c r="J20" i="8"/>
  <c r="J25" i="8"/>
  <c r="G25" i="4"/>
  <c r="H25" i="4"/>
  <c r="I25" i="4"/>
  <c r="D7" i="6"/>
  <c r="H18" i="4"/>
  <c r="I18" i="4" s="1"/>
  <c r="G18" i="4"/>
  <c r="J17" i="8"/>
  <c r="H31" i="4"/>
  <c r="I31" i="4" s="1"/>
  <c r="G31" i="4"/>
  <c r="J27" i="8"/>
  <c r="D29" i="7"/>
  <c r="J18" i="8"/>
  <c r="J7" i="8"/>
  <c r="D31" i="7"/>
  <c r="D7" i="7"/>
  <c r="J28" i="8"/>
  <c r="D19" i="7"/>
  <c r="B33" i="8"/>
  <c r="J29" i="8"/>
  <c r="J21" i="8"/>
  <c r="E27" i="7"/>
  <c r="F27" i="7" s="1"/>
  <c r="D27" i="7"/>
  <c r="J13" i="8"/>
  <c r="J10" i="8"/>
  <c r="C29" i="5"/>
  <c r="K7" i="7"/>
  <c r="E6" i="7"/>
  <c r="F6" i="7" s="1"/>
  <c r="D6" i="7"/>
  <c r="D23" i="7"/>
  <c r="G12" i="4"/>
  <c r="I12" i="4"/>
  <c r="H12" i="4"/>
  <c r="E32" i="6"/>
  <c r="F32" i="6" s="1"/>
  <c r="D32" i="6"/>
  <c r="E8" i="6"/>
  <c r="F8" i="6" s="1"/>
  <c r="D8" i="6"/>
  <c r="D29" i="6" l="1"/>
  <c r="E29" i="6"/>
  <c r="F29" i="6" s="1"/>
  <c r="E17" i="6"/>
  <c r="F17" i="6" s="1"/>
  <c r="D17" i="6"/>
  <c r="D26" i="6"/>
  <c r="E26" i="6"/>
  <c r="F26" i="6" s="1"/>
  <c r="D13" i="7"/>
  <c r="I26" i="4"/>
  <c r="G26" i="4"/>
  <c r="H26" i="4"/>
  <c r="D11" i="6"/>
  <c r="D33" i="6" s="1"/>
  <c r="D20" i="7"/>
  <c r="G23" i="4"/>
  <c r="I23" i="4"/>
  <c r="H23" i="4"/>
  <c r="E27" i="6"/>
  <c r="F27" i="6" s="1"/>
  <c r="D27" i="6"/>
  <c r="D25" i="7"/>
  <c r="D22" i="6"/>
  <c r="E22" i="6"/>
  <c r="F22" i="6" s="1"/>
  <c r="H11" i="4"/>
  <c r="H33" i="4" s="1"/>
  <c r="G11" i="4"/>
  <c r="G33" i="4" s="1"/>
  <c r="I11" i="4"/>
  <c r="D21" i="6"/>
  <c r="E21" i="6"/>
  <c r="F21" i="6" s="1"/>
  <c r="D21" i="7"/>
  <c r="E10" i="7"/>
  <c r="F10" i="7" s="1"/>
  <c r="D10" i="7"/>
  <c r="D32" i="7" s="1"/>
  <c r="D23" i="6"/>
  <c r="E23" i="6"/>
  <c r="F23" i="6" s="1"/>
  <c r="I27" i="4"/>
  <c r="G27" i="4"/>
  <c r="H27" i="4"/>
  <c r="G29" i="4"/>
  <c r="H29" i="4"/>
  <c r="I29" i="4"/>
  <c r="I22" i="4"/>
  <c r="G22" i="4"/>
  <c r="H22" i="4"/>
  <c r="D16" i="7"/>
  <c r="G21" i="4"/>
  <c r="I21" i="4"/>
  <c r="H21" i="4"/>
  <c r="D22" i="7"/>
  <c r="D26" i="7"/>
  <c r="G17" i="4"/>
  <c r="I17" i="4"/>
  <c r="H17" i="4"/>
  <c r="H14" i="4"/>
  <c r="I14" i="4"/>
  <c r="G14" i="4"/>
  <c r="D28" i="7"/>
  <c r="D14" i="6"/>
  <c r="E14" i="6"/>
  <c r="F14" i="6" s="1"/>
  <c r="I33" i="4" l="1"/>
  <c r="D6" i="5" s="1"/>
  <c r="E6" i="5" s="1"/>
  <c r="G6" i="5" s="1"/>
  <c r="D25" i="5" l="1"/>
  <c r="D14" i="5"/>
  <c r="G6" i="7" l="1"/>
  <c r="C30" i="5"/>
  <c r="G12" i="7"/>
  <c r="H12" i="7" s="1"/>
  <c r="G10" i="7"/>
  <c r="H10" i="7" s="1"/>
  <c r="E28" i="6"/>
  <c r="F28" i="6" s="1"/>
  <c r="F27" i="8" s="1"/>
  <c r="G27" i="8" s="1"/>
  <c r="H27" i="8" s="1"/>
  <c r="E31" i="6"/>
  <c r="F31" i="6" s="1"/>
  <c r="F30" i="8" s="1"/>
  <c r="G30" i="8" s="1"/>
  <c r="H30" i="8" s="1"/>
  <c r="E15" i="6"/>
  <c r="F15" i="6" s="1"/>
  <c r="F14" i="8" s="1"/>
  <c r="G14" i="8" s="1"/>
  <c r="H14" i="8" s="1"/>
  <c r="E7" i="6"/>
  <c r="F7" i="6" s="1"/>
  <c r="E13" i="6"/>
  <c r="F13" i="6" s="1"/>
  <c r="F12" i="8" s="1"/>
  <c r="G12" i="8" s="1"/>
  <c r="H12" i="8" s="1"/>
  <c r="E18" i="6"/>
  <c r="F18" i="6" s="1"/>
  <c r="F17" i="8" s="1"/>
  <c r="G17" i="8" s="1"/>
  <c r="H17" i="8" s="1"/>
  <c r="D26" i="5"/>
  <c r="E11" i="6"/>
  <c r="F11" i="6" s="1"/>
  <c r="F10" i="8" s="1"/>
  <c r="G10" i="8" s="1"/>
  <c r="H10" i="8" s="1"/>
  <c r="G30" i="7" l="1"/>
  <c r="H30" i="7" s="1"/>
  <c r="F33" i="6"/>
  <c r="F6" i="8"/>
  <c r="G6" i="8" s="1"/>
  <c r="H6" i="8" s="1"/>
  <c r="G17" i="7"/>
  <c r="H17" i="7" s="1"/>
  <c r="C31" i="5"/>
  <c r="K12" i="7"/>
  <c r="H6" i="7"/>
  <c r="G14" i="7"/>
  <c r="H14" i="7" s="1"/>
  <c r="G27" i="7"/>
  <c r="H27" i="7" s="1"/>
  <c r="E29" i="7" l="1"/>
  <c r="F29" i="7" s="1"/>
  <c r="E15" i="7"/>
  <c r="F15" i="7" s="1"/>
  <c r="E24" i="7"/>
  <c r="F24" i="7" s="1"/>
  <c r="E18" i="7"/>
  <c r="F18" i="7" s="1"/>
  <c r="E11" i="7"/>
  <c r="F11" i="7" s="1"/>
  <c r="E31" i="7"/>
  <c r="F31" i="7" s="1"/>
  <c r="E19" i="7"/>
  <c r="F19" i="7" s="1"/>
  <c r="E23" i="7"/>
  <c r="F23" i="7" s="1"/>
  <c r="E9" i="7"/>
  <c r="F9" i="7" s="1"/>
  <c r="E8" i="7"/>
  <c r="F8" i="7" s="1"/>
  <c r="E7" i="7"/>
  <c r="F7" i="7" s="1"/>
  <c r="E13" i="7"/>
  <c r="F13" i="7" s="1"/>
  <c r="E16" i="7"/>
  <c r="F16" i="7" s="1"/>
  <c r="E22" i="7"/>
  <c r="F22" i="7" s="1"/>
  <c r="E26" i="7"/>
  <c r="F26" i="7" s="1"/>
  <c r="E25" i="7"/>
  <c r="F25" i="7" s="1"/>
  <c r="E20" i="7"/>
  <c r="F20" i="7" s="1"/>
  <c r="E28" i="7"/>
  <c r="F28" i="7" s="1"/>
  <c r="E21" i="7"/>
  <c r="F21" i="7" s="1"/>
  <c r="K8" i="7"/>
  <c r="K6" i="7" s="1"/>
  <c r="F21" i="8" l="1"/>
  <c r="G21" i="8" s="1"/>
  <c r="H21" i="8" s="1"/>
  <c r="G21" i="7"/>
  <c r="H21" i="7" s="1"/>
  <c r="F8" i="8"/>
  <c r="G8" i="8" s="1"/>
  <c r="H8" i="8" s="1"/>
  <c r="G8" i="7"/>
  <c r="H8" i="7" s="1"/>
  <c r="H22" i="7"/>
  <c r="F22" i="8"/>
  <c r="G22" i="8" s="1"/>
  <c r="H22" i="8" s="1"/>
  <c r="G22" i="7"/>
  <c r="F31" i="8"/>
  <c r="G31" i="8" s="1"/>
  <c r="H31" i="8" s="1"/>
  <c r="G31" i="7"/>
  <c r="H31" i="7" s="1"/>
  <c r="H7" i="7"/>
  <c r="F7" i="8"/>
  <c r="G7" i="8" s="1"/>
  <c r="H7" i="8" s="1"/>
  <c r="H33" i="8" s="1"/>
  <c r="F32" i="7"/>
  <c r="G7" i="7"/>
  <c r="F15" i="8"/>
  <c r="G15" i="8" s="1"/>
  <c r="H15" i="8" s="1"/>
  <c r="G15" i="7"/>
  <c r="H15" i="7" s="1"/>
  <c r="F16" i="8"/>
  <c r="G16" i="8" s="1"/>
  <c r="H16" i="8" s="1"/>
  <c r="G16" i="7"/>
  <c r="H16" i="7" s="1"/>
  <c r="H11" i="7"/>
  <c r="F11" i="8"/>
  <c r="G11" i="8" s="1"/>
  <c r="H11" i="8" s="1"/>
  <c r="G11" i="7"/>
  <c r="F18" i="8"/>
  <c r="G18" i="8" s="1"/>
  <c r="H18" i="8" s="1"/>
  <c r="G18" i="7"/>
  <c r="H18" i="7" s="1"/>
  <c r="H28" i="7"/>
  <c r="F28" i="8"/>
  <c r="G28" i="8" s="1"/>
  <c r="H28" i="8" s="1"/>
  <c r="G28" i="7"/>
  <c r="H9" i="7"/>
  <c r="F9" i="8"/>
  <c r="G9" i="8" s="1"/>
  <c r="H9" i="8" s="1"/>
  <c r="G9" i="7"/>
  <c r="F25" i="8"/>
  <c r="G25" i="8" s="1"/>
  <c r="H25" i="8" s="1"/>
  <c r="G25" i="7"/>
  <c r="H25" i="7" s="1"/>
  <c r="H23" i="7"/>
  <c r="F23" i="8"/>
  <c r="G23" i="8" s="1"/>
  <c r="H23" i="8" s="1"/>
  <c r="G23" i="7"/>
  <c r="F13" i="8"/>
  <c r="G13" i="8" s="1"/>
  <c r="H13" i="8" s="1"/>
  <c r="G13" i="7"/>
  <c r="H13" i="7" s="1"/>
  <c r="F24" i="8"/>
  <c r="G24" i="8" s="1"/>
  <c r="H24" i="8" s="1"/>
  <c r="G24" i="7"/>
  <c r="H24" i="7" s="1"/>
  <c r="H20" i="7"/>
  <c r="F20" i="8"/>
  <c r="G20" i="8" s="1"/>
  <c r="H20" i="8" s="1"/>
  <c r="G20" i="7"/>
  <c r="F29" i="8"/>
  <c r="G29" i="8" s="1"/>
  <c r="H29" i="8" s="1"/>
  <c r="G29" i="7"/>
  <c r="H29" i="7" s="1"/>
  <c r="H26" i="7"/>
  <c r="F26" i="8"/>
  <c r="G26" i="8" s="1"/>
  <c r="H26" i="8" s="1"/>
  <c r="G26" i="7"/>
  <c r="H19" i="7"/>
  <c r="F19" i="8"/>
  <c r="G19" i="8" s="1"/>
  <c r="H19" i="8" s="1"/>
  <c r="G19" i="7"/>
  <c r="G32" i="7" l="1"/>
  <c r="H32" i="7"/>
</calcChain>
</file>

<file path=xl/sharedStrings.xml><?xml version="1.0" encoding="utf-8"?>
<sst xmlns="http://schemas.openxmlformats.org/spreadsheetml/2006/main" count="370" uniqueCount="137">
  <si>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</si>
  <si>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</si>
  <si>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</si>
  <si>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</si>
  <si>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</si>
  <si>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</si>
  <si>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</si>
  <si>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</si>
  <si>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</si>
  <si>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</si>
  <si>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</si>
  <si>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</si>
  <si>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</si>
  <si>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</si>
  <si>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</si>
  <si>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</si>
  <si>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</si>
  <si>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</si>
  <si>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</si>
  <si>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</si>
  <si>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</si>
  <si>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</si>
  <si>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Berechnung</t>
  </si>
  <si>
    <t>WS</t>
  </si>
  <si>
    <t>FA_2016_20150609</t>
  </si>
  <si>
    <t>SWS</t>
  </si>
  <si>
    <t>RA_2016_20150609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</si>
  <si>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</si>
  <si>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</si>
  <si>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</si>
  <si>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</si>
  <si>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</si>
  <si>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</si>
  <si>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</si>
  <si>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</si>
  <si>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</si>
  <si>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</si>
  <si>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</si>
  <si>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</si>
  <si>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</si>
  <si>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</si>
  <si>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</si>
  <si>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</si>
  <si>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des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</si>
  <si>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</si>
  <si>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</si>
  <si>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</si>
  <si>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</si>
  <si>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</si>
  <si>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</si>
  <si>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</si>
  <si>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</si>
  <si>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</si>
  <si>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</si>
  <si>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</si>
  <si>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</si>
  <si>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</si>
  <si>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</si>
  <si>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</si>
  <si>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</si>
  <si>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</si>
  <si>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</si>
  <si>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</si>
  <si>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</si>
  <si>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</si>
  <si>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</si>
  <si>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</si>
  <si>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</si>
  <si>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</si>
  <si>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</si>
  <si>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</si>
  <si>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</si>
  <si>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</si>
  <si>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</si>
  <si>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</si>
  <si>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résidante permanente et 
non permanente moyenne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</si>
  <si>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</si>
  <si>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</si>
  <si>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</si>
  <si>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</si>
  <si>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</si>
  <si>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</si>
  <si>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</si>
  <si>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</si>
  <si>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</si>
  <si>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</si>
  <si>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</si>
  <si>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</si>
  <si>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</si>
  <si>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</si>
  <si>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</si>
  <si>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</si>
  <si>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</si>
  <si>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</si>
  <si>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</si>
  <si>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</si>
  <si>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</si>
  <si>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</si>
  <si>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</si>
  <si>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</si>
  <si>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</si>
  <si>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</si>
  <si>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</si>
  <si>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</si>
  <si>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</si>
  <si>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</si>
  <si>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</si>
  <si>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</si>
  <si>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</si>
  <si>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</si>
  <si>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</si>
  <si>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</si>
  <si>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</si>
  <si>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</si>
  <si>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</si>
  <si>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</si>
  <si>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</si>
  <si>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</si>
  <si>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avant la compensation</t>
  </si>
  <si>
    <t>Compensation des ressources par habitant</t>
  </si>
  <si>
    <t>Recette fiscale standardisée par habitant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</si>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</sst>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6" formatCode="0.0"/>
    <numFmt numFmtId="167" formatCode="_ * #,##0_ ;_ * \-#,##0_ ;_ * &quot;-&quot;??_ ;_ @_ "/>
    <numFmt numFmtId="168" formatCode="0.0%"/>
    <numFmt numFmtId="169" formatCode="#,##0.0"/>
    <numFmt numFmtId="170" formatCode="#,##0.000000000"/>
    <numFmt numFmtId="171" formatCode="0.000000000"/>
  </numFmts>
  <fonts count="2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6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6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6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6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6" fontId="2" fillId="0" borderId="9" xfId="0" applyNumberFormat="1" applyFont="1" applyFill="1" applyBorder="1"/>
    <xf numFmtId="167" fontId="5" fillId="0" borderId="24" xfId="0" applyNumberFormat="1" applyFont="1" applyFill="1" applyBorder="1" applyAlignment="1" applyProtection="1">
      <alignment horizontal="right"/>
      <protection locked="0"/>
    </xf>
    <xf numFmtId="167" fontId="0" fillId="0" borderId="9" xfId="0" applyNumberFormat="1" applyFont="1" applyFill="1" applyBorder="1" applyAlignment="1">
      <alignment horizontal="right"/>
    </xf>
    <xf numFmtId="168" fontId="0" fillId="0" borderId="25" xfId="0" applyNumberFormat="1" applyFont="1" applyFill="1" applyBorder="1"/>
    <xf numFmtId="168" fontId="0" fillId="0" borderId="14" xfId="0" applyNumberFormat="1" applyFont="1" applyFill="1" applyBorder="1"/>
    <xf numFmtId="0" fontId="0" fillId="3" borderId="36" xfId="0" applyFont="1" applyFill="1" applyBorder="1"/>
    <xf numFmtId="166" fontId="2" fillId="3" borderId="0" xfId="0" applyNumberFormat="1" applyFont="1" applyFill="1" applyBorder="1"/>
    <xf numFmtId="167" fontId="5" fillId="3" borderId="26" xfId="0" applyNumberFormat="1" applyFont="1" applyFill="1" applyBorder="1" applyAlignment="1" applyProtection="1">
      <alignment horizontal="right"/>
      <protection locked="0"/>
    </xf>
    <xf numFmtId="167" fontId="0" fillId="3" borderId="0" xfId="0" applyNumberFormat="1" applyFont="1" applyFill="1" applyBorder="1" applyAlignment="1">
      <alignment horizontal="right"/>
    </xf>
    <xf numFmtId="168" fontId="0" fillId="3" borderId="27" xfId="0" applyNumberFormat="1" applyFont="1" applyFill="1" applyBorder="1"/>
    <xf numFmtId="168" fontId="0" fillId="3" borderId="16" xfId="0" applyNumberFormat="1" applyFont="1" applyFill="1" applyBorder="1"/>
    <xf numFmtId="0" fontId="0" fillId="0" borderId="36" xfId="0" applyFont="1" applyFill="1" applyBorder="1"/>
    <xf numFmtId="166" fontId="2" fillId="0" borderId="0" xfId="0" applyNumberFormat="1" applyFont="1" applyFill="1" applyBorder="1"/>
    <xf numFmtId="167" fontId="5" fillId="0" borderId="26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ont="1" applyFill="1" applyBorder="1" applyAlignment="1">
      <alignment horizontal="right"/>
    </xf>
    <xf numFmtId="168" fontId="0" fillId="0" borderId="27" xfId="0" applyNumberFormat="1" applyFont="1" applyFill="1" applyBorder="1"/>
    <xf numFmtId="168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6" fontId="2" fillId="3" borderId="19" xfId="0" applyNumberFormat="1" applyFont="1" applyFill="1" applyBorder="1"/>
    <xf numFmtId="167" fontId="5" fillId="3" borderId="18" xfId="0" applyNumberFormat="1" applyFont="1" applyFill="1" applyBorder="1" applyAlignment="1" applyProtection="1">
      <alignment horizontal="right"/>
      <protection locked="0"/>
    </xf>
    <xf numFmtId="167" fontId="0" fillId="3" borderId="19" xfId="0" applyNumberFormat="1" applyFont="1" applyFill="1" applyBorder="1" applyAlignment="1">
      <alignment horizontal="right"/>
    </xf>
    <xf numFmtId="168" fontId="0" fillId="3" borderId="20" xfId="0" applyNumberFormat="1" applyFont="1" applyFill="1" applyBorder="1"/>
    <xf numFmtId="3" fontId="0" fillId="3" borderId="19" xfId="0" applyNumberFormat="1" applyFont="1" applyFill="1" applyBorder="1"/>
    <xf numFmtId="168" fontId="0" fillId="3" borderId="21" xfId="0" applyNumberFormat="1" applyFont="1" applyFill="1" applyBorder="1"/>
    <xf numFmtId="169" fontId="1" fillId="0" borderId="12" xfId="0" applyNumberFormat="1" applyFont="1" applyFill="1" applyBorder="1"/>
    <xf numFmtId="167" fontId="1" fillId="0" borderId="22" xfId="0" applyNumberFormat="1" applyFont="1" applyFill="1" applyBorder="1" applyAlignment="1" applyProtection="1">
      <alignment horizontal="right"/>
      <protection locked="0"/>
    </xf>
    <xf numFmtId="167" fontId="1" fillId="0" borderId="12" xfId="0" applyNumberFormat="1" applyFont="1" applyFill="1" applyBorder="1" applyAlignment="1">
      <alignment horizontal="right"/>
    </xf>
    <xf numFmtId="168" fontId="1" fillId="4" borderId="23" xfId="0" applyNumberFormat="1" applyFont="1" applyFill="1" applyBorder="1"/>
    <xf numFmtId="168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8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8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8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8" fontId="3" fillId="0" borderId="0" xfId="0" applyNumberFormat="1" applyFont="1" applyFill="1" applyBorder="1"/>
    <xf numFmtId="168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8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8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9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70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71" fontId="14" fillId="0" borderId="39" xfId="0" applyNumberFormat="1" applyFont="1" applyFill="1" applyBorder="1" applyAlignment="1">
      <alignment vertical="center"/>
    </xf>
    <xf numFmtId="169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6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9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9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9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9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9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9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6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6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 x14ac:dyDescent="0.2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 x14ac:dyDescent="0.4">
      <c r="A1" s="299" t="s">
        <v>0</v>
      </c>
      <c r="B1" s="299"/>
      <c r="C1" s="299"/>
      <c r="D1" s="299"/>
      <c r="E1" s="299"/>
    </row>
    <row r="2" spans="1:5" ht="27.75" customHeight="1" x14ac:dyDescent="0.4">
      <c r="A2" s="299" t="s">
        <v>1</v>
      </c>
      <c r="B2" s="299"/>
      <c r="C2" s="299"/>
      <c r="D2" s="299"/>
      <c r="E2" s="299"/>
    </row>
    <row r="3" spans="1:5" ht="24.75" customHeight="1" x14ac:dyDescent="0.35">
      <c r="A3" s="3"/>
      <c r="B3" s="3"/>
      <c r="C3" s="3"/>
      <c r="D3" s="3"/>
      <c r="E3" s="3"/>
    </row>
    <row r="4" spans="1:5" ht="18" customHeight="1" x14ac:dyDescent="0.25">
      <c r="A4" s="4"/>
      <c r="B4" s="4"/>
      <c r="C4" s="4"/>
      <c r="D4" s="4"/>
      <c r="E4" s="4"/>
    </row>
    <row r="5" spans="1:5" ht="18" customHeight="1" x14ac:dyDescent="0.25">
      <c r="A5" s="300" t="str">
        <f>"Année de référence "&amp;C30</f>
        <v>Année de référence 2016</v>
      </c>
      <c r="B5" s="300"/>
      <c r="C5" s="300"/>
      <c r="D5" s="300"/>
      <c r="E5" s="300"/>
    </row>
    <row r="11" spans="1:5" x14ac:dyDescent="0.2">
      <c r="A11" s="5" t="s">
        <v>2</v>
      </c>
      <c r="B11" s="5" t="s">
        <v>3</v>
      </c>
      <c r="C11" s="6"/>
      <c r="D11" s="6"/>
      <c r="E11" s="7"/>
    </row>
    <row r="12" spans="1:5" x14ac:dyDescent="0.2">
      <c r="A12" s="8" t="s">
        <v>4</v>
      </c>
      <c r="B12" s="8" t="s">
        <v>5</v>
      </c>
      <c r="C12" s="9"/>
      <c r="D12" s="9"/>
      <c r="E12" s="10"/>
    </row>
    <row r="13" spans="1:5" x14ac:dyDescent="0.2">
      <c r="A13" s="8" t="s">
        <v>6</v>
      </c>
      <c r="B13" s="8" t="s">
        <v>7</v>
      </c>
      <c r="C13" s="9"/>
      <c r="D13" s="9"/>
      <c r="E13" s="10"/>
    </row>
    <row r="14" spans="1:5" x14ac:dyDescent="0.2">
      <c r="A14" s="8" t="s">
        <v>8</v>
      </c>
      <c r="B14" s="8" t="s">
        <v>9</v>
      </c>
      <c r="C14" s="9"/>
      <c r="D14" s="9"/>
      <c r="E14" s="10"/>
    </row>
    <row r="15" spans="1:5" x14ac:dyDescent="0.2">
      <c r="A15" s="8" t="s">
        <v>10</v>
      </c>
      <c r="B15" s="8" t="s">
        <v>11</v>
      </c>
      <c r="C15" s="9"/>
      <c r="D15" s="9"/>
      <c r="E15" s="10"/>
    </row>
    <row r="16" spans="1:5" x14ac:dyDescent="0.2">
      <c r="A16" s="8" t="s">
        <v>12</v>
      </c>
      <c r="B16" s="8" t="s">
        <v>13</v>
      </c>
      <c r="C16" s="9"/>
      <c r="D16" s="9"/>
      <c r="E16" s="10"/>
    </row>
    <row r="17" spans="1:5" x14ac:dyDescent="0.2">
      <c r="A17" s="11" t="s">
        <v>14</v>
      </c>
      <c r="B17" s="8" t="s">
        <v>15</v>
      </c>
      <c r="C17" s="9"/>
      <c r="D17" s="9"/>
      <c r="E17" s="10"/>
    </row>
    <row r="18" spans="1:5" x14ac:dyDescent="0.2">
      <c r="A18" s="11" t="s">
        <v>16</v>
      </c>
      <c r="B18" s="9" t="s">
        <v>17</v>
      </c>
      <c r="C18" s="9"/>
      <c r="D18" s="9"/>
      <c r="E18" s="10"/>
    </row>
    <row r="25" spans="1:5" x14ac:dyDescent="0.2">
      <c r="B25" s="12" t="s">
        <v>18</v>
      </c>
      <c r="C25" s="13"/>
    </row>
    <row r="26" spans="1:5" x14ac:dyDescent="0.2">
      <c r="B26" s="14" t="s">
        <v>19</v>
      </c>
      <c r="C26" s="15" t="s">
        <v>20</v>
      </c>
    </row>
    <row r="27" spans="1:5" x14ac:dyDescent="0.2">
      <c r="B27" s="14" t="s">
        <v>21</v>
      </c>
      <c r="C27" s="16" t="s">
        <v>22</v>
      </c>
    </row>
    <row r="28" spans="1:5" x14ac:dyDescent="0.2">
      <c r="B28" s="14" t="s">
        <v>23</v>
      </c>
      <c r="C28" s="16" t="s">
        <v>24</v>
      </c>
    </row>
    <row r="29" spans="1:5" x14ac:dyDescent="0.2">
      <c r="B29" s="14" t="s">
        <v>25</v>
      </c>
      <c r="C29" s="16" t="s">
        <v>26</v>
      </c>
    </row>
    <row r="30" spans="1:5" x14ac:dyDescent="0.2">
      <c r="B30" s="14" t="s">
        <v>27</v>
      </c>
      <c r="C30" s="17">
        <v>2016</v>
      </c>
    </row>
    <row r="31" spans="1:5" x14ac:dyDescent="0.2">
      <c r="B31" s="18"/>
    </row>
  </sheetData>
  <mergeCells count="3">
    <mergeCell ref="A2:E2"/>
    <mergeCell ref="A1:E1"/>
    <mergeCell ref="A5:E5"/>
  </mergeCells>
  <conditionalFormatting sqref="C26:C30">
    <cfRule type="expression" dxfId="14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 x14ac:dyDescent="0.2">
      <c r="B1" s="20" t="str">
        <f>"Potentiel de ressources "&amp;Info!C30</f>
        <v>Potentiel de ressources 2016</v>
      </c>
      <c r="C1" s="20"/>
      <c r="D1" s="20"/>
      <c r="E1" s="21"/>
      <c r="F1" s="21"/>
      <c r="G1" s="21"/>
      <c r="H1" s="22"/>
      <c r="I1" s="23" t="str">
        <f>Info!$C$28</f>
        <v>FA_2016_20150609</v>
      </c>
    </row>
    <row r="2" spans="1:9" s="2" customFormat="1" x14ac:dyDescent="0.2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 x14ac:dyDescent="0.2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 x14ac:dyDescent="0.2">
      <c r="B4" s="33"/>
      <c r="C4" s="34" t="str">
        <f>"AFA "&amp;Info!C30-6</f>
        <v>AFA 2010</v>
      </c>
      <c r="D4" s="34" t="str">
        <f>"AFA "&amp;Info!C30-5</f>
        <v>AFA 2011</v>
      </c>
      <c r="E4" s="34" t="str">
        <f>"AFA "&amp;Info!C30-4</f>
        <v>AFA 2012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 x14ac:dyDescent="0.2">
      <c r="A5" s="19"/>
      <c r="B5" s="37" t="s">
        <v>43</v>
      </c>
      <c r="C5" s="38" t="str">
        <f>"AFA_"&amp;Info!$C$30&amp;"_"&amp;Info!$C$30-6</f>
        <v>AFA_2016_2010</v>
      </c>
      <c r="D5" s="38" t="str">
        <f>"AFA_"&amp;Info!$C$30&amp;"_"&amp;Info!$C$30-5</f>
        <v>AFA_2016_2011</v>
      </c>
      <c r="E5" s="38" t="str">
        <f>"AFA_"&amp;Info!$C$30&amp;"_"&amp;Info!$C$30-4</f>
        <v>AFA_2016_2012</v>
      </c>
      <c r="F5" s="39"/>
      <c r="G5" s="39"/>
      <c r="H5" s="39"/>
      <c r="I5" s="40"/>
    </row>
    <row r="6" spans="1:9" s="36" customFormat="1" ht="11.25" customHeight="1" x14ac:dyDescent="0.2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 x14ac:dyDescent="0.2">
      <c r="B7" s="44" t="s">
        <v>48</v>
      </c>
      <c r="C7" s="45">
        <v>52840391.308743499</v>
      </c>
      <c r="D7" s="45">
        <v>55131039.687847599</v>
      </c>
      <c r="E7" s="45">
        <v>54007297.2273321</v>
      </c>
      <c r="F7" s="46">
        <f t="shared" ref="F7:F32" si="0">AVERAGE(C7:E7)</f>
        <v>53992909.4079744</v>
      </c>
      <c r="G7" s="47">
        <f>Population!F7</f>
        <v>1397165.8333333333</v>
      </c>
      <c r="H7" s="47">
        <f t="shared" ref="H7:H33" si="1">F7/G7*1000</f>
        <v>38644.596167341908</v>
      </c>
      <c r="I7" s="48">
        <f t="shared" ref="I7:I33" si="2">H7/H$33*100</f>
        <v>120.57254245878059</v>
      </c>
    </row>
    <row r="8" spans="1:9" x14ac:dyDescent="0.2">
      <c r="B8" s="49" t="s">
        <v>49</v>
      </c>
      <c r="C8" s="50">
        <v>23995462.155819401</v>
      </c>
      <c r="D8" s="50">
        <v>23007630.688588999</v>
      </c>
      <c r="E8" s="50">
        <v>23587283.5189065</v>
      </c>
      <c r="F8" s="51">
        <f t="shared" si="0"/>
        <v>23530125.454438299</v>
      </c>
      <c r="G8" s="52">
        <f>Population!F8</f>
        <v>990082</v>
      </c>
      <c r="H8" s="52">
        <f t="shared" si="1"/>
        <v>23765.835006028083</v>
      </c>
      <c r="I8" s="53">
        <f t="shared" si="2"/>
        <v>74.150267683591466</v>
      </c>
    </row>
    <row r="9" spans="1:9" x14ac:dyDescent="0.2">
      <c r="B9" s="33" t="s">
        <v>50</v>
      </c>
      <c r="C9" s="54">
        <v>9680152.8299957998</v>
      </c>
      <c r="D9" s="54">
        <v>9840322.4457805008</v>
      </c>
      <c r="E9" s="54">
        <v>11084518.0444446</v>
      </c>
      <c r="F9" s="55">
        <f t="shared" si="0"/>
        <v>10201664.440073634</v>
      </c>
      <c r="G9" s="56">
        <f>Population!F9</f>
        <v>381420.33333333331</v>
      </c>
      <c r="H9" s="56">
        <f t="shared" si="1"/>
        <v>26746.51440556036</v>
      </c>
      <c r="I9" s="57">
        <f t="shared" si="2"/>
        <v>83.450095579317605</v>
      </c>
    </row>
    <row r="10" spans="1:9" x14ac:dyDescent="0.2">
      <c r="B10" s="49" t="s">
        <v>51</v>
      </c>
      <c r="C10" s="50">
        <v>700361.65797357599</v>
      </c>
      <c r="D10" s="50">
        <v>713699.20527513395</v>
      </c>
      <c r="E10" s="50">
        <v>774554.03416726703</v>
      </c>
      <c r="F10" s="51">
        <f t="shared" si="0"/>
        <v>729538.29913865903</v>
      </c>
      <c r="G10" s="52">
        <f>Population!F10</f>
        <v>35487.833333333336</v>
      </c>
      <c r="H10" s="52">
        <f t="shared" si="1"/>
        <v>20557.420124418011</v>
      </c>
      <c r="I10" s="53">
        <f t="shared" si="2"/>
        <v>64.139896819236725</v>
      </c>
    </row>
    <row r="11" spans="1:9" x14ac:dyDescent="0.2">
      <c r="B11" s="33" t="s">
        <v>52</v>
      </c>
      <c r="C11" s="54">
        <v>7730692.3514440497</v>
      </c>
      <c r="D11" s="54">
        <v>8642119.3902020697</v>
      </c>
      <c r="E11" s="54">
        <v>7906169.48866692</v>
      </c>
      <c r="F11" s="55">
        <f t="shared" si="0"/>
        <v>8092993.7434376804</v>
      </c>
      <c r="G11" s="56">
        <f>Population!F11</f>
        <v>148010.66666666666</v>
      </c>
      <c r="H11" s="56">
        <f t="shared" si="1"/>
        <v>54678.449369218979</v>
      </c>
      <c r="I11" s="57">
        <f t="shared" si="2"/>
        <v>170.5987463189451</v>
      </c>
    </row>
    <row r="12" spans="1:9" x14ac:dyDescent="0.2">
      <c r="B12" s="49" t="s">
        <v>53</v>
      </c>
      <c r="C12" s="50">
        <v>1007655.21036735</v>
      </c>
      <c r="D12" s="50">
        <v>1033009.06728105</v>
      </c>
      <c r="E12" s="50">
        <v>1127385.56956322</v>
      </c>
      <c r="F12" s="51">
        <f t="shared" si="0"/>
        <v>1056016.6157372065</v>
      </c>
      <c r="G12" s="52">
        <f>Population!F12</f>
        <v>35928.5</v>
      </c>
      <c r="H12" s="52">
        <f t="shared" si="1"/>
        <v>29392.170998989841</v>
      </c>
      <c r="I12" s="53">
        <f t="shared" si="2"/>
        <v>91.704640161988308</v>
      </c>
    </row>
    <row r="13" spans="1:9" x14ac:dyDescent="0.2">
      <c r="B13" s="33" t="s">
        <v>54</v>
      </c>
      <c r="C13" s="54">
        <v>1734575.15680779</v>
      </c>
      <c r="D13" s="54">
        <v>1937104.1962991599</v>
      </c>
      <c r="E13" s="54">
        <v>2020409.5783808399</v>
      </c>
      <c r="F13" s="55">
        <f t="shared" si="0"/>
        <v>1897362.9771625965</v>
      </c>
      <c r="G13" s="56">
        <f>Population!F13</f>
        <v>41138</v>
      </c>
      <c r="H13" s="56">
        <f t="shared" si="1"/>
        <v>46121.906197739234</v>
      </c>
      <c r="I13" s="57">
        <f t="shared" si="2"/>
        <v>143.9020211060292</v>
      </c>
    </row>
    <row r="14" spans="1:9" x14ac:dyDescent="0.2">
      <c r="B14" s="49" t="s">
        <v>55</v>
      </c>
      <c r="C14" s="50">
        <v>914141.99628445203</v>
      </c>
      <c r="D14" s="50">
        <v>870330.58401502401</v>
      </c>
      <c r="E14" s="50">
        <v>878167.36151120602</v>
      </c>
      <c r="F14" s="51">
        <f t="shared" si="0"/>
        <v>887546.64727022743</v>
      </c>
      <c r="G14" s="52">
        <f>Population!F14</f>
        <v>39295.166666666664</v>
      </c>
      <c r="H14" s="52">
        <f t="shared" si="1"/>
        <v>22586.661988206204</v>
      </c>
      <c r="I14" s="53">
        <f t="shared" si="2"/>
        <v>70.471205075667825</v>
      </c>
    </row>
    <row r="15" spans="1:9" x14ac:dyDescent="0.2">
      <c r="B15" s="33" t="s">
        <v>56</v>
      </c>
      <c r="C15" s="54">
        <v>8554029.2036007196</v>
      </c>
      <c r="D15" s="54">
        <v>11150907.833141901</v>
      </c>
      <c r="E15" s="54">
        <v>9391718.0471547898</v>
      </c>
      <c r="F15" s="55">
        <f t="shared" si="0"/>
        <v>9698885.0279658046</v>
      </c>
      <c r="G15" s="56">
        <f>Population!F15</f>
        <v>114849.33333333333</v>
      </c>
      <c r="H15" s="56">
        <f t="shared" si="1"/>
        <v>84448.770806672561</v>
      </c>
      <c r="I15" s="57">
        <f t="shared" si="2"/>
        <v>263.48322957206159</v>
      </c>
    </row>
    <row r="16" spans="1:9" x14ac:dyDescent="0.2">
      <c r="B16" s="49" t="s">
        <v>57</v>
      </c>
      <c r="C16" s="50">
        <v>6552743.5603871699</v>
      </c>
      <c r="D16" s="50">
        <v>7066522.7064225497</v>
      </c>
      <c r="E16" s="50">
        <v>7325769.9349511098</v>
      </c>
      <c r="F16" s="51">
        <f t="shared" si="0"/>
        <v>6981678.7339202762</v>
      </c>
      <c r="G16" s="52">
        <f>Population!F16</f>
        <v>284276.16666666669</v>
      </c>
      <c r="H16" s="52">
        <f t="shared" si="1"/>
        <v>24559.493733805601</v>
      </c>
      <c r="I16" s="53">
        <f t="shared" si="2"/>
        <v>76.626511716220421</v>
      </c>
    </row>
    <row r="17" spans="2:9" x14ac:dyDescent="0.2">
      <c r="B17" s="33" t="s">
        <v>58</v>
      </c>
      <c r="C17" s="54">
        <v>6436644.9401549697</v>
      </c>
      <c r="D17" s="54">
        <v>6132073.0507677803</v>
      </c>
      <c r="E17" s="54">
        <v>6436007.9934080401</v>
      </c>
      <c r="F17" s="55">
        <f t="shared" si="0"/>
        <v>6334908.6614435958</v>
      </c>
      <c r="G17" s="56">
        <f>Population!F17</f>
        <v>257009.83333333334</v>
      </c>
      <c r="H17" s="56">
        <f t="shared" si="1"/>
        <v>24648.506943418881</v>
      </c>
      <c r="I17" s="57">
        <f t="shared" si="2"/>
        <v>76.904236160513094</v>
      </c>
    </row>
    <row r="18" spans="2:9" x14ac:dyDescent="0.2">
      <c r="B18" s="49" t="s">
        <v>59</v>
      </c>
      <c r="C18" s="50">
        <v>8804683.7321541402</v>
      </c>
      <c r="D18" s="50">
        <v>8405356.4148652498</v>
      </c>
      <c r="E18" s="50">
        <v>9108168.4878512397</v>
      </c>
      <c r="F18" s="51">
        <f t="shared" si="0"/>
        <v>8772736.2116235439</v>
      </c>
      <c r="G18" s="52">
        <f>Population!F18</f>
        <v>190754.5</v>
      </c>
      <c r="H18" s="52">
        <f t="shared" si="1"/>
        <v>45989.668456699808</v>
      </c>
      <c r="I18" s="53">
        <f t="shared" si="2"/>
        <v>143.48943455506392</v>
      </c>
    </row>
    <row r="19" spans="2:9" x14ac:dyDescent="0.2">
      <c r="B19" s="33" t="s">
        <v>60</v>
      </c>
      <c r="C19" s="54">
        <v>8861871.5893687606</v>
      </c>
      <c r="D19" s="54">
        <v>8442830.0266212802</v>
      </c>
      <c r="E19" s="54">
        <v>8557777.8632868491</v>
      </c>
      <c r="F19" s="55">
        <f t="shared" si="0"/>
        <v>8620826.4930922966</v>
      </c>
      <c r="G19" s="56">
        <f>Population!F19</f>
        <v>275449.5</v>
      </c>
      <c r="H19" s="56">
        <f t="shared" si="1"/>
        <v>31297.303110342535</v>
      </c>
      <c r="I19" s="57">
        <f t="shared" si="2"/>
        <v>97.648721486863977</v>
      </c>
    </row>
    <row r="20" spans="2:9" x14ac:dyDescent="0.2">
      <c r="B20" s="49" t="s">
        <v>61</v>
      </c>
      <c r="C20" s="50">
        <v>2451442.1139323702</v>
      </c>
      <c r="D20" s="50">
        <v>2444488.21045881</v>
      </c>
      <c r="E20" s="50">
        <v>2414082.94412881</v>
      </c>
      <c r="F20" s="51">
        <f t="shared" si="0"/>
        <v>2436671.0895066634</v>
      </c>
      <c r="G20" s="52">
        <f>Population!F20</f>
        <v>77323.166666666672</v>
      </c>
      <c r="H20" s="52">
        <f t="shared" si="1"/>
        <v>31512.820730828793</v>
      </c>
      <c r="I20" s="53">
        <f t="shared" si="2"/>
        <v>98.321144283939418</v>
      </c>
    </row>
    <row r="21" spans="2:9" x14ac:dyDescent="0.2">
      <c r="B21" s="33" t="s">
        <v>62</v>
      </c>
      <c r="C21" s="54">
        <v>1479961.75670631</v>
      </c>
      <c r="D21" s="54">
        <v>1429830.9443693799</v>
      </c>
      <c r="E21" s="54">
        <v>1461714.53051007</v>
      </c>
      <c r="F21" s="55">
        <f t="shared" si="0"/>
        <v>1457169.0771952532</v>
      </c>
      <c r="G21" s="56">
        <f>Population!F21</f>
        <v>53205</v>
      </c>
      <c r="H21" s="56">
        <f t="shared" si="1"/>
        <v>27387.822144446072</v>
      </c>
      <c r="I21" s="57">
        <f t="shared" si="2"/>
        <v>85.450998997769887</v>
      </c>
    </row>
    <row r="22" spans="2:9" x14ac:dyDescent="0.2">
      <c r="B22" s="49" t="s">
        <v>63</v>
      </c>
      <c r="C22" s="50">
        <v>419591.82169003098</v>
      </c>
      <c r="D22" s="50">
        <v>433136.01318941702</v>
      </c>
      <c r="E22" s="50">
        <v>430032.58994677197</v>
      </c>
      <c r="F22" s="51">
        <f t="shared" si="0"/>
        <v>427586.80827540666</v>
      </c>
      <c r="G22" s="52">
        <f>Population!F22</f>
        <v>15789.5</v>
      </c>
      <c r="H22" s="52">
        <f t="shared" si="1"/>
        <v>27080.452723354552</v>
      </c>
      <c r="I22" s="53">
        <f t="shared" si="2"/>
        <v>84.491995249494025</v>
      </c>
    </row>
    <row r="23" spans="2:9" x14ac:dyDescent="0.2">
      <c r="B23" s="33" t="s">
        <v>64</v>
      </c>
      <c r="C23" s="54">
        <v>12203532.495151199</v>
      </c>
      <c r="D23" s="54">
        <v>12345920.8397521</v>
      </c>
      <c r="E23" s="54">
        <v>12481683.285863301</v>
      </c>
      <c r="F23" s="55">
        <f t="shared" si="0"/>
        <v>12343712.206922201</v>
      </c>
      <c r="G23" s="56">
        <f>Population!F23</f>
        <v>483230.16666666669</v>
      </c>
      <c r="H23" s="56">
        <f t="shared" si="1"/>
        <v>25544.167269335492</v>
      </c>
      <c r="I23" s="57">
        <f t="shared" si="2"/>
        <v>79.698728880985328</v>
      </c>
    </row>
    <row r="24" spans="2:9" x14ac:dyDescent="0.2">
      <c r="B24" s="49" t="s">
        <v>65</v>
      </c>
      <c r="C24" s="50">
        <v>5313157.8349844804</v>
      </c>
      <c r="D24" s="50">
        <v>5233265.6433768403</v>
      </c>
      <c r="E24" s="50">
        <v>5386984.4658707101</v>
      </c>
      <c r="F24" s="51">
        <f t="shared" si="0"/>
        <v>5311135.9814106766</v>
      </c>
      <c r="G24" s="52">
        <f>Population!F24</f>
        <v>199625.83333333334</v>
      </c>
      <c r="H24" s="52">
        <f t="shared" si="1"/>
        <v>26605.4542777647</v>
      </c>
      <c r="I24" s="53">
        <f t="shared" si="2"/>
        <v>83.009982861507495</v>
      </c>
    </row>
    <row r="25" spans="2:9" x14ac:dyDescent="0.2">
      <c r="B25" s="33" t="s">
        <v>66</v>
      </c>
      <c r="C25" s="54">
        <v>17153227.206922699</v>
      </c>
      <c r="D25" s="54">
        <v>17592321.840595599</v>
      </c>
      <c r="E25" s="54">
        <v>17296553.916608799</v>
      </c>
      <c r="F25" s="55">
        <f t="shared" si="0"/>
        <v>17347367.65470903</v>
      </c>
      <c r="G25" s="56">
        <f>Population!F25</f>
        <v>616892.83333333337</v>
      </c>
      <c r="H25" s="56">
        <f t="shared" si="1"/>
        <v>28120.55306425567</v>
      </c>
      <c r="I25" s="57">
        <f t="shared" si="2"/>
        <v>87.737146058462045</v>
      </c>
    </row>
    <row r="26" spans="2:9" x14ac:dyDescent="0.2">
      <c r="B26" s="49" t="s">
        <v>67</v>
      </c>
      <c r="C26" s="50">
        <v>6256413.2608199101</v>
      </c>
      <c r="D26" s="50">
        <v>6272075.7894798899</v>
      </c>
      <c r="E26" s="50">
        <v>6512295.7089484101</v>
      </c>
      <c r="F26" s="51">
        <f t="shared" si="0"/>
        <v>6346928.2530827373</v>
      </c>
      <c r="G26" s="52">
        <f>Population!F26</f>
        <v>251923.66666666666</v>
      </c>
      <c r="H26" s="52">
        <f t="shared" si="1"/>
        <v>25193.854698378495</v>
      </c>
      <c r="I26" s="53">
        <f t="shared" si="2"/>
        <v>78.605740946717489</v>
      </c>
    </row>
    <row r="27" spans="2:9" x14ac:dyDescent="0.2">
      <c r="B27" s="33" t="s">
        <v>68</v>
      </c>
      <c r="C27" s="54">
        <v>10506328.1878096</v>
      </c>
      <c r="D27" s="54">
        <v>10119878.1503105</v>
      </c>
      <c r="E27" s="54">
        <v>10697075.9140175</v>
      </c>
      <c r="F27" s="55">
        <f t="shared" si="0"/>
        <v>10441094.084045867</v>
      </c>
      <c r="G27" s="56">
        <f>Population!F27</f>
        <v>338717</v>
      </c>
      <c r="H27" s="56">
        <f t="shared" si="1"/>
        <v>30825.420879512592</v>
      </c>
      <c r="I27" s="57">
        <f t="shared" si="2"/>
        <v>96.176431802016154</v>
      </c>
    </row>
    <row r="28" spans="2:9" x14ac:dyDescent="0.2">
      <c r="B28" s="49" t="s">
        <v>69</v>
      </c>
      <c r="C28" s="50">
        <v>24425424.053014699</v>
      </c>
      <c r="D28" s="50">
        <v>24038195.100673798</v>
      </c>
      <c r="E28" s="50">
        <v>24238423.8803255</v>
      </c>
      <c r="F28" s="51">
        <f t="shared" si="0"/>
        <v>24234014.344671335</v>
      </c>
      <c r="G28" s="52">
        <f>Population!F28</f>
        <v>727838.5</v>
      </c>
      <c r="H28" s="52">
        <f t="shared" si="1"/>
        <v>33295.867619906523</v>
      </c>
      <c r="I28" s="53">
        <f t="shared" si="2"/>
        <v>103.88431528483098</v>
      </c>
    </row>
    <row r="29" spans="2:9" x14ac:dyDescent="0.2">
      <c r="B29" s="33" t="s">
        <v>70</v>
      </c>
      <c r="C29" s="54">
        <v>7036473.8505295003</v>
      </c>
      <c r="D29" s="54">
        <v>6790900.4694915796</v>
      </c>
      <c r="E29" s="54">
        <v>7020254.2511958303</v>
      </c>
      <c r="F29" s="55">
        <f t="shared" si="0"/>
        <v>6949209.52373897</v>
      </c>
      <c r="G29" s="56">
        <f>Population!F29</f>
        <v>319768.83333333331</v>
      </c>
      <c r="H29" s="56">
        <f t="shared" si="1"/>
        <v>21731.978852657528</v>
      </c>
      <c r="I29" s="57">
        <f t="shared" si="2"/>
        <v>67.804562676210324</v>
      </c>
    </row>
    <row r="30" spans="2:9" x14ac:dyDescent="0.2">
      <c r="B30" s="49" t="s">
        <v>71</v>
      </c>
      <c r="C30" s="50">
        <v>4790089.88170317</v>
      </c>
      <c r="D30" s="50">
        <v>5093598.42523266</v>
      </c>
      <c r="E30" s="50">
        <v>5240771.3064151099</v>
      </c>
      <c r="F30" s="51">
        <f t="shared" si="0"/>
        <v>5041486.537783646</v>
      </c>
      <c r="G30" s="52">
        <f>Population!F30</f>
        <v>173776.66666666666</v>
      </c>
      <c r="H30" s="52">
        <f t="shared" si="1"/>
        <v>29011.29728454326</v>
      </c>
      <c r="I30" s="53">
        <f t="shared" si="2"/>
        <v>90.516300350965707</v>
      </c>
    </row>
    <row r="31" spans="2:9" x14ac:dyDescent="0.2">
      <c r="B31" s="33" t="s">
        <v>72</v>
      </c>
      <c r="C31" s="54">
        <v>21196663.678484701</v>
      </c>
      <c r="D31" s="54">
        <v>21064987.128473502</v>
      </c>
      <c r="E31" s="54">
        <v>21487598.1296895</v>
      </c>
      <c r="F31" s="55">
        <f t="shared" si="0"/>
        <v>21249749.645549234</v>
      </c>
      <c r="G31" s="56">
        <f>Population!F31</f>
        <v>462606.16666666669</v>
      </c>
      <c r="H31" s="56">
        <f t="shared" si="1"/>
        <v>45934.860312532001</v>
      </c>
      <c r="I31" s="57">
        <f t="shared" si="2"/>
        <v>143.31843115626671</v>
      </c>
    </row>
    <row r="32" spans="2:9" x14ac:dyDescent="0.2">
      <c r="B32" s="49" t="s">
        <v>73</v>
      </c>
      <c r="C32" s="50">
        <v>1373086.6301101299</v>
      </c>
      <c r="D32" s="50">
        <v>1448244.11017758</v>
      </c>
      <c r="E32" s="50">
        <v>1497577.1883171301</v>
      </c>
      <c r="F32" s="51">
        <f t="shared" si="0"/>
        <v>1439635.9762016134</v>
      </c>
      <c r="G32" s="52">
        <f>Population!F32</f>
        <v>70204</v>
      </c>
      <c r="H32" s="52">
        <f t="shared" si="1"/>
        <v>20506.46652899569</v>
      </c>
      <c r="I32" s="53">
        <f t="shared" si="2"/>
        <v>63.980919752407473</v>
      </c>
    </row>
    <row r="33" spans="2:9" x14ac:dyDescent="0.2">
      <c r="B33" s="58" t="s">
        <v>74</v>
      </c>
      <c r="C33" s="59">
        <f>SUM(C7:C32)</f>
        <v>252418798.46496046</v>
      </c>
      <c r="D33" s="59">
        <f>SUM(D7:D32)</f>
        <v>256679787.96268988</v>
      </c>
      <c r="E33" s="59">
        <f>SUM(E7:E32)</f>
        <v>258370275.26146209</v>
      </c>
      <c r="F33" s="59">
        <f>SUM(F7:F32)</f>
        <v>255822953.89637089</v>
      </c>
      <c r="G33" s="59">
        <f>SUM(G7:G32)</f>
        <v>7981769</v>
      </c>
      <c r="H33" s="59">
        <f t="shared" si="1"/>
        <v>32050.909252869991</v>
      </c>
      <c r="I33" s="60">
        <f t="shared" si="2"/>
        <v>100</v>
      </c>
    </row>
  </sheetData>
  <conditionalFormatting sqref="C7:F32">
    <cfRule type="expression" dxfId="13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 x14ac:dyDescent="0.2">
      <c r="B1" s="20" t="str">
        <f>"Population déterminante "&amp;Info!C30</f>
        <v>Population déterminante 2016</v>
      </c>
      <c r="C1" s="20"/>
      <c r="D1" s="20"/>
      <c r="E1" s="21"/>
      <c r="F1" s="23" t="str">
        <f>Info!$C$28</f>
        <v>FA_2016_20150609</v>
      </c>
    </row>
    <row r="2" spans="1:6" s="2" customFormat="1" x14ac:dyDescent="0.2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 x14ac:dyDescent="0.2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 x14ac:dyDescent="0.2">
      <c r="A4" s="69"/>
      <c r="B4" s="70"/>
      <c r="C4" s="301" t="s">
        <v>75</v>
      </c>
      <c r="D4" s="302"/>
      <c r="E4" s="303"/>
      <c r="F4" s="71" t="s">
        <v>7</v>
      </c>
    </row>
    <row r="5" spans="1:6" ht="19.5" customHeight="1" x14ac:dyDescent="0.2">
      <c r="A5" s="69"/>
      <c r="B5" s="72"/>
      <c r="C5" s="73">
        <v>2010</v>
      </c>
      <c r="D5" s="74">
        <v>2011</v>
      </c>
      <c r="E5" s="75">
        <v>2012</v>
      </c>
      <c r="F5" s="76">
        <f>Info!C30</f>
        <v>2016</v>
      </c>
    </row>
    <row r="6" spans="1:6" x14ac:dyDescent="0.2">
      <c r="A6" s="69"/>
      <c r="B6" s="77" t="s">
        <v>43</v>
      </c>
      <c r="C6" s="78" t="s">
        <v>76</v>
      </c>
      <c r="D6" s="79" t="s">
        <v>76</v>
      </c>
      <c r="E6" s="80" t="s">
        <v>76</v>
      </c>
      <c r="F6" s="81"/>
    </row>
    <row r="7" spans="1:6" x14ac:dyDescent="0.2">
      <c r="A7" s="69"/>
      <c r="B7" s="44" t="s">
        <v>48</v>
      </c>
      <c r="C7" s="82">
        <v>1383661</v>
      </c>
      <c r="D7" s="45">
        <v>1394540</v>
      </c>
      <c r="E7" s="83">
        <v>1413296.5</v>
      </c>
      <c r="F7" s="84">
        <f t="shared" ref="F7:F32" si="0">AVERAGE(C7:E7)</f>
        <v>1397165.8333333333</v>
      </c>
    </row>
    <row r="8" spans="1:6" x14ac:dyDescent="0.2">
      <c r="A8" s="69"/>
      <c r="B8" s="49" t="s">
        <v>49</v>
      </c>
      <c r="C8" s="85">
        <v>983453</v>
      </c>
      <c r="D8" s="50">
        <v>989712.5</v>
      </c>
      <c r="E8" s="86">
        <v>997080.5</v>
      </c>
      <c r="F8" s="87">
        <f t="shared" si="0"/>
        <v>990082</v>
      </c>
    </row>
    <row r="9" spans="1:6" x14ac:dyDescent="0.2">
      <c r="A9" s="69"/>
      <c r="B9" s="33" t="s">
        <v>50</v>
      </c>
      <c r="C9" s="88">
        <v>375155</v>
      </c>
      <c r="D9" s="54">
        <v>382271.5</v>
      </c>
      <c r="E9" s="89">
        <v>386834.5</v>
      </c>
      <c r="F9" s="90">
        <f t="shared" si="0"/>
        <v>381420.33333333331</v>
      </c>
    </row>
    <row r="10" spans="1:6" x14ac:dyDescent="0.2">
      <c r="A10" s="69"/>
      <c r="B10" s="49" t="s">
        <v>51</v>
      </c>
      <c r="C10" s="85">
        <v>34750</v>
      </c>
      <c r="D10" s="50">
        <v>35758.5</v>
      </c>
      <c r="E10" s="86">
        <v>35955</v>
      </c>
      <c r="F10" s="87">
        <f t="shared" si="0"/>
        <v>35487.833333333336</v>
      </c>
    </row>
    <row r="11" spans="1:6" x14ac:dyDescent="0.2">
      <c r="A11" s="69"/>
      <c r="B11" s="33" t="s">
        <v>52</v>
      </c>
      <c r="C11" s="88">
        <v>145209</v>
      </c>
      <c r="D11" s="54">
        <v>148533</v>
      </c>
      <c r="E11" s="89">
        <v>150290</v>
      </c>
      <c r="F11" s="90">
        <f t="shared" si="0"/>
        <v>148010.66666666666</v>
      </c>
    </row>
    <row r="12" spans="1:6" x14ac:dyDescent="0.2">
      <c r="A12" s="69"/>
      <c r="B12" s="49" t="s">
        <v>53</v>
      </c>
      <c r="C12" s="85">
        <v>35202</v>
      </c>
      <c r="D12" s="50">
        <v>36153</v>
      </c>
      <c r="E12" s="86">
        <v>36430.5</v>
      </c>
      <c r="F12" s="87">
        <f t="shared" si="0"/>
        <v>35928.5</v>
      </c>
    </row>
    <row r="13" spans="1:6" x14ac:dyDescent="0.2">
      <c r="A13" s="69"/>
      <c r="B13" s="33" t="s">
        <v>54</v>
      </c>
      <c r="C13" s="88">
        <v>40238</v>
      </c>
      <c r="D13" s="54">
        <v>41428.5</v>
      </c>
      <c r="E13" s="89">
        <v>41747.5</v>
      </c>
      <c r="F13" s="90">
        <f t="shared" si="0"/>
        <v>41138</v>
      </c>
    </row>
    <row r="14" spans="1:6" x14ac:dyDescent="0.2">
      <c r="A14" s="69"/>
      <c r="B14" s="49" t="s">
        <v>55</v>
      </c>
      <c r="C14" s="85">
        <v>38448</v>
      </c>
      <c r="D14" s="50">
        <v>39499</v>
      </c>
      <c r="E14" s="86">
        <v>39938.5</v>
      </c>
      <c r="F14" s="87">
        <f t="shared" si="0"/>
        <v>39295.166666666664</v>
      </c>
    </row>
    <row r="15" spans="1:6" x14ac:dyDescent="0.2">
      <c r="A15" s="69"/>
      <c r="B15" s="33" t="s">
        <v>56</v>
      </c>
      <c r="C15" s="88">
        <v>111918</v>
      </c>
      <c r="D15" s="54">
        <v>115375</v>
      </c>
      <c r="E15" s="89">
        <v>117255</v>
      </c>
      <c r="F15" s="90">
        <f t="shared" si="0"/>
        <v>114849.33333333333</v>
      </c>
    </row>
    <row r="16" spans="1:6" x14ac:dyDescent="0.2">
      <c r="A16" s="69"/>
      <c r="B16" s="49" t="s">
        <v>57</v>
      </c>
      <c r="C16" s="85">
        <v>278591</v>
      </c>
      <c r="D16" s="50">
        <v>283754.5</v>
      </c>
      <c r="E16" s="86">
        <v>290483</v>
      </c>
      <c r="F16" s="87">
        <f t="shared" si="0"/>
        <v>284276.16666666669</v>
      </c>
    </row>
    <row r="17" spans="1:6" x14ac:dyDescent="0.2">
      <c r="A17" s="69"/>
      <c r="B17" s="33" t="s">
        <v>58</v>
      </c>
      <c r="C17" s="88">
        <v>253370</v>
      </c>
      <c r="D17" s="54">
        <v>257767.5</v>
      </c>
      <c r="E17" s="89">
        <v>259892</v>
      </c>
      <c r="F17" s="90">
        <f t="shared" si="0"/>
        <v>257009.83333333334</v>
      </c>
    </row>
    <row r="18" spans="1:6" x14ac:dyDescent="0.2">
      <c r="A18" s="69"/>
      <c r="B18" s="49" t="s">
        <v>59</v>
      </c>
      <c r="C18" s="85">
        <v>193627</v>
      </c>
      <c r="D18" s="50">
        <v>188584</v>
      </c>
      <c r="E18" s="86">
        <v>190052.5</v>
      </c>
      <c r="F18" s="87">
        <f t="shared" si="0"/>
        <v>190754.5</v>
      </c>
    </row>
    <row r="19" spans="1:6" x14ac:dyDescent="0.2">
      <c r="A19" s="69"/>
      <c r="B19" s="33" t="s">
        <v>60</v>
      </c>
      <c r="C19" s="88">
        <v>272506</v>
      </c>
      <c r="D19" s="54">
        <v>276382</v>
      </c>
      <c r="E19" s="89">
        <v>277460.5</v>
      </c>
      <c r="F19" s="90">
        <f t="shared" si="0"/>
        <v>275449.5</v>
      </c>
    </row>
    <row r="20" spans="1:6" x14ac:dyDescent="0.2">
      <c r="A20" s="69"/>
      <c r="B20" s="49" t="s">
        <v>61</v>
      </c>
      <c r="C20" s="85">
        <v>76106</v>
      </c>
      <c r="D20" s="50">
        <v>77520</v>
      </c>
      <c r="E20" s="86">
        <v>78343.5</v>
      </c>
      <c r="F20" s="87">
        <f t="shared" si="0"/>
        <v>77323.166666666672</v>
      </c>
    </row>
    <row r="21" spans="1:6" x14ac:dyDescent="0.2">
      <c r="A21" s="69"/>
      <c r="B21" s="33" t="s">
        <v>62</v>
      </c>
      <c r="C21" s="88">
        <v>52590</v>
      </c>
      <c r="D21" s="54">
        <v>53380</v>
      </c>
      <c r="E21" s="89">
        <v>53645</v>
      </c>
      <c r="F21" s="90">
        <f t="shared" si="0"/>
        <v>53205</v>
      </c>
    </row>
    <row r="22" spans="1:6" x14ac:dyDescent="0.2">
      <c r="A22" s="69"/>
      <c r="B22" s="49" t="s">
        <v>63</v>
      </c>
      <c r="C22" s="85">
        <v>15813</v>
      </c>
      <c r="D22" s="50">
        <v>15761.5</v>
      </c>
      <c r="E22" s="86">
        <v>15794</v>
      </c>
      <c r="F22" s="87">
        <f t="shared" si="0"/>
        <v>15789.5</v>
      </c>
    </row>
    <row r="23" spans="1:6" x14ac:dyDescent="0.2">
      <c r="A23" s="69"/>
      <c r="B23" s="33" t="s">
        <v>64</v>
      </c>
      <c r="C23" s="88">
        <v>477196</v>
      </c>
      <c r="D23" s="54">
        <v>483935</v>
      </c>
      <c r="E23" s="89">
        <v>488559.5</v>
      </c>
      <c r="F23" s="90">
        <f t="shared" si="0"/>
        <v>483230.16666666669</v>
      </c>
    </row>
    <row r="24" spans="1:6" x14ac:dyDescent="0.2">
      <c r="A24" s="69"/>
      <c r="B24" s="49" t="s">
        <v>65</v>
      </c>
      <c r="C24" s="85">
        <v>195401</v>
      </c>
      <c r="D24" s="50">
        <v>201492.5</v>
      </c>
      <c r="E24" s="86">
        <v>201984</v>
      </c>
      <c r="F24" s="87">
        <f t="shared" si="0"/>
        <v>199625.83333333334</v>
      </c>
    </row>
    <row r="25" spans="1:6" x14ac:dyDescent="0.2">
      <c r="A25" s="69"/>
      <c r="B25" s="33" t="s">
        <v>66</v>
      </c>
      <c r="C25" s="88">
        <v>604329</v>
      </c>
      <c r="D25" s="54">
        <v>618855</v>
      </c>
      <c r="E25" s="89">
        <v>627494.5</v>
      </c>
      <c r="F25" s="90">
        <f t="shared" si="0"/>
        <v>616892.83333333337</v>
      </c>
    </row>
    <row r="26" spans="1:6" x14ac:dyDescent="0.2">
      <c r="A26" s="69"/>
      <c r="B26" s="49" t="s">
        <v>67</v>
      </c>
      <c r="C26" s="85">
        <v>246856</v>
      </c>
      <c r="D26" s="50">
        <v>252430.5</v>
      </c>
      <c r="E26" s="86">
        <v>256484.5</v>
      </c>
      <c r="F26" s="87">
        <f t="shared" si="0"/>
        <v>251923.66666666666</v>
      </c>
    </row>
    <row r="27" spans="1:6" x14ac:dyDescent="0.2">
      <c r="A27" s="69"/>
      <c r="B27" s="33" t="s">
        <v>68</v>
      </c>
      <c r="C27" s="88">
        <v>336896</v>
      </c>
      <c r="D27" s="54">
        <v>337639.5</v>
      </c>
      <c r="E27" s="89">
        <v>341615.5</v>
      </c>
      <c r="F27" s="90">
        <f t="shared" si="0"/>
        <v>338717</v>
      </c>
    </row>
    <row r="28" spans="1:6" x14ac:dyDescent="0.2">
      <c r="A28" s="69"/>
      <c r="B28" s="49" t="s">
        <v>69</v>
      </c>
      <c r="C28" s="85">
        <v>716483</v>
      </c>
      <c r="D28" s="50">
        <v>727685.5</v>
      </c>
      <c r="E28" s="86">
        <v>739347</v>
      </c>
      <c r="F28" s="87">
        <f t="shared" si="0"/>
        <v>727838.5</v>
      </c>
    </row>
    <row r="29" spans="1:6" x14ac:dyDescent="0.2">
      <c r="A29" s="69"/>
      <c r="B29" s="33" t="s">
        <v>70</v>
      </c>
      <c r="C29" s="88">
        <v>309325</v>
      </c>
      <c r="D29" s="54">
        <v>322611.5</v>
      </c>
      <c r="E29" s="89">
        <v>327370</v>
      </c>
      <c r="F29" s="90">
        <f t="shared" si="0"/>
        <v>319768.83333333331</v>
      </c>
    </row>
    <row r="30" spans="1:6" x14ac:dyDescent="0.2">
      <c r="A30" s="69"/>
      <c r="B30" s="49" t="s">
        <v>71</v>
      </c>
      <c r="C30" s="85">
        <v>172378</v>
      </c>
      <c r="D30" s="50">
        <v>173692</v>
      </c>
      <c r="E30" s="86">
        <v>175260</v>
      </c>
      <c r="F30" s="87">
        <f t="shared" si="0"/>
        <v>173776.66666666666</v>
      </c>
    </row>
    <row r="31" spans="1:6" x14ac:dyDescent="0.2">
      <c r="A31" s="69"/>
      <c r="B31" s="33" t="s">
        <v>72</v>
      </c>
      <c r="C31" s="88">
        <v>459210</v>
      </c>
      <c r="D31" s="54">
        <v>462822.5</v>
      </c>
      <c r="E31" s="89">
        <v>465786</v>
      </c>
      <c r="F31" s="90">
        <f t="shared" si="0"/>
        <v>462606.16666666669</v>
      </c>
    </row>
    <row r="32" spans="1:6" x14ac:dyDescent="0.2">
      <c r="A32" s="69"/>
      <c r="B32" s="49" t="s">
        <v>73</v>
      </c>
      <c r="C32" s="85">
        <v>68860</v>
      </c>
      <c r="D32" s="50">
        <v>70595.5</v>
      </c>
      <c r="E32" s="86">
        <v>71156.5</v>
      </c>
      <c r="F32" s="87">
        <f t="shared" si="0"/>
        <v>70204</v>
      </c>
    </row>
    <row r="33" spans="1:6" x14ac:dyDescent="0.2">
      <c r="A33" s="91"/>
      <c r="B33" s="58" t="s">
        <v>74</v>
      </c>
      <c r="C33" s="92">
        <f>SUM(C7:C32)</f>
        <v>7877571</v>
      </c>
      <c r="D33" s="59">
        <f>SUM(D7:D32)</f>
        <v>7988180</v>
      </c>
      <c r="E33" s="93">
        <f>SUM(E7:E32)</f>
        <v>8079556</v>
      </c>
      <c r="F33" s="94">
        <f>SUM(F7:F32)</f>
        <v>7981769</v>
      </c>
    </row>
  </sheetData>
  <mergeCells count="1">
    <mergeCell ref="C4:E4"/>
  </mergeCells>
  <conditionalFormatting sqref="C7:E32 C5:F5">
    <cfRule type="expression" dxfId="12" priority="1" stopIfTrue="1">
      <formula>ISBLANK(C5)</formula>
    </cfRule>
  </conditionalFormatting>
  <conditionalFormatting sqref="C7:E32 C5:F5">
    <cfRule type="expression" dxfId="11" priority="2" stopIfTrue="1">
      <formula>ISBLANK(C5)</formula>
    </cfRule>
  </conditionalFormatting>
  <conditionalFormatting sqref="C7:E32 C5:F5">
    <cfRule type="expression" dxfId="10" priority="3" stopIfTrue="1">
      <formula>ISBLANK(C5)</formula>
    </cfRule>
  </conditionalFormatting>
  <conditionalFormatting sqref="C5:E5">
    <cfRule type="expression" dxfId="9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 x14ac:dyDescent="0.2">
      <c r="B1" s="95" t="str">
        <f>"Croissance du potentiel de ressources "&amp;Info!C30</f>
        <v>Croissance du potentiel de ressources 2016</v>
      </c>
      <c r="C1" s="95"/>
      <c r="D1" s="95"/>
      <c r="E1" s="95"/>
      <c r="F1" s="95"/>
      <c r="G1" s="95"/>
      <c r="H1" s="22"/>
      <c r="I1" s="1"/>
    </row>
    <row r="2" spans="1:9" ht="18.75" customHeight="1" x14ac:dyDescent="0.2">
      <c r="G2" s="1"/>
      <c r="H2" s="1"/>
      <c r="I2" s="23" t="str">
        <f>Info!$C$28</f>
        <v>FA_2016_20150609</v>
      </c>
    </row>
    <row r="3" spans="1:9" x14ac:dyDescent="0.2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 x14ac:dyDescent="0.2">
      <c r="A4" s="69"/>
      <c r="B4" s="44"/>
      <c r="C4" s="304" t="str">
        <f>"Indice de ressources "&amp;Info!C30</f>
        <v>Indice de ressources 2016</v>
      </c>
      <c r="D4" s="308" t="s">
        <v>77</v>
      </c>
      <c r="E4" s="309"/>
      <c r="F4" s="310"/>
      <c r="G4" s="306" t="s">
        <v>78</v>
      </c>
      <c r="H4" s="306"/>
      <c r="I4" s="307"/>
    </row>
    <row r="5" spans="1:9" ht="25.5" customHeight="1" x14ac:dyDescent="0.2">
      <c r="A5" s="69"/>
      <c r="B5" s="96"/>
      <c r="C5" s="305"/>
      <c r="D5" s="97">
        <f>Info!C30-1</f>
        <v>2015</v>
      </c>
      <c r="E5" s="98">
        <f>Info!C30</f>
        <v>2016</v>
      </c>
      <c r="F5" s="99" t="s">
        <v>79</v>
      </c>
      <c r="G5" s="98">
        <f>D5</f>
        <v>2015</v>
      </c>
      <c r="H5" s="98">
        <f>E5</f>
        <v>2016</v>
      </c>
      <c r="I5" s="100" t="s">
        <v>79</v>
      </c>
    </row>
    <row r="6" spans="1:9" x14ac:dyDescent="0.2">
      <c r="A6" s="101"/>
      <c r="B6" s="77" t="s">
        <v>44</v>
      </c>
      <c r="C6" s="102" t="s">
        <v>80</v>
      </c>
      <c r="D6" s="103" t="s">
        <v>45</v>
      </c>
      <c r="E6" s="104" t="s">
        <v>45</v>
      </c>
      <c r="F6" s="105" t="s">
        <v>81</v>
      </c>
      <c r="G6" s="104" t="s">
        <v>45</v>
      </c>
      <c r="H6" s="104" t="s">
        <v>45</v>
      </c>
      <c r="I6" s="106" t="s">
        <v>81</v>
      </c>
    </row>
    <row r="7" spans="1:9" x14ac:dyDescent="0.2">
      <c r="A7" s="101"/>
      <c r="B7" s="44" t="s">
        <v>48</v>
      </c>
      <c r="C7" s="107">
        <f>PotR!I7</f>
        <v>120.57254245878059</v>
      </c>
      <c r="D7" s="108">
        <v>50719022.409677699</v>
      </c>
      <c r="E7" s="109">
        <f>PotR!F7</f>
        <v>53992909.4079744</v>
      </c>
      <c r="F7" s="110">
        <f t="shared" ref="F7:F33" si="0">E7/D7-1</f>
        <v>6.4549489378013192E-2</v>
      </c>
      <c r="G7" s="47">
        <f t="shared" ref="G7:G32" si="1">IF($C7&gt;100,D7,"")</f>
        <v>50719022.409677699</v>
      </c>
      <c r="H7" s="47">
        <f t="shared" ref="H7:H32" si="2">IF($C7&gt;100,E7,"")</f>
        <v>53992909.4079744</v>
      </c>
      <c r="I7" s="111">
        <f t="shared" ref="I7:I32" si="3">IF(C7&gt;=100,H7/G7-1,"")</f>
        <v>6.4549489378013192E-2</v>
      </c>
    </row>
    <row r="8" spans="1:9" x14ac:dyDescent="0.2">
      <c r="A8" s="101"/>
      <c r="B8" s="112" t="s">
        <v>49</v>
      </c>
      <c r="C8" s="113">
        <f>PotR!I8</f>
        <v>74.150267683591466</v>
      </c>
      <c r="D8" s="114">
        <v>22482026.404782899</v>
      </c>
      <c r="E8" s="115">
        <f>PotR!F8</f>
        <v>23530125.454438299</v>
      </c>
      <c r="F8" s="116">
        <f t="shared" si="0"/>
        <v>4.6619420811303103E-2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 x14ac:dyDescent="0.2">
      <c r="A9" s="101"/>
      <c r="B9" s="118" t="s">
        <v>50</v>
      </c>
      <c r="C9" s="119">
        <f>PotR!I9</f>
        <v>83.450095579317605</v>
      </c>
      <c r="D9" s="120">
        <v>9204833.8826051708</v>
      </c>
      <c r="E9" s="121">
        <f>PotR!F9</f>
        <v>10201664.440073634</v>
      </c>
      <c r="F9" s="122">
        <f t="shared" si="0"/>
        <v>0.10829424736846405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 x14ac:dyDescent="0.2">
      <c r="A10" s="101"/>
      <c r="B10" s="112" t="s">
        <v>51</v>
      </c>
      <c r="C10" s="113">
        <f>PotR!I10</f>
        <v>64.139896819236725</v>
      </c>
      <c r="D10" s="114">
        <v>664542.22616392898</v>
      </c>
      <c r="E10" s="115">
        <f>PotR!F10</f>
        <v>729538.29913865903</v>
      </c>
      <c r="F10" s="116">
        <f t="shared" si="0"/>
        <v>9.780578331330414E-2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 x14ac:dyDescent="0.2">
      <c r="A11" s="101"/>
      <c r="B11" s="118" t="s">
        <v>52</v>
      </c>
      <c r="C11" s="119">
        <f>PotR!I11</f>
        <v>170.5987463189451</v>
      </c>
      <c r="D11" s="120">
        <v>7434142.0192900896</v>
      </c>
      <c r="E11" s="121">
        <f>PotR!F11</f>
        <v>8092993.7434376804</v>
      </c>
      <c r="F11" s="122">
        <f t="shared" si="0"/>
        <v>8.8625119406920749E-2</v>
      </c>
      <c r="G11" s="56">
        <f t="shared" si="1"/>
        <v>7434142.0192900896</v>
      </c>
      <c r="H11" s="56">
        <f t="shared" si="2"/>
        <v>8092993.7434376804</v>
      </c>
      <c r="I11" s="123">
        <f t="shared" si="3"/>
        <v>8.8625119406920749E-2</v>
      </c>
    </row>
    <row r="12" spans="1:9" x14ac:dyDescent="0.2">
      <c r="A12" s="101"/>
      <c r="B12" s="112" t="s">
        <v>53</v>
      </c>
      <c r="C12" s="113">
        <f>PotR!I12</f>
        <v>91.704640161988308</v>
      </c>
      <c r="D12" s="114">
        <v>943386.52146386402</v>
      </c>
      <c r="E12" s="115">
        <f>PotR!F12</f>
        <v>1056016.6157372065</v>
      </c>
      <c r="F12" s="116">
        <f t="shared" si="0"/>
        <v>0.11938912811534874</v>
      </c>
      <c r="G12" s="52" t="str">
        <f t="shared" si="1"/>
        <v/>
      </c>
      <c r="H12" s="52" t="str">
        <f t="shared" si="2"/>
        <v/>
      </c>
      <c r="I12" s="117" t="str">
        <f t="shared" si="3"/>
        <v/>
      </c>
    </row>
    <row r="13" spans="1:9" x14ac:dyDescent="0.2">
      <c r="A13" s="101"/>
      <c r="B13" s="118" t="s">
        <v>54</v>
      </c>
      <c r="C13" s="119">
        <f>PotR!I13</f>
        <v>143.9020211060292</v>
      </c>
      <c r="D13" s="120">
        <v>1628241.06308378</v>
      </c>
      <c r="E13" s="121">
        <f>PotR!F13</f>
        <v>1897362.9771625965</v>
      </c>
      <c r="F13" s="122">
        <f t="shared" si="0"/>
        <v>0.16528382693476451</v>
      </c>
      <c r="G13" s="56">
        <f t="shared" si="1"/>
        <v>1628241.06308378</v>
      </c>
      <c r="H13" s="56">
        <f t="shared" si="2"/>
        <v>1897362.9771625965</v>
      </c>
      <c r="I13" s="123">
        <f t="shared" si="3"/>
        <v>0.16528382693476451</v>
      </c>
    </row>
    <row r="14" spans="1:9" x14ac:dyDescent="0.2">
      <c r="A14" s="101"/>
      <c r="B14" s="112" t="s">
        <v>55</v>
      </c>
      <c r="C14" s="113">
        <f>PotR!I14</f>
        <v>70.471205075667825</v>
      </c>
      <c r="D14" s="114">
        <v>820188.05492897995</v>
      </c>
      <c r="E14" s="115">
        <f>PotR!F14</f>
        <v>887546.64727022743</v>
      </c>
      <c r="F14" s="116">
        <f t="shared" si="0"/>
        <v>8.2125790465309878E-2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 x14ac:dyDescent="0.2">
      <c r="A15" s="101"/>
      <c r="B15" s="118" t="s">
        <v>56</v>
      </c>
      <c r="C15" s="119">
        <f>PotR!I15</f>
        <v>263.48322957206159</v>
      </c>
      <c r="D15" s="120">
        <v>9062204.0551945306</v>
      </c>
      <c r="E15" s="121">
        <f>PotR!F15</f>
        <v>9698885.0279658046</v>
      </c>
      <c r="F15" s="122">
        <f t="shared" si="0"/>
        <v>7.0256746470669373E-2</v>
      </c>
      <c r="G15" s="56">
        <f t="shared" si="1"/>
        <v>9062204.0551945306</v>
      </c>
      <c r="H15" s="56">
        <f t="shared" si="2"/>
        <v>9698885.0279658046</v>
      </c>
      <c r="I15" s="123">
        <f t="shared" si="3"/>
        <v>7.0256746470669373E-2</v>
      </c>
    </row>
    <row r="16" spans="1:9" x14ac:dyDescent="0.2">
      <c r="A16" s="101"/>
      <c r="B16" s="112" t="s">
        <v>57</v>
      </c>
      <c r="C16" s="113">
        <f>PotR!I16</f>
        <v>76.626511716220421</v>
      </c>
      <c r="D16" s="114">
        <v>6595087.0579382097</v>
      </c>
      <c r="E16" s="115">
        <f>PotR!F16</f>
        <v>6981678.7339202762</v>
      </c>
      <c r="F16" s="116">
        <f t="shared" si="0"/>
        <v>5.8618130827665649E-2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 x14ac:dyDescent="0.2">
      <c r="A17" s="101"/>
      <c r="B17" s="118" t="s">
        <v>58</v>
      </c>
      <c r="C17" s="119">
        <f>PotR!I17</f>
        <v>76.904236160513094</v>
      </c>
      <c r="D17" s="120">
        <v>6120220.4138333099</v>
      </c>
      <c r="E17" s="121">
        <f>PotR!F17</f>
        <v>6334908.6614435958</v>
      </c>
      <c r="F17" s="122">
        <f t="shared" si="0"/>
        <v>3.5078515656892684E-2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 x14ac:dyDescent="0.2">
      <c r="A18" s="101"/>
      <c r="B18" s="112" t="s">
        <v>59</v>
      </c>
      <c r="C18" s="113">
        <f>PotR!I18</f>
        <v>143.48943455506392</v>
      </c>
      <c r="D18" s="114">
        <v>8443712.8413226102</v>
      </c>
      <c r="E18" s="115">
        <f>PotR!F18</f>
        <v>8772736.2116235439</v>
      </c>
      <c r="F18" s="116">
        <f t="shared" si="0"/>
        <v>3.8966669815052146E-2</v>
      </c>
      <c r="G18" s="52">
        <f t="shared" si="1"/>
        <v>8443712.8413226102</v>
      </c>
      <c r="H18" s="52">
        <f t="shared" si="2"/>
        <v>8772736.2116235439</v>
      </c>
      <c r="I18" s="117">
        <f t="shared" si="3"/>
        <v>3.8966669815052146E-2</v>
      </c>
    </row>
    <row r="19" spans="1:9" x14ac:dyDescent="0.2">
      <c r="A19" s="101"/>
      <c r="B19" s="118" t="s">
        <v>60</v>
      </c>
      <c r="C19" s="119">
        <f>PotR!I19</f>
        <v>97.648721486863977</v>
      </c>
      <c r="D19" s="120">
        <v>8411068.6833935995</v>
      </c>
      <c r="E19" s="121">
        <f>PotR!F19</f>
        <v>8620826.4930922966</v>
      </c>
      <c r="F19" s="122">
        <f t="shared" si="0"/>
        <v>2.4938306604585625E-2</v>
      </c>
      <c r="G19" s="56" t="str">
        <f t="shared" si="1"/>
        <v/>
      </c>
      <c r="H19" s="56" t="str">
        <f t="shared" si="2"/>
        <v/>
      </c>
      <c r="I19" s="123" t="str">
        <f t="shared" si="3"/>
        <v/>
      </c>
    </row>
    <row r="20" spans="1:9" x14ac:dyDescent="0.2">
      <c r="A20" s="101"/>
      <c r="B20" s="112" t="s">
        <v>61</v>
      </c>
      <c r="C20" s="113">
        <f>PotR!I20</f>
        <v>98.321144283939418</v>
      </c>
      <c r="D20" s="114">
        <v>2392581.7206267202</v>
      </c>
      <c r="E20" s="115">
        <f>PotR!F20</f>
        <v>2436671.0895066634</v>
      </c>
      <c r="F20" s="116">
        <f t="shared" si="0"/>
        <v>1.8427528932384529E-2</v>
      </c>
      <c r="G20" s="52" t="str">
        <f t="shared" si="1"/>
        <v/>
      </c>
      <c r="H20" s="52" t="str">
        <f t="shared" si="2"/>
        <v/>
      </c>
      <c r="I20" s="117" t="str">
        <f t="shared" si="3"/>
        <v/>
      </c>
    </row>
    <row r="21" spans="1:9" x14ac:dyDescent="0.2">
      <c r="A21" s="101"/>
      <c r="B21" s="118" t="s">
        <v>62</v>
      </c>
      <c r="C21" s="119">
        <f>PotR!I21</f>
        <v>85.450998997769887</v>
      </c>
      <c r="D21" s="120">
        <v>1370667.75961532</v>
      </c>
      <c r="E21" s="121">
        <f>PotR!F21</f>
        <v>1457169.0771952532</v>
      </c>
      <c r="F21" s="122">
        <f t="shared" si="0"/>
        <v>6.3108887601040387E-2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 x14ac:dyDescent="0.2">
      <c r="A22" s="101"/>
      <c r="B22" s="112" t="s">
        <v>63</v>
      </c>
      <c r="C22" s="113">
        <f>PotR!I22</f>
        <v>84.491995249494025</v>
      </c>
      <c r="D22" s="114">
        <v>399519.87426242401</v>
      </c>
      <c r="E22" s="115">
        <f>PotR!F22</f>
        <v>427586.80827540666</v>
      </c>
      <c r="F22" s="116">
        <f t="shared" si="0"/>
        <v>7.0251659106567832E-2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 x14ac:dyDescent="0.2">
      <c r="A23" s="101"/>
      <c r="B23" s="118" t="s">
        <v>64</v>
      </c>
      <c r="C23" s="119">
        <f>PotR!I23</f>
        <v>79.698728880985328</v>
      </c>
      <c r="D23" s="120">
        <v>11611431.6265487</v>
      </c>
      <c r="E23" s="121">
        <f>PotR!F23</f>
        <v>12343712.206922201</v>
      </c>
      <c r="F23" s="122">
        <f t="shared" si="0"/>
        <v>6.3065486145497784E-2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 x14ac:dyDescent="0.2">
      <c r="A24" s="101"/>
      <c r="B24" s="112" t="s">
        <v>65</v>
      </c>
      <c r="C24" s="113">
        <f>PotR!I24</f>
        <v>83.009982861507495</v>
      </c>
      <c r="D24" s="114">
        <v>4932726.4608513704</v>
      </c>
      <c r="E24" s="115">
        <f>PotR!F24</f>
        <v>5311135.9814106766</v>
      </c>
      <c r="F24" s="116">
        <f t="shared" si="0"/>
        <v>7.6714069503459603E-2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 x14ac:dyDescent="0.2">
      <c r="A25" s="101"/>
      <c r="B25" s="118" t="s">
        <v>66</v>
      </c>
      <c r="C25" s="119">
        <f>PotR!I25</f>
        <v>87.737146058462045</v>
      </c>
      <c r="D25" s="120">
        <v>16626624.6728319</v>
      </c>
      <c r="E25" s="121">
        <f>PotR!F25</f>
        <v>17347367.65470903</v>
      </c>
      <c r="F25" s="122">
        <f t="shared" si="0"/>
        <v>4.334872507556109E-2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 x14ac:dyDescent="0.2">
      <c r="A26" s="101"/>
      <c r="B26" s="112" t="s">
        <v>67</v>
      </c>
      <c r="C26" s="113">
        <f>PotR!I26</f>
        <v>78.605740946717489</v>
      </c>
      <c r="D26" s="114">
        <v>5892328.9391780701</v>
      </c>
      <c r="E26" s="115">
        <f>PotR!F26</f>
        <v>6346928.2530827373</v>
      </c>
      <c r="F26" s="116">
        <f t="shared" si="0"/>
        <v>7.7151041395879805E-2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 x14ac:dyDescent="0.2">
      <c r="A27" s="101"/>
      <c r="B27" s="118" t="s">
        <v>68</v>
      </c>
      <c r="C27" s="119">
        <f>PotR!I27</f>
        <v>96.176431802016154</v>
      </c>
      <c r="D27" s="120">
        <v>10170230.880409701</v>
      </c>
      <c r="E27" s="121">
        <f>PotR!F27</f>
        <v>10441094.084045867</v>
      </c>
      <c r="F27" s="122">
        <f t="shared" si="0"/>
        <v>2.6632945389461371E-2</v>
      </c>
      <c r="G27" s="56" t="str">
        <f t="shared" si="1"/>
        <v/>
      </c>
      <c r="H27" s="56" t="str">
        <f t="shared" si="2"/>
        <v/>
      </c>
      <c r="I27" s="123" t="str">
        <f t="shared" si="3"/>
        <v/>
      </c>
    </row>
    <row r="28" spans="1:9" x14ac:dyDescent="0.2">
      <c r="A28" s="101"/>
      <c r="B28" s="112" t="s">
        <v>69</v>
      </c>
      <c r="C28" s="113">
        <f>PotR!I28</f>
        <v>103.88431528483098</v>
      </c>
      <c r="D28" s="114">
        <v>23444021.009529699</v>
      </c>
      <c r="E28" s="115">
        <f>PotR!F28</f>
        <v>24234014.344671335</v>
      </c>
      <c r="F28" s="116">
        <f t="shared" si="0"/>
        <v>3.3697006789940698E-2</v>
      </c>
      <c r="G28" s="52">
        <f t="shared" si="1"/>
        <v>23444021.009529699</v>
      </c>
      <c r="H28" s="52">
        <f t="shared" si="2"/>
        <v>24234014.344671335</v>
      </c>
      <c r="I28" s="117">
        <f t="shared" si="3"/>
        <v>3.3697006789940698E-2</v>
      </c>
    </row>
    <row r="29" spans="1:9" x14ac:dyDescent="0.2">
      <c r="A29" s="101"/>
      <c r="B29" s="118" t="s">
        <v>70</v>
      </c>
      <c r="C29" s="119">
        <f>PotR!I29</f>
        <v>67.804562676210324</v>
      </c>
      <c r="D29" s="120">
        <v>6601147.6954294704</v>
      </c>
      <c r="E29" s="121">
        <f>PotR!F29</f>
        <v>6949209.52373897</v>
      </c>
      <c r="F29" s="122">
        <f t="shared" si="0"/>
        <v>5.2727471701700113E-2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 x14ac:dyDescent="0.2">
      <c r="A30" s="101"/>
      <c r="B30" s="112" t="s">
        <v>71</v>
      </c>
      <c r="C30" s="113">
        <f>PotR!I30</f>
        <v>90.516300350965707</v>
      </c>
      <c r="D30" s="114">
        <v>4676899.1962643201</v>
      </c>
      <c r="E30" s="115">
        <f>PotR!F30</f>
        <v>5041486.537783646</v>
      </c>
      <c r="F30" s="116">
        <f t="shared" si="0"/>
        <v>7.795492830175621E-2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 x14ac:dyDescent="0.2">
      <c r="A31" s="101"/>
      <c r="B31" s="118" t="s">
        <v>72</v>
      </c>
      <c r="C31" s="119">
        <f>PotR!I31</f>
        <v>143.31843115626671</v>
      </c>
      <c r="D31" s="120">
        <v>20423279.936289299</v>
      </c>
      <c r="E31" s="121">
        <f>PotR!F31</f>
        <v>21249749.645549234</v>
      </c>
      <c r="F31" s="122">
        <f t="shared" si="0"/>
        <v>4.0467041133359416E-2</v>
      </c>
      <c r="G31" s="56">
        <f t="shared" si="1"/>
        <v>20423279.936289299</v>
      </c>
      <c r="H31" s="56">
        <f t="shared" si="2"/>
        <v>21249749.645549234</v>
      </c>
      <c r="I31" s="123">
        <f t="shared" si="3"/>
        <v>4.0467041133359416E-2</v>
      </c>
    </row>
    <row r="32" spans="1:9" x14ac:dyDescent="0.2">
      <c r="A32" s="124"/>
      <c r="B32" s="125" t="s">
        <v>73</v>
      </c>
      <c r="C32" s="126">
        <f>PotR!I32</f>
        <v>63.980919752407473</v>
      </c>
      <c r="D32" s="127">
        <v>1337557.4447331401</v>
      </c>
      <c r="E32" s="128">
        <f>PotR!F32</f>
        <v>1439635.9762016134</v>
      </c>
      <c r="F32" s="129">
        <f t="shared" si="0"/>
        <v>7.6317119590209037E-2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 x14ac:dyDescent="0.2">
      <c r="B33" s="58" t="s">
        <v>74</v>
      </c>
      <c r="C33" s="132">
        <f>PotR!I33</f>
        <v>100</v>
      </c>
      <c r="D33" s="133">
        <f>SUM(D7:D32)</f>
        <v>242407692.85024884</v>
      </c>
      <c r="E33" s="134">
        <f>SUM(E7:E32)</f>
        <v>255822953.89637089</v>
      </c>
      <c r="F33" s="135">
        <f t="shared" si="0"/>
        <v>5.5341729828720876E-2</v>
      </c>
      <c r="G33" s="59">
        <f>SUM(G7:G32)</f>
        <v>121154623.3343877</v>
      </c>
      <c r="H33" s="59">
        <f>SUM(H7:H32)</f>
        <v>127938651.35838461</v>
      </c>
      <c r="I33" s="136">
        <f>IF(H33&gt;0,H33/G33-1,0)</f>
        <v>5.5994792747388056E-2</v>
      </c>
    </row>
    <row r="34" spans="1:9" x14ac:dyDescent="0.2">
      <c r="A34" s="137"/>
      <c r="B34" s="69"/>
      <c r="C34" s="69"/>
      <c r="D34" s="69"/>
    </row>
    <row r="35" spans="1:9" x14ac:dyDescent="0.2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 x14ac:dyDescent="0.2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 x14ac:dyDescent="0.25">
      <c r="B1" s="4" t="str">
        <f>"Progression des dotations de la péréquation des ressources "&amp;Info!C30</f>
        <v>Progression des dotations de la péréquation des ressources 2016</v>
      </c>
      <c r="C1" s="1"/>
      <c r="D1" s="1"/>
      <c r="E1" s="1"/>
      <c r="F1" s="1"/>
    </row>
    <row r="2" spans="2:8" x14ac:dyDescent="0.2">
      <c r="B2" s="138" t="s">
        <v>82</v>
      </c>
      <c r="C2" s="1"/>
      <c r="D2" s="1"/>
      <c r="E2" s="1"/>
      <c r="F2" s="1"/>
      <c r="H2" s="69"/>
    </row>
    <row r="3" spans="2:8" x14ac:dyDescent="0.2">
      <c r="B3" s="1"/>
      <c r="C3" s="1"/>
      <c r="D3" s="1"/>
      <c r="E3" s="1"/>
      <c r="F3" s="1"/>
      <c r="G3" s="23" t="str">
        <f>Info!C28</f>
        <v>FA_2016_20150609</v>
      </c>
      <c r="H3" s="69"/>
    </row>
    <row r="4" spans="2:8" ht="24.75" customHeight="1" x14ac:dyDescent="0.2">
      <c r="B4" s="139" t="s">
        <v>83</v>
      </c>
      <c r="C4" s="140">
        <f>G4-1</f>
        <v>2015</v>
      </c>
      <c r="D4" s="141" t="s">
        <v>84</v>
      </c>
      <c r="E4" s="142" t="s">
        <v>85</v>
      </c>
      <c r="F4" s="142" t="s">
        <v>86</v>
      </c>
      <c r="G4" s="143">
        <f>Info!C30</f>
        <v>2016</v>
      </c>
      <c r="H4" s="69"/>
    </row>
    <row r="5" spans="2:8" x14ac:dyDescent="0.2">
      <c r="B5" s="44" t="s">
        <v>87</v>
      </c>
      <c r="C5" s="45">
        <v>2273024663.5956101</v>
      </c>
      <c r="D5" s="144">
        <f>Taux_de_croissance!F33</f>
        <v>5.5341729828720876E-2</v>
      </c>
      <c r="E5" s="47">
        <f>C5*(1+D5)</f>
        <v>2398817780.4223375</v>
      </c>
      <c r="F5" s="45">
        <v>-98135244</v>
      </c>
      <c r="G5" s="145">
        <f>E5+F5</f>
        <v>2300682536.4223375</v>
      </c>
      <c r="H5" s="69"/>
    </row>
    <row r="6" spans="2:8" x14ac:dyDescent="0.2">
      <c r="B6" s="96" t="s">
        <v>88</v>
      </c>
      <c r="C6" s="146">
        <v>1552284737.1519699</v>
      </c>
      <c r="D6" s="147">
        <f>Taux_de_croissance!I33</f>
        <v>5.5994792747388056E-2</v>
      </c>
      <c r="E6" s="148">
        <f>C6*(1+D6)</f>
        <v>1639204599.2937281</v>
      </c>
      <c r="F6" s="146">
        <v>-66896487</v>
      </c>
      <c r="G6" s="149">
        <f>E6+F6</f>
        <v>1572308112.2937281</v>
      </c>
      <c r="H6" s="69"/>
    </row>
    <row r="7" spans="2:8" x14ac:dyDescent="0.2">
      <c r="B7" s="150"/>
      <c r="C7" s="69"/>
      <c r="D7" s="69"/>
      <c r="E7" s="1"/>
      <c r="F7" s="1"/>
      <c r="H7" s="69"/>
    </row>
    <row r="8" spans="2:8" x14ac:dyDescent="0.2">
      <c r="B8" s="1"/>
      <c r="C8" s="1"/>
      <c r="D8" s="1"/>
      <c r="E8" s="1"/>
      <c r="F8" s="1"/>
    </row>
    <row r="9" spans="2:8" x14ac:dyDescent="0.2">
      <c r="B9" s="1"/>
      <c r="C9" s="1"/>
      <c r="D9" s="1"/>
      <c r="E9" s="1"/>
      <c r="F9" s="1"/>
    </row>
    <row r="10" spans="2:8" x14ac:dyDescent="0.2">
      <c r="B10" s="1"/>
      <c r="C10" s="1"/>
      <c r="D10" s="1"/>
      <c r="E10" s="151"/>
      <c r="F10" s="1"/>
    </row>
    <row r="11" spans="2:8" x14ac:dyDescent="0.2">
      <c r="B11" s="138"/>
      <c r="C11" s="152"/>
      <c r="D11" s="152"/>
      <c r="E11" s="151"/>
      <c r="F11" s="153"/>
      <c r="G11" s="153"/>
    </row>
    <row r="12" spans="2:8" x14ac:dyDescent="0.2">
      <c r="B12" s="139" t="s">
        <v>89</v>
      </c>
      <c r="C12" s="154">
        <f>C4</f>
        <v>2015</v>
      </c>
      <c r="D12" s="155">
        <f>G4</f>
        <v>2016</v>
      </c>
      <c r="E12" s="151"/>
      <c r="F12" s="153"/>
      <c r="G12" s="153"/>
    </row>
    <row r="13" spans="2:8" x14ac:dyDescent="0.2">
      <c r="B13" s="118" t="s">
        <v>90</v>
      </c>
      <c r="C13" s="56">
        <f>0.8*C$5</f>
        <v>1818419730.8764882</v>
      </c>
      <c r="D13" s="90">
        <f>0.8*G5</f>
        <v>1840546029.1378701</v>
      </c>
      <c r="E13" s="151"/>
      <c r="F13" s="153"/>
      <c r="G13" s="153"/>
    </row>
    <row r="14" spans="2:8" x14ac:dyDescent="0.2">
      <c r="B14" s="156" t="s">
        <v>91</v>
      </c>
      <c r="C14" s="157">
        <f>C6/C5</f>
        <v>0.68291592344469787</v>
      </c>
      <c r="D14" s="158">
        <f>G6/G5</f>
        <v>0.68340941759776053</v>
      </c>
      <c r="E14" s="1"/>
      <c r="F14" s="1"/>
    </row>
    <row r="15" spans="2:8" x14ac:dyDescent="0.2">
      <c r="B15" s="96" t="s">
        <v>92</v>
      </c>
      <c r="C15" s="148">
        <f>(2/3)*C$5</f>
        <v>1515349775.7304068</v>
      </c>
      <c r="D15" s="159">
        <f>(2/3)*G5</f>
        <v>1533788357.6148915</v>
      </c>
      <c r="E15" s="1"/>
      <c r="F15" s="1"/>
    </row>
    <row r="16" spans="2:8" x14ac:dyDescent="0.2">
      <c r="B16" s="160" t="s">
        <v>93</v>
      </c>
      <c r="E16" s="1"/>
      <c r="F16" s="1"/>
    </row>
    <row r="17" spans="2:6" x14ac:dyDescent="0.2">
      <c r="B17" s="161" t="s">
        <v>94</v>
      </c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20" spans="2:6" x14ac:dyDescent="0.2">
      <c r="B20" s="1"/>
      <c r="C20" s="1"/>
      <c r="D20" s="1"/>
      <c r="E20" s="1"/>
      <c r="F20" s="1"/>
    </row>
    <row r="21" spans="2:6" x14ac:dyDescent="0.2">
      <c r="B21" s="1"/>
      <c r="C21" s="1"/>
      <c r="D21" s="1"/>
      <c r="E21" s="1"/>
      <c r="F21" s="1"/>
    </row>
    <row r="22" spans="2:6" x14ac:dyDescent="0.2">
      <c r="B22" s="138"/>
      <c r="C22" s="1"/>
      <c r="D22" s="1"/>
      <c r="E22" s="1"/>
      <c r="F22" s="1"/>
    </row>
    <row r="23" spans="2:6" ht="15.75" customHeight="1" x14ac:dyDescent="0.25">
      <c r="B23" s="162" t="str">
        <f>"Dotations "&amp;G4</f>
        <v>Dotations 2016</v>
      </c>
      <c r="C23" s="163"/>
      <c r="D23" s="164"/>
      <c r="E23" s="1"/>
      <c r="F23" s="1"/>
    </row>
    <row r="24" spans="2:6" ht="15.75" customHeight="1" x14ac:dyDescent="0.25">
      <c r="B24" s="165" t="s">
        <v>87</v>
      </c>
      <c r="C24" s="166"/>
      <c r="D24" s="167">
        <f>G5</f>
        <v>2300682536.4223375</v>
      </c>
      <c r="E24" s="1"/>
      <c r="F24" s="1"/>
    </row>
    <row r="25" spans="2:6" ht="15.75" customHeight="1" x14ac:dyDescent="0.25">
      <c r="B25" s="165" t="s">
        <v>88</v>
      </c>
      <c r="C25" s="166"/>
      <c r="D25" s="167">
        <f>IF(G6&gt;D13,D13,IF(G6&lt;D15,D15,G6))</f>
        <v>1572308112.2937281</v>
      </c>
      <c r="E25" s="1"/>
      <c r="F25" s="1"/>
    </row>
    <row r="26" spans="2:6" ht="20.25" customHeight="1" x14ac:dyDescent="0.25">
      <c r="B26" s="168" t="s">
        <v>95</v>
      </c>
      <c r="C26" s="169"/>
      <c r="D26" s="170">
        <f>D24+D25</f>
        <v>3872990648.7160654</v>
      </c>
      <c r="E26" s="1"/>
      <c r="F26" s="1"/>
    </row>
    <row r="27" spans="2:6" ht="25.5" customHeight="1" x14ac:dyDescent="0.2">
      <c r="B27" s="1"/>
      <c r="C27" s="1"/>
      <c r="D27" s="1"/>
      <c r="E27" s="1"/>
      <c r="F27" s="1"/>
    </row>
    <row r="28" spans="2:6" x14ac:dyDescent="0.2">
      <c r="B28" s="311" t="str">
        <f>"Taux de croissance effectif* "&amp;C4&amp;"-"&amp;G4</f>
        <v>Taux de croissance effectif* 2015-2016</v>
      </c>
      <c r="C28" s="312"/>
      <c r="D28" s="1"/>
      <c r="E28" s="1"/>
      <c r="F28" s="1"/>
    </row>
    <row r="29" spans="2:6" x14ac:dyDescent="0.2">
      <c r="B29" s="171" t="s">
        <v>87</v>
      </c>
      <c r="C29" s="111">
        <f>D24/C5-1</f>
        <v>1.2167871853610457E-2</v>
      </c>
      <c r="D29" s="1"/>
      <c r="E29" s="1"/>
      <c r="F29" s="1"/>
    </row>
    <row r="30" spans="2:6" x14ac:dyDescent="0.2">
      <c r="B30" s="172" t="s">
        <v>88</v>
      </c>
      <c r="C30" s="173">
        <f>D25/C6-1</f>
        <v>1.2899292676481267E-2</v>
      </c>
      <c r="D30" s="1"/>
      <c r="E30" s="1"/>
      <c r="F30" s="1"/>
    </row>
    <row r="31" spans="2:6" ht="17.25" customHeight="1" x14ac:dyDescent="0.2">
      <c r="B31" s="174" t="s">
        <v>95</v>
      </c>
      <c r="C31" s="175">
        <f>D26/(C5+C6)-1</f>
        <v>1.2464677487046494E-2</v>
      </c>
      <c r="D31" s="1"/>
      <c r="E31" s="1"/>
      <c r="F31" s="1"/>
    </row>
    <row r="32" spans="2:6" x14ac:dyDescent="0.2">
      <c r="B32" s="36" t="s">
        <v>96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 x14ac:dyDescent="0.2">
      <c r="A1" s="95" t="str">
        <f>"Montants versés par les cantons à fort potentiel de ressources "&amp;Info!C30</f>
        <v>Montants versés par les cantons à fort potentiel de ressources 2016</v>
      </c>
      <c r="B1" s="95"/>
      <c r="C1" s="95"/>
      <c r="D1" s="95"/>
      <c r="E1" s="95"/>
      <c r="F1" s="95"/>
    </row>
    <row r="2" spans="1:6" ht="18.75" customHeight="1" x14ac:dyDescent="0.2">
      <c r="F2" s="23" t="str">
        <f>Info!$C$28</f>
        <v>FA_2016_20150609</v>
      </c>
    </row>
    <row r="3" spans="1:6" s="2" customFormat="1" x14ac:dyDescent="0.2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 x14ac:dyDescent="0.2">
      <c r="A4" s="177" t="s">
        <v>36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28.5" customHeight="1" x14ac:dyDescent="0.2">
      <c r="A5" s="181"/>
      <c r="B5" s="182" t="s">
        <v>42</v>
      </c>
      <c r="C5" s="182" t="s">
        <v>7</v>
      </c>
      <c r="D5" s="183" t="s">
        <v>101</v>
      </c>
      <c r="E5" s="183" t="s">
        <v>102</v>
      </c>
      <c r="F5" s="184" t="s">
        <v>103</v>
      </c>
    </row>
    <row r="6" spans="1:6" x14ac:dyDescent="0.2">
      <c r="A6" s="77" t="s">
        <v>44</v>
      </c>
      <c r="B6" s="185" t="s">
        <v>80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 x14ac:dyDescent="0.2">
      <c r="A7" s="188" t="s">
        <v>48</v>
      </c>
      <c r="B7" s="189">
        <f>PotR!I7</f>
        <v>120.57254245878059</v>
      </c>
      <c r="C7" s="190">
        <f>PotR!G7</f>
        <v>1397165.8333333333</v>
      </c>
      <c r="D7" s="191">
        <f t="shared" ref="D7:D32" si="0">IF(B7&gt;100,(B7-100)*C7,0)</f>
        <v>28743253.428207561</v>
      </c>
      <c r="E7" s="191">
        <f t="shared" ref="E7:E32" si="1">IF(B7&gt;100,A/$D$33*(B7-100),0)</f>
        <v>355.70118287493739</v>
      </c>
      <c r="F7" s="192">
        <f t="shared" ref="F7:F32" si="2">E7*C7</f>
        <v>496973539.58911425</v>
      </c>
    </row>
    <row r="8" spans="1:6" s="187" customFormat="1" ht="15" customHeight="1" x14ac:dyDescent="0.2">
      <c r="A8" s="193" t="s">
        <v>49</v>
      </c>
      <c r="B8" s="194">
        <f>PotR!I8</f>
        <v>74.150267683591466</v>
      </c>
      <c r="C8" s="195">
        <f>PotR!G8</f>
        <v>990082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 x14ac:dyDescent="0.2">
      <c r="A9" s="188" t="s">
        <v>50</v>
      </c>
      <c r="B9" s="189">
        <f>PotR!I9</f>
        <v>83.450095579317605</v>
      </c>
      <c r="C9" s="190">
        <f>PotR!G9</f>
        <v>381420.33333333331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 x14ac:dyDescent="0.2">
      <c r="A10" s="193" t="s">
        <v>51</v>
      </c>
      <c r="B10" s="194">
        <f>PotR!I10</f>
        <v>64.139896819236725</v>
      </c>
      <c r="C10" s="195">
        <f>PotR!G10</f>
        <v>35487.833333333336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 x14ac:dyDescent="0.2">
      <c r="A11" s="188" t="s">
        <v>52</v>
      </c>
      <c r="B11" s="189">
        <f>PotR!I11</f>
        <v>170.5987463189451</v>
      </c>
      <c r="C11" s="190">
        <f>PotR!G11</f>
        <v>148010.66666666666</v>
      </c>
      <c r="D11" s="191">
        <f t="shared" si="0"/>
        <v>10449367.508497944</v>
      </c>
      <c r="E11" s="191">
        <f t="shared" si="1"/>
        <v>1220.6589256262928</v>
      </c>
      <c r="F11" s="192">
        <f t="shared" si="2"/>
        <v>180670541.35456467</v>
      </c>
    </row>
    <row r="12" spans="1:6" s="187" customFormat="1" ht="15" customHeight="1" x14ac:dyDescent="0.2">
      <c r="A12" s="193" t="s">
        <v>53</v>
      </c>
      <c r="B12" s="194">
        <f>PotR!I12</f>
        <v>91.704640161988308</v>
      </c>
      <c r="C12" s="195">
        <f>PotR!G12</f>
        <v>35928.5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 x14ac:dyDescent="0.2">
      <c r="A13" s="188" t="s">
        <v>54</v>
      </c>
      <c r="B13" s="189">
        <f>PotR!I13</f>
        <v>143.9020211060292</v>
      </c>
      <c r="C13" s="190">
        <f>PotR!G13</f>
        <v>41138</v>
      </c>
      <c r="D13" s="191">
        <f t="shared" si="0"/>
        <v>1806041.344259829</v>
      </c>
      <c r="E13" s="191">
        <f t="shared" si="1"/>
        <v>759.07005025282956</v>
      </c>
      <c r="F13" s="192">
        <f t="shared" si="2"/>
        <v>31226623.727300901</v>
      </c>
    </row>
    <row r="14" spans="1:6" s="187" customFormat="1" ht="15" customHeight="1" x14ac:dyDescent="0.2">
      <c r="A14" s="193" t="s">
        <v>55</v>
      </c>
      <c r="B14" s="194">
        <f>PotR!I14</f>
        <v>70.471205075667825</v>
      </c>
      <c r="C14" s="195">
        <f>PotR!G14</f>
        <v>39295.166666666664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 x14ac:dyDescent="0.2">
      <c r="A15" s="188" t="s">
        <v>56</v>
      </c>
      <c r="B15" s="189">
        <f>PotR!I15</f>
        <v>263.48322957206159</v>
      </c>
      <c r="C15" s="190">
        <f>PotR!G15</f>
        <v>114849.33333333333</v>
      </c>
      <c r="D15" s="191">
        <f t="shared" si="0"/>
        <v>18775939.927531559</v>
      </c>
      <c r="E15" s="191">
        <f t="shared" si="1"/>
        <v>2826.6403268098584</v>
      </c>
      <c r="F15" s="192">
        <f t="shared" si="2"/>
        <v>324637757.10722768</v>
      </c>
    </row>
    <row r="16" spans="1:6" s="187" customFormat="1" ht="15" customHeight="1" x14ac:dyDescent="0.2">
      <c r="A16" s="193" t="s">
        <v>57</v>
      </c>
      <c r="B16" s="194">
        <f>PotR!I16</f>
        <v>76.626511716220421</v>
      </c>
      <c r="C16" s="195">
        <f>PotR!G16</f>
        <v>284276.16666666669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 x14ac:dyDescent="0.2">
      <c r="A17" s="188" t="s">
        <v>58</v>
      </c>
      <c r="B17" s="189">
        <f>PotR!I17</f>
        <v>76.904236160513094</v>
      </c>
      <c r="C17" s="190">
        <f>PotR!G17</f>
        <v>257009.83333333334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 x14ac:dyDescent="0.2">
      <c r="A18" s="193" t="s">
        <v>59</v>
      </c>
      <c r="B18" s="194">
        <f>PotR!I18</f>
        <v>143.48943455506392</v>
      </c>
      <c r="C18" s="195">
        <f>PotR!G18</f>
        <v>190754.5</v>
      </c>
      <c r="D18" s="196">
        <f t="shared" si="0"/>
        <v>8295805.343833941</v>
      </c>
      <c r="E18" s="196">
        <f t="shared" si="1"/>
        <v>751.93639020518685</v>
      </c>
      <c r="F18" s="197">
        <f t="shared" si="2"/>
        <v>143435250.14539531</v>
      </c>
    </row>
    <row r="19" spans="1:6" s="187" customFormat="1" ht="15" customHeight="1" x14ac:dyDescent="0.2">
      <c r="A19" s="188" t="s">
        <v>60</v>
      </c>
      <c r="B19" s="189">
        <f>PotR!I19</f>
        <v>97.648721486863977</v>
      </c>
      <c r="C19" s="190">
        <f>PotR!G19</f>
        <v>275449.5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 x14ac:dyDescent="0.2">
      <c r="A20" s="193" t="s">
        <v>61</v>
      </c>
      <c r="B20" s="194">
        <f>PotR!I20</f>
        <v>98.321144283939418</v>
      </c>
      <c r="C20" s="195">
        <f>PotR!G20</f>
        <v>77323.166666666672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 x14ac:dyDescent="0.2">
      <c r="A21" s="188" t="s">
        <v>62</v>
      </c>
      <c r="B21" s="189">
        <f>PotR!I21</f>
        <v>85.450998997769887</v>
      </c>
      <c r="C21" s="190">
        <f>PotR!G21</f>
        <v>53205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 x14ac:dyDescent="0.2">
      <c r="A22" s="193" t="s">
        <v>63</v>
      </c>
      <c r="B22" s="194">
        <f>PotR!I22</f>
        <v>84.491995249494025</v>
      </c>
      <c r="C22" s="195">
        <f>PotR!G22</f>
        <v>15789.5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 x14ac:dyDescent="0.2">
      <c r="A23" s="188" t="s">
        <v>64</v>
      </c>
      <c r="B23" s="189">
        <f>PotR!I23</f>
        <v>79.698728880985328</v>
      </c>
      <c r="C23" s="190">
        <f>PotR!G23</f>
        <v>483230.16666666669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 x14ac:dyDescent="0.2">
      <c r="A24" s="193" t="s">
        <v>65</v>
      </c>
      <c r="B24" s="194">
        <f>PotR!I24</f>
        <v>83.009982861507495</v>
      </c>
      <c r="C24" s="195">
        <f>PotR!G24</f>
        <v>199625.83333333334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 x14ac:dyDescent="0.2">
      <c r="A25" s="188" t="s">
        <v>66</v>
      </c>
      <c r="B25" s="189">
        <f>PotR!I25</f>
        <v>87.737146058462045</v>
      </c>
      <c r="C25" s="190">
        <f>PotR!G25</f>
        <v>616892.83333333337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 x14ac:dyDescent="0.2">
      <c r="A26" s="193" t="s">
        <v>67</v>
      </c>
      <c r="B26" s="194">
        <f>PotR!I26</f>
        <v>78.605740946717489</v>
      </c>
      <c r="C26" s="195">
        <f>PotR!G26</f>
        <v>251923.66666666666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 x14ac:dyDescent="0.2">
      <c r="A27" s="188" t="s">
        <v>68</v>
      </c>
      <c r="B27" s="189">
        <f>PotR!I27</f>
        <v>96.176431802016154</v>
      </c>
      <c r="C27" s="190">
        <f>PotR!G27</f>
        <v>338717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 x14ac:dyDescent="0.2">
      <c r="A28" s="193" t="s">
        <v>69</v>
      </c>
      <c r="B28" s="194">
        <f>PotR!I28</f>
        <v>103.88431528483098</v>
      </c>
      <c r="C28" s="195">
        <f>PotR!G28</f>
        <v>727838.5</v>
      </c>
      <c r="D28" s="196">
        <f t="shared" si="0"/>
        <v>2827154.2104384499</v>
      </c>
      <c r="E28" s="196">
        <f t="shared" si="1"/>
        <v>67.160174501614478</v>
      </c>
      <c r="F28" s="197">
        <f t="shared" si="2"/>
        <v>48881760.668993331</v>
      </c>
    </row>
    <row r="29" spans="1:6" s="187" customFormat="1" ht="15" customHeight="1" x14ac:dyDescent="0.2">
      <c r="A29" s="188" t="s">
        <v>70</v>
      </c>
      <c r="B29" s="189">
        <f>PotR!I29</f>
        <v>67.804562676210324</v>
      </c>
      <c r="C29" s="190">
        <f>PotR!G29</f>
        <v>319768.83333333331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 x14ac:dyDescent="0.2">
      <c r="A30" s="193" t="s">
        <v>71</v>
      </c>
      <c r="B30" s="194">
        <f>PotR!I30</f>
        <v>90.516300350965707</v>
      </c>
      <c r="C30" s="195">
        <f>PotR!G30</f>
        <v>173776.66666666666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 x14ac:dyDescent="0.2">
      <c r="A31" s="188" t="s">
        <v>72</v>
      </c>
      <c r="B31" s="189">
        <f>PotR!I31</f>
        <v>143.31843115626671</v>
      </c>
      <c r="C31" s="190">
        <f>PotR!G31</f>
        <v>462606.16666666669</v>
      </c>
      <c r="D31" s="191">
        <f t="shared" si="0"/>
        <v>20039373.383214444</v>
      </c>
      <c r="E31" s="191">
        <f t="shared" si="1"/>
        <v>748.97972544925426</v>
      </c>
      <c r="F31" s="192">
        <f t="shared" si="2"/>
        <v>346482639.701132</v>
      </c>
    </row>
    <row r="32" spans="1:6" s="187" customFormat="1" ht="15" customHeight="1" x14ac:dyDescent="0.2">
      <c r="A32" s="193" t="s">
        <v>73</v>
      </c>
      <c r="B32" s="194">
        <f>PotR!I32</f>
        <v>63.980919752407473</v>
      </c>
      <c r="C32" s="195">
        <f>PotR!G32</f>
        <v>70204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 x14ac:dyDescent="0.2">
      <c r="A33" s="198" t="s">
        <v>74</v>
      </c>
      <c r="B33" s="199">
        <f>PotR!I33</f>
        <v>100</v>
      </c>
      <c r="C33" s="200">
        <f>SUM(BEV)</f>
        <v>7981769</v>
      </c>
      <c r="D33" s="200">
        <f>SUM(D7:D32)</f>
        <v>90936935.145983726</v>
      </c>
      <c r="E33" s="200"/>
      <c r="F33" s="201">
        <f>SUM(F7:F32)</f>
        <v>1572308112.2937281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 x14ac:dyDescent="0.2">
      <c r="A1" s="95" t="str">
        <f>"Montants reçus par les cantons à faible potentiel de ressources "&amp;Info!C30</f>
        <v>Montants reçus par les cantons à faible potentiel de ressources 2016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 x14ac:dyDescent="0.2">
      <c r="G2" s="1"/>
      <c r="H2" s="23" t="str">
        <f>Info!$C$28</f>
        <v>FA_2016_20150609</v>
      </c>
      <c r="I2" s="2"/>
      <c r="J2" s="1"/>
      <c r="K2" s="1"/>
    </row>
    <row r="3" spans="1:12" s="2" customFormat="1" x14ac:dyDescent="0.2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 x14ac:dyDescent="0.2">
      <c r="A4" s="181"/>
      <c r="B4" s="183" t="s">
        <v>42</v>
      </c>
      <c r="C4" s="183" t="s">
        <v>7</v>
      </c>
      <c r="D4" s="183" t="s">
        <v>101</v>
      </c>
      <c r="E4" s="183" t="s">
        <v>102</v>
      </c>
      <c r="F4" s="202" t="s">
        <v>103</v>
      </c>
      <c r="G4" s="203" t="s">
        <v>104</v>
      </c>
      <c r="H4" s="204" t="s">
        <v>105</v>
      </c>
      <c r="J4" s="313" t="s">
        <v>106</v>
      </c>
      <c r="K4" s="314"/>
    </row>
    <row r="5" spans="1:12" s="187" customFormat="1" x14ac:dyDescent="0.2">
      <c r="A5" s="77" t="s">
        <v>44</v>
      </c>
      <c r="B5" s="185" t="s">
        <v>80</v>
      </c>
      <c r="C5" s="104" t="s">
        <v>107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108</v>
      </c>
      <c r="K5" s="206">
        <v>0.54154258995924498</v>
      </c>
      <c r="L5" s="207"/>
    </row>
    <row r="6" spans="1:12" s="187" customFormat="1" ht="15" customHeight="1" x14ac:dyDescent="0.2">
      <c r="A6" s="208" t="s">
        <v>48</v>
      </c>
      <c r="B6" s="209">
        <f>PotR!I7</f>
        <v>120.57254245878059</v>
      </c>
      <c r="C6" s="191">
        <f>PotR!G7</f>
        <v>1397165.8333333333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109</v>
      </c>
      <c r="K6" s="213">
        <f>(RI_26/RI_MIN)*p</f>
        <v>0.54154258995924653</v>
      </c>
    </row>
    <row r="7" spans="1:12" s="187" customFormat="1" ht="15" customHeight="1" x14ac:dyDescent="0.2">
      <c r="A7" s="193" t="s">
        <v>49</v>
      </c>
      <c r="B7" s="214">
        <f>PotR!I8</f>
        <v>74.150267683591466</v>
      </c>
      <c r="C7" s="196">
        <f>PotR!G8</f>
        <v>990082</v>
      </c>
      <c r="D7" s="196">
        <f>IF(B7&lt;100,(100-B7)^(1+p)*BEV,0)</f>
        <v>148947192.88839069</v>
      </c>
      <c r="E7" s="196">
        <f t="shared" si="0"/>
        <v>1197.8630925772723</v>
      </c>
      <c r="F7" s="215">
        <f t="shared" si="1"/>
        <v>1185982686.4250908</v>
      </c>
      <c r="G7" s="216">
        <f>Dotation_PR!$D$25/Dotation_PR!$D$26*F7</f>
        <v>481470359.22337055</v>
      </c>
      <c r="H7" s="217">
        <f t="shared" si="2"/>
        <v>704512327.20172024</v>
      </c>
      <c r="J7" s="205" t="s">
        <v>110</v>
      </c>
      <c r="K7" s="218">
        <f>MIN(B6:B31)</f>
        <v>63.980919752407473</v>
      </c>
    </row>
    <row r="8" spans="1:12" s="187" customFormat="1" ht="15" customHeight="1" x14ac:dyDescent="0.2">
      <c r="A8" s="188" t="s">
        <v>50</v>
      </c>
      <c r="B8" s="209">
        <f>PotR!I9</f>
        <v>83.450095579317605</v>
      </c>
      <c r="C8" s="191">
        <f>PotR!G9</f>
        <v>381420.33333333331</v>
      </c>
      <c r="D8" s="191">
        <f t="shared" ref="D8:D31" si="3">IF(B8&lt;100,(100-RI)^(1+p)*BEV,0)</f>
        <v>28855526.148836255</v>
      </c>
      <c r="E8" s="191">
        <f t="shared" si="0"/>
        <v>602.38088542879984</v>
      </c>
      <c r="F8" s="210">
        <f t="shared" si="1"/>
        <v>229760318.11388129</v>
      </c>
      <c r="G8" s="211">
        <f>Dotation_PR!$D$25/Dotation_PR!$D$26*F8</f>
        <v>93275208.958586678</v>
      </c>
      <c r="H8" s="212">
        <f t="shared" si="2"/>
        <v>136485109.1552946</v>
      </c>
      <c r="J8" s="205" t="s">
        <v>111</v>
      </c>
      <c r="K8" s="218">
        <f>100-((sse*SUM)/((1+p)*B*100))^(1/p)</f>
        <v>63.980919752407296</v>
      </c>
    </row>
    <row r="9" spans="1:12" s="187" customFormat="1" ht="15" customHeight="1" x14ac:dyDescent="0.2">
      <c r="A9" s="193" t="s">
        <v>51</v>
      </c>
      <c r="B9" s="214">
        <f>PotR!I10</f>
        <v>64.139896819236725</v>
      </c>
      <c r="C9" s="196">
        <f>PotR!G10</f>
        <v>35487.833333333336</v>
      </c>
      <c r="D9" s="196">
        <f t="shared" si="3"/>
        <v>8842587.7165479027</v>
      </c>
      <c r="E9" s="196">
        <f t="shared" si="0"/>
        <v>1984.0194165292801</v>
      </c>
      <c r="F9" s="215">
        <f t="shared" si="1"/>
        <v>70408550.383888334</v>
      </c>
      <c r="G9" s="216">
        <f>Dotation_PR!$D$25/Dotation_PR!$D$26*F9</f>
        <v>28583579.198707532</v>
      </c>
      <c r="H9" s="217">
        <f t="shared" si="2"/>
        <v>41824971.185180798</v>
      </c>
      <c r="J9" s="219"/>
      <c r="K9" s="220"/>
    </row>
    <row r="10" spans="1:12" s="187" customFormat="1" ht="15" customHeight="1" x14ac:dyDescent="0.2">
      <c r="A10" s="188" t="s">
        <v>52</v>
      </c>
      <c r="B10" s="209">
        <f>PotR!I11</f>
        <v>170.5987463189451</v>
      </c>
      <c r="C10" s="191">
        <f>PotR!G11</f>
        <v>148010.66666666666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 x14ac:dyDescent="0.2">
      <c r="A11" s="193" t="s">
        <v>53</v>
      </c>
      <c r="B11" s="214">
        <f>PotR!I12</f>
        <v>91.704640161988308</v>
      </c>
      <c r="C11" s="196">
        <f>PotR!G12</f>
        <v>35928.5</v>
      </c>
      <c r="D11" s="196">
        <f t="shared" si="3"/>
        <v>937265.7037534687</v>
      </c>
      <c r="E11" s="196">
        <f t="shared" si="0"/>
        <v>207.71586379659621</v>
      </c>
      <c r="F11" s="215">
        <f t="shared" si="1"/>
        <v>7462919.4124160074</v>
      </c>
      <c r="G11" s="216">
        <f>Dotation_PR!$D$25/Dotation_PR!$D$26*F11</f>
        <v>3029702.3147799158</v>
      </c>
      <c r="H11" s="217">
        <f t="shared" si="2"/>
        <v>4433217.0976360915</v>
      </c>
      <c r="J11" s="219"/>
      <c r="K11" s="220"/>
    </row>
    <row r="12" spans="1:12" s="187" customFormat="1" ht="15" customHeight="1" x14ac:dyDescent="0.2">
      <c r="A12" s="188" t="s">
        <v>54</v>
      </c>
      <c r="B12" s="209">
        <f>PotR!I13</f>
        <v>143.9020211060292</v>
      </c>
      <c r="C12" s="191">
        <f>PotR!G13</f>
        <v>41138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97</v>
      </c>
      <c r="K12" s="221">
        <f>Dotation_PR!D26</f>
        <v>3872990648.7160654</v>
      </c>
    </row>
    <row r="13" spans="1:12" s="187" customFormat="1" ht="15" customHeight="1" x14ac:dyDescent="0.2">
      <c r="A13" s="193" t="s">
        <v>55</v>
      </c>
      <c r="B13" s="214">
        <f>PotR!I14</f>
        <v>70.471205075667825</v>
      </c>
      <c r="C13" s="196">
        <f>PotR!G14</f>
        <v>39295.166666666664</v>
      </c>
      <c r="D13" s="196">
        <f t="shared" si="3"/>
        <v>7257474.7897668118</v>
      </c>
      <c r="E13" s="196">
        <f t="shared" si="0"/>
        <v>1470.5927718657917</v>
      </c>
      <c r="F13" s="215">
        <f t="shared" si="1"/>
        <v>57787188.069261596</v>
      </c>
      <c r="G13" s="216">
        <f>Dotation_PR!$D$25/Dotation_PR!$D$26*F13</f>
        <v>23459717.006562896</v>
      </c>
      <c r="H13" s="217">
        <f t="shared" si="2"/>
        <v>34327471.0626987</v>
      </c>
      <c r="J13" s="205" t="s">
        <v>16</v>
      </c>
      <c r="K13" s="221">
        <f>RFS!E32</f>
        <v>8549.294153657318</v>
      </c>
    </row>
    <row r="14" spans="1:12" s="187" customFormat="1" ht="15" customHeight="1" x14ac:dyDescent="0.2">
      <c r="A14" s="188" t="s">
        <v>56</v>
      </c>
      <c r="B14" s="209">
        <f>PotR!I15</f>
        <v>263.48322957206159</v>
      </c>
      <c r="C14" s="191">
        <f>PotR!G15</f>
        <v>114849.33333333333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 x14ac:dyDescent="0.2">
      <c r="A15" s="193" t="s">
        <v>57</v>
      </c>
      <c r="B15" s="214">
        <f>PotR!I16</f>
        <v>76.626511716220421</v>
      </c>
      <c r="C15" s="196">
        <f>PotR!G16</f>
        <v>284276.16666666669</v>
      </c>
      <c r="D15" s="196">
        <f t="shared" si="3"/>
        <v>36617278.965094656</v>
      </c>
      <c r="E15" s="196">
        <f t="shared" si="0"/>
        <v>1025.6321934284235</v>
      </c>
      <c r="F15" s="215">
        <f t="shared" si="1"/>
        <v>291562788.35775745</v>
      </c>
      <c r="G15" s="216">
        <f>Dotation_PR!$D$25/Dotation_PR!$D$26*F15</f>
        <v>118364999.80444165</v>
      </c>
      <c r="H15" s="217">
        <f t="shared" si="2"/>
        <v>173197788.55331582</v>
      </c>
    </row>
    <row r="16" spans="1:12" s="187" customFormat="1" ht="15" customHeight="1" x14ac:dyDescent="0.2">
      <c r="A16" s="188" t="s">
        <v>58</v>
      </c>
      <c r="B16" s="209">
        <f>PotR!I17</f>
        <v>76.904236160513094</v>
      </c>
      <c r="C16" s="191">
        <f>PotR!G17</f>
        <v>257009.83333333334</v>
      </c>
      <c r="D16" s="191">
        <f t="shared" si="3"/>
        <v>32500713.824666355</v>
      </c>
      <c r="E16" s="191">
        <f t="shared" si="0"/>
        <v>1006.9065962301423</v>
      </c>
      <c r="F16" s="210">
        <f t="shared" si="1"/>
        <v>258784896.47934285</v>
      </c>
      <c r="G16" s="211">
        <f>Dotation_PR!$D$25/Dotation_PR!$D$26*F16</f>
        <v>105058242.83579184</v>
      </c>
      <c r="H16" s="212">
        <f t="shared" si="2"/>
        <v>153726653.64355099</v>
      </c>
    </row>
    <row r="17" spans="1:8" s="187" customFormat="1" ht="15" customHeight="1" x14ac:dyDescent="0.2">
      <c r="A17" s="193" t="s">
        <v>59</v>
      </c>
      <c r="B17" s="214">
        <f>PotR!I18</f>
        <v>143.48943455506392</v>
      </c>
      <c r="C17" s="196">
        <f>PotR!G18</f>
        <v>190754.5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 x14ac:dyDescent="0.2">
      <c r="A18" s="188" t="s">
        <v>60</v>
      </c>
      <c r="B18" s="209">
        <f>PotR!I19</f>
        <v>97.648721486863977</v>
      </c>
      <c r="C18" s="191">
        <f>PotR!G19</f>
        <v>275449.5</v>
      </c>
      <c r="D18" s="191">
        <f t="shared" si="3"/>
        <v>1029018.1476708165</v>
      </c>
      <c r="E18" s="191">
        <f t="shared" si="0"/>
        <v>29.745897144436555</v>
      </c>
      <c r="F18" s="210">
        <f t="shared" si="1"/>
        <v>8193492.4954864765</v>
      </c>
      <c r="G18" s="211">
        <f>Dotation_PR!$D$25/Dotation_PR!$D$26*F18</f>
        <v>3326291.2015916975</v>
      </c>
      <c r="H18" s="212">
        <f t="shared" si="2"/>
        <v>4867201.2938947789</v>
      </c>
    </row>
    <row r="19" spans="1:8" s="187" customFormat="1" ht="15" customHeight="1" x14ac:dyDescent="0.2">
      <c r="A19" s="193" t="s">
        <v>61</v>
      </c>
      <c r="B19" s="214">
        <f>PotR!I20</f>
        <v>98.321144283939418</v>
      </c>
      <c r="C19" s="196">
        <f>PotR!G20</f>
        <v>77323.166666666672</v>
      </c>
      <c r="D19" s="196">
        <f t="shared" si="3"/>
        <v>171860.99842880788</v>
      </c>
      <c r="E19" s="196">
        <f t="shared" si="0"/>
        <v>17.697573517107998</v>
      </c>
      <c r="F19" s="215">
        <f t="shared" si="1"/>
        <v>1368432.4266589279</v>
      </c>
      <c r="G19" s="216">
        <f>Dotation_PR!$D$25/Dotation_PR!$D$26*F19</f>
        <v>555539.01383028133</v>
      </c>
      <c r="H19" s="217">
        <f t="shared" si="2"/>
        <v>812893.4128286466</v>
      </c>
    </row>
    <row r="20" spans="1:8" s="187" customFormat="1" ht="15" customHeight="1" x14ac:dyDescent="0.2">
      <c r="A20" s="188" t="s">
        <v>62</v>
      </c>
      <c r="B20" s="209">
        <f>PotR!I21</f>
        <v>85.450998997769887</v>
      </c>
      <c r="C20" s="191">
        <f>PotR!G21</f>
        <v>53205</v>
      </c>
      <c r="D20" s="191">
        <f t="shared" si="3"/>
        <v>3299964.8195409044</v>
      </c>
      <c r="E20" s="191">
        <f t="shared" si="0"/>
        <v>493.85890448271937</v>
      </c>
      <c r="F20" s="210">
        <f t="shared" si="1"/>
        <v>26275763.013003085</v>
      </c>
      <c r="G20" s="211">
        <f>Dotation_PR!$D$25/Dotation_PR!$D$26*F20</f>
        <v>10667104.335960146</v>
      </c>
      <c r="H20" s="212">
        <f t="shared" si="2"/>
        <v>15608658.677042939</v>
      </c>
    </row>
    <row r="21" spans="1:8" s="187" customFormat="1" ht="15" customHeight="1" x14ac:dyDescent="0.2">
      <c r="A21" s="193" t="s">
        <v>63</v>
      </c>
      <c r="B21" s="214">
        <f>PotR!I22</f>
        <v>84.491995249494025</v>
      </c>
      <c r="C21" s="196">
        <f>PotR!G22</f>
        <v>15789.5</v>
      </c>
      <c r="D21" s="196">
        <f t="shared" si="3"/>
        <v>1080590.2441020212</v>
      </c>
      <c r="E21" s="196">
        <f t="shared" si="0"/>
        <v>544.92745688311425</v>
      </c>
      <c r="F21" s="215">
        <f t="shared" si="1"/>
        <v>8604132.0804559328</v>
      </c>
      <c r="G21" s="216">
        <f>Dotation_PR!$D$25/Dotation_PR!$D$26*F21</f>
        <v>3492997.5040947632</v>
      </c>
      <c r="H21" s="217">
        <f t="shared" si="2"/>
        <v>5111134.57636117</v>
      </c>
    </row>
    <row r="22" spans="1:8" s="187" customFormat="1" ht="15" customHeight="1" x14ac:dyDescent="0.2">
      <c r="A22" s="188" t="s">
        <v>64</v>
      </c>
      <c r="B22" s="209">
        <f>PotR!I23</f>
        <v>79.698728880985328</v>
      </c>
      <c r="C22" s="191">
        <f>PotR!G23</f>
        <v>483230.16666666669</v>
      </c>
      <c r="D22" s="191">
        <f t="shared" si="3"/>
        <v>50090663.731328681</v>
      </c>
      <c r="E22" s="191">
        <f t="shared" si="0"/>
        <v>825.37018066041492</v>
      </c>
      <c r="F22" s="210">
        <f t="shared" si="1"/>
        <v>398843769.96222907</v>
      </c>
      <c r="G22" s="211">
        <f>Dotation_PR!$D$25/Dotation_PR!$D$26*F22</f>
        <v>161917585.64078069</v>
      </c>
      <c r="H22" s="212">
        <f t="shared" si="2"/>
        <v>236926184.32144839</v>
      </c>
    </row>
    <row r="23" spans="1:8" s="187" customFormat="1" ht="15" customHeight="1" x14ac:dyDescent="0.2">
      <c r="A23" s="193" t="s">
        <v>65</v>
      </c>
      <c r="B23" s="214">
        <f>PotR!I24</f>
        <v>83.009982861507495</v>
      </c>
      <c r="C23" s="196">
        <f>PotR!G24</f>
        <v>199625.83333333334</v>
      </c>
      <c r="D23" s="196">
        <f t="shared" si="3"/>
        <v>15725805.678492971</v>
      </c>
      <c r="E23" s="196">
        <f t="shared" si="0"/>
        <v>627.25219392478016</v>
      </c>
      <c r="F23" s="215">
        <f t="shared" si="1"/>
        <v>125215741.92239586</v>
      </c>
      <c r="G23" s="216">
        <f>Dotation_PR!$D$25/Dotation_PR!$D$26*F23</f>
        <v>50833514.632091291</v>
      </c>
      <c r="H23" s="217">
        <f t="shared" si="2"/>
        <v>74382227.290304571</v>
      </c>
    </row>
    <row r="24" spans="1:8" s="187" customFormat="1" ht="15" customHeight="1" x14ac:dyDescent="0.2">
      <c r="A24" s="188" t="s">
        <v>66</v>
      </c>
      <c r="B24" s="209">
        <f>PotR!I25</f>
        <v>87.737146058462045</v>
      </c>
      <c r="C24" s="191">
        <f>PotR!G25</f>
        <v>616892.83333333337</v>
      </c>
      <c r="D24" s="191">
        <f t="shared" si="3"/>
        <v>29398147.928407129</v>
      </c>
      <c r="E24" s="191">
        <f t="shared" si="0"/>
        <v>379.45149849435478</v>
      </c>
      <c r="F24" s="210">
        <f t="shared" si="1"/>
        <v>234080910.01876161</v>
      </c>
      <c r="G24" s="211">
        <f>Dotation_PR!$D$25/Dotation_PR!$D$26*F24</f>
        <v>95029228.608545288</v>
      </c>
      <c r="H24" s="212">
        <f t="shared" si="2"/>
        <v>139051681.41021633</v>
      </c>
    </row>
    <row r="25" spans="1:8" s="187" customFormat="1" ht="15" customHeight="1" x14ac:dyDescent="0.2">
      <c r="A25" s="193" t="s">
        <v>67</v>
      </c>
      <c r="B25" s="214">
        <f>PotR!I26</f>
        <v>78.605740946717489</v>
      </c>
      <c r="C25" s="196">
        <f>PotR!G26</f>
        <v>251923.66666666666</v>
      </c>
      <c r="D25" s="196">
        <f t="shared" si="3"/>
        <v>28312540.274248734</v>
      </c>
      <c r="E25" s="196">
        <f t="shared" si="0"/>
        <v>894.86164641903974</v>
      </c>
      <c r="F25" s="215">
        <f t="shared" si="1"/>
        <v>225436827.12525469</v>
      </c>
      <c r="G25" s="216">
        <f>Dotation_PR!$D$25/Dotation_PR!$D$26*F25</f>
        <v>91520012.375011131</v>
      </c>
      <c r="H25" s="217">
        <f t="shared" si="2"/>
        <v>133916814.75024356</v>
      </c>
    </row>
    <row r="26" spans="1:8" s="187" customFormat="1" ht="15" customHeight="1" x14ac:dyDescent="0.2">
      <c r="A26" s="188" t="s">
        <v>68</v>
      </c>
      <c r="B26" s="209">
        <f>PotR!I27</f>
        <v>96.176431802016154</v>
      </c>
      <c r="C26" s="191">
        <f>PotR!G27</f>
        <v>338717</v>
      </c>
      <c r="D26" s="191">
        <f t="shared" si="3"/>
        <v>2677549.5685914261</v>
      </c>
      <c r="E26" s="191">
        <f t="shared" si="0"/>
        <v>62.942871465643222</v>
      </c>
      <c r="F26" s="210">
        <f t="shared" si="1"/>
        <v>21319820.594228275</v>
      </c>
      <c r="G26" s="211">
        <f>Dotation_PR!$D$25/Dotation_PR!$D$26*F26</f>
        <v>8655153.0621600281</v>
      </c>
      <c r="H26" s="212">
        <f t="shared" si="2"/>
        <v>12664667.532068247</v>
      </c>
    </row>
    <row r="27" spans="1:8" s="187" customFormat="1" ht="15" customHeight="1" x14ac:dyDescent="0.2">
      <c r="A27" s="193" t="s">
        <v>69</v>
      </c>
      <c r="B27" s="214">
        <f>PotR!I28</f>
        <v>103.88431528483098</v>
      </c>
      <c r="C27" s="196">
        <f>PotR!G28</f>
        <v>727838.5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 x14ac:dyDescent="0.2">
      <c r="A28" s="188" t="s">
        <v>70</v>
      </c>
      <c r="B28" s="209">
        <f>PotR!I29</f>
        <v>67.804562676210324</v>
      </c>
      <c r="C28" s="191">
        <f>PotR!G29</f>
        <v>319768.83333333331</v>
      </c>
      <c r="D28" s="191">
        <f t="shared" si="3"/>
        <v>67478482.442787513</v>
      </c>
      <c r="E28" s="191">
        <f t="shared" si="0"/>
        <v>1680.2550169549502</v>
      </c>
      <c r="F28" s="210">
        <f t="shared" si="1"/>
        <v>537293186.47416461</v>
      </c>
      <c r="G28" s="211">
        <f>Dotation_PR!$D$25/Dotation_PR!$D$26*F28</f>
        <v>218123541.31387645</v>
      </c>
      <c r="H28" s="212">
        <f t="shared" si="2"/>
        <v>319169645.16028816</v>
      </c>
    </row>
    <row r="29" spans="1:8" s="187" customFormat="1" ht="15" customHeight="1" x14ac:dyDescent="0.2">
      <c r="A29" s="193" t="s">
        <v>71</v>
      </c>
      <c r="B29" s="214">
        <f>PotR!I30</f>
        <v>90.516300350965707</v>
      </c>
      <c r="C29" s="196">
        <f>PotR!G30</f>
        <v>173776.66666666666</v>
      </c>
      <c r="D29" s="196">
        <f t="shared" si="3"/>
        <v>5572426.350475369</v>
      </c>
      <c r="E29" s="196">
        <f t="shared" si="0"/>
        <v>255.3282690475834</v>
      </c>
      <c r="F29" s="215">
        <f t="shared" si="1"/>
        <v>44370095.500858881</v>
      </c>
      <c r="G29" s="216">
        <f>Dotation_PR!$D$25/Dotation_PR!$D$26*F29</f>
        <v>18012814.237590566</v>
      </c>
      <c r="H29" s="217">
        <f t="shared" si="2"/>
        <v>26357281.263268314</v>
      </c>
    </row>
    <row r="30" spans="1:8" s="187" customFormat="1" ht="15" customHeight="1" x14ac:dyDescent="0.2">
      <c r="A30" s="188" t="s">
        <v>72</v>
      </c>
      <c r="B30" s="209">
        <f>PotR!I31</f>
        <v>143.31843115626671</v>
      </c>
      <c r="C30" s="191">
        <f>PotR!G31</f>
        <v>462606.16666666669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 x14ac:dyDescent="0.2">
      <c r="A31" s="193" t="s">
        <v>73</v>
      </c>
      <c r="B31" s="214">
        <f>PotR!I32</f>
        <v>63.980919752407473</v>
      </c>
      <c r="C31" s="196">
        <f>PotR!G32</f>
        <v>70204</v>
      </c>
      <c r="D31" s="196">
        <f t="shared" si="3"/>
        <v>17612588.248534489</v>
      </c>
      <c r="E31" s="196">
        <f t="shared" si="0"/>
        <v>1997.5945795243774</v>
      </c>
      <c r="F31" s="215">
        <f t="shared" si="1"/>
        <v>140239129.8609294</v>
      </c>
      <c r="G31" s="216">
        <f>Dotation_PR!$D$25/Dotation_PR!$D$26*F31</f>
        <v>56932521.025954589</v>
      </c>
      <c r="H31" s="217">
        <f t="shared" si="2"/>
        <v>83306608.83497481</v>
      </c>
    </row>
    <row r="32" spans="1:8" x14ac:dyDescent="0.2">
      <c r="A32" s="198" t="s">
        <v>74</v>
      </c>
      <c r="B32" s="222">
        <f>PotR!I33</f>
        <v>100</v>
      </c>
      <c r="C32" s="200">
        <f>PotR!G33</f>
        <v>7981769</v>
      </c>
      <c r="D32" s="200">
        <f>SUM(D6:D31)</f>
        <v>486407678.46966499</v>
      </c>
      <c r="E32" s="200"/>
      <c r="F32" s="200">
        <f>SUM(F6:F31)</f>
        <v>3872990648.7160649</v>
      </c>
      <c r="G32" s="223">
        <f>SUM(G6:G31)</f>
        <v>1572308112.2937281</v>
      </c>
      <c r="H32" s="224">
        <f>SUM(H6:H31)</f>
        <v>2300682536.4223375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 x14ac:dyDescent="0.2">
      <c r="A1" s="20" t="str">
        <f>"Recette fiscale standardisée (RFS) "&amp;Info!C30</f>
        <v>Recette fiscale standardisée (RFS) 2016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FA_2016_20150609</v>
      </c>
    </row>
    <row r="2" spans="1:10" s="2" customFormat="1" x14ac:dyDescent="0.2">
      <c r="A2" s="62" t="s">
        <v>28</v>
      </c>
      <c r="B2" s="176" t="s">
        <v>97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112</v>
      </c>
    </row>
    <row r="3" spans="1:10" s="27" customFormat="1" ht="11.25" customHeight="1" x14ac:dyDescent="0.2">
      <c r="A3" s="66" t="s">
        <v>36</v>
      </c>
      <c r="B3" s="226"/>
      <c r="C3" s="67"/>
      <c r="D3" s="67"/>
      <c r="E3" s="67" t="s">
        <v>113</v>
      </c>
      <c r="F3" s="67"/>
      <c r="G3" s="67" t="s">
        <v>114</v>
      </c>
      <c r="H3" s="227" t="s">
        <v>115</v>
      </c>
      <c r="J3" s="228" t="s">
        <v>116</v>
      </c>
    </row>
    <row r="4" spans="1:10" ht="69" customHeight="1" x14ac:dyDescent="0.2">
      <c r="A4" s="181"/>
      <c r="B4" s="229" t="s">
        <v>42</v>
      </c>
      <c r="C4" s="229" t="s">
        <v>117</v>
      </c>
      <c r="D4" s="202" t="s">
        <v>7</v>
      </c>
      <c r="E4" s="229" t="s">
        <v>118</v>
      </c>
      <c r="F4" s="202" t="s">
        <v>119</v>
      </c>
      <c r="G4" s="229" t="s">
        <v>120</v>
      </c>
      <c r="H4" s="184" t="s">
        <v>121</v>
      </c>
      <c r="I4" s="230"/>
      <c r="J4" s="231" t="s">
        <v>122</v>
      </c>
    </row>
    <row r="5" spans="1:10" s="36" customFormat="1" ht="11.25" customHeight="1" x14ac:dyDescent="0.2">
      <c r="A5" s="77" t="s">
        <v>44</v>
      </c>
      <c r="B5" s="185" t="s">
        <v>80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80</v>
      </c>
      <c r="I5" s="235"/>
      <c r="J5" s="236" t="s">
        <v>47</v>
      </c>
    </row>
    <row r="6" spans="1:10" x14ac:dyDescent="0.2">
      <c r="A6" s="237" t="s">
        <v>48</v>
      </c>
      <c r="B6" s="238">
        <f>PotR!I7</f>
        <v>120.57254245878059</v>
      </c>
      <c r="C6" s="47">
        <f>PotR!H7/PotR!$H$33*sse*D6</f>
        <v>14402126975.515078</v>
      </c>
      <c r="D6" s="239">
        <f>PotR!G7</f>
        <v>1397165.8333333333</v>
      </c>
      <c r="E6" s="47">
        <f t="shared" ref="E6:E32" si="0">C6/D6</f>
        <v>10308.101323344517</v>
      </c>
      <c r="F6" s="47">
        <f>IF(B6&gt;100,-Montants_versés!F7,Montants_reçus!F6)/D6</f>
        <v>-355.70118287493739</v>
      </c>
      <c r="G6" s="47">
        <f t="shared" ref="G6:G31" si="1">E6+F6</f>
        <v>9952.4001404695791</v>
      </c>
      <c r="H6" s="48">
        <f t="shared" ref="H6:H31" si="2">ROUND(G6/E$32*100,1)</f>
        <v>116.4</v>
      </c>
      <c r="J6" s="240">
        <f t="shared" ref="J6:J32" si="3">E6-E$32</f>
        <v>1758.8071696871993</v>
      </c>
    </row>
    <row r="7" spans="1:10" x14ac:dyDescent="0.2">
      <c r="A7" s="241" t="s">
        <v>49</v>
      </c>
      <c r="B7" s="242">
        <f>PotR!I8</f>
        <v>74.150267683591466</v>
      </c>
      <c r="C7" s="52">
        <f>PotR!H8/PotR!$H$33*sse*D7</f>
        <v>6276451079.603591</v>
      </c>
      <c r="D7" s="243">
        <f>PotR!G8</f>
        <v>990082</v>
      </c>
      <c r="E7" s="52">
        <f t="shared" si="0"/>
        <v>6339.3244999945364</v>
      </c>
      <c r="F7" s="52">
        <f>IF(B7&gt;100,-Montants_versés!F8,Montants_reçus!F7)/D7</f>
        <v>1197.8630925772723</v>
      </c>
      <c r="G7" s="52">
        <f t="shared" si="1"/>
        <v>7537.1875925718086</v>
      </c>
      <c r="H7" s="53">
        <f t="shared" si="2"/>
        <v>88.2</v>
      </c>
      <c r="J7" s="244">
        <f t="shared" si="3"/>
        <v>-2209.9696536627816</v>
      </c>
    </row>
    <row r="8" spans="1:10" x14ac:dyDescent="0.2">
      <c r="A8" s="245" t="s">
        <v>50</v>
      </c>
      <c r="B8" s="246">
        <f>PotR!I9</f>
        <v>83.450095579317605</v>
      </c>
      <c r="C8" s="56">
        <f>PotR!H9/PotR!$H$33*sse*D8</f>
        <v>2721202991.9957867</v>
      </c>
      <c r="D8" s="247">
        <f>PotR!G9</f>
        <v>381420.33333333331</v>
      </c>
      <c r="E8" s="56">
        <f t="shared" si="0"/>
        <v>7134.3941425840439</v>
      </c>
      <c r="F8" s="56">
        <f>IF(B8&gt;100,-Montants_versés!F9,Montants_reçus!F8)/D8</f>
        <v>602.38088542879984</v>
      </c>
      <c r="G8" s="56">
        <f t="shared" si="1"/>
        <v>7736.7750280128439</v>
      </c>
      <c r="H8" s="57">
        <f t="shared" si="2"/>
        <v>90.5</v>
      </c>
      <c r="J8" s="248">
        <f t="shared" si="3"/>
        <v>-1414.9000110732741</v>
      </c>
    </row>
    <row r="9" spans="1:10" x14ac:dyDescent="0.2">
      <c r="A9" s="241" t="s">
        <v>51</v>
      </c>
      <c r="B9" s="242">
        <f>PotR!I10</f>
        <v>64.139896819236725</v>
      </c>
      <c r="C9" s="52">
        <f>PotR!H10/PotR!$H$33*sse*D9</f>
        <v>194597833.91751194</v>
      </c>
      <c r="D9" s="243">
        <f>PotR!G10</f>
        <v>35487.833333333336</v>
      </c>
      <c r="E9" s="52">
        <f t="shared" si="0"/>
        <v>5483.508448928842</v>
      </c>
      <c r="F9" s="52">
        <f>IF(B9&gt;100,-Montants_versés!F10,Montants_reçus!F9)/D9</f>
        <v>1984.0194165292799</v>
      </c>
      <c r="G9" s="52">
        <f t="shared" si="1"/>
        <v>7467.5278654581216</v>
      </c>
      <c r="H9" s="53">
        <f t="shared" si="2"/>
        <v>87.3</v>
      </c>
      <c r="J9" s="244">
        <f t="shared" si="3"/>
        <v>-3065.785704728476</v>
      </c>
    </row>
    <row r="10" spans="1:10" x14ac:dyDescent="0.2">
      <c r="A10" s="245" t="s">
        <v>52</v>
      </c>
      <c r="B10" s="246">
        <f>PotR!I11</f>
        <v>170.5987463189451</v>
      </c>
      <c r="C10" s="56">
        <f>PotR!H11/PotR!$H$33*sse*D10</f>
        <v>2158733892.7104373</v>
      </c>
      <c r="D10" s="247">
        <f>PotR!G11</f>
        <v>148010.66666666666</v>
      </c>
      <c r="E10" s="56">
        <f t="shared" si="0"/>
        <v>14584.988645258252</v>
      </c>
      <c r="F10" s="56">
        <f>IF(B10&gt;100,-Montants_versés!F11,Montants_reçus!F10)/D10</f>
        <v>-1220.6589256262928</v>
      </c>
      <c r="G10" s="56">
        <f t="shared" si="1"/>
        <v>13364.32971963196</v>
      </c>
      <c r="H10" s="57">
        <f t="shared" si="2"/>
        <v>156.30000000000001</v>
      </c>
      <c r="J10" s="248">
        <f t="shared" si="3"/>
        <v>6035.6944916009343</v>
      </c>
    </row>
    <row r="11" spans="1:10" x14ac:dyDescent="0.2">
      <c r="A11" s="241" t="s">
        <v>53</v>
      </c>
      <c r="B11" s="242">
        <f>PotR!I12</f>
        <v>91.704640161988308</v>
      </c>
      <c r="C11" s="52">
        <f>PotR!H12/PotR!$H$33*sse*D11</f>
        <v>281683012.73008841</v>
      </c>
      <c r="D11" s="243">
        <f>PotR!G12</f>
        <v>35928.5</v>
      </c>
      <c r="E11" s="52">
        <f t="shared" si="0"/>
        <v>7840.0994400013478</v>
      </c>
      <c r="F11" s="52">
        <f>IF(B11&gt;100,-Montants_versés!F12,Montants_reçus!F11)/D11</f>
        <v>207.71586379659621</v>
      </c>
      <c r="G11" s="52">
        <f t="shared" si="1"/>
        <v>8047.8153037979437</v>
      </c>
      <c r="H11" s="53">
        <f t="shared" si="2"/>
        <v>94.1</v>
      </c>
      <c r="J11" s="244">
        <f t="shared" si="3"/>
        <v>-709.19471365597019</v>
      </c>
    </row>
    <row r="12" spans="1:10" x14ac:dyDescent="0.2">
      <c r="A12" s="245" t="s">
        <v>54</v>
      </c>
      <c r="B12" s="246">
        <f>PotR!I13</f>
        <v>143.9020211060292</v>
      </c>
      <c r="C12" s="56">
        <f>PotR!H13/PotR!$H$33*sse*D12</f>
        <v>506104649.95059431</v>
      </c>
      <c r="D12" s="247">
        <f>PotR!G13</f>
        <v>41138</v>
      </c>
      <c r="E12" s="56">
        <f t="shared" si="0"/>
        <v>12302.607077412473</v>
      </c>
      <c r="F12" s="56">
        <f>IF(B12&gt;100,-Montants_versés!F13,Montants_reçus!F12)/D12</f>
        <v>-759.07005025282956</v>
      </c>
      <c r="G12" s="56">
        <f t="shared" si="1"/>
        <v>11543.537027159644</v>
      </c>
      <c r="H12" s="57">
        <f t="shared" si="2"/>
        <v>135</v>
      </c>
      <c r="J12" s="248">
        <f t="shared" si="3"/>
        <v>3753.3129237551548</v>
      </c>
    </row>
    <row r="13" spans="1:10" x14ac:dyDescent="0.2">
      <c r="A13" s="241" t="s">
        <v>55</v>
      </c>
      <c r="B13" s="242">
        <f>PotR!I14</f>
        <v>70.471205075667825</v>
      </c>
      <c r="C13" s="52">
        <f>PotR!H14/PotR!$H$33*sse*D13</f>
        <v>236745151.36964646</v>
      </c>
      <c r="D13" s="243">
        <f>PotR!G14</f>
        <v>39295.166666666664</v>
      </c>
      <c r="E13" s="52">
        <f t="shared" si="0"/>
        <v>6024.7906155459277</v>
      </c>
      <c r="F13" s="52">
        <f>IF(B13&gt;100,-Montants_versés!F14,Montants_reçus!F13)/D13</f>
        <v>1470.5927718657917</v>
      </c>
      <c r="G13" s="52">
        <f t="shared" si="1"/>
        <v>7495.383387411719</v>
      </c>
      <c r="H13" s="53">
        <f t="shared" si="2"/>
        <v>87.7</v>
      </c>
      <c r="J13" s="244">
        <f t="shared" si="3"/>
        <v>-2524.5035381113903</v>
      </c>
    </row>
    <row r="14" spans="1:10" x14ac:dyDescent="0.2">
      <c r="A14" s="245" t="s">
        <v>56</v>
      </c>
      <c r="B14" s="246">
        <f>PotR!I15</f>
        <v>263.48322957206159</v>
      </c>
      <c r="C14" s="56">
        <f>PotR!H15/PotR!$H$33*sse*D14</f>
        <v>2587091068.5367727</v>
      </c>
      <c r="D14" s="247">
        <f>PotR!G15</f>
        <v>114849.33333333333</v>
      </c>
      <c r="E14" s="56">
        <f t="shared" si="0"/>
        <v>22525.95634167175</v>
      </c>
      <c r="F14" s="56">
        <f>IF(B14&gt;100,-Montants_versés!F15,Montants_reçus!F14)/D14</f>
        <v>-2826.6403268098584</v>
      </c>
      <c r="G14" s="56">
        <f t="shared" si="1"/>
        <v>19699.316014861892</v>
      </c>
      <c r="H14" s="57">
        <f t="shared" si="2"/>
        <v>230.4</v>
      </c>
      <c r="J14" s="248">
        <f t="shared" si="3"/>
        <v>13976.662188014432</v>
      </c>
    </row>
    <row r="15" spans="1:10" x14ac:dyDescent="0.2">
      <c r="A15" s="241" t="s">
        <v>57</v>
      </c>
      <c r="B15" s="242">
        <f>PotR!I16</f>
        <v>76.626511716220421</v>
      </c>
      <c r="C15" s="52">
        <f>PotR!H16/PotR!$H$33*sse*D15</f>
        <v>1862300526.6932783</v>
      </c>
      <c r="D15" s="243">
        <f>PotR!G16</f>
        <v>284276.16666666669</v>
      </c>
      <c r="E15" s="52">
        <f t="shared" si="0"/>
        <v>6551.0258863063727</v>
      </c>
      <c r="F15" s="52">
        <f>IF(B15&gt;100,-Montants_versés!F16,Montants_reçus!F15)/D15</f>
        <v>1025.6321934284235</v>
      </c>
      <c r="G15" s="52">
        <f t="shared" si="1"/>
        <v>7576.658079734796</v>
      </c>
      <c r="H15" s="53">
        <f t="shared" si="2"/>
        <v>88.6</v>
      </c>
      <c r="J15" s="244">
        <f t="shared" si="3"/>
        <v>-1998.2682673509453</v>
      </c>
    </row>
    <row r="16" spans="1:10" x14ac:dyDescent="0.2">
      <c r="A16" s="245" t="s">
        <v>58</v>
      </c>
      <c r="B16" s="246">
        <f>PotR!I17</f>
        <v>76.904236160513094</v>
      </c>
      <c r="C16" s="56">
        <f>PotR!H17/PotR!$H$33*sse*D16</f>
        <v>1689780378.9570553</v>
      </c>
      <c r="D16" s="247">
        <f>PotR!G17</f>
        <v>257009.83333333334</v>
      </c>
      <c r="E16" s="56">
        <f t="shared" si="0"/>
        <v>6574.7693659855631</v>
      </c>
      <c r="F16" s="56">
        <f>IF(B16&gt;100,-Montants_versés!F17,Montants_reçus!F16)/D16</f>
        <v>1006.9065962301423</v>
      </c>
      <c r="G16" s="56">
        <f t="shared" si="1"/>
        <v>7581.6759622157051</v>
      </c>
      <c r="H16" s="57">
        <f t="shared" si="2"/>
        <v>88.7</v>
      </c>
      <c r="J16" s="248">
        <f t="shared" si="3"/>
        <v>-1974.5247876717549</v>
      </c>
    </row>
    <row r="17" spans="1:10" x14ac:dyDescent="0.2">
      <c r="A17" s="241" t="s">
        <v>59</v>
      </c>
      <c r="B17" s="242">
        <f>PotR!I18</f>
        <v>143.48943455506392</v>
      </c>
      <c r="C17" s="52">
        <f>PotR!H18/PotR!$H$33*sse*D17</f>
        <v>2340049132.8930111</v>
      </c>
      <c r="D17" s="243">
        <f>PotR!G18</f>
        <v>190754.5</v>
      </c>
      <c r="E17" s="52">
        <f t="shared" si="0"/>
        <v>12267.333839532022</v>
      </c>
      <c r="F17" s="52">
        <f>IF(B17&gt;100,-Montants_versés!F18,Montants_reçus!F17)/D17</f>
        <v>-751.93639020518685</v>
      </c>
      <c r="G17" s="52">
        <f t="shared" si="1"/>
        <v>11515.397449326836</v>
      </c>
      <c r="H17" s="53">
        <f t="shared" si="2"/>
        <v>134.69999999999999</v>
      </c>
      <c r="J17" s="244">
        <f t="shared" si="3"/>
        <v>3718.0396858747044</v>
      </c>
    </row>
    <row r="18" spans="1:10" x14ac:dyDescent="0.2">
      <c r="A18" s="245" t="s">
        <v>60</v>
      </c>
      <c r="B18" s="246">
        <f>PotR!I19</f>
        <v>97.648721486863977</v>
      </c>
      <c r="C18" s="56">
        <f>PotR!H19/PotR!$H$33*sse*D18</f>
        <v>2299528570.4878545</v>
      </c>
      <c r="D18" s="247">
        <f>PotR!G19</f>
        <v>275449.5</v>
      </c>
      <c r="E18" s="56">
        <f t="shared" si="0"/>
        <v>8348.2764371975791</v>
      </c>
      <c r="F18" s="56">
        <f>IF(B18&gt;100,-Montants_versés!F19,Montants_reçus!F18)/D18</f>
        <v>29.745897144436555</v>
      </c>
      <c r="G18" s="56">
        <f t="shared" si="1"/>
        <v>8378.0223343420148</v>
      </c>
      <c r="H18" s="57">
        <f t="shared" si="2"/>
        <v>98</v>
      </c>
      <c r="J18" s="248">
        <f t="shared" si="3"/>
        <v>-201.01771645973895</v>
      </c>
    </row>
    <row r="19" spans="1:10" x14ac:dyDescent="0.2">
      <c r="A19" s="241" t="s">
        <v>61</v>
      </c>
      <c r="B19" s="242">
        <f>PotR!I20</f>
        <v>98.321144283939418</v>
      </c>
      <c r="C19" s="52">
        <f>PotR!H20/PotR!$H$33*sse*D19</f>
        <v>649960278.36682189</v>
      </c>
      <c r="D19" s="243">
        <f>PotR!G20</f>
        <v>77323.166666666672</v>
      </c>
      <c r="E19" s="52">
        <f t="shared" si="0"/>
        <v>8405.7638400758096</v>
      </c>
      <c r="F19" s="52">
        <f>IF(B19&gt;100,-Montants_versés!F20,Montants_reçus!F19)/D19</f>
        <v>17.697573517107998</v>
      </c>
      <c r="G19" s="52">
        <f t="shared" si="1"/>
        <v>8423.4614135929169</v>
      </c>
      <c r="H19" s="53">
        <f t="shared" si="2"/>
        <v>98.5</v>
      </c>
      <c r="J19" s="244">
        <f t="shared" si="3"/>
        <v>-143.53031358150838</v>
      </c>
    </row>
    <row r="20" spans="1:10" x14ac:dyDescent="0.2">
      <c r="A20" s="245" t="s">
        <v>62</v>
      </c>
      <c r="B20" s="246">
        <f>PotR!I21</f>
        <v>85.450998997769887</v>
      </c>
      <c r="C20" s="56">
        <f>PotR!H21/PotR!$H$33*sse*D20</f>
        <v>388686853.60119951</v>
      </c>
      <c r="D20" s="247">
        <f>PotR!G21</f>
        <v>53205</v>
      </c>
      <c r="E20" s="56">
        <f t="shared" si="0"/>
        <v>7305.4572615581146</v>
      </c>
      <c r="F20" s="56">
        <f>IF(B20&gt;100,-Montants_versés!F21,Montants_reçus!F20)/D20</f>
        <v>493.85890448271937</v>
      </c>
      <c r="G20" s="56">
        <f t="shared" si="1"/>
        <v>7799.3161660408341</v>
      </c>
      <c r="H20" s="57">
        <f t="shared" si="2"/>
        <v>91.2</v>
      </c>
      <c r="J20" s="248">
        <f t="shared" si="3"/>
        <v>-1243.8368920992034</v>
      </c>
    </row>
    <row r="21" spans="1:10" x14ac:dyDescent="0.2">
      <c r="A21" s="241" t="s">
        <v>63</v>
      </c>
      <c r="B21" s="242">
        <f>PotR!I22</f>
        <v>84.491995249494025</v>
      </c>
      <c r="C21" s="52">
        <f>PotR!H22/PotR!$H$33*sse*D21</f>
        <v>114054967.09403308</v>
      </c>
      <c r="D21" s="243">
        <f>PotR!G22</f>
        <v>15789.5</v>
      </c>
      <c r="E21" s="52">
        <f t="shared" si="0"/>
        <v>7223.4692101734108</v>
      </c>
      <c r="F21" s="52">
        <f>IF(B21&gt;100,-Montants_versés!F22,Montants_reçus!F21)/D21</f>
        <v>544.92745688311425</v>
      </c>
      <c r="G21" s="52">
        <f t="shared" si="1"/>
        <v>7768.3966670565251</v>
      </c>
      <c r="H21" s="53">
        <f t="shared" si="2"/>
        <v>90.9</v>
      </c>
      <c r="J21" s="244">
        <f t="shared" si="3"/>
        <v>-1325.8249434839072</v>
      </c>
    </row>
    <row r="22" spans="1:10" x14ac:dyDescent="0.2">
      <c r="A22" s="245" t="s">
        <v>64</v>
      </c>
      <c r="B22" s="246">
        <f>PotR!I23</f>
        <v>79.698728880985328</v>
      </c>
      <c r="C22" s="56">
        <f>PotR!H23/PotR!$H$33*sse*D22</f>
        <v>3292575127.0416393</v>
      </c>
      <c r="D22" s="247">
        <f>PotR!G23</f>
        <v>483230.16666666669</v>
      </c>
      <c r="E22" s="56">
        <f t="shared" si="0"/>
        <v>6813.678768761275</v>
      </c>
      <c r="F22" s="56">
        <f>IF(B22&gt;100,-Montants_versés!F23,Montants_reçus!F22)/D22</f>
        <v>825.37018066041492</v>
      </c>
      <c r="G22" s="56">
        <f t="shared" si="1"/>
        <v>7639.0489494216899</v>
      </c>
      <c r="H22" s="57">
        <f t="shared" si="2"/>
        <v>89.4</v>
      </c>
      <c r="J22" s="248">
        <f t="shared" si="3"/>
        <v>-1735.615384896043</v>
      </c>
    </row>
    <row r="23" spans="1:10" x14ac:dyDescent="0.2">
      <c r="A23" s="241" t="s">
        <v>65</v>
      </c>
      <c r="B23" s="242">
        <f>PotR!I24</f>
        <v>83.009982861507495</v>
      </c>
      <c r="C23" s="52">
        <f>PotR!H24/PotR!$H$33*sse*D23</f>
        <v>1416698148.4647713</v>
      </c>
      <c r="D23" s="243">
        <f>PotR!G24</f>
        <v>199625.83333333334</v>
      </c>
      <c r="E23" s="52">
        <f t="shared" si="0"/>
        <v>7096.7676117308019</v>
      </c>
      <c r="F23" s="52">
        <f>IF(B23&gt;100,-Montants_versés!F24,Montants_reçus!F23)/D23</f>
        <v>627.25219392478016</v>
      </c>
      <c r="G23" s="52">
        <f t="shared" si="1"/>
        <v>7724.0198056555819</v>
      </c>
      <c r="H23" s="53">
        <f t="shared" si="2"/>
        <v>90.3</v>
      </c>
      <c r="J23" s="244">
        <f t="shared" si="3"/>
        <v>-1452.5265419265161</v>
      </c>
    </row>
    <row r="24" spans="1:10" x14ac:dyDescent="0.2">
      <c r="A24" s="245" t="s">
        <v>66</v>
      </c>
      <c r="B24" s="246">
        <f>PotR!I25</f>
        <v>87.737146058462045</v>
      </c>
      <c r="C24" s="56">
        <f>PotR!H25/PotR!$H$33*sse*D24</f>
        <v>4627255585.8448162</v>
      </c>
      <c r="D24" s="247">
        <f>PotR!G25</f>
        <v>616892.83333333337</v>
      </c>
      <c r="E24" s="56">
        <f t="shared" si="0"/>
        <v>7500.9066985618774</v>
      </c>
      <c r="F24" s="56">
        <f>IF(B24&gt;100,-Montants_versés!F25,Montants_reçus!F24)/D24</f>
        <v>379.45149849435478</v>
      </c>
      <c r="G24" s="56">
        <f t="shared" si="1"/>
        <v>7880.3581970562318</v>
      </c>
      <c r="H24" s="57">
        <f t="shared" si="2"/>
        <v>92.2</v>
      </c>
      <c r="J24" s="248">
        <f t="shared" si="3"/>
        <v>-1048.3874550954406</v>
      </c>
    </row>
    <row r="25" spans="1:10" x14ac:dyDescent="0.2">
      <c r="A25" s="241" t="s">
        <v>67</v>
      </c>
      <c r="B25" s="242">
        <f>PotR!I26</f>
        <v>78.605740946717489</v>
      </c>
      <c r="C25" s="52">
        <f>PotR!H26/PotR!$H$33*sse*D25</f>
        <v>1692986497.8137505</v>
      </c>
      <c r="D25" s="243">
        <f>PotR!G26</f>
        <v>251923.66666666666</v>
      </c>
      <c r="E25" s="52">
        <f t="shared" si="0"/>
        <v>6720.236015196735</v>
      </c>
      <c r="F25" s="52">
        <f>IF(B25&gt;100,-Montants_versés!F26,Montants_reçus!F25)/D25</f>
        <v>894.86164641903974</v>
      </c>
      <c r="G25" s="52">
        <f t="shared" si="1"/>
        <v>7615.097661615775</v>
      </c>
      <c r="H25" s="53">
        <f t="shared" si="2"/>
        <v>89.1</v>
      </c>
      <c r="J25" s="244">
        <f t="shared" si="3"/>
        <v>-1829.058138460583</v>
      </c>
    </row>
    <row r="26" spans="1:10" x14ac:dyDescent="0.2">
      <c r="A26" s="245" t="s">
        <v>68</v>
      </c>
      <c r="B26" s="246">
        <f>PotR!I27</f>
        <v>96.176431802016154</v>
      </c>
      <c r="C26" s="56">
        <f>PotR!H27/PotR!$H$33*sse*D26</f>
        <v>2785068713.8470559</v>
      </c>
      <c r="D26" s="247">
        <f>PotR!G27</f>
        <v>338717</v>
      </c>
      <c r="E26" s="56">
        <f t="shared" si="0"/>
        <v>8222.4060612459834</v>
      </c>
      <c r="F26" s="56">
        <f>IF(B26&gt;100,-Montants_versés!F27,Montants_reçus!F26)/D26</f>
        <v>62.942871465643222</v>
      </c>
      <c r="G26" s="56">
        <f t="shared" si="1"/>
        <v>8285.3489327116258</v>
      </c>
      <c r="H26" s="57">
        <f t="shared" si="2"/>
        <v>96.9</v>
      </c>
      <c r="J26" s="248">
        <f t="shared" si="3"/>
        <v>-326.88809241133458</v>
      </c>
    </row>
    <row r="27" spans="1:10" x14ac:dyDescent="0.2">
      <c r="A27" s="241" t="s">
        <v>69</v>
      </c>
      <c r="B27" s="242">
        <f>PotR!I28</f>
        <v>103.88431528483098</v>
      </c>
      <c r="C27" s="52">
        <f>PotR!H28/PotR!$H$33*sse*D27</f>
        <v>6464207162.4846039</v>
      </c>
      <c r="D27" s="243">
        <f>PotR!G28</f>
        <v>727838.5</v>
      </c>
      <c r="E27" s="52">
        <f t="shared" si="0"/>
        <v>8881.3756932129909</v>
      </c>
      <c r="F27" s="52">
        <f>IF(B27&gt;100,-Montants_versés!F28,Montants_reçus!F27)/D27</f>
        <v>-67.160174501614478</v>
      </c>
      <c r="G27" s="52">
        <f t="shared" si="1"/>
        <v>8814.2155187113767</v>
      </c>
      <c r="H27" s="53">
        <f t="shared" si="2"/>
        <v>103.1</v>
      </c>
      <c r="J27" s="244">
        <f t="shared" si="3"/>
        <v>332.08153955567286</v>
      </c>
    </row>
    <row r="28" spans="1:10" x14ac:dyDescent="0.2">
      <c r="A28" s="245" t="s">
        <v>70</v>
      </c>
      <c r="B28" s="246">
        <f>PotR!I29</f>
        <v>67.804562676210324</v>
      </c>
      <c r="C28" s="56">
        <f>PotR!H29/PotR!$H$33*sse*D28</f>
        <v>1853639654.4981449</v>
      </c>
      <c r="D28" s="247">
        <f>PotR!G29</f>
        <v>319768.83333333331</v>
      </c>
      <c r="E28" s="56">
        <f t="shared" si="0"/>
        <v>5796.811512790161</v>
      </c>
      <c r="F28" s="56">
        <f>IF(B28&gt;100,-Montants_versés!F29,Montants_reçus!F28)/D28</f>
        <v>1680.2550169549502</v>
      </c>
      <c r="G28" s="56">
        <f t="shared" si="1"/>
        <v>7477.0665297451114</v>
      </c>
      <c r="H28" s="57">
        <f t="shared" si="2"/>
        <v>87.5</v>
      </c>
      <c r="J28" s="248">
        <f t="shared" si="3"/>
        <v>-2752.482640867157</v>
      </c>
    </row>
    <row r="29" spans="1:10" x14ac:dyDescent="0.2">
      <c r="A29" s="241" t="s">
        <v>71</v>
      </c>
      <c r="B29" s="242">
        <f>PotR!I30</f>
        <v>90.516300350965707</v>
      </c>
      <c r="C29" s="52">
        <f>PotR!H30/PotR!$H$33*sse*D29</f>
        <v>1344771564.6118937</v>
      </c>
      <c r="D29" s="243">
        <f>PotR!G30</f>
        <v>173776.66666666666</v>
      </c>
      <c r="E29" s="52">
        <f t="shared" si="0"/>
        <v>7738.5047740120099</v>
      </c>
      <c r="F29" s="52">
        <f>IF(B29&gt;100,-Montants_versés!F30,Montants_reçus!F29)/D29</f>
        <v>255.3282690475834</v>
      </c>
      <c r="G29" s="52">
        <f t="shared" si="1"/>
        <v>7993.8330430595934</v>
      </c>
      <c r="H29" s="53">
        <f t="shared" si="2"/>
        <v>93.5</v>
      </c>
      <c r="J29" s="244">
        <f t="shared" si="3"/>
        <v>-810.78937964530814</v>
      </c>
    </row>
    <row r="30" spans="1:10" x14ac:dyDescent="0.2">
      <c r="A30" s="245" t="s">
        <v>72</v>
      </c>
      <c r="B30" s="246">
        <f>PotR!I31</f>
        <v>143.31843115626671</v>
      </c>
      <c r="C30" s="56">
        <f>PotR!H31/PotR!$H$33*sse*D30</f>
        <v>5668181173.2098703</v>
      </c>
      <c r="D30" s="247">
        <f>PotR!G31</f>
        <v>462606.16666666669</v>
      </c>
      <c r="E30" s="56">
        <f t="shared" si="0"/>
        <v>12252.7142559561</v>
      </c>
      <c r="F30" s="56">
        <f>IF(B30&gt;100,-Montants_versés!F31,Montants_reçus!F30)/D30</f>
        <v>-748.97972544925437</v>
      </c>
      <c r="G30" s="56">
        <f t="shared" si="1"/>
        <v>11503.734530506845</v>
      </c>
      <c r="H30" s="57">
        <f t="shared" si="2"/>
        <v>134.6</v>
      </c>
      <c r="J30" s="248">
        <f t="shared" si="3"/>
        <v>3703.4201022987818</v>
      </c>
    </row>
    <row r="31" spans="1:10" x14ac:dyDescent="0.2">
      <c r="A31" s="241" t="s">
        <v>73</v>
      </c>
      <c r="B31" s="249">
        <f>PotR!I32</f>
        <v>63.980919752407473</v>
      </c>
      <c r="C31" s="130">
        <f>PotR!H32/PotR!$H$33*sse*D31</f>
        <v>384010055.30390978</v>
      </c>
      <c r="D31" s="250">
        <f>PotR!G32</f>
        <v>70204</v>
      </c>
      <c r="E31" s="130">
        <f t="shared" si="0"/>
        <v>5469.9170318487522</v>
      </c>
      <c r="F31" s="130">
        <f>IF(B31&gt;100,-Montants_versés!F32,Montants_reçus!F31)/D31</f>
        <v>1997.5945795243774</v>
      </c>
      <c r="G31" s="130">
        <f t="shared" si="1"/>
        <v>7467.5116113731292</v>
      </c>
      <c r="H31" s="251">
        <f t="shared" si="2"/>
        <v>87.3</v>
      </c>
      <c r="J31" s="252">
        <f t="shared" si="3"/>
        <v>-3079.3771218085658</v>
      </c>
    </row>
    <row r="32" spans="1:10" s="187" customFormat="1" ht="15" customHeight="1" x14ac:dyDescent="0.2">
      <c r="A32" s="198" t="s">
        <v>123</v>
      </c>
      <c r="B32" s="222">
        <f>PotR!I33</f>
        <v>100</v>
      </c>
      <c r="C32" s="200">
        <f>SUM(C6:C31)</f>
        <v>68238491047.543213</v>
      </c>
      <c r="D32" s="253">
        <f>SUM(D6:D31)</f>
        <v>7981769</v>
      </c>
      <c r="E32" s="200">
        <f t="shared" si="0"/>
        <v>8549.294153657318</v>
      </c>
      <c r="F32" s="200"/>
      <c r="G32" s="200"/>
      <c r="H32" s="254"/>
      <c r="J32" s="255">
        <f t="shared" si="3"/>
        <v>0</v>
      </c>
    </row>
    <row r="33" spans="1:10" s="256" customFormat="1" ht="18.75" customHeight="1" x14ac:dyDescent="0.2">
      <c r="A33" s="257" t="s">
        <v>124</v>
      </c>
      <c r="B33" s="258">
        <f>MIN(B6:B31)</f>
        <v>63.980919752407473</v>
      </c>
      <c r="C33" s="258"/>
      <c r="D33" s="259"/>
      <c r="E33" s="260"/>
      <c r="F33" s="260"/>
      <c r="G33" s="260"/>
      <c r="H33" s="261">
        <f>MIN(H6:H31)</f>
        <v>87.3</v>
      </c>
    </row>
    <row r="34" spans="1:10" s="2" customFormat="1" ht="14.25" customHeight="1" x14ac:dyDescent="0.2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 x14ac:dyDescent="0.2">
      <c r="A35" s="315" t="str">
        <f>"Taux fiscal standardisé "&amp;Info!C30</f>
        <v>Taux fiscal standardisé 2016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 x14ac:dyDescent="0.2">
      <c r="A36" s="181"/>
      <c r="B36" s="264"/>
      <c r="C36" s="264"/>
      <c r="D36" s="265" t="s">
        <v>44</v>
      </c>
      <c r="E36" s="66" t="s">
        <v>36</v>
      </c>
      <c r="F36" s="266">
        <v>2010</v>
      </c>
      <c r="G36" s="267">
        <v>2011</v>
      </c>
      <c r="H36" s="268">
        <v>2012</v>
      </c>
      <c r="I36" s="269"/>
      <c r="J36" s="270" t="str">
        <f>F36&amp;" - "&amp;H36</f>
        <v>2010 - 2012</v>
      </c>
    </row>
    <row r="37" spans="1:10" ht="15" customHeight="1" x14ac:dyDescent="0.2">
      <c r="A37" s="271" t="s">
        <v>125</v>
      </c>
      <c r="B37" s="264"/>
      <c r="C37" s="264"/>
      <c r="D37" s="272" t="s">
        <v>45</v>
      </c>
      <c r="E37" s="273"/>
      <c r="F37" s="274">
        <v>63649980.453129999</v>
      </c>
      <c r="G37" s="275">
        <v>65476103.729120001</v>
      </c>
      <c r="H37" s="276">
        <v>66389128.453560002</v>
      </c>
      <c r="I37" s="277"/>
      <c r="J37" s="278"/>
    </row>
    <row r="38" spans="1:10" ht="15" customHeight="1" x14ac:dyDescent="0.2">
      <c r="A38" s="271" t="s">
        <v>126</v>
      </c>
      <c r="B38" s="264"/>
      <c r="C38" s="264"/>
      <c r="D38" s="272" t="s">
        <v>45</v>
      </c>
      <c r="E38" s="273"/>
      <c r="F38" s="274">
        <v>17886013.38312</v>
      </c>
      <c r="G38" s="275">
        <v>17891142.747850001</v>
      </c>
      <c r="H38" s="276">
        <v>18342023.320909999</v>
      </c>
      <c r="I38" s="279"/>
      <c r="J38" s="280"/>
    </row>
    <row r="39" spans="1:10" ht="15" customHeight="1" x14ac:dyDescent="0.2">
      <c r="A39" s="271" t="s">
        <v>127</v>
      </c>
      <c r="B39" s="264"/>
      <c r="C39" s="264"/>
      <c r="D39" s="272" t="s">
        <v>45</v>
      </c>
      <c r="E39" s="273" t="s">
        <v>128</v>
      </c>
      <c r="F39" s="281">
        <f>0.17*F38</f>
        <v>3040622.2751304004</v>
      </c>
      <c r="G39" s="282">
        <f>0.17*G38</f>
        <v>3041494.2671345002</v>
      </c>
      <c r="H39" s="283">
        <f>0.17*H38</f>
        <v>3118143.9645547001</v>
      </c>
      <c r="I39" s="284"/>
      <c r="J39" s="285"/>
    </row>
    <row r="40" spans="1:10" ht="15.75" customHeight="1" x14ac:dyDescent="0.2">
      <c r="A40" s="286" t="s">
        <v>129</v>
      </c>
      <c r="B40" s="287"/>
      <c r="C40" s="287"/>
      <c r="D40" s="288" t="s">
        <v>45</v>
      </c>
      <c r="E40" s="289" t="s">
        <v>130</v>
      </c>
      <c r="F40" s="290">
        <f>F37+F39</f>
        <v>66690602.728260398</v>
      </c>
      <c r="G40" s="291">
        <f>G37+G39</f>
        <v>68517597.996254504</v>
      </c>
      <c r="H40" s="291">
        <f>H37+H39</f>
        <v>69507272.418114707</v>
      </c>
      <c r="I40" s="141"/>
      <c r="J40" s="292">
        <f>AVERAGE(F40:H40)</f>
        <v>68238491.047543213</v>
      </c>
    </row>
    <row r="41" spans="1:10" ht="15" customHeight="1" x14ac:dyDescent="0.2">
      <c r="A41" s="271" t="s">
        <v>131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7981769</v>
      </c>
    </row>
    <row r="42" spans="1:10" ht="15.75" customHeight="1" x14ac:dyDescent="0.2">
      <c r="A42" s="286" t="s">
        <v>132</v>
      </c>
      <c r="B42" s="287"/>
      <c r="C42" s="287"/>
      <c r="D42" s="288" t="s">
        <v>47</v>
      </c>
      <c r="E42" s="289" t="s">
        <v>133</v>
      </c>
      <c r="F42" s="295"/>
      <c r="G42" s="141"/>
      <c r="H42" s="141"/>
      <c r="I42" s="141"/>
      <c r="J42" s="296">
        <f>J40/J41*1000</f>
        <v>8549.294153657318</v>
      </c>
    </row>
    <row r="43" spans="1:10" ht="15" customHeight="1" x14ac:dyDescent="0.2">
      <c r="A43" s="271" t="s">
        <v>134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32050.909252869991</v>
      </c>
    </row>
    <row r="44" spans="1:10" ht="15.75" customHeight="1" x14ac:dyDescent="0.2">
      <c r="A44" s="286" t="s">
        <v>135</v>
      </c>
      <c r="B44" s="287"/>
      <c r="C44" s="287"/>
      <c r="D44" s="288" t="s">
        <v>81</v>
      </c>
      <c r="E44" s="289" t="s">
        <v>136</v>
      </c>
      <c r="F44" s="295"/>
      <c r="G44" s="141"/>
      <c r="H44" s="141"/>
      <c r="I44" s="141"/>
      <c r="J44" s="297">
        <f>sse/J43</f>
        <v>0.26674108014242293</v>
      </c>
    </row>
    <row r="48" spans="1:10" x14ac:dyDescent="0.2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2011-12-23T16:40:47Z</cp:lastPrinted>
  <dcterms:created xsi:type="dcterms:W3CDTF">2010-11-03T16:06:04Z</dcterms:created>
  <dcterms:modified xsi:type="dcterms:W3CDTF">2015-06-18T12:52:32Z</dcterms:modified>
</cp:coreProperties>
</file>