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Berechnungen_FA\01_RA\2016\Output\Französisch\"/>
    </mc:Choice>
  </mc:AlternateContent>
  <bookViews>
    <workbookView xWindow="-15" yWindow="-120" windowWidth="20730" windowHeight="6060"/>
  </bookViews>
  <sheets>
    <sheet name="Info" sheetId="1" r:id="rId1"/>
    <sheet name="Salaires_bruts" sheetId="2" r:id="rId2"/>
    <sheet name="Gamma" sheetId="3" r:id="rId3"/>
    <sheet name="Calculation_RIS" sheetId="4" r:id="rId4"/>
  </sheets>
  <definedNames>
    <definedName name="gamma">Gamma!$C$7</definedName>
    <definedName name="sst">Calculation_RIS!$V$14</definedName>
  </definedNames>
  <calcPr calcId="152511"/>
</workbook>
</file>

<file path=xl/calcChain.xml><?xml version="1.0" encoding="utf-8"?>
<calcChain xmlns="http://schemas.openxmlformats.org/spreadsheetml/2006/main">
  <c r="O39" i="4" l="1"/>
  <c r="J38" i="4"/>
  <c r="J37" i="4"/>
  <c r="J36" i="4"/>
  <c r="G36" i="4"/>
  <c r="J35" i="4"/>
  <c r="J34" i="4"/>
  <c r="J33" i="4"/>
  <c r="E33" i="4"/>
  <c r="J32" i="4"/>
  <c r="J31" i="4"/>
  <c r="G31" i="4"/>
  <c r="J30" i="4"/>
  <c r="E30" i="4"/>
  <c r="J29" i="4"/>
  <c r="J28" i="4"/>
  <c r="G28" i="4"/>
  <c r="J27" i="4"/>
  <c r="J26" i="4"/>
  <c r="J25" i="4"/>
  <c r="E25" i="4"/>
  <c r="J24" i="4"/>
  <c r="J23" i="4"/>
  <c r="G23" i="4"/>
  <c r="J22" i="4"/>
  <c r="E22" i="4"/>
  <c r="J21" i="4"/>
  <c r="J20" i="4"/>
  <c r="G20" i="4"/>
  <c r="J19" i="4"/>
  <c r="J18" i="4"/>
  <c r="J17" i="4"/>
  <c r="E17" i="4"/>
  <c r="J16" i="4"/>
  <c r="J15" i="4"/>
  <c r="G15" i="4"/>
  <c r="V14" i="4"/>
  <c r="J14" i="4"/>
  <c r="E14" i="4"/>
  <c r="J13" i="4"/>
  <c r="U11" i="4"/>
  <c r="O11" i="4"/>
  <c r="G11" i="4"/>
  <c r="G34" i="4" s="1"/>
  <c r="E11" i="4"/>
  <c r="E36" i="4" s="1"/>
  <c r="D11" i="4"/>
  <c r="D33" i="4" s="1"/>
  <c r="C11" i="4"/>
  <c r="C38" i="4" s="1"/>
  <c r="U10" i="4"/>
  <c r="V9" i="4"/>
  <c r="O8" i="4"/>
  <c r="D7" i="4"/>
  <c r="A4" i="4"/>
  <c r="L3" i="4"/>
  <c r="A2" i="4"/>
  <c r="A1" i="4"/>
  <c r="C7" i="3"/>
  <c r="B11" i="4" s="1"/>
  <c r="C6" i="3"/>
  <c r="B6" i="3"/>
  <c r="C3" i="3"/>
  <c r="A2" i="3"/>
  <c r="A1" i="3"/>
  <c r="I36" i="2"/>
  <c r="H36" i="2"/>
  <c r="G36" i="2"/>
  <c r="F36" i="2"/>
  <c r="E36" i="2"/>
  <c r="D36" i="2"/>
  <c r="C36" i="2"/>
  <c r="B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2" i="2"/>
  <c r="A2" i="2"/>
  <c r="A1" i="2"/>
  <c r="A5" i="1"/>
  <c r="A4" i="1"/>
  <c r="B35" i="4" l="1"/>
  <c r="B27" i="4"/>
  <c r="B19" i="4"/>
  <c r="B13" i="4"/>
  <c r="B38" i="4"/>
  <c r="B30" i="4"/>
  <c r="B22" i="4"/>
  <c r="B33" i="4"/>
  <c r="B25" i="4"/>
  <c r="B17" i="4"/>
  <c r="B14" i="4"/>
  <c r="B16" i="4"/>
  <c r="B36" i="4"/>
  <c r="B28" i="4"/>
  <c r="B20" i="4"/>
  <c r="B21" i="4"/>
  <c r="B32" i="4"/>
  <c r="B31" i="4"/>
  <c r="B23" i="4"/>
  <c r="B15" i="4"/>
  <c r="B34" i="4"/>
  <c r="B26" i="4"/>
  <c r="B18" i="4"/>
  <c r="B37" i="4"/>
  <c r="B29" i="4"/>
  <c r="B24" i="4"/>
  <c r="C19" i="4"/>
  <c r="C35" i="4"/>
  <c r="C24" i="4"/>
  <c r="C32" i="4"/>
  <c r="D35" i="4"/>
  <c r="E38" i="4"/>
  <c r="C13" i="4"/>
  <c r="C16" i="4"/>
  <c r="D27" i="4"/>
  <c r="D13" i="4"/>
  <c r="G14" i="4"/>
  <c r="D16" i="4"/>
  <c r="G17" i="4"/>
  <c r="E19" i="4"/>
  <c r="C21" i="4"/>
  <c r="D24" i="4"/>
  <c r="G25" i="4"/>
  <c r="E27" i="4"/>
  <c r="C29" i="4"/>
  <c r="D32" i="4"/>
  <c r="G33" i="4"/>
  <c r="E35" i="4"/>
  <c r="C37" i="4"/>
  <c r="F11" i="4"/>
  <c r="E13" i="4"/>
  <c r="E16" i="4"/>
  <c r="C18" i="4"/>
  <c r="D21" i="4"/>
  <c r="G22" i="4"/>
  <c r="E24" i="4"/>
  <c r="C26" i="4"/>
  <c r="D29" i="4"/>
  <c r="G30" i="4"/>
  <c r="E32" i="4"/>
  <c r="C34" i="4"/>
  <c r="D37" i="4"/>
  <c r="G38" i="4"/>
  <c r="C15" i="4"/>
  <c r="D18" i="4"/>
  <c r="G19" i="4"/>
  <c r="E21" i="4"/>
  <c r="C23" i="4"/>
  <c r="D26" i="4"/>
  <c r="G27" i="4"/>
  <c r="E29" i="4"/>
  <c r="C31" i="4"/>
  <c r="D34" i="4"/>
  <c r="G35" i="4"/>
  <c r="E37" i="4"/>
  <c r="H11" i="4"/>
  <c r="G13" i="4"/>
  <c r="G39" i="4" s="1"/>
  <c r="D15" i="4"/>
  <c r="G16" i="4"/>
  <c r="E18" i="4"/>
  <c r="C20" i="4"/>
  <c r="D23" i="4"/>
  <c r="G24" i="4"/>
  <c r="E26" i="4"/>
  <c r="C28" i="4"/>
  <c r="D31" i="4"/>
  <c r="G32" i="4"/>
  <c r="E34" i="4"/>
  <c r="C36" i="4"/>
  <c r="D19" i="4"/>
  <c r="C14" i="4"/>
  <c r="E15" i="4"/>
  <c r="C17" i="4"/>
  <c r="D20" i="4"/>
  <c r="G21" i="4"/>
  <c r="E23" i="4"/>
  <c r="C25" i="4"/>
  <c r="D28" i="4"/>
  <c r="G29" i="4"/>
  <c r="E31" i="4"/>
  <c r="C33" i="4"/>
  <c r="D36" i="4"/>
  <c r="G37" i="4"/>
  <c r="D22" i="4"/>
  <c r="C27" i="4"/>
  <c r="D30" i="4"/>
  <c r="D38" i="4"/>
  <c r="D14" i="4"/>
  <c r="D17" i="4"/>
  <c r="G18" i="4"/>
  <c r="E20" i="4"/>
  <c r="C22" i="4"/>
  <c r="D25" i="4"/>
  <c r="G26" i="4"/>
  <c r="E28" i="4"/>
  <c r="C30" i="4"/>
  <c r="I38" i="4" l="1"/>
  <c r="K38" i="4" s="1"/>
  <c r="L38" i="4" s="1"/>
  <c r="E39" i="4"/>
  <c r="B39" i="4"/>
  <c r="H37" i="4"/>
  <c r="H29" i="4"/>
  <c r="H21" i="4"/>
  <c r="H18" i="4"/>
  <c r="H32" i="4"/>
  <c r="H24" i="4"/>
  <c r="H16" i="4"/>
  <c r="I16" i="4" s="1"/>
  <c r="K16" i="4" s="1"/>
  <c r="L16" i="4" s="1"/>
  <c r="H13" i="4"/>
  <c r="H23" i="4"/>
  <c r="H15" i="4"/>
  <c r="H35" i="4"/>
  <c r="H27" i="4"/>
  <c r="H19" i="4"/>
  <c r="H38" i="4"/>
  <c r="H30" i="4"/>
  <c r="H22" i="4"/>
  <c r="H26" i="4"/>
  <c r="H33" i="4"/>
  <c r="H25" i="4"/>
  <c r="H17" i="4"/>
  <c r="I17" i="4" s="1"/>
  <c r="K17" i="4" s="1"/>
  <c r="L17" i="4" s="1"/>
  <c r="H14" i="4"/>
  <c r="H36" i="4"/>
  <c r="H28" i="4"/>
  <c r="I28" i="4" s="1"/>
  <c r="K28" i="4" s="1"/>
  <c r="L28" i="4" s="1"/>
  <c r="H20" i="4"/>
  <c r="H34" i="4"/>
  <c r="H31" i="4"/>
  <c r="D39" i="4"/>
  <c r="F31" i="4"/>
  <c r="F23" i="4"/>
  <c r="I23" i="4" s="1"/>
  <c r="K23" i="4" s="1"/>
  <c r="L23" i="4" s="1"/>
  <c r="F15" i="4"/>
  <c r="F20" i="4"/>
  <c r="F34" i="4"/>
  <c r="I34" i="4" s="1"/>
  <c r="K34" i="4" s="1"/>
  <c r="L34" i="4" s="1"/>
  <c r="F26" i="4"/>
  <c r="F18" i="4"/>
  <c r="I18" i="4" s="1"/>
  <c r="K18" i="4" s="1"/>
  <c r="L18" i="4" s="1"/>
  <c r="F37" i="4"/>
  <c r="F29" i="4"/>
  <c r="I29" i="4" s="1"/>
  <c r="K29" i="4" s="1"/>
  <c r="L29" i="4" s="1"/>
  <c r="F21" i="4"/>
  <c r="F17" i="4"/>
  <c r="F32" i="4"/>
  <c r="I32" i="4" s="1"/>
  <c r="K32" i="4" s="1"/>
  <c r="L32" i="4" s="1"/>
  <c r="F24" i="4"/>
  <c r="I24" i="4" s="1"/>
  <c r="K24" i="4" s="1"/>
  <c r="L24" i="4" s="1"/>
  <c r="F16" i="4"/>
  <c r="F13" i="4"/>
  <c r="F35" i="4"/>
  <c r="I35" i="4" s="1"/>
  <c r="K35" i="4" s="1"/>
  <c r="L35" i="4" s="1"/>
  <c r="F27" i="4"/>
  <c r="I27" i="4" s="1"/>
  <c r="K27" i="4" s="1"/>
  <c r="L27" i="4" s="1"/>
  <c r="F19" i="4"/>
  <c r="I19" i="4" s="1"/>
  <c r="K19" i="4" s="1"/>
  <c r="L19" i="4" s="1"/>
  <c r="F38" i="4"/>
  <c r="F30" i="4"/>
  <c r="I30" i="4" s="1"/>
  <c r="K30" i="4" s="1"/>
  <c r="L30" i="4" s="1"/>
  <c r="F22" i="4"/>
  <c r="F28" i="4"/>
  <c r="F33" i="4"/>
  <c r="I33" i="4" s="1"/>
  <c r="K33" i="4" s="1"/>
  <c r="L33" i="4" s="1"/>
  <c r="F25" i="4"/>
  <c r="I25" i="4" s="1"/>
  <c r="K25" i="4" s="1"/>
  <c r="L25" i="4" s="1"/>
  <c r="F14" i="4"/>
  <c r="I14" i="4" s="1"/>
  <c r="K14" i="4" s="1"/>
  <c r="L14" i="4" s="1"/>
  <c r="F36" i="4"/>
  <c r="I36" i="4" s="1"/>
  <c r="K36" i="4" s="1"/>
  <c r="L36" i="4" s="1"/>
  <c r="I26" i="4"/>
  <c r="K26" i="4" s="1"/>
  <c r="L26" i="4" s="1"/>
  <c r="I37" i="4"/>
  <c r="K37" i="4" s="1"/>
  <c r="L37" i="4" s="1"/>
  <c r="I21" i="4"/>
  <c r="K21" i="4" s="1"/>
  <c r="L21" i="4" s="1"/>
  <c r="I13" i="4"/>
  <c r="C39" i="4"/>
  <c r="I20" i="4"/>
  <c r="K20" i="4" s="1"/>
  <c r="L20" i="4" s="1"/>
  <c r="I22" i="4"/>
  <c r="K22" i="4" s="1"/>
  <c r="L22" i="4" s="1"/>
  <c r="I31" i="4"/>
  <c r="K31" i="4" s="1"/>
  <c r="L31" i="4" s="1"/>
  <c r="I15" i="4"/>
  <c r="K15" i="4" s="1"/>
  <c r="L15" i="4" s="1"/>
  <c r="S19" i="4" l="1"/>
  <c r="Q19" i="4"/>
  <c r="S29" i="4"/>
  <c r="Q29" i="4"/>
  <c r="Q35" i="4"/>
  <c r="S35" i="4" s="1"/>
  <c r="Q23" i="4"/>
  <c r="S23" i="4" s="1"/>
  <c r="S27" i="4"/>
  <c r="Q27" i="4"/>
  <c r="Q17" i="4"/>
  <c r="S17" i="4" s="1"/>
  <c r="Q25" i="4"/>
  <c r="S25" i="4" s="1"/>
  <c r="Q33" i="4"/>
  <c r="S33" i="4"/>
  <c r="S18" i="4"/>
  <c r="Q18" i="4"/>
  <c r="Q36" i="4"/>
  <c r="S36" i="4" s="1"/>
  <c r="Q14" i="4"/>
  <c r="S14" i="4"/>
  <c r="Q24" i="4"/>
  <c r="S24" i="4" s="1"/>
  <c r="S34" i="4"/>
  <c r="Q34" i="4"/>
  <c r="S30" i="4"/>
  <c r="Q30" i="4"/>
  <c r="Q32" i="4"/>
  <c r="S32" i="4" s="1"/>
  <c r="Q28" i="4"/>
  <c r="S28" i="4"/>
  <c r="S16" i="4"/>
  <c r="Q16" i="4"/>
  <c r="S31" i="4"/>
  <c r="Q31" i="4"/>
  <c r="Q20" i="4"/>
  <c r="S20" i="4"/>
  <c r="Q26" i="4"/>
  <c r="S26" i="4" s="1"/>
  <c r="F39" i="4"/>
  <c r="H39" i="4"/>
  <c r="Q22" i="4"/>
  <c r="S22" i="4" s="1"/>
  <c r="Q21" i="4"/>
  <c r="S21" i="4" s="1"/>
  <c r="Q37" i="4"/>
  <c r="S37" i="4" s="1"/>
  <c r="S15" i="4"/>
  <c r="Q15" i="4"/>
  <c r="K13" i="4"/>
  <c r="L13" i="4" s="1"/>
  <c r="I39" i="4"/>
  <c r="K39" i="4" s="1"/>
  <c r="L39" i="4" s="1"/>
  <c r="Q38" i="4"/>
  <c r="S38" i="4" s="1"/>
  <c r="Q13" i="4" l="1"/>
  <c r="Q39" i="4" s="1"/>
  <c r="S13" i="4" l="1"/>
  <c r="S39" i="4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 shape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<sst xmlns="http://schemas.openxmlformats.org/spreadsheetml/2006/main" count="213" uniqueCount="104">
  <si>
    <t>Revenu déterminant pour</t>
  </si>
  <si>
    <t>l'imposition à la source (RIS)</t>
  </si>
  <si>
    <t>Informations</t>
  </si>
  <si>
    <t>Environnement</t>
  </si>
  <si>
    <t>Produktion</t>
  </si>
  <si>
    <t>Type</t>
  </si>
  <si>
    <t>Berechnung</t>
  </si>
  <si>
    <t>WS</t>
  </si>
  <si>
    <t>FA_2016_20150609</t>
  </si>
  <si>
    <t>SWS</t>
  </si>
  <si>
    <t>RA_2016_20150609</t>
  </si>
  <si>
    <t>AnRef</t>
  </si>
  <si>
    <t>AnCal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</si>
  <si>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</si>
  <si>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</si>
  <si>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</si>
  <si>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</si>
  <si>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</si>
  <si>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</si>
  <si>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</si>
  <si>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</si>
  <si>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</si>
  <si>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Formule</t>
  </si>
  <si>
    <t>C + D + E + F + G + H</t>
  </si>
  <si>
    <t>Catégorie</t>
  </si>
  <si>
    <t>A2</t>
  </si>
  <si>
    <t>D2</t>
  </si>
  <si>
    <t>F2</t>
  </si>
  <si>
    <t>F3</t>
  </si>
  <si>
    <t>I2</t>
  </si>
  <si>
    <t>Etrangers établis dans la région et conseillers d'administration étrangers</t>
  </si>
  <si>
    <t>Frontaliers imposés entièrement</t>
  </si>
  <si>
    <t>Frontaliers assujettis de manière limitée</t>
  </si>
  <si>
    <t>Total</t>
  </si>
  <si>
    <t>autrichiens</t>
  </si>
  <si>
    <t>allemands</t>
  </si>
  <si>
    <t>français imposés par le canton de Genève</t>
  </si>
  <si>
    <t>français imposés
par la France</t>
  </si>
  <si>
    <t>italiens</t>
  </si>
  <si>
    <t>Source des données</t>
  </si>
  <si>
    <t>AFC</t>
  </si>
  <si>
    <t>Unité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</si>
  <si>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</si>
  <si>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</si>
  <si>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</si>
  <si>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</si>
  <si>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</si>
  <si>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</si>
  <si>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</si>
  <si>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</si>
  <si>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</si>
  <si>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</si>
  <si>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</si>
  <si>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</si>
  <si>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</si>
  <si>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</si>
  <si>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</si>
  <si>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</si>
  <si>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</si>
  <si>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</si>
  <si>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</si>
  <si>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</si>
  <si>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</si>
  <si>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</si>
  <si>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</si>
  <si>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</si>
  <si>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</si>
  <si>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</si>
  <si>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</si>
  <si>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Suisse</t>
  </si>
  <si>
    <t>Source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</si>
  <si>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</si>
  <si>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Revenu primaire des ménages privés</t>
    </r>
  </si>
  <si>
    <t>OFS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</si>
  <si>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Revenu déterminant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</si>
  <si>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</si>
  <si>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Estimation du revenu déterminant pour l'imposition à la source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</si>
  <si>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</si>
  <si>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</si>
  <si>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</si>
  <si>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</si>
  <si>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</si>
  <si>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</si>
  <si>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</si>
  <si>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</si>
  <si>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</si>
  <si>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TFS</t>
  </si>
  <si>
    <r>
      <rPr>
        <sz val="8"/>
        <rFont val="Symbol"/>
        <family val="1"/>
        <charset val="2"/>
      </rPr>
      <t>g</t>
    </r>
    <r>
      <rPr>
        <sz val="8"/>
        <rFont val="Arial"/>
        <family val="2"/>
      </rPr>
      <t xml:space="preserve"> - 0.035 / TFS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</si>
  <si>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</si>
  <si>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</si>
  <si>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</si>
  <si>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</si>
  <si>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si L=0</t>
  </si>
  <si>
    <t>L + Q</t>
  </si>
  <si>
    <t>Rapport estimé entre le revenu déterminant pour l'imposition à la source et le revenu déterminant
=&gt; limite supérieure de l'intervalle de confiance 95%</t>
  </si>
  <si>
    <t>Résultat sur la base de données estimées</t>
  </si>
  <si>
    <t>Revenu déterminant pour l'imposition à la source</t>
  </si>
  <si>
    <t>Frontaliers total</t>
  </si>
  <si>
    <t>Facteur Delta
(selon OPFCC)</t>
  </si>
  <si>
    <t>Résultat sur la base des salaires bruts (frontaliers)</t>
  </si>
  <si>
    <t>Résultat sur la base des salaires bruts
(total)</t>
  </si>
  <si>
    <t>Valeur</t>
  </si>
  <si>
    <t>non arrondi</t>
  </si>
  <si>
    <t>arrondi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</si>
</sst>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_ * #,##0_ ;_ * \-#,##0_ ;_ * &quot;-&quot;??_ ;_ @_ "/>
    <numFmt numFmtId="167" formatCode="0.0%"/>
    <numFmt numFmtId="168" formatCode="0.000"/>
    <numFmt numFmtId="169" formatCode="#,##0.00000000000"/>
    <numFmt numFmtId="170" formatCode="#,##0.000"/>
  </numFmts>
  <fonts count="27" x14ac:knownFonts="1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22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3" fillId="0" borderId="0" xfId="0" applyFont="1" applyFill="1"/>
    <xf numFmtId="0" fontId="18" fillId="0" borderId="0" xfId="0" applyFont="1" applyFill="1"/>
    <xf numFmtId="0" fontId="10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0" fillId="0" borderId="0" xfId="0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5" fillId="0" borderId="0" xfId="0" applyFont="1" applyFill="1" applyAlignment="1">
      <alignment horizontal="right"/>
    </xf>
    <xf numFmtId="0" fontId="16" fillId="0" borderId="0" xfId="0" applyFont="1" applyFill="1"/>
    <xf numFmtId="0" fontId="16" fillId="0" borderId="1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7" fillId="0" borderId="0" xfId="0" applyFont="1" applyFill="1"/>
    <xf numFmtId="0" fontId="21" fillId="0" borderId="1" xfId="0" applyFont="1" applyFill="1" applyBorder="1" applyAlignment="1">
      <alignment horizontal="right"/>
    </xf>
    <xf numFmtId="0" fontId="21" fillId="0" borderId="9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9" fillId="0" borderId="0" xfId="0" applyFont="1" applyFill="1"/>
    <xf numFmtId="0" fontId="17" fillId="0" borderId="1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15" fillId="0" borderId="1" xfId="0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/>
    </xf>
    <xf numFmtId="166" fontId="5" fillId="0" borderId="15" xfId="0" applyNumberFormat="1" applyFont="1" applyFill="1" applyBorder="1" applyAlignment="1" applyProtection="1">
      <alignment horizontal="right"/>
      <protection locked="0"/>
    </xf>
    <xf numFmtId="166" fontId="5" fillId="0" borderId="16" xfId="0" applyNumberFormat="1" applyFont="1" applyFill="1" applyBorder="1" applyAlignment="1" applyProtection="1">
      <alignment horizontal="right"/>
      <protection locked="0"/>
    </xf>
    <xf numFmtId="166" fontId="5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left"/>
    </xf>
    <xf numFmtId="166" fontId="5" fillId="2" borderId="0" xfId="0" applyNumberFormat="1" applyFont="1" applyFill="1" applyBorder="1" applyAlignment="1" applyProtection="1">
      <alignment horizontal="right"/>
      <protection locked="0"/>
    </xf>
    <xf numFmtId="166" fontId="5" fillId="2" borderId="13" xfId="0" applyNumberFormat="1" applyFont="1" applyFill="1" applyBorder="1" applyAlignment="1" applyProtection="1">
      <alignment horizontal="right"/>
      <protection locked="0"/>
    </xf>
    <xf numFmtId="166" fontId="5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166" fontId="5" fillId="0" borderId="0" xfId="0" applyNumberFormat="1" applyFont="1" applyFill="1" applyBorder="1" applyAlignment="1" applyProtection="1">
      <alignment horizontal="right"/>
      <protection locked="0"/>
    </xf>
    <xf numFmtId="166" fontId="5" fillId="0" borderId="13" xfId="0" applyNumberFormat="1" applyFont="1" applyFill="1" applyBorder="1" applyAlignment="1" applyProtection="1">
      <alignment horizontal="right"/>
      <protection locked="0"/>
    </xf>
    <xf numFmtId="166" fontId="5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3" fillId="2" borderId="20" xfId="0" applyFont="1" applyFill="1" applyBorder="1" applyAlignment="1">
      <alignment horizontal="left"/>
    </xf>
    <xf numFmtId="166" fontId="5" fillId="2" borderId="8" xfId="0" applyNumberFormat="1" applyFont="1" applyFill="1" applyBorder="1" applyAlignment="1" applyProtection="1">
      <alignment horizontal="right"/>
      <protection locked="0"/>
    </xf>
    <xf numFmtId="166" fontId="5" fillId="2" borderId="21" xfId="0" applyNumberFormat="1" applyFont="1" applyFill="1" applyBorder="1" applyAlignment="1" applyProtection="1">
      <alignment horizontal="right"/>
      <protection locked="0"/>
    </xf>
    <xf numFmtId="166" fontId="5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6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/>
    <xf numFmtId="167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5" fillId="0" borderId="15" xfId="0" applyFont="1" applyFill="1" applyBorder="1" applyAlignment="1">
      <alignment vertical="center"/>
    </xf>
    <xf numFmtId="3" fontId="7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5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6" fillId="0" borderId="27" xfId="0" applyFont="1" applyFill="1" applyBorder="1"/>
    <xf numFmtId="168" fontId="6" fillId="0" borderId="27" xfId="0" applyNumberFormat="1" applyFont="1" applyFill="1" applyBorder="1"/>
    <xf numFmtId="0" fontId="0" fillId="0" borderId="0" xfId="0" applyFont="1" applyFill="1" applyBorder="1"/>
    <xf numFmtId="0" fontId="6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167" fontId="12" fillId="0" borderId="9" xfId="0" applyNumberFormat="1" applyFont="1" applyFill="1" applyBorder="1"/>
    <xf numFmtId="0" fontId="0" fillId="0" borderId="9" xfId="0" applyFont="1" applyFill="1" applyBorder="1"/>
    <xf numFmtId="167" fontId="12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0" fontId="9" fillId="0" borderId="9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/>
    <xf numFmtId="168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6" fillId="0" borderId="0" xfId="0" applyNumberFormat="1" applyFont="1" applyFill="1" applyBorder="1" applyAlignment="1">
      <alignment vertical="center"/>
    </xf>
    <xf numFmtId="166" fontId="7" fillId="0" borderId="15" xfId="0" applyNumberFormat="1" applyFont="1" applyFill="1" applyBorder="1" applyProtection="1">
      <protection locked="0"/>
    </xf>
    <xf numFmtId="167" fontId="7" fillId="0" borderId="15" xfId="0" applyNumberFormat="1" applyFont="1" applyFill="1" applyBorder="1" applyProtection="1">
      <protection locked="0"/>
    </xf>
    <xf numFmtId="3" fontId="6" fillId="0" borderId="18" xfId="0" applyNumberFormat="1" applyFont="1" applyFill="1" applyBorder="1"/>
    <xf numFmtId="3" fontId="6" fillId="0" borderId="30" xfId="0" applyNumberFormat="1" applyFont="1" applyFill="1" applyBorder="1"/>
    <xf numFmtId="0" fontId="0" fillId="0" borderId="18" xfId="0" applyFont="1" applyFill="1" applyBorder="1" applyAlignment="1">
      <alignment horizontal="right"/>
    </xf>
    <xf numFmtId="169" fontId="1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6" fontId="7" fillId="2" borderId="0" xfId="0" applyNumberFormat="1" applyFont="1" applyFill="1" applyBorder="1" applyProtection="1">
      <protection locked="0"/>
    </xf>
    <xf numFmtId="167" fontId="7" fillId="2" borderId="0" xfId="0" applyNumberFormat="1" applyFont="1" applyFill="1" applyBorder="1" applyProtection="1">
      <protection locked="0"/>
    </xf>
    <xf numFmtId="3" fontId="6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70" fontId="1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6" fontId="7" fillId="0" borderId="0" xfId="0" applyNumberFormat="1" applyFont="1" applyFill="1" applyBorder="1" applyProtection="1">
      <protection locked="0"/>
    </xf>
    <xf numFmtId="167" fontId="7" fillId="0" borderId="0" xfId="0" applyNumberFormat="1" applyFont="1" applyFill="1" applyBorder="1" applyProtection="1">
      <protection locked="0"/>
    </xf>
    <xf numFmtId="3" fontId="6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6" fontId="7" fillId="2" borderId="8" xfId="0" applyNumberFormat="1" applyFont="1" applyFill="1" applyBorder="1" applyProtection="1">
      <protection locked="0"/>
    </xf>
    <xf numFmtId="167" fontId="7" fillId="2" borderId="8" xfId="0" applyNumberFormat="1" applyFont="1" applyFill="1" applyBorder="1" applyProtection="1">
      <protection locked="0"/>
    </xf>
    <xf numFmtId="3" fontId="6" fillId="2" borderId="31" xfId="0" applyNumberFormat="1" applyFont="1" applyFill="1" applyBorder="1"/>
    <xf numFmtId="0" fontId="6" fillId="0" borderId="1" xfId="0" applyFont="1" applyFill="1" applyBorder="1"/>
    <xf numFmtId="3" fontId="6" fillId="0" borderId="9" xfId="0" applyNumberFormat="1" applyFont="1" applyFill="1" applyBorder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4" fontId="13" fillId="0" borderId="9" xfId="0" applyNumberFormat="1" applyFont="1" applyFill="1" applyBorder="1" applyAlignment="1" applyProtection="1">
      <alignment horizontal="right"/>
      <protection locked="0"/>
    </xf>
    <xf numFmtId="3" fontId="6" fillId="0" borderId="2" xfId="0" applyNumberFormat="1" applyFont="1" applyFill="1" applyBorder="1"/>
    <xf numFmtId="3" fontId="0" fillId="0" borderId="9" xfId="0" applyNumberFormat="1" applyFont="1" applyFill="1" applyBorder="1"/>
    <xf numFmtId="167" fontId="0" fillId="0" borderId="9" xfId="0" applyNumberFormat="1" applyFont="1" applyFill="1" applyBorder="1"/>
    <xf numFmtId="3" fontId="6" fillId="0" borderId="28" xfId="0" applyNumberFormat="1" applyFont="1" applyFill="1" applyBorder="1"/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200025</xdr:colOff>
      <xdr:row>42</xdr:row>
      <xdr:rowOff>85725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 x14ac:dyDescent="0.2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 x14ac:dyDescent="0.4">
      <c r="A1" s="191" t="s">
        <v>0</v>
      </c>
      <c r="B1" s="191"/>
      <c r="C1" s="191"/>
      <c r="D1" s="191"/>
      <c r="E1" s="2"/>
    </row>
    <row r="2" spans="1:5" ht="27.75" customHeight="1" x14ac:dyDescent="0.4">
      <c r="A2" s="191" t="s">
        <v>1</v>
      </c>
      <c r="B2" s="191"/>
      <c r="C2" s="191"/>
      <c r="D2" s="191"/>
      <c r="E2" s="2"/>
    </row>
    <row r="3" spans="1:5" ht="24.75" customHeight="1" x14ac:dyDescent="0.35">
      <c r="A3" s="3"/>
      <c r="B3" s="3"/>
      <c r="C3" s="3"/>
      <c r="D3" s="3"/>
      <c r="E3" s="3"/>
    </row>
    <row r="4" spans="1:5" ht="18" customHeight="1" x14ac:dyDescent="0.25">
      <c r="A4" s="190" t="str">
        <f>"Année de calcul "&amp;C31</f>
        <v>Année de calcul 2012</v>
      </c>
      <c r="B4" s="190"/>
      <c r="C4" s="190"/>
      <c r="D4" s="190"/>
      <c r="E4" s="4"/>
    </row>
    <row r="5" spans="1:5" ht="18" customHeight="1" x14ac:dyDescent="0.25">
      <c r="A5" s="190" t="str">
        <f>"Année de référence "&amp;C30</f>
        <v>Année de référence 2016</v>
      </c>
      <c r="B5" s="190"/>
      <c r="C5" s="190"/>
      <c r="D5" s="190"/>
      <c r="E5" s="4"/>
    </row>
    <row r="25" spans="2:3" x14ac:dyDescent="0.2">
      <c r="B25" s="5" t="s">
        <v>2</v>
      </c>
      <c r="C25" s="6"/>
    </row>
    <row r="26" spans="2:3" x14ac:dyDescent="0.2">
      <c r="B26" s="7" t="s">
        <v>3</v>
      </c>
      <c r="C26" s="8" t="s">
        <v>4</v>
      </c>
    </row>
    <row r="27" spans="2:3" x14ac:dyDescent="0.2">
      <c r="B27" s="7" t="s">
        <v>5</v>
      </c>
      <c r="C27" s="9" t="s">
        <v>6</v>
      </c>
    </row>
    <row r="28" spans="2:3" x14ac:dyDescent="0.2">
      <c r="B28" s="7" t="s">
        <v>7</v>
      </c>
      <c r="C28" s="9" t="s">
        <v>8</v>
      </c>
    </row>
    <row r="29" spans="2:3" x14ac:dyDescent="0.2">
      <c r="B29" s="7" t="s">
        <v>9</v>
      </c>
      <c r="C29" s="9" t="s">
        <v>10</v>
      </c>
    </row>
    <row r="30" spans="2:3" x14ac:dyDescent="0.2">
      <c r="B30" s="7" t="s">
        <v>11</v>
      </c>
      <c r="C30" s="9">
        <v>2016</v>
      </c>
    </row>
    <row r="31" spans="2:3" x14ac:dyDescent="0.2">
      <c r="B31" s="10" t="s">
        <v>12</v>
      </c>
      <c r="C31" s="11">
        <v>2012</v>
      </c>
    </row>
  </sheetData>
  <mergeCells count="4">
    <mergeCell ref="A5:D5"/>
    <mergeCell ref="A4:D4"/>
    <mergeCell ref="A2:D2"/>
    <mergeCell ref="A1:D1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7"/>
  <sheetViews>
    <sheetView showGridLines="0" zoomScale="90" workbookViewId="0">
      <selection activeCell="A8" sqref="A8"/>
    </sheetView>
  </sheetViews>
  <sheetFormatPr baseColWidth="10" defaultColWidth="11.5546875" defaultRowHeight="15" x14ac:dyDescent="0.2"/>
  <cols>
    <col min="1" max="1" width="13.664062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9" width="13.33203125" style="12" customWidth="1"/>
  </cols>
  <sheetData>
    <row r="1" spans="1:9" ht="26.25" customHeight="1" x14ac:dyDescent="0.2">
      <c r="A1" s="197" t="str">
        <f>"Salaires bruts "&amp;Info!C31</f>
        <v>Salaires bruts 2012</v>
      </c>
      <c r="B1" s="197"/>
      <c r="C1" s="197"/>
      <c r="I1" s="13"/>
    </row>
    <row r="2" spans="1:9" ht="31.5" customHeight="1" x14ac:dyDescent="0.2">
      <c r="A2" s="14" t="str">
        <f>"Année de référence "&amp;Info!C30</f>
        <v>Année de référence 2016</v>
      </c>
      <c r="B2" s="15"/>
      <c r="C2" s="15"/>
      <c r="D2" s="16"/>
      <c r="I2" s="17" t="str">
        <f>Info!C28</f>
        <v>FA_2016_20150609</v>
      </c>
    </row>
    <row r="3" spans="1:9" s="18" customFormat="1" ht="12.75" x14ac:dyDescent="0.2">
      <c r="A3" s="19" t="s">
        <v>13</v>
      </c>
      <c r="B3" s="20" t="s">
        <v>14</v>
      </c>
      <c r="C3" s="20" t="s">
        <v>15</v>
      </c>
      <c r="D3" s="20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1" t="s">
        <v>21</v>
      </c>
    </row>
    <row r="4" spans="1:9" s="22" customFormat="1" ht="11.25" customHeight="1" x14ac:dyDescent="0.2">
      <c r="A4" s="23" t="s">
        <v>22</v>
      </c>
      <c r="B4" s="24"/>
      <c r="C4" s="24"/>
      <c r="D4" s="24"/>
      <c r="E4" s="24"/>
      <c r="F4" s="25"/>
      <c r="G4" s="25"/>
      <c r="H4" s="25"/>
      <c r="I4" s="26" t="s">
        <v>23</v>
      </c>
    </row>
    <row r="5" spans="1:9" ht="15.75" customHeight="1" x14ac:dyDescent="0.2">
      <c r="A5" s="27" t="s">
        <v>24</v>
      </c>
      <c r="B5" s="28">
        <v>0</v>
      </c>
      <c r="C5" s="28">
        <v>1</v>
      </c>
      <c r="D5" s="29" t="s">
        <v>25</v>
      </c>
      <c r="E5" s="28" t="s">
        <v>26</v>
      </c>
      <c r="F5" s="28" t="s">
        <v>27</v>
      </c>
      <c r="G5" s="28" t="s">
        <v>28</v>
      </c>
      <c r="H5" s="30" t="s">
        <v>29</v>
      </c>
      <c r="I5" s="31"/>
    </row>
    <row r="6" spans="1:9" ht="20.25" customHeight="1" x14ac:dyDescent="0.2">
      <c r="A6" s="198"/>
      <c r="B6" s="192" t="s">
        <v>30</v>
      </c>
      <c r="C6" s="192" t="s">
        <v>31</v>
      </c>
      <c r="D6" s="194" t="s">
        <v>32</v>
      </c>
      <c r="E6" s="195"/>
      <c r="F6" s="195"/>
      <c r="G6" s="195"/>
      <c r="H6" s="196"/>
      <c r="I6" s="200" t="s">
        <v>33</v>
      </c>
    </row>
    <row r="7" spans="1:9" ht="42.75" customHeight="1" x14ac:dyDescent="0.2">
      <c r="A7" s="199"/>
      <c r="B7" s="193"/>
      <c r="C7" s="193"/>
      <c r="D7" s="34" t="s">
        <v>34</v>
      </c>
      <c r="E7" s="35" t="s">
        <v>35</v>
      </c>
      <c r="F7" s="35" t="s">
        <v>36</v>
      </c>
      <c r="G7" s="35" t="s">
        <v>37</v>
      </c>
      <c r="H7" s="36" t="s">
        <v>38</v>
      </c>
      <c r="I7" s="201"/>
    </row>
    <row r="8" spans="1:9" s="37" customFormat="1" ht="11.25" customHeight="1" x14ac:dyDescent="0.2">
      <c r="A8" s="38" t="s">
        <v>39</v>
      </c>
      <c r="B8" s="39" t="s">
        <v>40</v>
      </c>
      <c r="C8" s="39" t="s">
        <v>40</v>
      </c>
      <c r="D8" s="40" t="s">
        <v>40</v>
      </c>
      <c r="E8" s="39" t="s">
        <v>40</v>
      </c>
      <c r="F8" s="39" t="s">
        <v>40</v>
      </c>
      <c r="G8" s="39" t="s">
        <v>40</v>
      </c>
      <c r="H8" s="41" t="s">
        <v>40</v>
      </c>
      <c r="I8" s="42"/>
    </row>
    <row r="9" spans="1:9" s="43" customFormat="1" ht="11.25" customHeight="1" x14ac:dyDescent="0.2">
      <c r="A9" s="44" t="s">
        <v>41</v>
      </c>
      <c r="B9" s="45" t="s">
        <v>42</v>
      </c>
      <c r="C9" s="45" t="s">
        <v>42</v>
      </c>
      <c r="D9" s="46" t="s">
        <v>42</v>
      </c>
      <c r="E9" s="45" t="s">
        <v>42</v>
      </c>
      <c r="F9" s="45" t="s">
        <v>42</v>
      </c>
      <c r="G9" s="45" t="s">
        <v>42</v>
      </c>
      <c r="H9" s="47" t="s">
        <v>42</v>
      </c>
      <c r="I9" s="48" t="s">
        <v>42</v>
      </c>
    </row>
    <row r="10" spans="1:9" x14ac:dyDescent="0.2">
      <c r="A10" s="49" t="s">
        <v>43</v>
      </c>
      <c r="B10" s="50">
        <v>5305317177.8000002</v>
      </c>
      <c r="C10" s="50">
        <v>62348303</v>
      </c>
      <c r="D10" s="51">
        <v>0</v>
      </c>
      <c r="E10" s="50">
        <v>519914545</v>
      </c>
      <c r="F10" s="50">
        <v>0</v>
      </c>
      <c r="G10" s="50">
        <v>0</v>
      </c>
      <c r="H10" s="52">
        <v>0</v>
      </c>
      <c r="I10" s="53">
        <f t="shared" ref="I10:I36" si="0">SUM(B10:H10)</f>
        <v>5887580025.8000002</v>
      </c>
    </row>
    <row r="11" spans="1:9" x14ac:dyDescent="0.2">
      <c r="A11" s="54" t="s">
        <v>44</v>
      </c>
      <c r="B11" s="55">
        <v>1605109809</v>
      </c>
      <c r="C11" s="55">
        <v>133471362</v>
      </c>
      <c r="D11" s="56">
        <v>129966</v>
      </c>
      <c r="E11" s="55">
        <v>15722484</v>
      </c>
      <c r="F11" s="55">
        <v>0</v>
      </c>
      <c r="G11" s="55">
        <v>141809644</v>
      </c>
      <c r="H11" s="57">
        <v>0</v>
      </c>
      <c r="I11" s="58">
        <f t="shared" si="0"/>
        <v>1896243265</v>
      </c>
    </row>
    <row r="12" spans="1:9" x14ac:dyDescent="0.2">
      <c r="A12" s="59" t="s">
        <v>45</v>
      </c>
      <c r="B12" s="60">
        <v>716229092.94000006</v>
      </c>
      <c r="C12" s="60">
        <v>51569678.630000003</v>
      </c>
      <c r="D12" s="61">
        <v>951474.8</v>
      </c>
      <c r="E12" s="60">
        <v>6828110.3799999999</v>
      </c>
      <c r="F12" s="60">
        <v>0</v>
      </c>
      <c r="G12" s="60">
        <v>0</v>
      </c>
      <c r="H12" s="62">
        <v>0</v>
      </c>
      <c r="I12" s="63">
        <f t="shared" si="0"/>
        <v>775578356.75</v>
      </c>
    </row>
    <row r="13" spans="1:9" x14ac:dyDescent="0.2">
      <c r="A13" s="54" t="s">
        <v>46</v>
      </c>
      <c r="B13" s="55">
        <v>75519551</v>
      </c>
      <c r="C13" s="55">
        <v>0</v>
      </c>
      <c r="D13" s="56">
        <v>861458.65</v>
      </c>
      <c r="E13" s="55">
        <v>0</v>
      </c>
      <c r="F13" s="55">
        <v>0</v>
      </c>
      <c r="G13" s="55">
        <v>0</v>
      </c>
      <c r="H13" s="57">
        <v>0</v>
      </c>
      <c r="I13" s="58">
        <f t="shared" si="0"/>
        <v>76381009.650000006</v>
      </c>
    </row>
    <row r="14" spans="1:9" x14ac:dyDescent="0.2">
      <c r="A14" s="59" t="s">
        <v>47</v>
      </c>
      <c r="B14" s="60">
        <v>319571964.19</v>
      </c>
      <c r="C14" s="60">
        <v>55104745.560000002</v>
      </c>
      <c r="D14" s="61">
        <v>1089578.8</v>
      </c>
      <c r="E14" s="60">
        <v>2609418.77</v>
      </c>
      <c r="F14" s="60">
        <v>0</v>
      </c>
      <c r="G14" s="60">
        <v>0</v>
      </c>
      <c r="H14" s="62">
        <v>0</v>
      </c>
      <c r="I14" s="63">
        <f t="shared" si="0"/>
        <v>378375707.31999999</v>
      </c>
    </row>
    <row r="15" spans="1:9" x14ac:dyDescent="0.2">
      <c r="A15" s="54" t="s">
        <v>48</v>
      </c>
      <c r="B15" s="55">
        <v>82219649.469999999</v>
      </c>
      <c r="C15" s="55">
        <v>6028110.6500000004</v>
      </c>
      <c r="D15" s="56">
        <v>253709.4</v>
      </c>
      <c r="E15" s="55">
        <v>319055.2</v>
      </c>
      <c r="F15" s="55">
        <v>0</v>
      </c>
      <c r="G15" s="55">
        <v>0</v>
      </c>
      <c r="H15" s="57">
        <v>0</v>
      </c>
      <c r="I15" s="58">
        <f t="shared" si="0"/>
        <v>88820524.720000014</v>
      </c>
    </row>
    <row r="16" spans="1:9" x14ac:dyDescent="0.2">
      <c r="A16" s="59" t="s">
        <v>49</v>
      </c>
      <c r="B16" s="60">
        <v>81134787.260000005</v>
      </c>
      <c r="C16" s="60">
        <v>1582823.87</v>
      </c>
      <c r="D16" s="61">
        <v>2795314.8</v>
      </c>
      <c r="E16" s="60">
        <v>697619.95</v>
      </c>
      <c r="F16" s="60">
        <v>0</v>
      </c>
      <c r="G16" s="60">
        <v>0</v>
      </c>
      <c r="H16" s="62">
        <v>0</v>
      </c>
      <c r="I16" s="63">
        <f t="shared" si="0"/>
        <v>86210545.88000001</v>
      </c>
    </row>
    <row r="17" spans="1:9" x14ac:dyDescent="0.2">
      <c r="A17" s="54" t="s">
        <v>50</v>
      </c>
      <c r="B17" s="55">
        <v>125487823.92</v>
      </c>
      <c r="C17" s="55">
        <v>371715.54</v>
      </c>
      <c r="D17" s="56">
        <v>9447209.4900000002</v>
      </c>
      <c r="E17" s="55">
        <v>631349.35</v>
      </c>
      <c r="F17" s="55">
        <v>0</v>
      </c>
      <c r="G17" s="55">
        <v>0</v>
      </c>
      <c r="H17" s="57">
        <v>0</v>
      </c>
      <c r="I17" s="58">
        <f t="shared" si="0"/>
        <v>135938098.30000001</v>
      </c>
    </row>
    <row r="18" spans="1:9" x14ac:dyDescent="0.2">
      <c r="A18" s="59" t="s">
        <v>51</v>
      </c>
      <c r="B18" s="60">
        <v>552382224.76999998</v>
      </c>
      <c r="C18" s="60">
        <v>56458221.899999999</v>
      </c>
      <c r="D18" s="61">
        <v>2984271</v>
      </c>
      <c r="E18" s="60">
        <v>5511660</v>
      </c>
      <c r="F18" s="60">
        <v>0</v>
      </c>
      <c r="G18" s="60">
        <v>0</v>
      </c>
      <c r="H18" s="62">
        <v>0</v>
      </c>
      <c r="I18" s="63">
        <f t="shared" si="0"/>
        <v>617336377.66999996</v>
      </c>
    </row>
    <row r="19" spans="1:9" x14ac:dyDescent="0.2">
      <c r="A19" s="54" t="s">
        <v>52</v>
      </c>
      <c r="B19" s="55">
        <v>663580318</v>
      </c>
      <c r="C19" s="55">
        <v>0</v>
      </c>
      <c r="D19" s="56">
        <v>2218955</v>
      </c>
      <c r="E19" s="55">
        <v>0</v>
      </c>
      <c r="F19" s="55">
        <v>0</v>
      </c>
      <c r="G19" s="55">
        <v>0</v>
      </c>
      <c r="H19" s="57">
        <v>0</v>
      </c>
      <c r="I19" s="58">
        <f t="shared" si="0"/>
        <v>665799273</v>
      </c>
    </row>
    <row r="20" spans="1:9" x14ac:dyDescent="0.2">
      <c r="A20" s="59" t="s">
        <v>53</v>
      </c>
      <c r="B20" s="60">
        <v>376905554</v>
      </c>
      <c r="C20" s="60">
        <v>18285690</v>
      </c>
      <c r="D20" s="61">
        <v>691891</v>
      </c>
      <c r="E20" s="60">
        <v>37143482</v>
      </c>
      <c r="F20" s="60">
        <v>0</v>
      </c>
      <c r="G20" s="60">
        <v>83163876.849999994</v>
      </c>
      <c r="H20" s="62">
        <v>0</v>
      </c>
      <c r="I20" s="63">
        <f t="shared" si="0"/>
        <v>516190493.85000002</v>
      </c>
    </row>
    <row r="21" spans="1:9" x14ac:dyDescent="0.2">
      <c r="A21" s="54" t="s">
        <v>54</v>
      </c>
      <c r="B21" s="55">
        <v>736500351</v>
      </c>
      <c r="C21" s="55">
        <v>123165285</v>
      </c>
      <c r="D21" s="56">
        <v>1823114</v>
      </c>
      <c r="E21" s="55">
        <v>1304656403</v>
      </c>
      <c r="F21" s="55">
        <v>0</v>
      </c>
      <c r="G21" s="55">
        <v>1561138683</v>
      </c>
      <c r="H21" s="57">
        <v>0</v>
      </c>
      <c r="I21" s="58">
        <f t="shared" si="0"/>
        <v>3727283836</v>
      </c>
    </row>
    <row r="22" spans="1:9" x14ac:dyDescent="0.2">
      <c r="A22" s="59" t="s">
        <v>55</v>
      </c>
      <c r="B22" s="60">
        <v>387103770.42000002</v>
      </c>
      <c r="C22" s="60">
        <v>91262982.980000004</v>
      </c>
      <c r="D22" s="61">
        <v>1745543.75</v>
      </c>
      <c r="E22" s="60">
        <v>656319659.11000001</v>
      </c>
      <c r="F22" s="60">
        <v>0</v>
      </c>
      <c r="G22" s="60">
        <v>958565744.95000005</v>
      </c>
      <c r="H22" s="62">
        <v>0</v>
      </c>
      <c r="I22" s="63">
        <f t="shared" si="0"/>
        <v>2094997701.21</v>
      </c>
    </row>
    <row r="23" spans="1:9" x14ac:dyDescent="0.2">
      <c r="A23" s="54" t="s">
        <v>56</v>
      </c>
      <c r="B23" s="55">
        <v>293804976.64999998</v>
      </c>
      <c r="C23" s="55">
        <v>29707190.100000001</v>
      </c>
      <c r="D23" s="56">
        <v>602114.65</v>
      </c>
      <c r="E23" s="55">
        <v>351700716.5</v>
      </c>
      <c r="F23" s="55">
        <v>0</v>
      </c>
      <c r="G23" s="55">
        <v>0</v>
      </c>
      <c r="H23" s="57">
        <v>0</v>
      </c>
      <c r="I23" s="58">
        <f t="shared" si="0"/>
        <v>675814997.89999998</v>
      </c>
    </row>
    <row r="24" spans="1:9" x14ac:dyDescent="0.2">
      <c r="A24" s="59" t="s">
        <v>57</v>
      </c>
      <c r="B24" s="60">
        <v>100222458</v>
      </c>
      <c r="C24" s="60">
        <v>5854121</v>
      </c>
      <c r="D24" s="61">
        <v>14140050</v>
      </c>
      <c r="E24" s="60">
        <v>3981179</v>
      </c>
      <c r="F24" s="60">
        <v>0</v>
      </c>
      <c r="G24" s="60">
        <v>0</v>
      </c>
      <c r="H24" s="62">
        <v>0</v>
      </c>
      <c r="I24" s="63">
        <f t="shared" si="0"/>
        <v>124197808</v>
      </c>
    </row>
    <row r="25" spans="1:9" x14ac:dyDescent="0.2">
      <c r="A25" s="54" t="s">
        <v>58</v>
      </c>
      <c r="B25" s="55">
        <v>20320196.170000002</v>
      </c>
      <c r="C25" s="55">
        <v>1963266.47</v>
      </c>
      <c r="D25" s="56">
        <v>4159161.2</v>
      </c>
      <c r="E25" s="55">
        <v>616918.28</v>
      </c>
      <c r="F25" s="55">
        <v>0</v>
      </c>
      <c r="G25" s="55">
        <v>0</v>
      </c>
      <c r="H25" s="57">
        <v>0</v>
      </c>
      <c r="I25" s="58">
        <f t="shared" si="0"/>
        <v>27059542.120000001</v>
      </c>
    </row>
    <row r="26" spans="1:9" x14ac:dyDescent="0.2">
      <c r="A26" s="59" t="s">
        <v>59</v>
      </c>
      <c r="B26" s="60">
        <v>1052274095.03</v>
      </c>
      <c r="C26" s="60">
        <v>75305470.980000004</v>
      </c>
      <c r="D26" s="61">
        <v>482757055</v>
      </c>
      <c r="E26" s="60">
        <v>79069822.450000003</v>
      </c>
      <c r="F26" s="60">
        <v>0</v>
      </c>
      <c r="G26" s="60">
        <v>0</v>
      </c>
      <c r="H26" s="62">
        <v>0</v>
      </c>
      <c r="I26" s="63">
        <f t="shared" si="0"/>
        <v>1689406443.46</v>
      </c>
    </row>
    <row r="27" spans="1:9" x14ac:dyDescent="0.2">
      <c r="A27" s="54" t="s">
        <v>60</v>
      </c>
      <c r="B27" s="55">
        <v>844211834.45000005</v>
      </c>
      <c r="C27" s="55">
        <v>210439433</v>
      </c>
      <c r="D27" s="56">
        <v>19062208</v>
      </c>
      <c r="E27" s="55">
        <v>381709</v>
      </c>
      <c r="F27" s="55">
        <v>0</v>
      </c>
      <c r="G27" s="55">
        <v>0</v>
      </c>
      <c r="H27" s="57">
        <v>71046917</v>
      </c>
      <c r="I27" s="58">
        <f t="shared" si="0"/>
        <v>1145142101.45</v>
      </c>
    </row>
    <row r="28" spans="1:9" x14ac:dyDescent="0.2">
      <c r="A28" s="59" t="s">
        <v>61</v>
      </c>
      <c r="B28" s="60">
        <v>1107883260</v>
      </c>
      <c r="C28" s="60">
        <v>255560077</v>
      </c>
      <c r="D28" s="61">
        <v>3583872</v>
      </c>
      <c r="E28" s="60">
        <v>844869012</v>
      </c>
      <c r="F28" s="60">
        <v>0</v>
      </c>
      <c r="G28" s="60">
        <v>0</v>
      </c>
      <c r="H28" s="62">
        <v>0</v>
      </c>
      <c r="I28" s="63">
        <f t="shared" si="0"/>
        <v>2211896221</v>
      </c>
    </row>
    <row r="29" spans="1:9" x14ac:dyDescent="0.2">
      <c r="A29" s="54" t="s">
        <v>62</v>
      </c>
      <c r="B29" s="55">
        <v>638436584.78999996</v>
      </c>
      <c r="C29" s="55">
        <v>50356955.25</v>
      </c>
      <c r="D29" s="56">
        <v>16324500.92</v>
      </c>
      <c r="E29" s="55">
        <v>278379176.81999999</v>
      </c>
      <c r="F29" s="55">
        <v>0</v>
      </c>
      <c r="G29" s="55">
        <v>0</v>
      </c>
      <c r="H29" s="57">
        <v>0</v>
      </c>
      <c r="I29" s="58">
        <f t="shared" si="0"/>
        <v>983497217.77999997</v>
      </c>
    </row>
    <row r="30" spans="1:9" x14ac:dyDescent="0.2">
      <c r="A30" s="59" t="s">
        <v>63</v>
      </c>
      <c r="B30" s="60">
        <v>755799344</v>
      </c>
      <c r="C30" s="60">
        <v>547542131</v>
      </c>
      <c r="D30" s="61">
        <v>9229568</v>
      </c>
      <c r="E30" s="60">
        <v>0</v>
      </c>
      <c r="F30" s="60">
        <v>0</v>
      </c>
      <c r="G30" s="60">
        <v>0</v>
      </c>
      <c r="H30" s="62">
        <v>2628898301</v>
      </c>
      <c r="I30" s="63">
        <f t="shared" si="0"/>
        <v>3941469344</v>
      </c>
    </row>
    <row r="31" spans="1:9" x14ac:dyDescent="0.2">
      <c r="A31" s="54" t="s">
        <v>64</v>
      </c>
      <c r="B31" s="55">
        <v>2904249400</v>
      </c>
      <c r="C31" s="55">
        <v>0</v>
      </c>
      <c r="D31" s="56">
        <v>0</v>
      </c>
      <c r="E31" s="55">
        <v>0</v>
      </c>
      <c r="F31" s="55">
        <v>0</v>
      </c>
      <c r="G31" s="55">
        <v>1927834956</v>
      </c>
      <c r="H31" s="57">
        <v>0</v>
      </c>
      <c r="I31" s="58">
        <f t="shared" si="0"/>
        <v>4832084356</v>
      </c>
    </row>
    <row r="32" spans="1:9" x14ac:dyDescent="0.2">
      <c r="A32" s="59" t="s">
        <v>65</v>
      </c>
      <c r="B32" s="60">
        <v>1060904364.55</v>
      </c>
      <c r="C32" s="60">
        <v>7804115.5700000003</v>
      </c>
      <c r="D32" s="61">
        <v>0</v>
      </c>
      <c r="E32" s="60">
        <v>198245.65</v>
      </c>
      <c r="F32" s="60">
        <v>0</v>
      </c>
      <c r="G32" s="60">
        <v>91121776.769999996</v>
      </c>
      <c r="H32" s="62">
        <v>58258917.560000002</v>
      </c>
      <c r="I32" s="63">
        <f t="shared" si="0"/>
        <v>1218287420.0999999</v>
      </c>
    </row>
    <row r="33" spans="1:9" x14ac:dyDescent="0.2">
      <c r="A33" s="54" t="s">
        <v>66</v>
      </c>
      <c r="B33" s="55">
        <v>358589933</v>
      </c>
      <c r="C33" s="55">
        <v>19053930</v>
      </c>
      <c r="D33" s="56">
        <v>53804</v>
      </c>
      <c r="E33" s="55">
        <v>311763</v>
      </c>
      <c r="F33" s="55">
        <v>0</v>
      </c>
      <c r="G33" s="55">
        <v>899889204</v>
      </c>
      <c r="H33" s="57">
        <v>0</v>
      </c>
      <c r="I33" s="58">
        <f t="shared" si="0"/>
        <v>1277898634</v>
      </c>
    </row>
    <row r="34" spans="1:9" x14ac:dyDescent="0.2">
      <c r="A34" s="59" t="s">
        <v>67</v>
      </c>
      <c r="B34" s="60">
        <v>2638806499</v>
      </c>
      <c r="C34" s="60">
        <v>383349907</v>
      </c>
      <c r="D34" s="61">
        <v>1528951</v>
      </c>
      <c r="E34" s="60">
        <v>0</v>
      </c>
      <c r="F34" s="60">
        <v>7784573403</v>
      </c>
      <c r="G34" s="60">
        <v>0</v>
      </c>
      <c r="H34" s="62">
        <v>0</v>
      </c>
      <c r="I34" s="63">
        <f t="shared" si="0"/>
        <v>10808258760</v>
      </c>
    </row>
    <row r="35" spans="1:9" x14ac:dyDescent="0.2">
      <c r="A35" s="64" t="s">
        <v>68</v>
      </c>
      <c r="B35" s="65">
        <v>77959961</v>
      </c>
      <c r="C35" s="65">
        <v>6682040</v>
      </c>
      <c r="D35" s="66">
        <v>0</v>
      </c>
      <c r="E35" s="65">
        <v>515930</v>
      </c>
      <c r="F35" s="65">
        <v>0</v>
      </c>
      <c r="G35" s="65">
        <v>456506597</v>
      </c>
      <c r="H35" s="67">
        <v>0</v>
      </c>
      <c r="I35" s="68">
        <f t="shared" si="0"/>
        <v>541664528</v>
      </c>
    </row>
    <row r="36" spans="1:9" x14ac:dyDescent="0.2">
      <c r="A36" s="5" t="s">
        <v>69</v>
      </c>
      <c r="B36" s="69">
        <f t="shared" ref="B36:H36" si="1">SUM(B10:B35)</f>
        <v>22880524980.41</v>
      </c>
      <c r="C36" s="69">
        <f t="shared" si="1"/>
        <v>2193267556.5</v>
      </c>
      <c r="D36" s="70">
        <f t="shared" si="1"/>
        <v>576433771.45999992</v>
      </c>
      <c r="E36" s="69">
        <f t="shared" si="1"/>
        <v>4110378259.4600005</v>
      </c>
      <c r="F36" s="69">
        <f t="shared" si="1"/>
        <v>7784573403</v>
      </c>
      <c r="G36" s="69">
        <f t="shared" si="1"/>
        <v>6120030482.5700006</v>
      </c>
      <c r="H36" s="71">
        <f t="shared" si="1"/>
        <v>2758204135.5599999</v>
      </c>
      <c r="I36" s="72">
        <f t="shared" si="0"/>
        <v>46423412588.959999</v>
      </c>
    </row>
    <row r="37" spans="1:9" x14ac:dyDescent="0.2">
      <c r="A37" s="73"/>
      <c r="B37" s="73"/>
    </row>
  </sheetData>
  <mergeCells count="6">
    <mergeCell ref="I6:I7"/>
    <mergeCell ref="C6:C7"/>
    <mergeCell ref="B6:B7"/>
    <mergeCell ref="D6:H6"/>
    <mergeCell ref="A1:C1"/>
    <mergeCell ref="A6:A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"/>
  <sheetViews>
    <sheetView showGridLines="0" workbookViewId="0"/>
  </sheetViews>
  <sheetFormatPr baseColWidth="10" defaultColWidth="11.5546875" defaultRowHeight="15" x14ac:dyDescent="0.2"/>
  <cols>
    <col min="1" max="1" width="36.109375" style="12" customWidth="1"/>
    <col min="2" max="2" width="12.88671875" style="12" customWidth="1"/>
    <col min="3" max="3" width="15.88671875" style="12" customWidth="1"/>
    <col min="4" max="4" width="10" style="12" customWidth="1"/>
  </cols>
  <sheetData>
    <row r="1" spans="1:4" ht="18" customHeight="1" x14ac:dyDescent="0.25">
      <c r="A1" s="4" t="str">
        <f>"Calcul du gamma "&amp;Info!C31</f>
        <v>Calcul du gamma 2012</v>
      </c>
      <c r="B1" s="4"/>
    </row>
    <row r="2" spans="1:4" ht="15.75" customHeight="1" x14ac:dyDescent="0.2">
      <c r="A2" s="74" t="str">
        <f>Salaires_bruts!A2</f>
        <v>Année de référence 2016</v>
      </c>
      <c r="B2" s="74"/>
    </row>
    <row r="3" spans="1:4" ht="33" customHeight="1" x14ac:dyDescent="0.2">
      <c r="C3" s="75" t="str">
        <f>Info!$C$28</f>
        <v>FA_2016_20150609</v>
      </c>
    </row>
    <row r="4" spans="1:4" ht="15.75" customHeight="1" x14ac:dyDescent="0.25">
      <c r="B4" s="76" t="s">
        <v>70</v>
      </c>
      <c r="C4" s="77" t="s">
        <v>71</v>
      </c>
      <c r="D4" s="78"/>
    </row>
    <row r="5" spans="1:4" x14ac:dyDescent="0.2">
      <c r="A5" s="73" t="s">
        <v>72</v>
      </c>
      <c r="B5" s="79" t="s">
        <v>73</v>
      </c>
      <c r="C5" s="80">
        <v>454869717.64675099</v>
      </c>
      <c r="D5" s="81"/>
    </row>
    <row r="6" spans="1:4" x14ac:dyDescent="0.2">
      <c r="A6" s="82" t="s">
        <v>74</v>
      </c>
      <c r="B6" s="83" t="str">
        <f>"AFA_"&amp;Info!C30&amp;"_"&amp;Info!C31&amp;".xlsx"</f>
        <v>AFA_2016_2012.xlsx</v>
      </c>
      <c r="C6" s="84">
        <f>Calculation_RIS!O39</f>
        <v>161331909.29999998</v>
      </c>
      <c r="D6" s="81"/>
    </row>
    <row r="7" spans="1:4" ht="24.75" customHeight="1" x14ac:dyDescent="0.25">
      <c r="A7" s="85" t="s">
        <v>75</v>
      </c>
      <c r="B7" s="85"/>
      <c r="C7" s="86">
        <f>ROUND(C6/C5,3)</f>
        <v>0.35499999999999998</v>
      </c>
    </row>
    <row r="8" spans="1:4" ht="15.75" customHeight="1" x14ac:dyDescent="0.2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 x14ac:dyDescent="0.2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6640625" style="12" customWidth="1"/>
    <col min="15" max="15" width="16.44140625" style="12" customWidth="1"/>
    <col min="16" max="16" width="21.6640625" style="12" customWidth="1"/>
    <col min="17" max="17" width="16.21875" style="12" customWidth="1"/>
    <col min="18" max="18" width="3.6640625" style="87" customWidth="1"/>
    <col min="19" max="19" width="18.77734375" style="12" customWidth="1"/>
    <col min="20" max="20" width="3.6640625" style="12" customWidth="1"/>
    <col min="21" max="21" width="11.5546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 x14ac:dyDescent="0.2">
      <c r="A1" s="197" t="str">
        <f>"Revenu déterminant pour l'imposition à la source (RIS) "&amp;Info!C31</f>
        <v>Revenu déterminant pour l'imposition à la source (RIS) 2012</v>
      </c>
      <c r="B1" s="197"/>
      <c r="C1" s="197"/>
      <c r="D1" s="197"/>
      <c r="E1" s="197"/>
      <c r="F1" s="197"/>
      <c r="H1" s="13"/>
      <c r="R1" s="12"/>
    </row>
    <row r="2" spans="1:22" ht="18.75" customHeight="1" x14ac:dyDescent="0.25">
      <c r="A2" s="88" t="str">
        <f>Info!A5</f>
        <v>Année de référence 2016</v>
      </c>
      <c r="B2" s="89"/>
      <c r="H2" s="87"/>
      <c r="R2" s="12"/>
    </row>
    <row r="3" spans="1:22" ht="18.75" customHeight="1" x14ac:dyDescent="0.25">
      <c r="A3" s="90"/>
      <c r="B3" s="89"/>
      <c r="H3" s="87"/>
      <c r="L3" s="91" t="str">
        <f>Info!C28</f>
        <v>FA_2016_20150609</v>
      </c>
      <c r="R3" s="12"/>
    </row>
    <row r="4" spans="1:22" ht="37.5" customHeight="1" x14ac:dyDescent="0.2">
      <c r="A4" s="217" t="str">
        <f>"Calculation sur la base des salaires bruts "&amp;Info!C31</f>
        <v>Calculation sur la base des salaires bruts 2012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9"/>
      <c r="N4" s="206" t="s">
        <v>76</v>
      </c>
      <c r="O4" s="207"/>
      <c r="P4" s="207"/>
      <c r="Q4" s="208"/>
      <c r="S4" s="92"/>
    </row>
    <row r="5" spans="1:22" ht="16.5" customHeight="1" x14ac:dyDescent="0.2">
      <c r="A5" s="93"/>
      <c r="B5" s="94"/>
      <c r="C5" s="94"/>
      <c r="D5" s="94"/>
      <c r="E5" s="94"/>
      <c r="F5" s="94"/>
      <c r="G5" s="94"/>
      <c r="H5" s="94"/>
      <c r="I5" s="93"/>
      <c r="J5" s="94"/>
      <c r="K5" s="94"/>
      <c r="N5" s="95"/>
    </row>
    <row r="6" spans="1:22" s="1" customFormat="1" ht="16.5" customHeight="1" x14ac:dyDescent="0.2">
      <c r="A6" s="96" t="s">
        <v>13</v>
      </c>
      <c r="B6" s="97" t="s">
        <v>14</v>
      </c>
      <c r="C6" s="97" t="s">
        <v>15</v>
      </c>
      <c r="D6" s="97" t="s">
        <v>16</v>
      </c>
      <c r="E6" s="97" t="s">
        <v>17</v>
      </c>
      <c r="F6" s="97" t="s">
        <v>18</v>
      </c>
      <c r="G6" s="97" t="s">
        <v>19</v>
      </c>
      <c r="H6" s="97" t="s">
        <v>20</v>
      </c>
      <c r="I6" s="97" t="s">
        <v>77</v>
      </c>
      <c r="J6" s="97" t="s">
        <v>78</v>
      </c>
      <c r="K6" s="97" t="s">
        <v>79</v>
      </c>
      <c r="L6" s="98" t="s">
        <v>80</v>
      </c>
      <c r="M6" s="99"/>
      <c r="N6" s="100"/>
      <c r="O6" s="101" t="s">
        <v>81</v>
      </c>
      <c r="P6" s="101" t="s">
        <v>82</v>
      </c>
      <c r="Q6" s="102" t="s">
        <v>83</v>
      </c>
      <c r="R6" s="103"/>
      <c r="S6" s="104" t="s">
        <v>84</v>
      </c>
    </row>
    <row r="7" spans="1:22" s="37" customFormat="1" ht="16.5" customHeight="1" x14ac:dyDescent="0.2">
      <c r="A7" s="105" t="s">
        <v>22</v>
      </c>
      <c r="B7" s="106" t="s">
        <v>85</v>
      </c>
      <c r="C7" s="106" t="s">
        <v>85</v>
      </c>
      <c r="D7" s="107" t="str">
        <f>IF(Info!C31&lt;2006,"0.03 / TFS","(1 - 0.125) * gamma")</f>
        <v>(1 - 0.125) * gamma</v>
      </c>
      <c r="E7" s="108" t="s">
        <v>86</v>
      </c>
      <c r="F7" s="108" t="s">
        <v>87</v>
      </c>
      <c r="G7" s="108" t="s">
        <v>86</v>
      </c>
      <c r="H7" s="109" t="s">
        <v>88</v>
      </c>
      <c r="I7" s="108" t="s">
        <v>89</v>
      </c>
      <c r="J7" s="108"/>
      <c r="K7" s="108" t="s">
        <v>90</v>
      </c>
      <c r="L7" s="110" t="s">
        <v>91</v>
      </c>
      <c r="M7" s="111"/>
      <c r="N7" s="112" t="s">
        <v>22</v>
      </c>
      <c r="O7" s="113"/>
      <c r="P7" s="113"/>
      <c r="Q7" s="114" t="s">
        <v>92</v>
      </c>
      <c r="R7" s="115"/>
      <c r="S7" s="116" t="s">
        <v>93</v>
      </c>
    </row>
    <row r="8" spans="1:22" s="1" customFormat="1" ht="15.75" customHeight="1" x14ac:dyDescent="0.2">
      <c r="A8" s="27" t="s">
        <v>24</v>
      </c>
      <c r="B8" s="28">
        <v>0</v>
      </c>
      <c r="C8" s="28">
        <v>1</v>
      </c>
      <c r="D8" s="29" t="s">
        <v>25</v>
      </c>
      <c r="E8" s="28" t="s">
        <v>26</v>
      </c>
      <c r="F8" s="28" t="s">
        <v>27</v>
      </c>
      <c r="G8" s="28" t="s">
        <v>28</v>
      </c>
      <c r="H8" s="30" t="s">
        <v>29</v>
      </c>
      <c r="I8" s="28"/>
      <c r="J8" s="28"/>
      <c r="K8" s="117"/>
      <c r="L8" s="31"/>
      <c r="M8" s="118"/>
      <c r="N8" s="32"/>
      <c r="O8" s="192" t="str">
        <f>"Revenu déterminant "&amp;Info!C31</f>
        <v>Revenu déterminant 2012</v>
      </c>
      <c r="P8" s="192" t="s">
        <v>94</v>
      </c>
      <c r="Q8" s="200" t="s">
        <v>95</v>
      </c>
      <c r="R8" s="119"/>
      <c r="S8" s="209" t="s">
        <v>96</v>
      </c>
    </row>
    <row r="9" spans="1:22" s="120" customFormat="1" ht="22.5" customHeight="1" x14ac:dyDescent="0.2">
      <c r="A9" s="32"/>
      <c r="B9" s="192" t="s">
        <v>30</v>
      </c>
      <c r="C9" s="192" t="s">
        <v>31</v>
      </c>
      <c r="D9" s="194" t="s">
        <v>32</v>
      </c>
      <c r="E9" s="195"/>
      <c r="F9" s="195"/>
      <c r="G9" s="195"/>
      <c r="H9" s="196"/>
      <c r="I9" s="192" t="s">
        <v>97</v>
      </c>
      <c r="J9" s="192" t="s">
        <v>98</v>
      </c>
      <c r="K9" s="192" t="s">
        <v>99</v>
      </c>
      <c r="L9" s="200" t="s">
        <v>100</v>
      </c>
      <c r="M9" s="118"/>
      <c r="N9" s="121"/>
      <c r="O9" s="203"/>
      <c r="P9" s="203"/>
      <c r="Q9" s="202"/>
      <c r="R9" s="119"/>
      <c r="S9" s="210"/>
      <c r="V9" s="122" t="str">
        <f>Info!C28</f>
        <v>FA_2016_20150609</v>
      </c>
    </row>
    <row r="10" spans="1:22" s="120" customFormat="1" ht="56.25" customHeight="1" x14ac:dyDescent="0.2">
      <c r="A10" s="33"/>
      <c r="B10" s="203"/>
      <c r="C10" s="203"/>
      <c r="D10" s="34" t="s">
        <v>34</v>
      </c>
      <c r="E10" s="35" t="s">
        <v>35</v>
      </c>
      <c r="F10" s="35" t="s">
        <v>36</v>
      </c>
      <c r="G10" s="35" t="s">
        <v>37</v>
      </c>
      <c r="H10" s="36" t="s">
        <v>38</v>
      </c>
      <c r="I10" s="203"/>
      <c r="J10" s="203"/>
      <c r="K10" s="203"/>
      <c r="L10" s="202"/>
      <c r="M10" s="118"/>
      <c r="N10" s="123"/>
      <c r="O10" s="204"/>
      <c r="P10" s="204"/>
      <c r="Q10" s="205"/>
      <c r="R10" s="119"/>
      <c r="S10" s="210"/>
      <c r="U10" s="215" t="str">
        <f>" Taux fiscal standardisé (TFS) "&amp;Info!C30-1</f>
        <v xml:space="preserve"> Taux fiscal standardisé (TFS) 2015</v>
      </c>
      <c r="V10" s="216"/>
    </row>
    <row r="11" spans="1:22" s="124" customFormat="1" ht="15" customHeight="1" x14ac:dyDescent="0.2">
      <c r="A11" s="125" t="s">
        <v>101</v>
      </c>
      <c r="B11" s="126">
        <f>gamma</f>
        <v>0.35499999999999998</v>
      </c>
      <c r="C11" s="126">
        <f>gamma</f>
        <v>0.35499999999999998</v>
      </c>
      <c r="D11" s="127">
        <f>IF(Info!C31&lt;2006,0.03/sst,0.875*gamma)</f>
        <v>0.31062499999999998</v>
      </c>
      <c r="E11" s="126">
        <f>0.045/sst</f>
        <v>0.16245487364620936</v>
      </c>
      <c r="F11" s="126">
        <f>gamma-0.035/sst</f>
        <v>0.22864620938628158</v>
      </c>
      <c r="G11" s="126">
        <f>0.045/sst</f>
        <v>0.16245487364620936</v>
      </c>
      <c r="H11" s="128">
        <f>0.6*gamma</f>
        <v>0.21299999999999999</v>
      </c>
      <c r="I11" s="126"/>
      <c r="J11" s="126"/>
      <c r="K11" s="126"/>
      <c r="L11" s="129"/>
      <c r="M11" s="130"/>
      <c r="N11" s="131" t="s">
        <v>39</v>
      </c>
      <c r="O11" s="132" t="str">
        <f>" AFA_"&amp;Info!C30&amp;"_"&amp;Info!C31&amp;".xlsx"</f>
        <v xml:space="preserve"> AFA_2016_2012.xlsx</v>
      </c>
      <c r="R11" s="133"/>
      <c r="S11" s="134"/>
      <c r="U11" s="213" t="str">
        <f>"Source: PR_"&amp;Info!C30-1&amp;".xlsx"</f>
        <v>Source: PR_2015.xlsx</v>
      </c>
      <c r="V11" s="214"/>
    </row>
    <row r="12" spans="1:22" s="124" customFormat="1" ht="12.75" x14ac:dyDescent="0.2">
      <c r="A12" s="125" t="s">
        <v>41</v>
      </c>
      <c r="B12" s="126" t="s">
        <v>71</v>
      </c>
      <c r="C12" s="126" t="s">
        <v>71</v>
      </c>
      <c r="D12" s="127" t="s">
        <v>71</v>
      </c>
      <c r="E12" s="126" t="s">
        <v>71</v>
      </c>
      <c r="F12" s="126" t="s">
        <v>71</v>
      </c>
      <c r="G12" s="126" t="s">
        <v>71</v>
      </c>
      <c r="H12" s="128" t="s">
        <v>71</v>
      </c>
      <c r="I12" s="126" t="s">
        <v>71</v>
      </c>
      <c r="J12" s="126"/>
      <c r="K12" s="126" t="s">
        <v>71</v>
      </c>
      <c r="L12" s="135" t="s">
        <v>71</v>
      </c>
      <c r="M12" s="130"/>
      <c r="N12" s="136" t="s">
        <v>41</v>
      </c>
      <c r="O12" s="126" t="s">
        <v>71</v>
      </c>
      <c r="P12" s="137"/>
      <c r="Q12" s="135" t="s">
        <v>71</v>
      </c>
      <c r="R12" s="133"/>
      <c r="S12" s="138" t="s">
        <v>71</v>
      </c>
      <c r="U12" s="211"/>
      <c r="V12" s="212"/>
    </row>
    <row r="13" spans="1:22" ht="15.75" customHeight="1" x14ac:dyDescent="0.25">
      <c r="A13" s="139" t="s">
        <v>43</v>
      </c>
      <c r="B13" s="140">
        <f>(Salaires_bruts!B10*B$11)/1000</f>
        <v>1883387.598119</v>
      </c>
      <c r="C13" s="140">
        <f>(Salaires_bruts!C10*C$11)/1000</f>
        <v>22133.647564999999</v>
      </c>
      <c r="D13" s="141">
        <f>(Salaires_bruts!D10*D$11)/1000</f>
        <v>0</v>
      </c>
      <c r="E13" s="140">
        <f>(Salaires_bruts!E10*E$11)/1000</f>
        <v>84462.651714801425</v>
      </c>
      <c r="F13" s="140">
        <f>(Salaires_bruts!F10*F$11)/1000</f>
        <v>0</v>
      </c>
      <c r="G13" s="140">
        <f>(Salaires_bruts!G10*G$11)/1000</f>
        <v>0</v>
      </c>
      <c r="H13" s="142">
        <f>(Salaires_bruts!H10*H$11)/1000</f>
        <v>0</v>
      </c>
      <c r="I13" s="140">
        <f t="shared" ref="I13:I38" si="0">SUM(C13:H13)</f>
        <v>106596.29927980143</v>
      </c>
      <c r="J13" s="143">
        <f t="shared" ref="J13:J38" si="1">$J$39</f>
        <v>0.75</v>
      </c>
      <c r="K13" s="140">
        <f t="shared" ref="K13:K39" si="2">I13*J13</f>
        <v>79947.224459851073</v>
      </c>
      <c r="L13" s="144">
        <f t="shared" ref="L13:L39" si="3">K13+B13</f>
        <v>1963334.8225788511</v>
      </c>
      <c r="M13" s="145"/>
      <c r="N13" s="139" t="s">
        <v>43</v>
      </c>
      <c r="O13" s="146">
        <v>34905079.600000001</v>
      </c>
      <c r="P13" s="147">
        <v>0</v>
      </c>
      <c r="Q13" s="144">
        <f>IF(Calculation_RIS!L13=0,O13*P13,0)</f>
        <v>0</v>
      </c>
      <c r="R13" s="148"/>
      <c r="S13" s="149">
        <f>Calculation_RIS!L13+Q13</f>
        <v>1963334.8225788511</v>
      </c>
      <c r="U13" s="150" t="s">
        <v>102</v>
      </c>
      <c r="V13" s="151">
        <v>0.27698654084703</v>
      </c>
    </row>
    <row r="14" spans="1:22" ht="15.75" customHeight="1" x14ac:dyDescent="0.25">
      <c r="A14" s="152" t="s">
        <v>44</v>
      </c>
      <c r="B14" s="153">
        <f>(Salaires_bruts!B11*B$11)/1000</f>
        <v>569813.98219499993</v>
      </c>
      <c r="C14" s="153">
        <f>(Salaires_bruts!C11*C$11)/1000</f>
        <v>47382.333509999997</v>
      </c>
      <c r="D14" s="154">
        <f>(Salaires_bruts!D11*D$11)/1000</f>
        <v>40.370688749999999</v>
      </c>
      <c r="E14" s="153">
        <f>(Salaires_bruts!E11*E$11)/1000</f>
        <v>2554.1941516245483</v>
      </c>
      <c r="F14" s="153">
        <f>(Salaires_bruts!F11*F$11)/1000</f>
        <v>0</v>
      </c>
      <c r="G14" s="153">
        <f>(Salaires_bruts!G11*G$11)/1000</f>
        <v>23037.667797833932</v>
      </c>
      <c r="H14" s="155">
        <f>(Salaires_bruts!H11*H$11)/1000</f>
        <v>0</v>
      </c>
      <c r="I14" s="153">
        <f t="shared" si="0"/>
        <v>73014.566148208483</v>
      </c>
      <c r="J14" s="156">
        <f t="shared" si="1"/>
        <v>0.75</v>
      </c>
      <c r="K14" s="153">
        <f t="shared" si="2"/>
        <v>54760.924611156363</v>
      </c>
      <c r="L14" s="157">
        <f t="shared" si="3"/>
        <v>624574.90680615627</v>
      </c>
      <c r="M14" s="145"/>
      <c r="N14" s="152" t="s">
        <v>44</v>
      </c>
      <c r="O14" s="158">
        <v>15781095.6</v>
      </c>
      <c r="P14" s="159">
        <v>0</v>
      </c>
      <c r="Q14" s="157">
        <f>IF(Calculation_RIS!L14=0,O14*P14,0)</f>
        <v>0</v>
      </c>
      <c r="R14" s="148"/>
      <c r="S14" s="160">
        <f>Calculation_RIS!L14+Q14</f>
        <v>624574.90680615627</v>
      </c>
      <c r="U14" s="161" t="s">
        <v>103</v>
      </c>
      <c r="V14" s="162">
        <f>ROUND(V13,3)</f>
        <v>0.27700000000000002</v>
      </c>
    </row>
    <row r="15" spans="1:22" ht="15.75" customHeight="1" x14ac:dyDescent="0.25">
      <c r="A15" s="163" t="s">
        <v>45</v>
      </c>
      <c r="B15" s="164">
        <f>(Salaires_bruts!B12*B$11)/1000</f>
        <v>254261.32799369999</v>
      </c>
      <c r="C15" s="164">
        <f>(Salaires_bruts!C12*C$11)/1000</f>
        <v>18307.235913649998</v>
      </c>
      <c r="D15" s="165">
        <f>(Salaires_bruts!D12*D$11)/1000</f>
        <v>295.55185975000001</v>
      </c>
      <c r="E15" s="164">
        <f>(Salaires_bruts!E12*E$11)/1000</f>
        <v>1109.2598090252707</v>
      </c>
      <c r="F15" s="164">
        <f>(Salaires_bruts!F12*F$11)/1000</f>
        <v>0</v>
      </c>
      <c r="G15" s="164">
        <f>(Salaires_bruts!G12*G$11)/1000</f>
        <v>0</v>
      </c>
      <c r="H15" s="166">
        <f>(Salaires_bruts!H12*H$11)/1000</f>
        <v>0</v>
      </c>
      <c r="I15" s="164">
        <f t="shared" si="0"/>
        <v>19712.047582425272</v>
      </c>
      <c r="J15" s="167">
        <f t="shared" si="1"/>
        <v>0.75</v>
      </c>
      <c r="K15" s="164">
        <f t="shared" si="2"/>
        <v>14784.035686818954</v>
      </c>
      <c r="L15" s="168">
        <f t="shared" si="3"/>
        <v>269045.36368051893</v>
      </c>
      <c r="M15" s="145"/>
      <c r="N15" s="163" t="s">
        <v>45</v>
      </c>
      <c r="O15" s="169">
        <v>6621478</v>
      </c>
      <c r="P15" s="170">
        <v>0</v>
      </c>
      <c r="Q15" s="168">
        <f>IF(Calculation_RIS!L15=0,O15*P15,0)</f>
        <v>0</v>
      </c>
      <c r="R15" s="148"/>
      <c r="S15" s="171">
        <f>Calculation_RIS!L15+Q15</f>
        <v>269045.36368051893</v>
      </c>
    </row>
    <row r="16" spans="1:22" ht="15.75" customHeight="1" x14ac:dyDescent="0.25">
      <c r="A16" s="152" t="s">
        <v>46</v>
      </c>
      <c r="B16" s="153">
        <f>(Salaires_bruts!B13*B$11)/1000</f>
        <v>26809.440605</v>
      </c>
      <c r="C16" s="153">
        <f>(Salaires_bruts!C13*C$11)/1000</f>
        <v>0</v>
      </c>
      <c r="D16" s="154">
        <f>(Salaires_bruts!D13*D$11)/1000</f>
        <v>267.59059315625001</v>
      </c>
      <c r="E16" s="153">
        <f>(Salaires_bruts!E13*E$11)/1000</f>
        <v>0</v>
      </c>
      <c r="F16" s="153">
        <f>(Salaires_bruts!F13*F$11)/1000</f>
        <v>0</v>
      </c>
      <c r="G16" s="153">
        <f>(Salaires_bruts!G13*G$11)/1000</f>
        <v>0</v>
      </c>
      <c r="H16" s="155">
        <f>(Salaires_bruts!H13*H$11)/1000</f>
        <v>0</v>
      </c>
      <c r="I16" s="153">
        <f t="shared" si="0"/>
        <v>267.59059315625001</v>
      </c>
      <c r="J16" s="156">
        <f t="shared" si="1"/>
        <v>0.75</v>
      </c>
      <c r="K16" s="153">
        <f t="shared" si="2"/>
        <v>200.69294486718752</v>
      </c>
      <c r="L16" s="157">
        <f t="shared" si="3"/>
        <v>27010.133549867187</v>
      </c>
      <c r="M16" s="145"/>
      <c r="N16" s="152" t="s">
        <v>46</v>
      </c>
      <c r="O16" s="158">
        <v>467111.7</v>
      </c>
      <c r="P16" s="159">
        <v>0</v>
      </c>
      <c r="Q16" s="157">
        <f>IF(Calculation_RIS!L16=0,O16*P16,0)</f>
        <v>0</v>
      </c>
      <c r="R16" s="148"/>
      <c r="S16" s="160">
        <f>Calculation_RIS!L16+Q16</f>
        <v>27010.133549867187</v>
      </c>
    </row>
    <row r="17" spans="1:19" ht="15.75" customHeight="1" x14ac:dyDescent="0.25">
      <c r="A17" s="163" t="s">
        <v>47</v>
      </c>
      <c r="B17" s="164">
        <f>(Salaires_bruts!B14*B$11)/1000</f>
        <v>113448.04728745</v>
      </c>
      <c r="C17" s="164">
        <f>(Salaires_bruts!C14*C$11)/1000</f>
        <v>19562.184673799999</v>
      </c>
      <c r="D17" s="165">
        <f>(Salaires_bruts!D14*D$11)/1000</f>
        <v>338.45041474999999</v>
      </c>
      <c r="E17" s="164">
        <f>(Salaires_bruts!E14*E$11)/1000</f>
        <v>423.91279657039706</v>
      </c>
      <c r="F17" s="164">
        <f>(Salaires_bruts!F14*F$11)/1000</f>
        <v>0</v>
      </c>
      <c r="G17" s="164">
        <f>(Salaires_bruts!G14*G$11)/1000</f>
        <v>0</v>
      </c>
      <c r="H17" s="166">
        <f>(Salaires_bruts!H14*H$11)/1000</f>
        <v>0</v>
      </c>
      <c r="I17" s="164">
        <f t="shared" si="0"/>
        <v>20324.547885120395</v>
      </c>
      <c r="J17" s="167">
        <f t="shared" si="1"/>
        <v>0.75</v>
      </c>
      <c r="K17" s="164">
        <f t="shared" si="2"/>
        <v>15243.410913840296</v>
      </c>
      <c r="L17" s="168">
        <f t="shared" si="3"/>
        <v>128691.4582012903</v>
      </c>
      <c r="M17" s="145"/>
      <c r="N17" s="163" t="s">
        <v>47</v>
      </c>
      <c r="O17" s="169">
        <v>5232361.0999999996</v>
      </c>
      <c r="P17" s="170">
        <v>0</v>
      </c>
      <c r="Q17" s="168">
        <f>IF(Calculation_RIS!L17=0,O17*P17,0)</f>
        <v>0</v>
      </c>
      <c r="R17" s="148"/>
      <c r="S17" s="171">
        <f>Calculation_RIS!L17+Q17</f>
        <v>128691.4582012903</v>
      </c>
    </row>
    <row r="18" spans="1:19" ht="15.75" customHeight="1" x14ac:dyDescent="0.25">
      <c r="A18" s="152" t="s">
        <v>48</v>
      </c>
      <c r="B18" s="153">
        <f>(Salaires_bruts!B15*B$11)/1000</f>
        <v>29187.975561849995</v>
      </c>
      <c r="C18" s="153">
        <f>(Salaires_bruts!C15*C$11)/1000</f>
        <v>2139.9792807499998</v>
      </c>
      <c r="D18" s="154">
        <f>(Salaires_bruts!D15*D$11)/1000</f>
        <v>78.808482374999997</v>
      </c>
      <c r="E18" s="153">
        <f>(Salaires_bruts!E15*E$11)/1000</f>
        <v>51.83207220216606</v>
      </c>
      <c r="F18" s="153">
        <f>(Salaires_bruts!F15*F$11)/1000</f>
        <v>0</v>
      </c>
      <c r="G18" s="153">
        <f>(Salaires_bruts!G15*G$11)/1000</f>
        <v>0</v>
      </c>
      <c r="H18" s="155">
        <f>(Salaires_bruts!H15*H$11)/1000</f>
        <v>0</v>
      </c>
      <c r="I18" s="153">
        <f t="shared" si="0"/>
        <v>2270.6198353271661</v>
      </c>
      <c r="J18" s="156">
        <f t="shared" si="1"/>
        <v>0.75</v>
      </c>
      <c r="K18" s="153">
        <f t="shared" si="2"/>
        <v>1702.9648764953745</v>
      </c>
      <c r="L18" s="157">
        <f t="shared" si="3"/>
        <v>30890.940438345369</v>
      </c>
      <c r="M18" s="145"/>
      <c r="N18" s="152" t="s">
        <v>48</v>
      </c>
      <c r="O18" s="158">
        <v>673815.5</v>
      </c>
      <c r="P18" s="159">
        <v>0</v>
      </c>
      <c r="Q18" s="157">
        <f>IF(Calculation_RIS!L18=0,O18*P18,0)</f>
        <v>0</v>
      </c>
      <c r="R18" s="148"/>
      <c r="S18" s="160">
        <f>Calculation_RIS!L18+Q18</f>
        <v>30890.940438345369</v>
      </c>
    </row>
    <row r="19" spans="1:19" ht="15.75" customHeight="1" x14ac:dyDescent="0.25">
      <c r="A19" s="163" t="s">
        <v>49</v>
      </c>
      <c r="B19" s="164">
        <f>(Salaires_bruts!B16*B$11)/1000</f>
        <v>28802.849477299998</v>
      </c>
      <c r="C19" s="164">
        <f>(Salaires_bruts!C16*C$11)/1000</f>
        <v>561.90247385000009</v>
      </c>
      <c r="D19" s="165">
        <f>(Salaires_bruts!D16*D$11)/1000</f>
        <v>868.29465974999982</v>
      </c>
      <c r="E19" s="164">
        <f>(Salaires_bruts!E16*E$11)/1000</f>
        <v>113.33176083032488</v>
      </c>
      <c r="F19" s="164">
        <f>(Salaires_bruts!F16*F$11)/1000</f>
        <v>0</v>
      </c>
      <c r="G19" s="164">
        <f>(Salaires_bruts!G16*G$11)/1000</f>
        <v>0</v>
      </c>
      <c r="H19" s="166">
        <f>(Salaires_bruts!H16*H$11)/1000</f>
        <v>0</v>
      </c>
      <c r="I19" s="164">
        <f t="shared" si="0"/>
        <v>1543.5288944303247</v>
      </c>
      <c r="J19" s="167">
        <f t="shared" si="1"/>
        <v>0.75</v>
      </c>
      <c r="K19" s="164">
        <f t="shared" si="2"/>
        <v>1157.6466708227435</v>
      </c>
      <c r="L19" s="168">
        <f t="shared" si="3"/>
        <v>29960.496148122744</v>
      </c>
      <c r="M19" s="145"/>
      <c r="N19" s="163" t="s">
        <v>49</v>
      </c>
      <c r="O19" s="169">
        <v>1136494</v>
      </c>
      <c r="P19" s="170">
        <v>0</v>
      </c>
      <c r="Q19" s="168">
        <f>IF(Calculation_RIS!L19=0,O19*P19,0)</f>
        <v>0</v>
      </c>
      <c r="R19" s="148"/>
      <c r="S19" s="171">
        <f>Calculation_RIS!L19+Q19</f>
        <v>29960.496148122744</v>
      </c>
    </row>
    <row r="20" spans="1:19" ht="15.75" customHeight="1" x14ac:dyDescent="0.25">
      <c r="A20" s="152" t="s">
        <v>50</v>
      </c>
      <c r="B20" s="153">
        <f>(Salaires_bruts!B17*B$11)/1000</f>
        <v>44548.177491599999</v>
      </c>
      <c r="C20" s="153">
        <f>(Salaires_bruts!C17*C$11)/1000</f>
        <v>131.95901669999998</v>
      </c>
      <c r="D20" s="154">
        <f>(Salaires_bruts!D17*D$11)/1000</f>
        <v>2934.5394478312496</v>
      </c>
      <c r="E20" s="153">
        <f>(Salaires_bruts!E17*E$11)/1000</f>
        <v>102.5657788808664</v>
      </c>
      <c r="F20" s="153">
        <f>(Salaires_bruts!F17*F$11)/1000</f>
        <v>0</v>
      </c>
      <c r="G20" s="153">
        <f>(Salaires_bruts!G17*G$11)/1000</f>
        <v>0</v>
      </c>
      <c r="H20" s="155">
        <f>(Salaires_bruts!H17*H$11)/1000</f>
        <v>0</v>
      </c>
      <c r="I20" s="153">
        <f t="shared" si="0"/>
        <v>3169.064243412116</v>
      </c>
      <c r="J20" s="156">
        <f t="shared" si="1"/>
        <v>0.75</v>
      </c>
      <c r="K20" s="153">
        <f t="shared" si="2"/>
        <v>2376.7981825590869</v>
      </c>
      <c r="L20" s="157">
        <f t="shared" si="3"/>
        <v>46924.975674159083</v>
      </c>
      <c r="M20" s="145"/>
      <c r="N20" s="152" t="s">
        <v>50</v>
      </c>
      <c r="O20" s="158">
        <v>557969.80000000005</v>
      </c>
      <c r="P20" s="159">
        <v>0</v>
      </c>
      <c r="Q20" s="157">
        <f>IF(Calculation_RIS!L20=0,O20*P20,0)</f>
        <v>0</v>
      </c>
      <c r="R20" s="148"/>
      <c r="S20" s="160">
        <f>Calculation_RIS!L20+Q20</f>
        <v>46924.975674159083</v>
      </c>
    </row>
    <row r="21" spans="1:19" ht="15.75" customHeight="1" x14ac:dyDescent="0.25">
      <c r="A21" s="163" t="s">
        <v>51</v>
      </c>
      <c r="B21" s="164">
        <f>(Salaires_bruts!B18*B$11)/1000</f>
        <v>196095.68979334997</v>
      </c>
      <c r="C21" s="164">
        <f>(Salaires_bruts!C18*C$11)/1000</f>
        <v>20042.668774499998</v>
      </c>
      <c r="D21" s="165">
        <f>(Salaires_bruts!D18*D$11)/1000</f>
        <v>926.98917937499994</v>
      </c>
      <c r="E21" s="164">
        <f>(Salaires_bruts!E18*E$11)/1000</f>
        <v>895.3960288808662</v>
      </c>
      <c r="F21" s="164">
        <f>(Salaires_bruts!F18*F$11)/1000</f>
        <v>0</v>
      </c>
      <c r="G21" s="164">
        <f>(Salaires_bruts!G18*G$11)/1000</f>
        <v>0</v>
      </c>
      <c r="H21" s="166">
        <f>(Salaires_bruts!H18*H$11)/1000</f>
        <v>0</v>
      </c>
      <c r="I21" s="164">
        <f t="shared" si="0"/>
        <v>21865.053982755864</v>
      </c>
      <c r="J21" s="167">
        <f t="shared" si="1"/>
        <v>0.75</v>
      </c>
      <c r="K21" s="164">
        <f t="shared" si="2"/>
        <v>16398.790487066897</v>
      </c>
      <c r="L21" s="168">
        <f t="shared" si="3"/>
        <v>212494.48028041687</v>
      </c>
      <c r="M21" s="145"/>
      <c r="N21" s="163" t="s">
        <v>51</v>
      </c>
      <c r="O21" s="169">
        <v>4737000.0999999996</v>
      </c>
      <c r="P21" s="170">
        <v>0</v>
      </c>
      <c r="Q21" s="168">
        <f>IF(Calculation_RIS!L21=0,O21*P21,0)</f>
        <v>0</v>
      </c>
      <c r="R21" s="148"/>
      <c r="S21" s="171">
        <f>Calculation_RIS!L21+Q21</f>
        <v>212494.48028041687</v>
      </c>
    </row>
    <row r="22" spans="1:19" ht="15.75" customHeight="1" x14ac:dyDescent="0.25">
      <c r="A22" s="152" t="s">
        <v>52</v>
      </c>
      <c r="B22" s="153">
        <f>(Salaires_bruts!B19*B$11)/1000</f>
        <v>235571.01288999998</v>
      </c>
      <c r="C22" s="153">
        <f>(Salaires_bruts!C19*C$11)/1000</f>
        <v>0</v>
      </c>
      <c r="D22" s="154">
        <f>(Salaires_bruts!D19*D$11)/1000</f>
        <v>689.26289687500002</v>
      </c>
      <c r="E22" s="153">
        <f>(Salaires_bruts!E19*E$11)/1000</f>
        <v>0</v>
      </c>
      <c r="F22" s="153">
        <f>(Salaires_bruts!F19*F$11)/1000</f>
        <v>0</v>
      </c>
      <c r="G22" s="153">
        <f>(Salaires_bruts!G19*G$11)/1000</f>
        <v>0</v>
      </c>
      <c r="H22" s="155">
        <f>(Salaires_bruts!H19*H$11)/1000</f>
        <v>0</v>
      </c>
      <c r="I22" s="153">
        <f t="shared" si="0"/>
        <v>689.26289687500002</v>
      </c>
      <c r="J22" s="156">
        <f t="shared" si="1"/>
        <v>0.75</v>
      </c>
      <c r="K22" s="153">
        <f t="shared" si="2"/>
        <v>516.94717265625002</v>
      </c>
      <c r="L22" s="157">
        <f t="shared" si="3"/>
        <v>236087.96006265623</v>
      </c>
      <c r="M22" s="145"/>
      <c r="N22" s="152" t="s">
        <v>52</v>
      </c>
      <c r="O22" s="158">
        <v>4602280.5999999996</v>
      </c>
      <c r="P22" s="159">
        <v>0</v>
      </c>
      <c r="Q22" s="157">
        <f>IF(Calculation_RIS!L22=0,O22*P22,0)</f>
        <v>0</v>
      </c>
      <c r="R22" s="148"/>
      <c r="S22" s="160">
        <f>Calculation_RIS!L22+Q22</f>
        <v>236087.96006265623</v>
      </c>
    </row>
    <row r="23" spans="1:19" ht="15.75" customHeight="1" x14ac:dyDescent="0.25">
      <c r="A23" s="163" t="s">
        <v>53</v>
      </c>
      <c r="B23" s="164">
        <f>(Salaires_bruts!B20*B$11)/1000</f>
        <v>133801.47167</v>
      </c>
      <c r="C23" s="164">
        <f>(Salaires_bruts!C20*C$11)/1000</f>
        <v>6491.4199499999995</v>
      </c>
      <c r="D23" s="165">
        <f>(Salaires_bruts!D20*D$11)/1000</f>
        <v>214.91864187499999</v>
      </c>
      <c r="E23" s="164">
        <f>(Salaires_bruts!E20*E$11)/1000</f>
        <v>6034.1396750902513</v>
      </c>
      <c r="F23" s="164">
        <f>(Salaires_bruts!F20*F$11)/1000</f>
        <v>0</v>
      </c>
      <c r="G23" s="164">
        <f>(Salaires_bruts!G20*G$11)/1000</f>
        <v>13510.377105595666</v>
      </c>
      <c r="H23" s="166">
        <f>(Salaires_bruts!H20*H$11)/1000</f>
        <v>0</v>
      </c>
      <c r="I23" s="164">
        <f t="shared" si="0"/>
        <v>26250.855372560916</v>
      </c>
      <c r="J23" s="167">
        <f t="shared" si="1"/>
        <v>0.75</v>
      </c>
      <c r="K23" s="164">
        <f t="shared" si="2"/>
        <v>19688.141529420689</v>
      </c>
      <c r="L23" s="168">
        <f t="shared" si="3"/>
        <v>153489.61319942068</v>
      </c>
      <c r="M23" s="145"/>
      <c r="N23" s="163" t="s">
        <v>53</v>
      </c>
      <c r="O23" s="169">
        <v>4469219.4000000004</v>
      </c>
      <c r="P23" s="170">
        <v>0</v>
      </c>
      <c r="Q23" s="168">
        <f>IF(Calculation_RIS!L23=0,O23*P23,0)</f>
        <v>0</v>
      </c>
      <c r="R23" s="148"/>
      <c r="S23" s="171">
        <f>Calculation_RIS!L23+Q23</f>
        <v>153489.61319942068</v>
      </c>
    </row>
    <row r="24" spans="1:19" ht="15.75" customHeight="1" x14ac:dyDescent="0.25">
      <c r="A24" s="152" t="s">
        <v>54</v>
      </c>
      <c r="B24" s="153">
        <f>(Salaires_bruts!B21*B$11)/1000</f>
        <v>261457.62460499999</v>
      </c>
      <c r="C24" s="153">
        <f>(Salaires_bruts!C21*C$11)/1000</f>
        <v>43723.676175000001</v>
      </c>
      <c r="D24" s="154">
        <f>(Salaires_bruts!D21*D$11)/1000</f>
        <v>566.30478625000001</v>
      </c>
      <c r="E24" s="153">
        <f>(Salaires_bruts!E21*E$11)/1000</f>
        <v>211947.79110108301</v>
      </c>
      <c r="F24" s="153">
        <f>(Salaires_bruts!F21*F$11)/1000</f>
        <v>0</v>
      </c>
      <c r="G24" s="153">
        <f>(Salaires_bruts!G21*G$11)/1000</f>
        <v>253614.58749097469</v>
      </c>
      <c r="H24" s="155">
        <f>(Salaires_bruts!H21*H$11)/1000</f>
        <v>0</v>
      </c>
      <c r="I24" s="153">
        <f t="shared" si="0"/>
        <v>509852.3595533077</v>
      </c>
      <c r="J24" s="156">
        <f t="shared" si="1"/>
        <v>0.75</v>
      </c>
      <c r="K24" s="153">
        <f t="shared" si="2"/>
        <v>382389.26966498076</v>
      </c>
      <c r="L24" s="157">
        <f t="shared" si="3"/>
        <v>643846.89426998072</v>
      </c>
      <c r="M24" s="145"/>
      <c r="N24" s="152" t="s">
        <v>54</v>
      </c>
      <c r="O24" s="158">
        <v>4503787.5999999996</v>
      </c>
      <c r="P24" s="159">
        <v>0</v>
      </c>
      <c r="Q24" s="157">
        <f>IF(Calculation_RIS!L24=0,O24*P24,0)</f>
        <v>0</v>
      </c>
      <c r="R24" s="148"/>
      <c r="S24" s="160">
        <f>Calculation_RIS!L24+Q24</f>
        <v>643846.89426998072</v>
      </c>
    </row>
    <row r="25" spans="1:19" ht="15.75" customHeight="1" x14ac:dyDescent="0.25">
      <c r="A25" s="163" t="s">
        <v>55</v>
      </c>
      <c r="B25" s="164">
        <f>(Salaires_bruts!B22*B$11)/1000</f>
        <v>137421.83849910001</v>
      </c>
      <c r="C25" s="164">
        <f>(Salaires_bruts!C22*C$11)/1000</f>
        <v>32398.3589579</v>
      </c>
      <c r="D25" s="165">
        <f>(Salaires_bruts!D22*D$11)/1000</f>
        <v>542.20952734374998</v>
      </c>
      <c r="E25" s="164">
        <f>(Salaires_bruts!E22*E$11)/1000</f>
        <v>106622.32729223825</v>
      </c>
      <c r="F25" s="164">
        <f>(Salaires_bruts!F22*F$11)/1000</f>
        <v>0</v>
      </c>
      <c r="G25" s="164">
        <f>(Salaires_bruts!G22*G$11)/1000</f>
        <v>155723.67697743681</v>
      </c>
      <c r="H25" s="166">
        <f>(Salaires_bruts!H22*H$11)/1000</f>
        <v>0</v>
      </c>
      <c r="I25" s="164">
        <f t="shared" si="0"/>
        <v>295286.57275491883</v>
      </c>
      <c r="J25" s="167">
        <f t="shared" si="1"/>
        <v>0.75</v>
      </c>
      <c r="K25" s="164">
        <f t="shared" si="2"/>
        <v>221464.92956618912</v>
      </c>
      <c r="L25" s="168">
        <f t="shared" si="3"/>
        <v>358886.76806528913</v>
      </c>
      <c r="M25" s="145"/>
      <c r="N25" s="163" t="s">
        <v>55</v>
      </c>
      <c r="O25" s="169">
        <v>6323181.5</v>
      </c>
      <c r="P25" s="170">
        <v>0</v>
      </c>
      <c r="Q25" s="168">
        <f>IF(Calculation_RIS!L25=0,O25*P25,0)</f>
        <v>0</v>
      </c>
      <c r="R25" s="148"/>
      <c r="S25" s="171">
        <f>Calculation_RIS!L25+Q25</f>
        <v>358886.76806528913</v>
      </c>
    </row>
    <row r="26" spans="1:19" ht="15.75" customHeight="1" x14ac:dyDescent="0.25">
      <c r="A26" s="152" t="s">
        <v>56</v>
      </c>
      <c r="B26" s="153">
        <f>(Salaires_bruts!B23*B$11)/1000</f>
        <v>104300.76671074999</v>
      </c>
      <c r="C26" s="153">
        <f>(Salaires_bruts!C23*C$11)/1000</f>
        <v>10546.0524855</v>
      </c>
      <c r="D26" s="154">
        <f>(Salaires_bruts!D23*D$11)/1000</f>
        <v>187.03186315625001</v>
      </c>
      <c r="E26" s="153">
        <f>(Salaires_bruts!E23*E$11)/1000</f>
        <v>57135.495460288803</v>
      </c>
      <c r="F26" s="153">
        <f>(Salaires_bruts!F23*F$11)/1000</f>
        <v>0</v>
      </c>
      <c r="G26" s="153">
        <f>(Salaires_bruts!G23*G$11)/1000</f>
        <v>0</v>
      </c>
      <c r="H26" s="155">
        <f>(Salaires_bruts!H23*H$11)/1000</f>
        <v>0</v>
      </c>
      <c r="I26" s="153">
        <f t="shared" si="0"/>
        <v>67868.579808945055</v>
      </c>
      <c r="J26" s="156">
        <f t="shared" si="1"/>
        <v>0.75</v>
      </c>
      <c r="K26" s="153">
        <f t="shared" si="2"/>
        <v>50901.434856708787</v>
      </c>
      <c r="L26" s="157">
        <f t="shared" si="3"/>
        <v>155202.20156745877</v>
      </c>
      <c r="M26" s="145"/>
      <c r="N26" s="152" t="s">
        <v>56</v>
      </c>
      <c r="O26" s="158">
        <v>1250648.2</v>
      </c>
      <c r="P26" s="159">
        <v>0</v>
      </c>
      <c r="Q26" s="157">
        <f>IF(Calculation_RIS!L26=0,O26*P26,0)</f>
        <v>0</v>
      </c>
      <c r="R26" s="148"/>
      <c r="S26" s="160">
        <f>Calculation_RIS!L26+Q26</f>
        <v>155202.20156745877</v>
      </c>
    </row>
    <row r="27" spans="1:19" ht="15.75" customHeight="1" x14ac:dyDescent="0.25">
      <c r="A27" s="163" t="s">
        <v>57</v>
      </c>
      <c r="B27" s="164">
        <f>(Salaires_bruts!B24*B$11)/1000</f>
        <v>35578.972589999998</v>
      </c>
      <c r="C27" s="164">
        <f>(Salaires_bruts!C24*C$11)/1000</f>
        <v>2078.212955</v>
      </c>
      <c r="D27" s="165">
        <f>(Salaires_bruts!D24*D$11)/1000</f>
        <v>4392.2530312500003</v>
      </c>
      <c r="E27" s="164">
        <f>(Salaires_bruts!E24*E$11)/1000</f>
        <v>646.76193140794226</v>
      </c>
      <c r="F27" s="164">
        <f>(Salaires_bruts!F24*F$11)/1000</f>
        <v>0</v>
      </c>
      <c r="G27" s="164">
        <f>(Salaires_bruts!G24*G$11)/1000</f>
        <v>0</v>
      </c>
      <c r="H27" s="166">
        <f>(Salaires_bruts!H24*H$11)/1000</f>
        <v>0</v>
      </c>
      <c r="I27" s="164">
        <f t="shared" si="0"/>
        <v>7117.2279176579423</v>
      </c>
      <c r="J27" s="167">
        <f t="shared" si="1"/>
        <v>0.75</v>
      </c>
      <c r="K27" s="164">
        <f t="shared" si="2"/>
        <v>5337.9209382434565</v>
      </c>
      <c r="L27" s="168">
        <f t="shared" si="3"/>
        <v>40916.893528243454</v>
      </c>
      <c r="M27" s="145"/>
      <c r="N27" s="163" t="s">
        <v>57</v>
      </c>
      <c r="O27" s="169">
        <v>915673</v>
      </c>
      <c r="P27" s="170">
        <v>0</v>
      </c>
      <c r="Q27" s="168">
        <f>IF(Calculation_RIS!L27=0,O27*P27,0)</f>
        <v>0</v>
      </c>
      <c r="R27" s="148"/>
      <c r="S27" s="171">
        <f>Calculation_RIS!L27+Q27</f>
        <v>40916.893528243454</v>
      </c>
    </row>
    <row r="28" spans="1:19" ht="15.75" customHeight="1" x14ac:dyDescent="0.25">
      <c r="A28" s="152" t="s">
        <v>58</v>
      </c>
      <c r="B28" s="153">
        <f>(Salaires_bruts!B25*B$11)/1000</f>
        <v>7213.66964035</v>
      </c>
      <c r="C28" s="153">
        <f>(Salaires_bruts!C25*C$11)/1000</f>
        <v>696.95959685000003</v>
      </c>
      <c r="D28" s="154">
        <f>(Salaires_bruts!D25*D$11)/1000</f>
        <v>1291.93944775</v>
      </c>
      <c r="E28" s="153">
        <f>(Salaires_bruts!E25*E$11)/1000</f>
        <v>100.22138122743681</v>
      </c>
      <c r="F28" s="153">
        <f>(Salaires_bruts!F25*F$11)/1000</f>
        <v>0</v>
      </c>
      <c r="G28" s="153">
        <f>(Salaires_bruts!G25*G$11)/1000</f>
        <v>0</v>
      </c>
      <c r="H28" s="155">
        <f>(Salaires_bruts!H25*H$11)/1000</f>
        <v>0</v>
      </c>
      <c r="I28" s="153">
        <f t="shared" si="0"/>
        <v>2089.120425827437</v>
      </c>
      <c r="J28" s="156">
        <f t="shared" si="1"/>
        <v>0.75</v>
      </c>
      <c r="K28" s="153">
        <f t="shared" si="2"/>
        <v>1566.8403193705776</v>
      </c>
      <c r="L28" s="157">
        <f t="shared" si="3"/>
        <v>8780.5099597205772</v>
      </c>
      <c r="M28" s="145"/>
      <c r="N28" s="152" t="s">
        <v>58</v>
      </c>
      <c r="O28" s="158">
        <v>275985.5</v>
      </c>
      <c r="P28" s="159">
        <v>0</v>
      </c>
      <c r="Q28" s="157">
        <f>IF(Calculation_RIS!L28=0,O28*P28,0)</f>
        <v>0</v>
      </c>
      <c r="R28" s="148"/>
      <c r="S28" s="160">
        <f>Calculation_RIS!L28+Q28</f>
        <v>8780.5099597205772</v>
      </c>
    </row>
    <row r="29" spans="1:19" ht="15.75" customHeight="1" x14ac:dyDescent="0.25">
      <c r="A29" s="163" t="s">
        <v>59</v>
      </c>
      <c r="B29" s="164">
        <f>(Salaires_bruts!B26*B$11)/1000</f>
        <v>373557.30373564997</v>
      </c>
      <c r="C29" s="164">
        <f>(Salaires_bruts!C26*C$11)/1000</f>
        <v>26733.4421979</v>
      </c>
      <c r="D29" s="165">
        <f>(Salaires_bruts!D26*D$11)/1000</f>
        <v>149956.410209375</v>
      </c>
      <c r="E29" s="164">
        <f>(Salaires_bruts!E26*E$11)/1000</f>
        <v>12845.278015342958</v>
      </c>
      <c r="F29" s="164">
        <f>(Salaires_bruts!F26*F$11)/1000</f>
        <v>0</v>
      </c>
      <c r="G29" s="164">
        <f>(Salaires_bruts!G26*G$11)/1000</f>
        <v>0</v>
      </c>
      <c r="H29" s="166">
        <f>(Salaires_bruts!H26*H$11)/1000</f>
        <v>0</v>
      </c>
      <c r="I29" s="164">
        <f t="shared" si="0"/>
        <v>189535.13042261795</v>
      </c>
      <c r="J29" s="167">
        <f t="shared" si="1"/>
        <v>0.75</v>
      </c>
      <c r="K29" s="164">
        <f t="shared" si="2"/>
        <v>142151.34781696345</v>
      </c>
      <c r="L29" s="168">
        <f t="shared" si="3"/>
        <v>515708.65155261342</v>
      </c>
      <c r="M29" s="145"/>
      <c r="N29" s="163" t="s">
        <v>59</v>
      </c>
      <c r="O29" s="169">
        <v>7486124.2999999998</v>
      </c>
      <c r="P29" s="170">
        <v>0</v>
      </c>
      <c r="Q29" s="168">
        <f>IF(Calculation_RIS!L29=0,O29*P29,0)</f>
        <v>0</v>
      </c>
      <c r="R29" s="148"/>
      <c r="S29" s="171">
        <f>Calculation_RIS!L29+Q29</f>
        <v>515708.65155261342</v>
      </c>
    </row>
    <row r="30" spans="1:19" ht="15.75" customHeight="1" x14ac:dyDescent="0.25">
      <c r="A30" s="152" t="s">
        <v>60</v>
      </c>
      <c r="B30" s="153">
        <f>(Salaires_bruts!B27*B$11)/1000</f>
        <v>299695.20122975</v>
      </c>
      <c r="C30" s="153">
        <f>(Salaires_bruts!C27*C$11)/1000</f>
        <v>74705.998715000009</v>
      </c>
      <c r="D30" s="154">
        <f>(Salaires_bruts!D27*D$11)/1000</f>
        <v>5921.1983599999994</v>
      </c>
      <c r="E30" s="153">
        <f>(Salaires_bruts!E27*E$11)/1000</f>
        <v>62.010487364620928</v>
      </c>
      <c r="F30" s="153">
        <f>(Salaires_bruts!F27*F$11)/1000</f>
        <v>0</v>
      </c>
      <c r="G30" s="153">
        <f>(Salaires_bruts!G27*G$11)/1000</f>
        <v>0</v>
      </c>
      <c r="H30" s="155">
        <f>(Salaires_bruts!H27*H$11)/1000</f>
        <v>15132.993321</v>
      </c>
      <c r="I30" s="153">
        <f t="shared" si="0"/>
        <v>95822.200883364625</v>
      </c>
      <c r="J30" s="156">
        <f t="shared" si="1"/>
        <v>0.75</v>
      </c>
      <c r="K30" s="153">
        <f t="shared" si="2"/>
        <v>71866.650662523462</v>
      </c>
      <c r="L30" s="157">
        <f t="shared" si="3"/>
        <v>371561.85189227347</v>
      </c>
      <c r="M30" s="145"/>
      <c r="N30" s="152" t="s">
        <v>60</v>
      </c>
      <c r="O30" s="158">
        <v>3258761.6</v>
      </c>
      <c r="P30" s="159">
        <v>0</v>
      </c>
      <c r="Q30" s="157">
        <f>IF(Calculation_RIS!L30=0,O30*P30,0)</f>
        <v>0</v>
      </c>
      <c r="R30" s="148"/>
      <c r="S30" s="160">
        <f>Calculation_RIS!L30+Q30</f>
        <v>371561.85189227347</v>
      </c>
    </row>
    <row r="31" spans="1:19" ht="15.75" customHeight="1" x14ac:dyDescent="0.25">
      <c r="A31" s="163" t="s">
        <v>61</v>
      </c>
      <c r="B31" s="164">
        <f>(Salaires_bruts!B28*B$11)/1000</f>
        <v>393298.55729999993</v>
      </c>
      <c r="C31" s="164">
        <f>(Salaires_bruts!C28*C$11)/1000</f>
        <v>90723.827334999994</v>
      </c>
      <c r="D31" s="165">
        <f>(Salaires_bruts!D28*D$11)/1000</f>
        <v>1113.2402400000001</v>
      </c>
      <c r="E31" s="164">
        <f>(Salaires_bruts!E28*E$11)/1000</f>
        <v>137253.08859205773</v>
      </c>
      <c r="F31" s="164">
        <f>(Salaires_bruts!F28*F$11)/1000</f>
        <v>0</v>
      </c>
      <c r="G31" s="164">
        <f>(Salaires_bruts!G28*G$11)/1000</f>
        <v>0</v>
      </c>
      <c r="H31" s="166">
        <f>(Salaires_bruts!H28*H$11)/1000</f>
        <v>0</v>
      </c>
      <c r="I31" s="164">
        <f t="shared" si="0"/>
        <v>229090.15616705772</v>
      </c>
      <c r="J31" s="167">
        <f t="shared" si="1"/>
        <v>0.75</v>
      </c>
      <c r="K31" s="164">
        <f t="shared" si="2"/>
        <v>171817.6171252933</v>
      </c>
      <c r="L31" s="168">
        <f t="shared" si="3"/>
        <v>565116.17442529323</v>
      </c>
      <c r="M31" s="145"/>
      <c r="N31" s="163" t="s">
        <v>61</v>
      </c>
      <c r="O31" s="169">
        <v>11804933.699999999</v>
      </c>
      <c r="P31" s="170">
        <v>0</v>
      </c>
      <c r="Q31" s="168">
        <f>IF(Calculation_RIS!L31=0,O31*P31,0)</f>
        <v>0</v>
      </c>
      <c r="R31" s="148"/>
      <c r="S31" s="171">
        <f>Calculation_RIS!L31+Q31</f>
        <v>565116.17442529323</v>
      </c>
    </row>
    <row r="32" spans="1:19" ht="15.75" customHeight="1" x14ac:dyDescent="0.25">
      <c r="A32" s="152" t="s">
        <v>62</v>
      </c>
      <c r="B32" s="153">
        <f>(Salaires_bruts!B29*B$11)/1000</f>
        <v>226644.98760044997</v>
      </c>
      <c r="C32" s="153">
        <f>(Salaires_bruts!C29*C$11)/1000</f>
        <v>17876.719113750001</v>
      </c>
      <c r="D32" s="154">
        <f>(Salaires_bruts!D29*D$11)/1000</f>
        <v>5070.7980982749996</v>
      </c>
      <c r="E32" s="153">
        <f>(Salaires_bruts!E29*E$11)/1000</f>
        <v>45224.053996028873</v>
      </c>
      <c r="F32" s="153">
        <f>(Salaires_bruts!F29*F$11)/1000</f>
        <v>0</v>
      </c>
      <c r="G32" s="153">
        <f>(Salaires_bruts!G29*G$11)/1000</f>
        <v>0</v>
      </c>
      <c r="H32" s="155">
        <f>(Salaires_bruts!H29*H$11)/1000</f>
        <v>0</v>
      </c>
      <c r="I32" s="153">
        <f t="shared" si="0"/>
        <v>68171.57120805388</v>
      </c>
      <c r="J32" s="156">
        <f t="shared" si="1"/>
        <v>0.75</v>
      </c>
      <c r="K32" s="153">
        <f t="shared" si="2"/>
        <v>51128.67840604041</v>
      </c>
      <c r="L32" s="157">
        <f t="shared" si="3"/>
        <v>277773.66600649036</v>
      </c>
      <c r="M32" s="145"/>
      <c r="N32" s="152" t="s">
        <v>62</v>
      </c>
      <c r="O32" s="158">
        <v>4249983.7</v>
      </c>
      <c r="P32" s="159">
        <v>0</v>
      </c>
      <c r="Q32" s="157">
        <f>IF(Calculation_RIS!L32=0,O32*P32,0)</f>
        <v>0</v>
      </c>
      <c r="R32" s="148"/>
      <c r="S32" s="160">
        <f>Calculation_RIS!L32+Q32</f>
        <v>277773.66600649036</v>
      </c>
    </row>
    <row r="33" spans="1:19" ht="15.75" customHeight="1" x14ac:dyDescent="0.25">
      <c r="A33" s="163" t="s">
        <v>63</v>
      </c>
      <c r="B33" s="164">
        <f>(Salaires_bruts!B30*B$11)/1000</f>
        <v>268308.76711999997</v>
      </c>
      <c r="C33" s="164">
        <f>(Salaires_bruts!C30*C$11)/1000</f>
        <v>194377.45650500001</v>
      </c>
      <c r="D33" s="165">
        <f>(Salaires_bruts!D30*D$11)/1000</f>
        <v>2866.9345600000001</v>
      </c>
      <c r="E33" s="164">
        <f>(Salaires_bruts!E30*E$11)/1000</f>
        <v>0</v>
      </c>
      <c r="F33" s="164">
        <f>(Salaires_bruts!F30*F$11)/1000</f>
        <v>0</v>
      </c>
      <c r="G33" s="164">
        <f>(Salaires_bruts!G30*G$11)/1000</f>
        <v>0</v>
      </c>
      <c r="H33" s="166">
        <f>(Salaires_bruts!H30*H$11)/1000</f>
        <v>559955.33811300003</v>
      </c>
      <c r="I33" s="164">
        <f t="shared" si="0"/>
        <v>757199.72917800001</v>
      </c>
      <c r="J33" s="167">
        <f t="shared" si="1"/>
        <v>0.75</v>
      </c>
      <c r="K33" s="164">
        <f t="shared" si="2"/>
        <v>567899.79688349995</v>
      </c>
      <c r="L33" s="168">
        <f t="shared" si="3"/>
        <v>836208.56400349992</v>
      </c>
      <c r="M33" s="145"/>
      <c r="N33" s="163" t="s">
        <v>63</v>
      </c>
      <c r="O33" s="169">
        <v>6296834</v>
      </c>
      <c r="P33" s="170">
        <v>0</v>
      </c>
      <c r="Q33" s="168">
        <f>IF(Calculation_RIS!L33=0,O33*P33,0)</f>
        <v>0</v>
      </c>
      <c r="R33" s="148"/>
      <c r="S33" s="171">
        <f>Calculation_RIS!L33+Q33</f>
        <v>836208.56400349992</v>
      </c>
    </row>
    <row r="34" spans="1:19" ht="15.75" customHeight="1" x14ac:dyDescent="0.25">
      <c r="A34" s="152" t="s">
        <v>64</v>
      </c>
      <c r="B34" s="153">
        <f>(Salaires_bruts!B31*B$11)/1000</f>
        <v>1031008.537</v>
      </c>
      <c r="C34" s="153">
        <f>(Salaires_bruts!C31*C$11)/1000</f>
        <v>0</v>
      </c>
      <c r="D34" s="154">
        <f>(Salaires_bruts!D31*D$11)/1000</f>
        <v>0</v>
      </c>
      <c r="E34" s="153">
        <f>(Salaires_bruts!E31*E$11)/1000</f>
        <v>0</v>
      </c>
      <c r="F34" s="153">
        <f>(Salaires_bruts!F31*F$11)/1000</f>
        <v>0</v>
      </c>
      <c r="G34" s="153">
        <f>(Salaires_bruts!G31*G$11)/1000</f>
        <v>313186.18418772559</v>
      </c>
      <c r="H34" s="155">
        <f>(Salaires_bruts!H31*H$11)/1000</f>
        <v>0</v>
      </c>
      <c r="I34" s="153">
        <f t="shared" si="0"/>
        <v>313186.18418772559</v>
      </c>
      <c r="J34" s="156">
        <f t="shared" si="1"/>
        <v>0.75</v>
      </c>
      <c r="K34" s="153">
        <f t="shared" si="2"/>
        <v>234889.63814079418</v>
      </c>
      <c r="L34" s="157">
        <f t="shared" si="3"/>
        <v>1265898.1751407941</v>
      </c>
      <c r="M34" s="145"/>
      <c r="N34" s="152" t="s">
        <v>64</v>
      </c>
      <c r="O34" s="158">
        <v>15707264.1</v>
      </c>
      <c r="P34" s="159">
        <v>0</v>
      </c>
      <c r="Q34" s="157">
        <f>IF(Calculation_RIS!L34=0,O34*P34,0)</f>
        <v>0</v>
      </c>
      <c r="R34" s="148"/>
      <c r="S34" s="160">
        <f>Calculation_RIS!L34+Q34</f>
        <v>1265898.1751407941</v>
      </c>
    </row>
    <row r="35" spans="1:19" ht="15.75" customHeight="1" x14ac:dyDescent="0.25">
      <c r="A35" s="163" t="s">
        <v>65</v>
      </c>
      <c r="B35" s="164">
        <f>(Salaires_bruts!B32*B$11)/1000</f>
        <v>376621.04941524996</v>
      </c>
      <c r="C35" s="164">
        <f>(Salaires_bruts!C32*C$11)/1000</f>
        <v>2770.4610273500002</v>
      </c>
      <c r="D35" s="165">
        <f>(Salaires_bruts!D32*D$11)/1000</f>
        <v>0</v>
      </c>
      <c r="E35" s="164">
        <f>(Salaires_bruts!E32*E$11)/1000</f>
        <v>32.205972021660642</v>
      </c>
      <c r="F35" s="164">
        <f>(Salaires_bruts!F32*F$11)/1000</f>
        <v>0</v>
      </c>
      <c r="G35" s="164">
        <f>(Salaires_bruts!G32*G$11)/1000</f>
        <v>14803.176731588446</v>
      </c>
      <c r="H35" s="166">
        <f>(Salaires_bruts!H32*H$11)/1000</f>
        <v>12409.14944028</v>
      </c>
      <c r="I35" s="164">
        <f t="shared" si="0"/>
        <v>30014.993171240108</v>
      </c>
      <c r="J35" s="167">
        <f t="shared" si="1"/>
        <v>0.75</v>
      </c>
      <c r="K35" s="164">
        <f t="shared" si="2"/>
        <v>22511.24487843008</v>
      </c>
      <c r="L35" s="168">
        <f t="shared" si="3"/>
        <v>399132.29429368005</v>
      </c>
      <c r="M35" s="145"/>
      <c r="N35" s="163" t="s">
        <v>65</v>
      </c>
      <c r="O35" s="169">
        <v>4671301.9000000004</v>
      </c>
      <c r="P35" s="170">
        <v>0</v>
      </c>
      <c r="Q35" s="168">
        <f>IF(Calculation_RIS!L35=0,O35*P35,0)</f>
        <v>0</v>
      </c>
      <c r="R35" s="148"/>
      <c r="S35" s="171">
        <f>Calculation_RIS!L35+Q35</f>
        <v>399132.29429368005</v>
      </c>
    </row>
    <row r="36" spans="1:19" ht="15.75" customHeight="1" x14ac:dyDescent="0.25">
      <c r="A36" s="152" t="s">
        <v>66</v>
      </c>
      <c r="B36" s="153">
        <f>(Salaires_bruts!B33*B$11)/1000</f>
        <v>127299.42621499998</v>
      </c>
      <c r="C36" s="153">
        <f>(Salaires_bruts!C33*C$11)/1000</f>
        <v>6764.1451499999994</v>
      </c>
      <c r="D36" s="154">
        <f>(Salaires_bruts!D33*D$11)/1000</f>
        <v>16.712867500000002</v>
      </c>
      <c r="E36" s="153">
        <f>(Salaires_bruts!E33*E$11)/1000</f>
        <v>50.647418772563171</v>
      </c>
      <c r="F36" s="153">
        <f>(Salaires_bruts!F33*F$11)/1000</f>
        <v>0</v>
      </c>
      <c r="G36" s="153">
        <f>(Salaires_bruts!G33*G$11)/1000</f>
        <v>146191.38693140793</v>
      </c>
      <c r="H36" s="155">
        <f>(Salaires_bruts!H33*H$11)/1000</f>
        <v>0</v>
      </c>
      <c r="I36" s="153">
        <f t="shared" si="0"/>
        <v>153022.8923676805</v>
      </c>
      <c r="J36" s="156">
        <f t="shared" si="1"/>
        <v>0.75</v>
      </c>
      <c r="K36" s="153">
        <f t="shared" si="2"/>
        <v>114767.16927576037</v>
      </c>
      <c r="L36" s="157">
        <f t="shared" si="3"/>
        <v>242066.59549076034</v>
      </c>
      <c r="M36" s="145"/>
      <c r="N36" s="152" t="s">
        <v>66</v>
      </c>
      <c r="O36" s="158">
        <v>2721989.2</v>
      </c>
      <c r="P36" s="159">
        <v>0</v>
      </c>
      <c r="Q36" s="157">
        <f>IF(Calculation_RIS!L36=0,O36*P36,0)</f>
        <v>0</v>
      </c>
      <c r="R36" s="148"/>
      <c r="S36" s="160">
        <f>Calculation_RIS!L36+Q36</f>
        <v>242066.59549076034</v>
      </c>
    </row>
    <row r="37" spans="1:19" ht="15.75" customHeight="1" x14ac:dyDescent="0.25">
      <c r="A37" s="163" t="s">
        <v>67</v>
      </c>
      <c r="B37" s="164">
        <f>(Salaires_bruts!B34*B$11)/1000</f>
        <v>936776.30714499997</v>
      </c>
      <c r="C37" s="164">
        <f>(Salaires_bruts!C34*C$11)/1000</f>
        <v>136089.21698499998</v>
      </c>
      <c r="D37" s="165">
        <f>(Salaires_bruts!D34*D$11)/1000</f>
        <v>474.93040437499997</v>
      </c>
      <c r="E37" s="164">
        <f>(Salaires_bruts!E34*E$11)/1000</f>
        <v>0</v>
      </c>
      <c r="F37" s="164">
        <f>(Salaires_bruts!F34*F$11)/1000</f>
        <v>1779913.2002852166</v>
      </c>
      <c r="G37" s="164">
        <f>(Salaires_bruts!G34*G$11)/1000</f>
        <v>0</v>
      </c>
      <c r="H37" s="166">
        <f>(Salaires_bruts!H34*H$11)/1000</f>
        <v>0</v>
      </c>
      <c r="I37" s="164">
        <f t="shared" si="0"/>
        <v>1916477.3476745915</v>
      </c>
      <c r="J37" s="167">
        <f t="shared" si="1"/>
        <v>0.75</v>
      </c>
      <c r="K37" s="164">
        <f t="shared" si="2"/>
        <v>1437358.0107559436</v>
      </c>
      <c r="L37" s="168">
        <f t="shared" si="3"/>
        <v>2374134.3179009436</v>
      </c>
      <c r="M37" s="145"/>
      <c r="N37" s="163" t="s">
        <v>67</v>
      </c>
      <c r="O37" s="169">
        <v>11775806.199999999</v>
      </c>
      <c r="P37" s="170">
        <v>0</v>
      </c>
      <c r="Q37" s="168">
        <f>IF(Calculation_RIS!L37=0,O37*P37,0)</f>
        <v>0</v>
      </c>
      <c r="R37" s="148"/>
      <c r="S37" s="171">
        <f>Calculation_RIS!L37+Q37</f>
        <v>2374134.3179009436</v>
      </c>
    </row>
    <row r="38" spans="1:19" ht="15.75" customHeight="1" x14ac:dyDescent="0.25">
      <c r="A38" s="172" t="s">
        <v>68</v>
      </c>
      <c r="B38" s="173">
        <f>(Salaires_bruts!B35*B$11)/1000</f>
        <v>27675.786154999998</v>
      </c>
      <c r="C38" s="173">
        <f>(Salaires_bruts!C35*C$11)/1000</f>
        <v>2372.1241999999997</v>
      </c>
      <c r="D38" s="174">
        <f>(Salaires_bruts!D35*D$11)/1000</f>
        <v>0</v>
      </c>
      <c r="E38" s="173">
        <f>(Salaires_bruts!E35*E$11)/1000</f>
        <v>83.815342960288788</v>
      </c>
      <c r="F38" s="173">
        <f>(Salaires_bruts!F35*F$11)/1000</f>
        <v>0</v>
      </c>
      <c r="G38" s="173">
        <f>(Salaires_bruts!G35*G$11)/1000</f>
        <v>74161.721534296026</v>
      </c>
      <c r="H38" s="175">
        <f>(Salaires_bruts!H35*H$11)/1000</f>
        <v>0</v>
      </c>
      <c r="I38" s="173">
        <f t="shared" si="0"/>
        <v>76617.661077256314</v>
      </c>
      <c r="J38" s="176">
        <f t="shared" si="1"/>
        <v>0.75</v>
      </c>
      <c r="K38" s="173">
        <f t="shared" si="2"/>
        <v>57463.245807942236</v>
      </c>
      <c r="L38" s="177">
        <f t="shared" si="3"/>
        <v>85139.03196294223</v>
      </c>
      <c r="M38" s="145"/>
      <c r="N38" s="172" t="s">
        <v>68</v>
      </c>
      <c r="O38" s="178">
        <v>905729.4</v>
      </c>
      <c r="P38" s="179">
        <v>0</v>
      </c>
      <c r="Q38" s="177">
        <f>IF(Calculation_RIS!L38=0,O38*P38,0)</f>
        <v>0</v>
      </c>
      <c r="R38" s="148"/>
      <c r="S38" s="180">
        <f>Calculation_RIS!L38+Q38</f>
        <v>85139.03196294223</v>
      </c>
    </row>
    <row r="39" spans="1:19" ht="15.75" customHeight="1" x14ac:dyDescent="0.25">
      <c r="A39" s="181" t="s">
        <v>69</v>
      </c>
      <c r="B39" s="182">
        <f t="shared" ref="B39:I39" si="4">SUM(B13:B38)</f>
        <v>8122586.3680455498</v>
      </c>
      <c r="C39" s="182">
        <f t="shared" si="4"/>
        <v>778609.9825574999</v>
      </c>
      <c r="D39" s="183">
        <f t="shared" si="4"/>
        <v>179054.7402597625</v>
      </c>
      <c r="E39" s="182">
        <f t="shared" si="4"/>
        <v>667750.98077870021</v>
      </c>
      <c r="F39" s="182">
        <f t="shared" si="4"/>
        <v>1779913.2002852166</v>
      </c>
      <c r="G39" s="182">
        <f t="shared" si="4"/>
        <v>994228.77875685913</v>
      </c>
      <c r="H39" s="184">
        <f t="shared" si="4"/>
        <v>587497.4808742801</v>
      </c>
      <c r="I39" s="182">
        <f t="shared" si="4"/>
        <v>4987055.1635123184</v>
      </c>
      <c r="J39" s="185">
        <v>0.75</v>
      </c>
      <c r="K39" s="182">
        <f t="shared" si="2"/>
        <v>3740291.3726342386</v>
      </c>
      <c r="L39" s="186">
        <f t="shared" si="3"/>
        <v>11862877.740679789</v>
      </c>
      <c r="M39" s="145"/>
      <c r="N39" s="181" t="s">
        <v>69</v>
      </c>
      <c r="O39" s="187">
        <f>SUM(O13:O38)</f>
        <v>161331909.29999998</v>
      </c>
      <c r="P39" s="188"/>
      <c r="Q39" s="186">
        <f>SUM(Q13:Q38)</f>
        <v>0</v>
      </c>
      <c r="R39" s="148"/>
      <c r="S39" s="189">
        <f>SUM(S13:S38)</f>
        <v>11862877.740679789</v>
      </c>
    </row>
  </sheetData>
  <mergeCells count="17">
    <mergeCell ref="D9:H9"/>
    <mergeCell ref="C9:C10"/>
    <mergeCell ref="B9:B10"/>
    <mergeCell ref="A4:L4"/>
    <mergeCell ref="A1:F1"/>
    <mergeCell ref="I9:I10"/>
    <mergeCell ref="Q8:Q10"/>
    <mergeCell ref="N4:Q4"/>
    <mergeCell ref="S8:S10"/>
    <mergeCell ref="U12:V12"/>
    <mergeCell ref="U11:V11"/>
    <mergeCell ref="U10:V10"/>
    <mergeCell ref="L9:L10"/>
    <mergeCell ref="K9:K10"/>
    <mergeCell ref="J9:J10"/>
    <mergeCell ref="O8:O10"/>
    <mergeCell ref="P8:P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Salaires_bruts</vt:lpstr>
      <vt:lpstr>Gamma</vt:lpstr>
      <vt:lpstr>Calculation_RIS</vt:lpstr>
      <vt:lpstr>gamma</vt:lpstr>
      <vt:lpstr>sst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Taboga Svetlana EFV</cp:lastModifiedBy>
  <cp:lastPrinted>2011-12-23T17:07:19Z</cp:lastPrinted>
  <dcterms:created xsi:type="dcterms:W3CDTF">2006-06-26T16:01:42Z</dcterms:created>
  <dcterms:modified xsi:type="dcterms:W3CDTF">2015-06-18T12:53:02Z</dcterms:modified>
</cp:coreProperties>
</file>