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Berechnungen_FA\01_RA\2016\Output\Französisch\"/>
    </mc:Choice>
  </mc:AlternateContent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52511"/>
</workbook>
</file>

<file path=xl/calcChain.xml><?xml version="1.0" encoding="utf-8"?>
<calcChain xmlns="http://schemas.openxmlformats.org/spreadsheetml/2006/main">
  <c r="O39" i="4" l="1"/>
  <c r="J38" i="4"/>
  <c r="E38" i="4"/>
  <c r="J37" i="4"/>
  <c r="J36" i="4"/>
  <c r="J35" i="4"/>
  <c r="J34" i="4"/>
  <c r="J33" i="4"/>
  <c r="J32" i="4"/>
  <c r="E32" i="4"/>
  <c r="J31" i="4"/>
  <c r="E31" i="4"/>
  <c r="J30" i="4"/>
  <c r="E30" i="4"/>
  <c r="J29" i="4"/>
  <c r="J28" i="4"/>
  <c r="G28" i="4"/>
  <c r="J27" i="4"/>
  <c r="J26" i="4"/>
  <c r="J25" i="4"/>
  <c r="J24" i="4"/>
  <c r="E24" i="4"/>
  <c r="J23" i="4"/>
  <c r="E23" i="4"/>
  <c r="J22" i="4"/>
  <c r="E22" i="4"/>
  <c r="J21" i="4"/>
  <c r="J20" i="4"/>
  <c r="G20" i="4"/>
  <c r="J19" i="4"/>
  <c r="J18" i="4"/>
  <c r="J17" i="4"/>
  <c r="J16" i="4"/>
  <c r="E16" i="4"/>
  <c r="J15" i="4"/>
  <c r="E15" i="4"/>
  <c r="V14" i="4"/>
  <c r="G11" i="4" s="1"/>
  <c r="G21" i="4" s="1"/>
  <c r="J14" i="4"/>
  <c r="J13" i="4"/>
  <c r="E13" i="4"/>
  <c r="U11" i="4"/>
  <c r="O11" i="4"/>
  <c r="E11" i="4"/>
  <c r="E34" i="4" s="1"/>
  <c r="D11" i="4"/>
  <c r="D19" i="4" s="1"/>
  <c r="U10" i="4"/>
  <c r="V9" i="4"/>
  <c r="O8" i="4"/>
  <c r="D7" i="4"/>
  <c r="A4" i="4"/>
  <c r="L3" i="4"/>
  <c r="A1" i="4"/>
  <c r="C7" i="3"/>
  <c r="F11" i="4" s="1"/>
  <c r="C6" i="3"/>
  <c r="B6" i="3"/>
  <c r="C3" i="3"/>
  <c r="A2" i="3"/>
  <c r="A1" i="3"/>
  <c r="H36" i="2"/>
  <c r="G36" i="2"/>
  <c r="F36" i="2"/>
  <c r="E36" i="2"/>
  <c r="D36" i="2"/>
  <c r="C36" i="2"/>
  <c r="B36" i="2"/>
  <c r="I36" i="2" s="1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2" i="2"/>
  <c r="A2" i="2"/>
  <c r="A1" i="2"/>
  <c r="A5" i="1"/>
  <c r="A2" i="4" s="1"/>
  <c r="A4" i="1"/>
  <c r="F37" i="4" l="1"/>
  <c r="F29" i="4"/>
  <c r="F21" i="4"/>
  <c r="F32" i="4"/>
  <c r="F24" i="4"/>
  <c r="F16" i="4"/>
  <c r="F13" i="4"/>
  <c r="F35" i="4"/>
  <c r="F38" i="4"/>
  <c r="F30" i="4"/>
  <c r="F22" i="4"/>
  <c r="F33" i="4"/>
  <c r="F36" i="4"/>
  <c r="F28" i="4"/>
  <c r="F20" i="4"/>
  <c r="F31" i="4"/>
  <c r="F23" i="4"/>
  <c r="F15" i="4"/>
  <c r="F34" i="4"/>
  <c r="F26" i="4"/>
  <c r="F14" i="4"/>
  <c r="F25" i="4"/>
  <c r="F19" i="4"/>
  <c r="F27" i="4"/>
  <c r="F17" i="4"/>
  <c r="F18" i="4"/>
  <c r="D21" i="4"/>
  <c r="D27" i="4"/>
  <c r="D20" i="4"/>
  <c r="G32" i="4"/>
  <c r="G24" i="4"/>
  <c r="G16" i="4"/>
  <c r="G13" i="4"/>
  <c r="G35" i="4"/>
  <c r="G27" i="4"/>
  <c r="G19" i="4"/>
  <c r="G38" i="4"/>
  <c r="G30" i="4"/>
  <c r="G33" i="4"/>
  <c r="G25" i="4"/>
  <c r="G17" i="4"/>
  <c r="G14" i="4"/>
  <c r="G36" i="4"/>
  <c r="G31" i="4"/>
  <c r="G23" i="4"/>
  <c r="G15" i="4"/>
  <c r="G34" i="4"/>
  <c r="G26" i="4"/>
  <c r="G18" i="4"/>
  <c r="G37" i="4"/>
  <c r="G29" i="4"/>
  <c r="D31" i="4"/>
  <c r="D23" i="4"/>
  <c r="D15" i="4"/>
  <c r="D34" i="4"/>
  <c r="D26" i="4"/>
  <c r="D18" i="4"/>
  <c r="D37" i="4"/>
  <c r="D29" i="4"/>
  <c r="D32" i="4"/>
  <c r="D24" i="4"/>
  <c r="D16" i="4"/>
  <c r="D13" i="4"/>
  <c r="D39" i="4" s="1"/>
  <c r="D35" i="4"/>
  <c r="D38" i="4"/>
  <c r="D30" i="4"/>
  <c r="D22" i="4"/>
  <c r="D33" i="4"/>
  <c r="D25" i="4"/>
  <c r="D17" i="4"/>
  <c r="D14" i="4"/>
  <c r="D36" i="4"/>
  <c r="H11" i="4"/>
  <c r="C11" i="4"/>
  <c r="B11" i="4"/>
  <c r="G22" i="4"/>
  <c r="D28" i="4"/>
  <c r="E20" i="4"/>
  <c r="E28" i="4"/>
  <c r="E36" i="4"/>
  <c r="E14" i="4"/>
  <c r="E17" i="4"/>
  <c r="E25" i="4"/>
  <c r="E33" i="4"/>
  <c r="E19" i="4"/>
  <c r="E39" i="4" s="1"/>
  <c r="E27" i="4"/>
  <c r="E35" i="4"/>
  <c r="E21" i="4"/>
  <c r="E29" i="4"/>
  <c r="E37" i="4"/>
  <c r="E18" i="4"/>
  <c r="E26" i="4"/>
  <c r="F39" i="4" l="1"/>
  <c r="B38" i="4"/>
  <c r="B33" i="4"/>
  <c r="B25" i="4"/>
  <c r="B17" i="4"/>
  <c r="B14" i="4"/>
  <c r="B36" i="4"/>
  <c r="B28" i="4"/>
  <c r="B20" i="4"/>
  <c r="B31" i="4"/>
  <c r="B34" i="4"/>
  <c r="B26" i="4"/>
  <c r="B18" i="4"/>
  <c r="B37" i="4"/>
  <c r="B32" i="4"/>
  <c r="B24" i="4"/>
  <c r="B16" i="4"/>
  <c r="B13" i="4"/>
  <c r="B35" i="4"/>
  <c r="B27" i="4"/>
  <c r="B19" i="4"/>
  <c r="B30" i="4"/>
  <c r="B15" i="4"/>
  <c r="B21" i="4"/>
  <c r="B22" i="4"/>
  <c r="B29" i="4"/>
  <c r="B23" i="4"/>
  <c r="C38" i="4"/>
  <c r="I38" i="4" s="1"/>
  <c r="K38" i="4" s="1"/>
  <c r="L38" i="4" s="1"/>
  <c r="C36" i="4"/>
  <c r="C28" i="4"/>
  <c r="C20" i="4"/>
  <c r="C31" i="4"/>
  <c r="C23" i="4"/>
  <c r="C15" i="4"/>
  <c r="C34" i="4"/>
  <c r="C37" i="4"/>
  <c r="I37" i="4" s="1"/>
  <c r="K37" i="4" s="1"/>
  <c r="C29" i="4"/>
  <c r="I29" i="4" s="1"/>
  <c r="K29" i="4" s="1"/>
  <c r="L29" i="4" s="1"/>
  <c r="C21" i="4"/>
  <c r="I21" i="4" s="1"/>
  <c r="K21" i="4" s="1"/>
  <c r="L21" i="4" s="1"/>
  <c r="C35" i="4"/>
  <c r="I35" i="4" s="1"/>
  <c r="K35" i="4" s="1"/>
  <c r="L35" i="4" s="1"/>
  <c r="C27" i="4"/>
  <c r="C19" i="4"/>
  <c r="C30" i="4"/>
  <c r="C22" i="4"/>
  <c r="C32" i="4"/>
  <c r="C24" i="4"/>
  <c r="C18" i="4"/>
  <c r="I18" i="4" s="1"/>
  <c r="K18" i="4" s="1"/>
  <c r="L18" i="4" s="1"/>
  <c r="C14" i="4"/>
  <c r="C33" i="4"/>
  <c r="C16" i="4"/>
  <c r="C25" i="4"/>
  <c r="C26" i="4"/>
  <c r="C17" i="4"/>
  <c r="I17" i="4" s="1"/>
  <c r="K17" i="4" s="1"/>
  <c r="C13" i="4"/>
  <c r="H35" i="4"/>
  <c r="H27" i="4"/>
  <c r="H19" i="4"/>
  <c r="H33" i="4"/>
  <c r="H38" i="4"/>
  <c r="H30" i="4"/>
  <c r="H22" i="4"/>
  <c r="H36" i="4"/>
  <c r="H28" i="4"/>
  <c r="H20" i="4"/>
  <c r="H34" i="4"/>
  <c r="H26" i="4"/>
  <c r="H18" i="4"/>
  <c r="H37" i="4"/>
  <c r="H29" i="4"/>
  <c r="H21" i="4"/>
  <c r="H25" i="4"/>
  <c r="H23" i="4"/>
  <c r="H31" i="4"/>
  <c r="H15" i="4"/>
  <c r="H16" i="4"/>
  <c r="H17" i="4"/>
  <c r="H13" i="4"/>
  <c r="H32" i="4"/>
  <c r="H24" i="4"/>
  <c r="H14" i="4"/>
  <c r="G39" i="4"/>
  <c r="I14" i="4" l="1"/>
  <c r="K14" i="4" s="1"/>
  <c r="L14" i="4" s="1"/>
  <c r="Q21" i="4"/>
  <c r="S21" i="4" s="1"/>
  <c r="C39" i="4"/>
  <c r="I13" i="4"/>
  <c r="H39" i="4"/>
  <c r="Q38" i="4"/>
  <c r="S38" i="4" s="1"/>
  <c r="I33" i="4"/>
  <c r="K33" i="4" s="1"/>
  <c r="L33" i="4" s="1"/>
  <c r="I27" i="4"/>
  <c r="K27" i="4" s="1"/>
  <c r="L27" i="4" s="1"/>
  <c r="I31" i="4"/>
  <c r="K31" i="4" s="1"/>
  <c r="L31" i="4" s="1"/>
  <c r="Q35" i="4"/>
  <c r="S35" i="4" s="1"/>
  <c r="Q18" i="4"/>
  <c r="S18" i="4"/>
  <c r="S29" i="4"/>
  <c r="Q29" i="4"/>
  <c r="I32" i="4"/>
  <c r="K32" i="4" s="1"/>
  <c r="L32" i="4" s="1"/>
  <c r="I26" i="4"/>
  <c r="K26" i="4" s="1"/>
  <c r="L26" i="4" s="1"/>
  <c r="I22" i="4"/>
  <c r="K22" i="4" s="1"/>
  <c r="L22" i="4" s="1"/>
  <c r="I34" i="4"/>
  <c r="K34" i="4" s="1"/>
  <c r="L34" i="4" s="1"/>
  <c r="I36" i="4"/>
  <c r="K36" i="4" s="1"/>
  <c r="L36" i="4" s="1"/>
  <c r="L17" i="4"/>
  <c r="I25" i="4"/>
  <c r="K25" i="4" s="1"/>
  <c r="L25" i="4" s="1"/>
  <c r="I30" i="4"/>
  <c r="K30" i="4" s="1"/>
  <c r="L30" i="4" s="1"/>
  <c r="I15" i="4"/>
  <c r="K15" i="4" s="1"/>
  <c r="L15" i="4" s="1"/>
  <c r="B39" i="4"/>
  <c r="I20" i="4"/>
  <c r="K20" i="4" s="1"/>
  <c r="L20" i="4" s="1"/>
  <c r="I28" i="4"/>
  <c r="K28" i="4" s="1"/>
  <c r="L28" i="4" s="1"/>
  <c r="I24" i="4"/>
  <c r="K24" i="4" s="1"/>
  <c r="L24" i="4" s="1"/>
  <c r="L37" i="4"/>
  <c r="I16" i="4"/>
  <c r="K16" i="4" s="1"/>
  <c r="L16" i="4" s="1"/>
  <c r="I19" i="4"/>
  <c r="K19" i="4" s="1"/>
  <c r="L19" i="4" s="1"/>
  <c r="I23" i="4"/>
  <c r="K23" i="4" s="1"/>
  <c r="L23" i="4" s="1"/>
  <c r="Q16" i="4" l="1"/>
  <c r="S16" i="4" s="1"/>
  <c r="Q37" i="4"/>
  <c r="S37" i="4" s="1"/>
  <c r="S24" i="4"/>
  <c r="Q24" i="4"/>
  <c r="Q28" i="4"/>
  <c r="S28" i="4" s="1"/>
  <c r="I39" i="4"/>
  <c r="K39" i="4" s="1"/>
  <c r="L39" i="4" s="1"/>
  <c r="K13" i="4"/>
  <c r="L13" i="4" s="1"/>
  <c r="Q20" i="4"/>
  <c r="S20" i="4" s="1"/>
  <c r="S22" i="4"/>
  <c r="Q22" i="4"/>
  <c r="Q36" i="4"/>
  <c r="S36" i="4" s="1"/>
  <c r="Q34" i="4"/>
  <c r="S34" i="4" s="1"/>
  <c r="Q26" i="4"/>
  <c r="S26" i="4"/>
  <c r="S31" i="4"/>
  <c r="Q31" i="4"/>
  <c r="Q25" i="4"/>
  <c r="S25" i="4"/>
  <c r="Q23" i="4"/>
  <c r="S23" i="4" s="1"/>
  <c r="Q15" i="4"/>
  <c r="S15" i="4" s="1"/>
  <c r="S32" i="4"/>
  <c r="Q32" i="4"/>
  <c r="Q27" i="4"/>
  <c r="S27" i="4"/>
  <c r="Q17" i="4"/>
  <c r="S17" i="4"/>
  <c r="Q19" i="4"/>
  <c r="S19" i="4"/>
  <c r="S30" i="4"/>
  <c r="Q30" i="4"/>
  <c r="Q33" i="4"/>
  <c r="S33" i="4" s="1"/>
  <c r="Q14" i="4"/>
  <c r="S14" i="4"/>
  <c r="Q13" i="4" l="1"/>
  <c r="Q39" i="4" s="1"/>
  <c r="S13" i="4" l="1"/>
  <c r="S39" i="4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 shape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<sst xmlns="http://schemas.openxmlformats.org/spreadsheetml/2006/main" count="213" uniqueCount="104">
  <si>
    <t>Revenu déterminant pour</t>
  </si>
  <si>
    <t>l'imposition à la source (RIS)</t>
  </si>
  <si>
    <t>Informations</t>
  </si>
  <si>
    <t>Environnement</t>
  </si>
  <si>
    <t>Produktion</t>
  </si>
  <si>
    <t>Type</t>
  </si>
  <si>
    <t>Berechnung</t>
  </si>
  <si>
    <t>WS</t>
  </si>
  <si>
    <t>FA_2016_20150609</t>
  </si>
  <si>
    <t>SWS</t>
  </si>
  <si>
    <t>RA_2016_20150609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</si>
  <si>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</si>
  <si>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</si>
  <si>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</si>
  <si>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</si>
  <si>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</si>
  <si>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</si>
  <si>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</si>
  <si>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</si>
  <si>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</si>
  <si>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</si>
  <si>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</si>
  <si>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</si>
  <si>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</si>
  <si>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</si>
  <si>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</si>
  <si>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</si>
  <si>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</si>
  <si>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</si>
  <si>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</si>
  <si>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</si>
  <si>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</si>
  <si>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</si>
  <si>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</si>
  <si>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</si>
  <si>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</si>
  <si>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</si>
  <si>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</si>
  <si>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</si>
  <si>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des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</si>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</sst>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7" x14ac:knownFonts="1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3" fillId="0" borderId="0" xfId="0" applyFont="1" applyFill="1"/>
    <xf numFmtId="0" fontId="18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1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0" xfId="0" applyFont="1" applyFill="1"/>
    <xf numFmtId="0" fontId="21" fillId="0" borderId="1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9" fillId="0" borderId="0" xfId="0" applyFont="1" applyFill="1"/>
    <xf numFmtId="0" fontId="17" fillId="0" borderId="1" xfId="0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/>
    </xf>
    <xf numFmtId="166" fontId="5" fillId="0" borderId="15" xfId="0" applyNumberFormat="1" applyFont="1" applyFill="1" applyBorder="1" applyAlignment="1" applyProtection="1">
      <alignment horizontal="right"/>
      <protection locked="0"/>
    </xf>
    <xf numFmtId="166" fontId="5" fillId="0" borderId="16" xfId="0" applyNumberFormat="1" applyFont="1" applyFill="1" applyBorder="1" applyAlignment="1" applyProtection="1">
      <alignment horizontal="right"/>
      <protection locked="0"/>
    </xf>
    <xf numFmtId="166" fontId="5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left"/>
    </xf>
    <xf numFmtId="166" fontId="5" fillId="2" borderId="0" xfId="0" applyNumberFormat="1" applyFont="1" applyFill="1" applyBorder="1" applyAlignment="1" applyProtection="1">
      <alignment horizontal="right"/>
      <protection locked="0"/>
    </xf>
    <xf numFmtId="166" fontId="5" fillId="2" borderId="13" xfId="0" applyNumberFormat="1" applyFont="1" applyFill="1" applyBorder="1" applyAlignment="1" applyProtection="1">
      <alignment horizontal="right"/>
      <protection locked="0"/>
    </xf>
    <xf numFmtId="166" fontId="5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6" fontId="5" fillId="0" borderId="13" xfId="0" applyNumberFormat="1" applyFont="1" applyFill="1" applyBorder="1" applyAlignment="1" applyProtection="1">
      <alignment horizontal="right"/>
      <protection locked="0"/>
    </xf>
    <xf numFmtId="166" fontId="5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3" fillId="2" borderId="20" xfId="0" applyFont="1" applyFill="1" applyBorder="1" applyAlignment="1">
      <alignment horizontal="left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21" xfId="0" applyNumberFormat="1" applyFont="1" applyFill="1" applyBorder="1" applyAlignment="1" applyProtection="1">
      <alignment horizontal="right"/>
      <protection locked="0"/>
    </xf>
    <xf numFmtId="166" fontId="5" fillId="2" borderId="22" xfId="0" applyNumberFormat="1" applyFont="1" applyFill="1" applyBorder="1" applyAlignment="1" applyProtection="1">
      <alignment horizontal="right"/>
      <protection locked="0"/>
    </xf>
    <xf numFmtId="3" fontId="1" fillId="2" borderId="23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6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/>
    <xf numFmtId="167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vertical="center"/>
    </xf>
    <xf numFmtId="3" fontId="7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5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6" fillId="0" borderId="27" xfId="0" applyFont="1" applyFill="1" applyBorder="1"/>
    <xf numFmtId="168" fontId="6" fillId="0" borderId="27" xfId="0" applyNumberFormat="1" applyFont="1" applyFill="1" applyBorder="1"/>
    <xf numFmtId="0" fontId="0" fillId="0" borderId="0" xfId="0" applyFont="1" applyFill="1" applyBorder="1"/>
    <xf numFmtId="0" fontId="6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167" fontId="12" fillId="0" borderId="9" xfId="0" applyNumberFormat="1" applyFont="1" applyFill="1" applyBorder="1"/>
    <xf numFmtId="0" fontId="0" fillId="0" borderId="9" xfId="0" applyFont="1" applyFill="1" applyBorder="1"/>
    <xf numFmtId="167" fontId="12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6" fillId="0" borderId="0" xfId="0" applyNumberFormat="1" applyFont="1" applyFill="1" applyBorder="1" applyAlignment="1">
      <alignment vertical="center"/>
    </xf>
    <xf numFmtId="166" fontId="7" fillId="0" borderId="15" xfId="0" applyNumberFormat="1" applyFont="1" applyFill="1" applyBorder="1" applyProtection="1">
      <protection locked="0"/>
    </xf>
    <xf numFmtId="167" fontId="7" fillId="0" borderId="15" xfId="0" applyNumberFormat="1" applyFont="1" applyFill="1" applyBorder="1" applyProtection="1">
      <protection locked="0"/>
    </xf>
    <xf numFmtId="3" fontId="6" fillId="0" borderId="18" xfId="0" applyNumberFormat="1" applyFont="1" applyFill="1" applyBorder="1"/>
    <xf numFmtId="3" fontId="6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7" fillId="2" borderId="0" xfId="0" applyNumberFormat="1" applyFont="1" applyFill="1" applyBorder="1" applyProtection="1">
      <protection locked="0"/>
    </xf>
    <xf numFmtId="167" fontId="7" fillId="2" borderId="0" xfId="0" applyNumberFormat="1" applyFont="1" applyFill="1" applyBorder="1" applyProtection="1">
      <protection locked="0"/>
    </xf>
    <xf numFmtId="3" fontId="6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7" fillId="0" borderId="0" xfId="0" applyNumberFormat="1" applyFont="1" applyFill="1" applyBorder="1" applyProtection="1">
      <protection locked="0"/>
    </xf>
    <xf numFmtId="167" fontId="7" fillId="0" borderId="0" xfId="0" applyNumberFormat="1" applyFont="1" applyFill="1" applyBorder="1" applyProtection="1">
      <protection locked="0"/>
    </xf>
    <xf numFmtId="3" fontId="6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7" fillId="2" borderId="8" xfId="0" applyNumberFormat="1" applyFont="1" applyFill="1" applyBorder="1" applyProtection="1">
      <protection locked="0"/>
    </xf>
    <xf numFmtId="167" fontId="7" fillId="2" borderId="8" xfId="0" applyNumberFormat="1" applyFont="1" applyFill="1" applyBorder="1" applyProtection="1">
      <protection locked="0"/>
    </xf>
    <xf numFmtId="3" fontId="6" fillId="2" borderId="31" xfId="0" applyNumberFormat="1" applyFont="1" applyFill="1" applyBorder="1"/>
    <xf numFmtId="0" fontId="6" fillId="0" borderId="1" xfId="0" applyFont="1" applyFill="1" applyBorder="1"/>
    <xf numFmtId="3" fontId="6" fillId="0" borderId="9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4" fontId="13" fillId="0" borderId="9" xfId="0" applyNumberFormat="1" applyFont="1" applyFill="1" applyBorder="1" applyAlignment="1" applyProtection="1">
      <alignment horizontal="right"/>
      <protection locked="0"/>
    </xf>
    <xf numFmtId="3" fontId="6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6" fillId="0" borderId="28" xfId="0" applyNumberFormat="1" applyFont="1" applyFill="1" applyBorder="1"/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200025</xdr:colOff>
      <xdr:row>42</xdr:row>
      <xdr:rowOff>85725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 x14ac:dyDescent="0.2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 x14ac:dyDescent="0.4">
      <c r="A1" s="191" t="s">
        <v>0</v>
      </c>
      <c r="B1" s="191"/>
      <c r="C1" s="191"/>
      <c r="D1" s="191"/>
      <c r="E1" s="2"/>
    </row>
    <row r="2" spans="1:5" ht="27.75" customHeight="1" x14ac:dyDescent="0.4">
      <c r="A2" s="191" t="s">
        <v>1</v>
      </c>
      <c r="B2" s="191"/>
      <c r="C2" s="191"/>
      <c r="D2" s="191"/>
      <c r="E2" s="2"/>
    </row>
    <row r="3" spans="1:5" ht="24.75" customHeight="1" x14ac:dyDescent="0.35">
      <c r="A3" s="3"/>
      <c r="B3" s="3"/>
      <c r="C3" s="3"/>
      <c r="D3" s="3"/>
      <c r="E3" s="3"/>
    </row>
    <row r="4" spans="1:5" ht="18" customHeight="1" x14ac:dyDescent="0.25">
      <c r="A4" s="190" t="str">
        <f>"Année de calcul "&amp;C31</f>
        <v>Année de calcul 2010</v>
      </c>
      <c r="B4" s="190"/>
      <c r="C4" s="190"/>
      <c r="D4" s="190"/>
      <c r="E4" s="4"/>
    </row>
    <row r="5" spans="1:5" ht="18" customHeight="1" x14ac:dyDescent="0.25">
      <c r="A5" s="190" t="str">
        <f>"Année de référence "&amp;C30</f>
        <v>Année de référence 2016</v>
      </c>
      <c r="B5" s="190"/>
      <c r="C5" s="190"/>
      <c r="D5" s="190"/>
      <c r="E5" s="4"/>
    </row>
    <row r="25" spans="2:3" x14ac:dyDescent="0.2">
      <c r="B25" s="5" t="s">
        <v>2</v>
      </c>
      <c r="C25" s="6"/>
    </row>
    <row r="26" spans="2:3" x14ac:dyDescent="0.2">
      <c r="B26" s="7" t="s">
        <v>3</v>
      </c>
      <c r="C26" s="8" t="s">
        <v>4</v>
      </c>
    </row>
    <row r="27" spans="2:3" x14ac:dyDescent="0.2">
      <c r="B27" s="7" t="s">
        <v>5</v>
      </c>
      <c r="C27" s="9" t="s">
        <v>6</v>
      </c>
    </row>
    <row r="28" spans="2:3" x14ac:dyDescent="0.2">
      <c r="B28" s="7" t="s">
        <v>7</v>
      </c>
      <c r="C28" s="9" t="s">
        <v>8</v>
      </c>
    </row>
    <row r="29" spans="2:3" x14ac:dyDescent="0.2">
      <c r="B29" s="7" t="s">
        <v>9</v>
      </c>
      <c r="C29" s="9" t="s">
        <v>10</v>
      </c>
    </row>
    <row r="30" spans="2:3" x14ac:dyDescent="0.2">
      <c r="B30" s="7" t="s">
        <v>11</v>
      </c>
      <c r="C30" s="9">
        <v>2016</v>
      </c>
    </row>
    <row r="31" spans="2:3" x14ac:dyDescent="0.2">
      <c r="B31" s="10" t="s">
        <v>12</v>
      </c>
      <c r="C31" s="11">
        <v>2010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7"/>
  <sheetViews>
    <sheetView showGridLines="0" zoomScale="90" workbookViewId="0">
      <selection activeCell="A8" sqref="A8"/>
    </sheetView>
  </sheetViews>
  <sheetFormatPr baseColWidth="10" defaultColWidth="11.5546875" defaultRowHeight="15" x14ac:dyDescent="0.2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 x14ac:dyDescent="0.2">
      <c r="A1" s="197" t="str">
        <f>"Salaires bruts "&amp;Info!C31</f>
        <v>Salaires bruts 2010</v>
      </c>
      <c r="B1" s="197"/>
      <c r="C1" s="197"/>
      <c r="I1" s="13"/>
    </row>
    <row r="2" spans="1:9" ht="31.5" customHeight="1" x14ac:dyDescent="0.2">
      <c r="A2" s="14" t="str">
        <f>"Année de référence "&amp;Info!C30</f>
        <v>Année de référence 2016</v>
      </c>
      <c r="B2" s="15"/>
      <c r="C2" s="15"/>
      <c r="D2" s="16"/>
      <c r="I2" s="17" t="str">
        <f>Info!C28</f>
        <v>FA_2016_20150609</v>
      </c>
    </row>
    <row r="3" spans="1:9" s="18" customFormat="1" ht="12.75" x14ac:dyDescent="0.2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 x14ac:dyDescent="0.2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 x14ac:dyDescent="0.2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 x14ac:dyDescent="0.2">
      <c r="A6" s="198"/>
      <c r="B6" s="192" t="s">
        <v>30</v>
      </c>
      <c r="C6" s="192" t="s">
        <v>31</v>
      </c>
      <c r="D6" s="194" t="s">
        <v>32</v>
      </c>
      <c r="E6" s="195"/>
      <c r="F6" s="195"/>
      <c r="G6" s="195"/>
      <c r="H6" s="196"/>
      <c r="I6" s="200" t="s">
        <v>33</v>
      </c>
    </row>
    <row r="7" spans="1:9" ht="42.75" customHeight="1" x14ac:dyDescent="0.2">
      <c r="A7" s="199"/>
      <c r="B7" s="193"/>
      <c r="C7" s="193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201"/>
    </row>
    <row r="8" spans="1:9" s="37" customFormat="1" ht="11.25" customHeight="1" x14ac:dyDescent="0.2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 x14ac:dyDescent="0.2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 x14ac:dyDescent="0.2">
      <c r="A10" s="49" t="s">
        <v>43</v>
      </c>
      <c r="B10" s="50">
        <v>4492355473.6800003</v>
      </c>
      <c r="C10" s="50">
        <v>54181328.899999999</v>
      </c>
      <c r="D10" s="51">
        <v>0</v>
      </c>
      <c r="E10" s="50">
        <v>461405304.85000002</v>
      </c>
      <c r="F10" s="50">
        <v>0</v>
      </c>
      <c r="G10" s="50">
        <v>0</v>
      </c>
      <c r="H10" s="52">
        <v>0</v>
      </c>
      <c r="I10" s="53">
        <f t="shared" ref="I10:I36" si="0">SUM(B10:H10)</f>
        <v>5007942107.4300003</v>
      </c>
    </row>
    <row r="11" spans="1:9" x14ac:dyDescent="0.2">
      <c r="A11" s="54" t="s">
        <v>44</v>
      </c>
      <c r="B11" s="55">
        <v>1441569350.8499999</v>
      </c>
      <c r="C11" s="55">
        <v>85244513.170000002</v>
      </c>
      <c r="D11" s="56">
        <v>143939.75</v>
      </c>
      <c r="E11" s="55">
        <v>14579404.49</v>
      </c>
      <c r="F11" s="55">
        <v>0</v>
      </c>
      <c r="G11" s="55">
        <v>101556848</v>
      </c>
      <c r="H11" s="57">
        <v>0</v>
      </c>
      <c r="I11" s="58">
        <f t="shared" si="0"/>
        <v>1643094056.26</v>
      </c>
    </row>
    <row r="12" spans="1:9" x14ac:dyDescent="0.2">
      <c r="A12" s="59" t="s">
        <v>45</v>
      </c>
      <c r="B12" s="60">
        <v>651325698</v>
      </c>
      <c r="C12" s="60">
        <v>15103235</v>
      </c>
      <c r="D12" s="61">
        <v>110746</v>
      </c>
      <c r="E12" s="60">
        <v>5744429</v>
      </c>
      <c r="F12" s="60">
        <v>0</v>
      </c>
      <c r="G12" s="60">
        <v>0</v>
      </c>
      <c r="H12" s="62">
        <v>0</v>
      </c>
      <c r="I12" s="63">
        <f t="shared" si="0"/>
        <v>672284108</v>
      </c>
    </row>
    <row r="13" spans="1:9" x14ac:dyDescent="0.2">
      <c r="A13" s="54" t="s">
        <v>46</v>
      </c>
      <c r="B13" s="55">
        <v>71629418</v>
      </c>
      <c r="C13" s="55">
        <v>0</v>
      </c>
      <c r="D13" s="56">
        <v>2830902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74460320</v>
      </c>
    </row>
    <row r="14" spans="1:9" x14ac:dyDescent="0.2">
      <c r="A14" s="59" t="s">
        <v>47</v>
      </c>
      <c r="B14" s="60">
        <v>275199352</v>
      </c>
      <c r="C14" s="60">
        <v>56169972</v>
      </c>
      <c r="D14" s="61">
        <v>614764</v>
      </c>
      <c r="E14" s="60">
        <v>1455101</v>
      </c>
      <c r="F14" s="60">
        <v>0</v>
      </c>
      <c r="G14" s="60">
        <v>0</v>
      </c>
      <c r="H14" s="62">
        <v>0</v>
      </c>
      <c r="I14" s="63">
        <f t="shared" si="0"/>
        <v>333439189</v>
      </c>
    </row>
    <row r="15" spans="1:9" x14ac:dyDescent="0.2">
      <c r="A15" s="54" t="s">
        <v>48</v>
      </c>
      <c r="B15" s="55">
        <v>73079687.530000001</v>
      </c>
      <c r="C15" s="55">
        <v>3693224.01</v>
      </c>
      <c r="D15" s="56">
        <v>0</v>
      </c>
      <c r="E15" s="55">
        <v>90781.4</v>
      </c>
      <c r="F15" s="55">
        <v>0</v>
      </c>
      <c r="G15" s="55">
        <v>0</v>
      </c>
      <c r="H15" s="57">
        <v>0</v>
      </c>
      <c r="I15" s="58">
        <f t="shared" si="0"/>
        <v>76863692.940000013</v>
      </c>
    </row>
    <row r="16" spans="1:9" x14ac:dyDescent="0.2">
      <c r="A16" s="59" t="s">
        <v>49</v>
      </c>
      <c r="B16" s="60">
        <v>64958135.93</v>
      </c>
      <c r="C16" s="60">
        <v>2146492.7599999998</v>
      </c>
      <c r="D16" s="61">
        <v>2527755.75</v>
      </c>
      <c r="E16" s="60">
        <v>323540</v>
      </c>
      <c r="F16" s="60">
        <v>0</v>
      </c>
      <c r="G16" s="60">
        <v>0</v>
      </c>
      <c r="H16" s="62">
        <v>0</v>
      </c>
      <c r="I16" s="63">
        <f t="shared" si="0"/>
        <v>69955924.439999998</v>
      </c>
    </row>
    <row r="17" spans="1:9" x14ac:dyDescent="0.2">
      <c r="A17" s="54" t="s">
        <v>50</v>
      </c>
      <c r="B17" s="55">
        <v>85790102</v>
      </c>
      <c r="C17" s="55">
        <v>100202</v>
      </c>
      <c r="D17" s="56">
        <v>5656730</v>
      </c>
      <c r="E17" s="55">
        <v>96243</v>
      </c>
      <c r="F17" s="55">
        <v>0</v>
      </c>
      <c r="G17" s="55">
        <v>0</v>
      </c>
      <c r="H17" s="57">
        <v>0</v>
      </c>
      <c r="I17" s="58">
        <f t="shared" si="0"/>
        <v>91643277</v>
      </c>
    </row>
    <row r="18" spans="1:9" x14ac:dyDescent="0.2">
      <c r="A18" s="59" t="s">
        <v>51</v>
      </c>
      <c r="B18" s="60">
        <v>513387742</v>
      </c>
      <c r="C18" s="60">
        <v>28466720</v>
      </c>
      <c r="D18" s="61">
        <v>2288988</v>
      </c>
      <c r="E18" s="60">
        <v>3628240</v>
      </c>
      <c r="F18" s="60">
        <v>0</v>
      </c>
      <c r="G18" s="60">
        <v>0</v>
      </c>
      <c r="H18" s="62">
        <v>0</v>
      </c>
      <c r="I18" s="63">
        <f t="shared" si="0"/>
        <v>547771690</v>
      </c>
    </row>
    <row r="19" spans="1:9" x14ac:dyDescent="0.2">
      <c r="A19" s="54" t="s">
        <v>52</v>
      </c>
      <c r="B19" s="55">
        <v>499874914.80000103</v>
      </c>
      <c r="C19" s="55">
        <v>0</v>
      </c>
      <c r="D19" s="56">
        <v>3234101.45</v>
      </c>
      <c r="E19" s="55">
        <v>0</v>
      </c>
      <c r="F19" s="55">
        <v>0</v>
      </c>
      <c r="G19" s="55">
        <v>0</v>
      </c>
      <c r="H19" s="57">
        <v>0</v>
      </c>
      <c r="I19" s="58">
        <f t="shared" si="0"/>
        <v>503109016.25000101</v>
      </c>
    </row>
    <row r="20" spans="1:9" x14ac:dyDescent="0.2">
      <c r="A20" s="59" t="s">
        <v>53</v>
      </c>
      <c r="B20" s="60">
        <v>360427409</v>
      </c>
      <c r="C20" s="60">
        <v>13288152.25</v>
      </c>
      <c r="D20" s="61">
        <v>1110442</v>
      </c>
      <c r="E20" s="60">
        <v>32576212.300000001</v>
      </c>
      <c r="F20" s="60">
        <v>0</v>
      </c>
      <c r="G20" s="60">
        <v>80920974</v>
      </c>
      <c r="H20" s="62">
        <v>0</v>
      </c>
      <c r="I20" s="63">
        <f t="shared" si="0"/>
        <v>488323189.55000001</v>
      </c>
    </row>
    <row r="21" spans="1:9" x14ac:dyDescent="0.2">
      <c r="A21" s="54" t="s">
        <v>54</v>
      </c>
      <c r="B21" s="55">
        <v>688616186.57000005</v>
      </c>
      <c r="C21" s="55">
        <v>144178933.80000001</v>
      </c>
      <c r="D21" s="56">
        <v>863016.77</v>
      </c>
      <c r="E21" s="55">
        <v>1267335323.47</v>
      </c>
      <c r="F21" s="55">
        <v>0</v>
      </c>
      <c r="G21" s="55">
        <v>1456465918.3900001</v>
      </c>
      <c r="H21" s="57">
        <v>0</v>
      </c>
      <c r="I21" s="58">
        <f t="shared" si="0"/>
        <v>3557459379</v>
      </c>
    </row>
    <row r="22" spans="1:9" x14ac:dyDescent="0.2">
      <c r="A22" s="59" t="s">
        <v>55</v>
      </c>
      <c r="B22" s="60">
        <v>378415216.86000001</v>
      </c>
      <c r="C22" s="60">
        <v>82214877.719999999</v>
      </c>
      <c r="D22" s="61">
        <v>1455845.5</v>
      </c>
      <c r="E22" s="60">
        <v>601050081.89999998</v>
      </c>
      <c r="F22" s="60">
        <v>0</v>
      </c>
      <c r="G22" s="60">
        <v>950443338.5</v>
      </c>
      <c r="H22" s="62">
        <v>0</v>
      </c>
      <c r="I22" s="63">
        <f t="shared" si="0"/>
        <v>2013579360.48</v>
      </c>
    </row>
    <row r="23" spans="1:9" x14ac:dyDescent="0.2">
      <c r="A23" s="54" t="s">
        <v>56</v>
      </c>
      <c r="B23" s="55">
        <v>270750992.55000001</v>
      </c>
      <c r="C23" s="55">
        <v>15427517.6</v>
      </c>
      <c r="D23" s="56">
        <v>455187.8</v>
      </c>
      <c r="E23" s="55">
        <v>318383251.14999998</v>
      </c>
      <c r="F23" s="55">
        <v>0</v>
      </c>
      <c r="G23" s="55">
        <v>0</v>
      </c>
      <c r="H23" s="57">
        <v>0</v>
      </c>
      <c r="I23" s="58">
        <f t="shared" si="0"/>
        <v>605016949.10000002</v>
      </c>
    </row>
    <row r="24" spans="1:9" x14ac:dyDescent="0.2">
      <c r="A24" s="59" t="s">
        <v>57</v>
      </c>
      <c r="B24" s="60">
        <v>92299886</v>
      </c>
      <c r="C24" s="60">
        <v>3397626</v>
      </c>
      <c r="D24" s="61">
        <v>12164058</v>
      </c>
      <c r="E24" s="60">
        <v>4405013</v>
      </c>
      <c r="F24" s="60">
        <v>0</v>
      </c>
      <c r="G24" s="60">
        <v>0</v>
      </c>
      <c r="H24" s="62">
        <v>0</v>
      </c>
      <c r="I24" s="63">
        <f t="shared" si="0"/>
        <v>112266583</v>
      </c>
    </row>
    <row r="25" spans="1:9" x14ac:dyDescent="0.2">
      <c r="A25" s="54" t="s">
        <v>58</v>
      </c>
      <c r="B25" s="55">
        <v>17007962.359999999</v>
      </c>
      <c r="C25" s="55">
        <v>1989767.62</v>
      </c>
      <c r="D25" s="56">
        <v>3582005.4</v>
      </c>
      <c r="E25" s="55">
        <v>635853.94999999995</v>
      </c>
      <c r="F25" s="55">
        <v>0</v>
      </c>
      <c r="G25" s="55">
        <v>0</v>
      </c>
      <c r="H25" s="57">
        <v>0</v>
      </c>
      <c r="I25" s="58">
        <f t="shared" si="0"/>
        <v>23215589.329999998</v>
      </c>
    </row>
    <row r="26" spans="1:9" x14ac:dyDescent="0.2">
      <c r="A26" s="59" t="s">
        <v>59</v>
      </c>
      <c r="B26" s="60">
        <v>852498853.71000004</v>
      </c>
      <c r="C26" s="60">
        <v>58731059.460000001</v>
      </c>
      <c r="D26" s="61">
        <v>426118428.72000003</v>
      </c>
      <c r="E26" s="60">
        <v>65949188.240000002</v>
      </c>
      <c r="F26" s="60">
        <v>0</v>
      </c>
      <c r="G26" s="60">
        <v>0</v>
      </c>
      <c r="H26" s="62">
        <v>0</v>
      </c>
      <c r="I26" s="63">
        <f t="shared" si="0"/>
        <v>1403297530.1300001</v>
      </c>
    </row>
    <row r="27" spans="1:9" x14ac:dyDescent="0.2">
      <c r="A27" s="54" t="s">
        <v>60</v>
      </c>
      <c r="B27" s="55">
        <v>731064373</v>
      </c>
      <c r="C27" s="55">
        <v>238478997</v>
      </c>
      <c r="D27" s="56">
        <v>21027596</v>
      </c>
      <c r="E27" s="55">
        <v>0</v>
      </c>
      <c r="F27" s="55">
        <v>0</v>
      </c>
      <c r="G27" s="55">
        <v>0</v>
      </c>
      <c r="H27" s="57">
        <v>69343239</v>
      </c>
      <c r="I27" s="58">
        <f t="shared" si="0"/>
        <v>1059914205</v>
      </c>
    </row>
    <row r="28" spans="1:9" x14ac:dyDescent="0.2">
      <c r="A28" s="59" t="s">
        <v>61</v>
      </c>
      <c r="B28" s="60">
        <v>1034807906</v>
      </c>
      <c r="C28" s="60">
        <v>224930057</v>
      </c>
      <c r="D28" s="61">
        <v>1866062</v>
      </c>
      <c r="E28" s="60">
        <v>756690289</v>
      </c>
      <c r="F28" s="60">
        <v>0</v>
      </c>
      <c r="G28" s="60">
        <v>0</v>
      </c>
      <c r="H28" s="62">
        <v>0</v>
      </c>
      <c r="I28" s="63">
        <f t="shared" si="0"/>
        <v>2018294314</v>
      </c>
    </row>
    <row r="29" spans="1:9" x14ac:dyDescent="0.2">
      <c r="A29" s="54" t="s">
        <v>62</v>
      </c>
      <c r="B29" s="55">
        <v>521728877.74000001</v>
      </c>
      <c r="C29" s="55">
        <v>39750952.979999997</v>
      </c>
      <c r="D29" s="56">
        <v>15074505.35</v>
      </c>
      <c r="E29" s="55">
        <v>240673370.02000001</v>
      </c>
      <c r="F29" s="55">
        <v>0</v>
      </c>
      <c r="G29" s="55">
        <v>0</v>
      </c>
      <c r="H29" s="57">
        <v>0</v>
      </c>
      <c r="I29" s="58">
        <f t="shared" si="0"/>
        <v>817227706.09000003</v>
      </c>
    </row>
    <row r="30" spans="1:9" x14ac:dyDescent="0.2">
      <c r="A30" s="59" t="s">
        <v>63</v>
      </c>
      <c r="B30" s="60">
        <v>704571066</v>
      </c>
      <c r="C30" s="60">
        <v>402795571</v>
      </c>
      <c r="D30" s="61">
        <v>15076865</v>
      </c>
      <c r="E30" s="60">
        <v>0</v>
      </c>
      <c r="F30" s="60">
        <v>0</v>
      </c>
      <c r="G30" s="60">
        <v>0</v>
      </c>
      <c r="H30" s="62">
        <v>2453122581</v>
      </c>
      <c r="I30" s="63">
        <f t="shared" si="0"/>
        <v>3575566083</v>
      </c>
    </row>
    <row r="31" spans="1:9" x14ac:dyDescent="0.2">
      <c r="A31" s="54" t="s">
        <v>64</v>
      </c>
      <c r="B31" s="55">
        <v>2548250330</v>
      </c>
      <c r="C31" s="55">
        <v>0</v>
      </c>
      <c r="D31" s="56">
        <v>0</v>
      </c>
      <c r="E31" s="55">
        <v>0</v>
      </c>
      <c r="F31" s="55">
        <v>0</v>
      </c>
      <c r="G31" s="55">
        <v>1567103857.5999999</v>
      </c>
      <c r="H31" s="57">
        <v>0</v>
      </c>
      <c r="I31" s="58">
        <f t="shared" si="0"/>
        <v>4115354187.5999999</v>
      </c>
    </row>
    <row r="32" spans="1:9" x14ac:dyDescent="0.2">
      <c r="A32" s="59" t="s">
        <v>65</v>
      </c>
      <c r="B32" s="60">
        <v>938089636</v>
      </c>
      <c r="C32" s="60">
        <v>8339227</v>
      </c>
      <c r="D32" s="61">
        <v>0</v>
      </c>
      <c r="E32" s="60">
        <v>362731</v>
      </c>
      <c r="F32" s="60">
        <v>0</v>
      </c>
      <c r="G32" s="60">
        <v>67295627</v>
      </c>
      <c r="H32" s="62">
        <v>50943808</v>
      </c>
      <c r="I32" s="63">
        <f t="shared" si="0"/>
        <v>1065031029</v>
      </c>
    </row>
    <row r="33" spans="1:9" x14ac:dyDescent="0.2">
      <c r="A33" s="54" t="s">
        <v>66</v>
      </c>
      <c r="B33" s="55">
        <v>322349361</v>
      </c>
      <c r="C33" s="55">
        <v>13862173</v>
      </c>
      <c r="D33" s="56">
        <v>9364</v>
      </c>
      <c r="E33" s="55">
        <v>143654</v>
      </c>
      <c r="F33" s="55">
        <v>0</v>
      </c>
      <c r="G33" s="55">
        <v>714421061</v>
      </c>
      <c r="H33" s="57">
        <v>0</v>
      </c>
      <c r="I33" s="58">
        <f t="shared" si="0"/>
        <v>1050785613</v>
      </c>
    </row>
    <row r="34" spans="1:9" x14ac:dyDescent="0.2">
      <c r="A34" s="59" t="s">
        <v>67</v>
      </c>
      <c r="B34" s="60">
        <v>1864702755</v>
      </c>
      <c r="C34" s="60">
        <v>267474012</v>
      </c>
      <c r="D34" s="61">
        <v>1106819</v>
      </c>
      <c r="E34" s="60">
        <v>0</v>
      </c>
      <c r="F34" s="60">
        <v>6763263231</v>
      </c>
      <c r="G34" s="60">
        <v>0</v>
      </c>
      <c r="H34" s="62">
        <v>0</v>
      </c>
      <c r="I34" s="63">
        <f t="shared" si="0"/>
        <v>8896546817</v>
      </c>
    </row>
    <row r="35" spans="1:9" x14ac:dyDescent="0.2">
      <c r="A35" s="64" t="s">
        <v>68</v>
      </c>
      <c r="B35" s="65">
        <v>68506032</v>
      </c>
      <c r="C35" s="65">
        <v>5912796</v>
      </c>
      <c r="D35" s="66">
        <v>0</v>
      </c>
      <c r="E35" s="65">
        <v>464939</v>
      </c>
      <c r="F35" s="65">
        <v>0</v>
      </c>
      <c r="G35" s="65">
        <v>377356810</v>
      </c>
      <c r="H35" s="67">
        <v>0</v>
      </c>
      <c r="I35" s="68">
        <f t="shared" si="0"/>
        <v>452240577</v>
      </c>
    </row>
    <row r="36" spans="1:9" x14ac:dyDescent="0.2">
      <c r="A36" s="5" t="s">
        <v>69</v>
      </c>
      <c r="B36" s="69">
        <f t="shared" ref="B36:H36" si="1">SUM(B10:B35)</f>
        <v>19563256718.580002</v>
      </c>
      <c r="C36" s="69">
        <f t="shared" si="1"/>
        <v>1765877408.27</v>
      </c>
      <c r="D36" s="70">
        <f t="shared" si="1"/>
        <v>517318122.49000007</v>
      </c>
      <c r="E36" s="69">
        <f t="shared" si="1"/>
        <v>3775992950.7699995</v>
      </c>
      <c r="F36" s="69">
        <f t="shared" si="1"/>
        <v>6763263231</v>
      </c>
      <c r="G36" s="69">
        <f t="shared" si="1"/>
        <v>5315564434.4899998</v>
      </c>
      <c r="H36" s="71">
        <f t="shared" si="1"/>
        <v>2573409628</v>
      </c>
      <c r="I36" s="72">
        <f t="shared" si="0"/>
        <v>40274682493.600006</v>
      </c>
    </row>
    <row r="37" spans="1:9" x14ac:dyDescent="0.2">
      <c r="A37" s="73"/>
      <c r="B37" s="73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"/>
  <sheetViews>
    <sheetView showGridLines="0" workbookViewId="0"/>
  </sheetViews>
  <sheetFormatPr baseColWidth="10" defaultColWidth="11.5546875" defaultRowHeight="15" x14ac:dyDescent="0.2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 x14ac:dyDescent="0.25">
      <c r="A1" s="4" t="str">
        <f>"Calcul du gamma "&amp;Info!C31</f>
        <v>Calcul du gamma 2010</v>
      </c>
      <c r="B1" s="4"/>
    </row>
    <row r="2" spans="1:4" ht="15.75" customHeight="1" x14ac:dyDescent="0.2">
      <c r="A2" s="74" t="str">
        <f>Salaires_bruts!A2</f>
        <v>Année de référence 2016</v>
      </c>
      <c r="B2" s="74"/>
    </row>
    <row r="3" spans="1:4" ht="33" customHeight="1" x14ac:dyDescent="0.2">
      <c r="C3" s="75" t="str">
        <f>Info!$C$28</f>
        <v>FA_2016_20150609</v>
      </c>
    </row>
    <row r="4" spans="1:4" ht="15.75" customHeight="1" x14ac:dyDescent="0.25">
      <c r="B4" s="76" t="s">
        <v>70</v>
      </c>
      <c r="C4" s="77" t="s">
        <v>71</v>
      </c>
      <c r="D4" s="78"/>
    </row>
    <row r="5" spans="1:4" x14ac:dyDescent="0.2">
      <c r="A5" s="73" t="s">
        <v>72</v>
      </c>
      <c r="B5" s="79" t="s">
        <v>73</v>
      </c>
      <c r="C5" s="80">
        <v>437657457.66746902</v>
      </c>
      <c r="D5" s="81"/>
    </row>
    <row r="6" spans="1:4" x14ac:dyDescent="0.2">
      <c r="A6" s="82" t="s">
        <v>74</v>
      </c>
      <c r="B6" s="83" t="str">
        <f>"AFA_"&amp;Info!C30&amp;"_"&amp;Info!C31&amp;".xlsx"</f>
        <v>AFA_2016_2010.xlsx</v>
      </c>
      <c r="C6" s="84">
        <f>Calculation_RIS!O39</f>
        <v>162652358.79999998</v>
      </c>
      <c r="D6" s="81"/>
    </row>
    <row r="7" spans="1:4" ht="24.75" customHeight="1" x14ac:dyDescent="0.25">
      <c r="A7" s="85" t="s">
        <v>75</v>
      </c>
      <c r="B7" s="85"/>
      <c r="C7" s="86">
        <f>ROUND(C6/C5,3)</f>
        <v>0.372</v>
      </c>
    </row>
    <row r="8" spans="1:4" ht="15.75" customHeight="1" x14ac:dyDescent="0.2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39"/>
  <sheetViews>
    <sheetView showGridLines="0" zoomScale="75" workbookViewId="0">
      <selection activeCell="A6" sqref="A6"/>
    </sheetView>
  </sheetViews>
  <sheetFormatPr baseColWidth="10" defaultColWidth="11.5546875" defaultRowHeight="15" x14ac:dyDescent="0.2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 x14ac:dyDescent="0.2">
      <c r="A1" s="197" t="str">
        <f>"Revenu déterminant pour l'imposition à la source (RIS) "&amp;Info!C31</f>
        <v>Revenu déterminant pour l'imposition à la source (RIS) 2010</v>
      </c>
      <c r="B1" s="197"/>
      <c r="C1" s="197"/>
      <c r="D1" s="197"/>
      <c r="E1" s="197"/>
      <c r="F1" s="197"/>
      <c r="H1" s="13"/>
      <c r="R1" s="12"/>
    </row>
    <row r="2" spans="1:22" ht="18.75" customHeight="1" x14ac:dyDescent="0.25">
      <c r="A2" s="88" t="str">
        <f>Info!A5</f>
        <v>Année de référence 2016</v>
      </c>
      <c r="B2" s="89"/>
      <c r="H2" s="87"/>
      <c r="R2" s="12"/>
    </row>
    <row r="3" spans="1:22" ht="18.75" customHeight="1" x14ac:dyDescent="0.25">
      <c r="A3" s="90"/>
      <c r="B3" s="89"/>
      <c r="H3" s="87"/>
      <c r="L3" s="91" t="str">
        <f>Info!C28</f>
        <v>FA_2016_20150609</v>
      </c>
      <c r="R3" s="12"/>
    </row>
    <row r="4" spans="1:22" ht="37.5" customHeight="1" x14ac:dyDescent="0.2">
      <c r="A4" s="217" t="str">
        <f>"Calculation sur la base des salaires bruts "&amp;Info!C31</f>
        <v>Calculation sur la base des salaires bruts 2010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9"/>
      <c r="N4" s="206" t="s">
        <v>76</v>
      </c>
      <c r="O4" s="207"/>
      <c r="P4" s="207"/>
      <c r="Q4" s="208"/>
      <c r="S4" s="92"/>
    </row>
    <row r="5" spans="1:22" ht="16.5" customHeight="1" x14ac:dyDescent="0.2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s="1" customFormat="1" ht="16.5" customHeight="1" x14ac:dyDescent="0.2">
      <c r="A6" s="96" t="s">
        <v>13</v>
      </c>
      <c r="B6" s="97" t="s">
        <v>14</v>
      </c>
      <c r="C6" s="97" t="s">
        <v>15</v>
      </c>
      <c r="D6" s="97" t="s">
        <v>16</v>
      </c>
      <c r="E6" s="97" t="s">
        <v>17</v>
      </c>
      <c r="F6" s="97" t="s">
        <v>18</v>
      </c>
      <c r="G6" s="97" t="s">
        <v>19</v>
      </c>
      <c r="H6" s="97" t="s">
        <v>20</v>
      </c>
      <c r="I6" s="97" t="s">
        <v>77</v>
      </c>
      <c r="J6" s="97" t="s">
        <v>78</v>
      </c>
      <c r="K6" s="97" t="s">
        <v>79</v>
      </c>
      <c r="L6" s="98" t="s">
        <v>80</v>
      </c>
      <c r="M6" s="99"/>
      <c r="N6" s="100"/>
      <c r="O6" s="101" t="s">
        <v>81</v>
      </c>
      <c r="P6" s="101" t="s">
        <v>82</v>
      </c>
      <c r="Q6" s="102" t="s">
        <v>83</v>
      </c>
      <c r="R6" s="103"/>
      <c r="S6" s="104" t="s">
        <v>84</v>
      </c>
    </row>
    <row r="7" spans="1:22" s="37" customFormat="1" ht="16.5" customHeight="1" x14ac:dyDescent="0.2">
      <c r="A7" s="105" t="s">
        <v>22</v>
      </c>
      <c r="B7" s="106" t="s">
        <v>85</v>
      </c>
      <c r="C7" s="106" t="s">
        <v>85</v>
      </c>
      <c r="D7" s="107" t="str">
        <f>IF(Info!C31&lt;2006,"0.03 / TFS","(1 - 0.125) * gamma")</f>
        <v>(1 - 0.125) * gamma</v>
      </c>
      <c r="E7" s="108" t="s">
        <v>86</v>
      </c>
      <c r="F7" s="108" t="s">
        <v>87</v>
      </c>
      <c r="G7" s="108" t="s">
        <v>86</v>
      </c>
      <c r="H7" s="109" t="s">
        <v>88</v>
      </c>
      <c r="I7" s="108" t="s">
        <v>89</v>
      </c>
      <c r="J7" s="108"/>
      <c r="K7" s="108" t="s">
        <v>90</v>
      </c>
      <c r="L7" s="110" t="s">
        <v>91</v>
      </c>
      <c r="M7" s="111"/>
      <c r="N7" s="112" t="s">
        <v>22</v>
      </c>
      <c r="O7" s="113"/>
      <c r="P7" s="113"/>
      <c r="Q7" s="114" t="s">
        <v>92</v>
      </c>
      <c r="R7" s="115"/>
      <c r="S7" s="116" t="s">
        <v>93</v>
      </c>
    </row>
    <row r="8" spans="1:22" s="1" customFormat="1" ht="15.75" customHeight="1" x14ac:dyDescent="0.2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7"/>
      <c r="L8" s="31"/>
      <c r="M8" s="118"/>
      <c r="N8" s="32"/>
      <c r="O8" s="192" t="str">
        <f>"Revenu déterminant "&amp;Info!C31</f>
        <v>Revenu déterminant 2010</v>
      </c>
      <c r="P8" s="192" t="s">
        <v>94</v>
      </c>
      <c r="Q8" s="200" t="s">
        <v>95</v>
      </c>
      <c r="R8" s="119"/>
      <c r="S8" s="209" t="s">
        <v>96</v>
      </c>
    </row>
    <row r="9" spans="1:22" s="120" customFormat="1" ht="22.5" customHeight="1" x14ac:dyDescent="0.2">
      <c r="A9" s="32"/>
      <c r="B9" s="192" t="s">
        <v>30</v>
      </c>
      <c r="C9" s="192" t="s">
        <v>31</v>
      </c>
      <c r="D9" s="194" t="s">
        <v>32</v>
      </c>
      <c r="E9" s="195"/>
      <c r="F9" s="195"/>
      <c r="G9" s="195"/>
      <c r="H9" s="196"/>
      <c r="I9" s="192" t="s">
        <v>97</v>
      </c>
      <c r="J9" s="192" t="s">
        <v>98</v>
      </c>
      <c r="K9" s="192" t="s">
        <v>99</v>
      </c>
      <c r="L9" s="200" t="s">
        <v>100</v>
      </c>
      <c r="M9" s="118"/>
      <c r="N9" s="121"/>
      <c r="O9" s="203"/>
      <c r="P9" s="203"/>
      <c r="Q9" s="202"/>
      <c r="R9" s="119"/>
      <c r="S9" s="210"/>
      <c r="V9" s="122" t="str">
        <f>Info!C28</f>
        <v>FA_2016_20150609</v>
      </c>
    </row>
    <row r="10" spans="1:22" s="120" customFormat="1" ht="56.25" customHeight="1" x14ac:dyDescent="0.2">
      <c r="A10" s="33"/>
      <c r="B10" s="203"/>
      <c r="C10" s="203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03"/>
      <c r="J10" s="203"/>
      <c r="K10" s="203"/>
      <c r="L10" s="202"/>
      <c r="M10" s="118"/>
      <c r="N10" s="123"/>
      <c r="O10" s="204"/>
      <c r="P10" s="204"/>
      <c r="Q10" s="205"/>
      <c r="R10" s="119"/>
      <c r="S10" s="210"/>
      <c r="U10" s="215" t="str">
        <f>" Taux fiscal standardisé (TFS) "&amp;Info!C30-1</f>
        <v xml:space="preserve"> Taux fiscal standardisé (TFS) 2015</v>
      </c>
      <c r="V10" s="216"/>
    </row>
    <row r="11" spans="1:22" s="124" customFormat="1" ht="15" customHeight="1" x14ac:dyDescent="0.2">
      <c r="A11" s="125" t="s">
        <v>101</v>
      </c>
      <c r="B11" s="126">
        <f>gamma</f>
        <v>0.372</v>
      </c>
      <c r="C11" s="126">
        <f>gamma</f>
        <v>0.372</v>
      </c>
      <c r="D11" s="127">
        <f>IF(Info!C31&lt;2006,0.03/sst,0.875*gamma)</f>
        <v>0.32550000000000001</v>
      </c>
      <c r="E11" s="126">
        <f>0.045/sst</f>
        <v>0.16245487364620936</v>
      </c>
      <c r="F11" s="126">
        <f>gamma-0.035/sst</f>
        <v>0.24564620938628159</v>
      </c>
      <c r="G11" s="126">
        <f>0.045/sst</f>
        <v>0.16245487364620936</v>
      </c>
      <c r="H11" s="128">
        <f>0.6*gamma</f>
        <v>0.22319999999999998</v>
      </c>
      <c r="I11" s="126"/>
      <c r="J11" s="126"/>
      <c r="K11" s="126"/>
      <c r="L11" s="129"/>
      <c r="M11" s="130"/>
      <c r="N11" s="131" t="s">
        <v>39</v>
      </c>
      <c r="O11" s="132" t="str">
        <f>" AFA_"&amp;Info!C30&amp;"_"&amp;Info!C31&amp;".xlsx"</f>
        <v xml:space="preserve"> AFA_2016_2010.xlsx</v>
      </c>
      <c r="R11" s="133"/>
      <c r="S11" s="134"/>
      <c r="U11" s="213" t="str">
        <f>"Source: PR_"&amp;Info!C30-1&amp;".xlsx"</f>
        <v>Source: PR_2015.xlsx</v>
      </c>
      <c r="V11" s="214"/>
    </row>
    <row r="12" spans="1:22" s="124" customFormat="1" ht="12.75" x14ac:dyDescent="0.2">
      <c r="A12" s="125" t="s">
        <v>41</v>
      </c>
      <c r="B12" s="126" t="s">
        <v>71</v>
      </c>
      <c r="C12" s="126" t="s">
        <v>71</v>
      </c>
      <c r="D12" s="127" t="s">
        <v>71</v>
      </c>
      <c r="E12" s="126" t="s">
        <v>71</v>
      </c>
      <c r="F12" s="126" t="s">
        <v>71</v>
      </c>
      <c r="G12" s="126" t="s">
        <v>71</v>
      </c>
      <c r="H12" s="128" t="s">
        <v>71</v>
      </c>
      <c r="I12" s="126" t="s">
        <v>71</v>
      </c>
      <c r="J12" s="126"/>
      <c r="K12" s="126" t="s">
        <v>71</v>
      </c>
      <c r="L12" s="135" t="s">
        <v>71</v>
      </c>
      <c r="M12" s="130"/>
      <c r="N12" s="136" t="s">
        <v>41</v>
      </c>
      <c r="O12" s="126" t="s">
        <v>71</v>
      </c>
      <c r="P12" s="137"/>
      <c r="Q12" s="135" t="s">
        <v>71</v>
      </c>
      <c r="R12" s="133"/>
      <c r="S12" s="138" t="s">
        <v>71</v>
      </c>
      <c r="U12" s="211"/>
      <c r="V12" s="212"/>
    </row>
    <row r="13" spans="1:22" ht="15.75" customHeight="1" x14ac:dyDescent="0.25">
      <c r="A13" s="139" t="s">
        <v>43</v>
      </c>
      <c r="B13" s="140">
        <f>(Salaires_bruts!B10*B$11)/1000</f>
        <v>1671156.2362089599</v>
      </c>
      <c r="C13" s="140">
        <f>(Salaires_bruts!C10*C$11)/1000</f>
        <v>20155.454350799999</v>
      </c>
      <c r="D13" s="141">
        <f>(Salaires_bruts!D10*D$11)/1000</f>
        <v>0</v>
      </c>
      <c r="E13" s="140">
        <f>(Salaires_bruts!E10*E$11)/1000</f>
        <v>74957.540499097464</v>
      </c>
      <c r="F13" s="140">
        <f>(Salaires_bruts!F10*F$11)/1000</f>
        <v>0</v>
      </c>
      <c r="G13" s="140">
        <f>(Salaires_bruts!G10*G$11)/1000</f>
        <v>0</v>
      </c>
      <c r="H13" s="142">
        <f>(Salaires_bruts!H10*H$11)/1000</f>
        <v>0</v>
      </c>
      <c r="I13" s="140">
        <f t="shared" ref="I13:I38" si="0">SUM(C13:H13)</f>
        <v>95112.994849897455</v>
      </c>
      <c r="J13" s="143">
        <f t="shared" ref="J13:J38" si="1">$J$39</f>
        <v>0.75</v>
      </c>
      <c r="K13" s="140">
        <f t="shared" ref="K13:K39" si="2">I13*J13</f>
        <v>71334.746137423092</v>
      </c>
      <c r="L13" s="144">
        <f t="shared" ref="L13:L39" si="3">K13+B13</f>
        <v>1742490.9823463829</v>
      </c>
      <c r="M13" s="145"/>
      <c r="N13" s="139" t="s">
        <v>43</v>
      </c>
      <c r="O13" s="146">
        <v>35246961.299999997</v>
      </c>
      <c r="P13" s="147">
        <v>0</v>
      </c>
      <c r="Q13" s="144">
        <f>IF(Calculation_RIS!L13=0,O13*P13,0)</f>
        <v>0</v>
      </c>
      <c r="R13" s="148"/>
      <c r="S13" s="149">
        <f>Calculation_RIS!L13+Q13</f>
        <v>1742490.9823463829</v>
      </c>
      <c r="U13" s="150" t="s">
        <v>102</v>
      </c>
      <c r="V13" s="151">
        <v>0.27698654084703</v>
      </c>
    </row>
    <row r="14" spans="1:22" ht="15.75" customHeight="1" x14ac:dyDescent="0.25">
      <c r="A14" s="152" t="s">
        <v>44</v>
      </c>
      <c r="B14" s="153">
        <f>(Salaires_bruts!B11*B$11)/1000</f>
        <v>536263.79851619992</v>
      </c>
      <c r="C14" s="153">
        <f>(Salaires_bruts!C11*C$11)/1000</f>
        <v>31710.958899240002</v>
      </c>
      <c r="D14" s="154">
        <f>(Salaires_bruts!D11*D$11)/1000</f>
        <v>46.852388624999996</v>
      </c>
      <c r="E14" s="153">
        <f>(Salaires_bruts!E11*E$11)/1000</f>
        <v>2368.4953142599279</v>
      </c>
      <c r="F14" s="153">
        <f>(Salaires_bruts!F11*F$11)/1000</f>
        <v>0</v>
      </c>
      <c r="G14" s="153">
        <f>(Salaires_bruts!G11*G$11)/1000</f>
        <v>16498.404909747289</v>
      </c>
      <c r="H14" s="155">
        <f>(Salaires_bruts!H11*H$11)/1000</f>
        <v>0</v>
      </c>
      <c r="I14" s="153">
        <f t="shared" si="0"/>
        <v>50624.711511872221</v>
      </c>
      <c r="J14" s="156">
        <f t="shared" si="1"/>
        <v>0.75</v>
      </c>
      <c r="K14" s="153">
        <f t="shared" si="2"/>
        <v>37968.533633904168</v>
      </c>
      <c r="L14" s="157">
        <f t="shared" si="3"/>
        <v>574232.33215010411</v>
      </c>
      <c r="M14" s="145"/>
      <c r="N14" s="152" t="s">
        <v>44</v>
      </c>
      <c r="O14" s="158">
        <v>15910794.699999999</v>
      </c>
      <c r="P14" s="159">
        <v>0</v>
      </c>
      <c r="Q14" s="157">
        <f>IF(Calculation_RIS!L14=0,O14*P14,0)</f>
        <v>0</v>
      </c>
      <c r="R14" s="148"/>
      <c r="S14" s="160">
        <f>Calculation_RIS!L14+Q14</f>
        <v>574232.33215010411</v>
      </c>
      <c r="U14" s="161" t="s">
        <v>103</v>
      </c>
      <c r="V14" s="162">
        <f>ROUND(V13,3)</f>
        <v>0.27700000000000002</v>
      </c>
    </row>
    <row r="15" spans="1:22" ht="15.75" customHeight="1" x14ac:dyDescent="0.25">
      <c r="A15" s="163" t="s">
        <v>45</v>
      </c>
      <c r="B15" s="164">
        <f>(Salaires_bruts!B12*B$11)/1000</f>
        <v>242293.15965599997</v>
      </c>
      <c r="C15" s="164">
        <f>(Salaires_bruts!C12*C$11)/1000</f>
        <v>5618.4034199999996</v>
      </c>
      <c r="D15" s="165">
        <f>(Salaires_bruts!D12*D$11)/1000</f>
        <v>36.047823000000001</v>
      </c>
      <c r="E15" s="164">
        <f>(Salaires_bruts!E12*E$11)/1000</f>
        <v>933.2104873646208</v>
      </c>
      <c r="F15" s="164">
        <f>(Salaires_bruts!F12*F$11)/1000</f>
        <v>0</v>
      </c>
      <c r="G15" s="164">
        <f>(Salaires_bruts!G12*G$11)/1000</f>
        <v>0</v>
      </c>
      <c r="H15" s="166">
        <f>(Salaires_bruts!H12*H$11)/1000</f>
        <v>0</v>
      </c>
      <c r="I15" s="164">
        <f t="shared" si="0"/>
        <v>6587.6617303646199</v>
      </c>
      <c r="J15" s="167">
        <f t="shared" si="1"/>
        <v>0.75</v>
      </c>
      <c r="K15" s="164">
        <f t="shared" si="2"/>
        <v>4940.7462977734649</v>
      </c>
      <c r="L15" s="168">
        <f t="shared" si="3"/>
        <v>247233.90595377344</v>
      </c>
      <c r="M15" s="145"/>
      <c r="N15" s="163" t="s">
        <v>45</v>
      </c>
      <c r="O15" s="169">
        <v>6501847.5</v>
      </c>
      <c r="P15" s="170">
        <v>0</v>
      </c>
      <c r="Q15" s="168">
        <f>IF(Calculation_RIS!L15=0,O15*P15,0)</f>
        <v>0</v>
      </c>
      <c r="R15" s="148"/>
      <c r="S15" s="171">
        <f>Calculation_RIS!L15+Q15</f>
        <v>247233.90595377344</v>
      </c>
    </row>
    <row r="16" spans="1:22" ht="15.75" customHeight="1" x14ac:dyDescent="0.25">
      <c r="A16" s="152" t="s">
        <v>46</v>
      </c>
      <c r="B16" s="153">
        <f>(Salaires_bruts!B13*B$11)/1000</f>
        <v>26646.143496000001</v>
      </c>
      <c r="C16" s="153">
        <f>(Salaires_bruts!C13*C$11)/1000</f>
        <v>0</v>
      </c>
      <c r="D16" s="154">
        <f>(Salaires_bruts!D13*D$11)/1000</f>
        <v>921.45860100000004</v>
      </c>
      <c r="E16" s="153">
        <f>(Salaires_bruts!E13*E$11)/1000</f>
        <v>0</v>
      </c>
      <c r="F16" s="153">
        <f>(Salaires_bruts!F13*F$11)/1000</f>
        <v>0</v>
      </c>
      <c r="G16" s="153">
        <f>(Salaires_bruts!G13*G$11)/1000</f>
        <v>0</v>
      </c>
      <c r="H16" s="155">
        <f>(Salaires_bruts!H13*H$11)/1000</f>
        <v>0</v>
      </c>
      <c r="I16" s="153">
        <f t="shared" si="0"/>
        <v>921.45860100000004</v>
      </c>
      <c r="J16" s="156">
        <f t="shared" si="1"/>
        <v>0.75</v>
      </c>
      <c r="K16" s="153">
        <f t="shared" si="2"/>
        <v>691.09395074999998</v>
      </c>
      <c r="L16" s="157">
        <f t="shared" si="3"/>
        <v>27337.237446750001</v>
      </c>
      <c r="M16" s="145"/>
      <c r="N16" s="152" t="s">
        <v>46</v>
      </c>
      <c r="O16" s="158">
        <v>466817.1</v>
      </c>
      <c r="P16" s="159">
        <v>0</v>
      </c>
      <c r="Q16" s="157">
        <f>IF(Calculation_RIS!L16=0,O16*P16,0)</f>
        <v>0</v>
      </c>
      <c r="R16" s="148"/>
      <c r="S16" s="160">
        <f>Calculation_RIS!L16+Q16</f>
        <v>27337.237446750001</v>
      </c>
    </row>
    <row r="17" spans="1:19" ht="15.75" customHeight="1" x14ac:dyDescent="0.25">
      <c r="A17" s="163" t="s">
        <v>47</v>
      </c>
      <c r="B17" s="164">
        <f>(Salaires_bruts!B14*B$11)/1000</f>
        <v>102374.15894400001</v>
      </c>
      <c r="C17" s="164">
        <f>(Salaires_bruts!C14*C$11)/1000</f>
        <v>20895.229584000001</v>
      </c>
      <c r="D17" s="165">
        <f>(Salaires_bruts!D14*D$11)/1000</f>
        <v>200.105682</v>
      </c>
      <c r="E17" s="164">
        <f>(Salaires_bruts!E14*E$11)/1000</f>
        <v>236.38824909747291</v>
      </c>
      <c r="F17" s="164">
        <f>(Salaires_bruts!F14*F$11)/1000</f>
        <v>0</v>
      </c>
      <c r="G17" s="164">
        <f>(Salaires_bruts!G14*G$11)/1000</f>
        <v>0</v>
      </c>
      <c r="H17" s="166">
        <f>(Salaires_bruts!H14*H$11)/1000</f>
        <v>0</v>
      </c>
      <c r="I17" s="164">
        <f t="shared" si="0"/>
        <v>21331.723515097474</v>
      </c>
      <c r="J17" s="167">
        <f t="shared" si="1"/>
        <v>0.75</v>
      </c>
      <c r="K17" s="164">
        <f t="shared" si="2"/>
        <v>15998.792636323105</v>
      </c>
      <c r="L17" s="168">
        <f t="shared" si="3"/>
        <v>118372.95158032312</v>
      </c>
      <c r="M17" s="145"/>
      <c r="N17" s="163" t="s">
        <v>47</v>
      </c>
      <c r="O17" s="169">
        <v>5374073.9000000004</v>
      </c>
      <c r="P17" s="170">
        <v>0</v>
      </c>
      <c r="Q17" s="168">
        <f>IF(Calculation_RIS!L17=0,O17*P17,0)</f>
        <v>0</v>
      </c>
      <c r="R17" s="148"/>
      <c r="S17" s="171">
        <f>Calculation_RIS!L17+Q17</f>
        <v>118372.95158032312</v>
      </c>
    </row>
    <row r="18" spans="1:19" ht="15.75" customHeight="1" x14ac:dyDescent="0.25">
      <c r="A18" s="152" t="s">
        <v>48</v>
      </c>
      <c r="B18" s="153">
        <f>(Salaires_bruts!B15*B$11)/1000</f>
        <v>27185.643761160001</v>
      </c>
      <c r="C18" s="153">
        <f>(Salaires_bruts!C15*C$11)/1000</f>
        <v>1373.87933172</v>
      </c>
      <c r="D18" s="154">
        <f>(Salaires_bruts!D15*D$11)/1000</f>
        <v>0</v>
      </c>
      <c r="E18" s="153">
        <f>(Salaires_bruts!E15*E$11)/1000</f>
        <v>14.747880866425991</v>
      </c>
      <c r="F18" s="153">
        <f>(Salaires_bruts!F15*F$11)/1000</f>
        <v>0</v>
      </c>
      <c r="G18" s="153">
        <f>(Salaires_bruts!G15*G$11)/1000</f>
        <v>0</v>
      </c>
      <c r="H18" s="155">
        <f>(Salaires_bruts!H15*H$11)/1000</f>
        <v>0</v>
      </c>
      <c r="I18" s="153">
        <f t="shared" si="0"/>
        <v>1388.6272125864259</v>
      </c>
      <c r="J18" s="156">
        <f t="shared" si="1"/>
        <v>0.75</v>
      </c>
      <c r="K18" s="153">
        <f t="shared" si="2"/>
        <v>1041.4704094398194</v>
      </c>
      <c r="L18" s="157">
        <f t="shared" si="3"/>
        <v>28227.11417059982</v>
      </c>
      <c r="M18" s="145"/>
      <c r="N18" s="152" t="s">
        <v>48</v>
      </c>
      <c r="O18" s="158">
        <v>665437.30000000005</v>
      </c>
      <c r="P18" s="159">
        <v>0</v>
      </c>
      <c r="Q18" s="157">
        <f>IF(Calculation_RIS!L18=0,O18*P18,0)</f>
        <v>0</v>
      </c>
      <c r="R18" s="148"/>
      <c r="S18" s="160">
        <f>Calculation_RIS!L18+Q18</f>
        <v>28227.11417059982</v>
      </c>
    </row>
    <row r="19" spans="1:19" ht="15.75" customHeight="1" x14ac:dyDescent="0.25">
      <c r="A19" s="163" t="s">
        <v>49</v>
      </c>
      <c r="B19" s="164">
        <f>(Salaires_bruts!B16*B$11)/1000</f>
        <v>24164.426565960002</v>
      </c>
      <c r="C19" s="164">
        <f>(Salaires_bruts!C16*C$11)/1000</f>
        <v>798.49530671999992</v>
      </c>
      <c r="D19" s="165">
        <f>(Salaires_bruts!D16*D$11)/1000</f>
        <v>822.78449662499997</v>
      </c>
      <c r="E19" s="164">
        <f>(Salaires_bruts!E16*E$11)/1000</f>
        <v>52.560649819494571</v>
      </c>
      <c r="F19" s="164">
        <f>(Salaires_bruts!F16*F$11)/1000</f>
        <v>0</v>
      </c>
      <c r="G19" s="164">
        <f>(Salaires_bruts!G16*G$11)/1000</f>
        <v>0</v>
      </c>
      <c r="H19" s="166">
        <f>(Salaires_bruts!H16*H$11)/1000</f>
        <v>0</v>
      </c>
      <c r="I19" s="164">
        <f t="shared" si="0"/>
        <v>1673.8404531644944</v>
      </c>
      <c r="J19" s="167">
        <f t="shared" si="1"/>
        <v>0.75</v>
      </c>
      <c r="K19" s="164">
        <f t="shared" si="2"/>
        <v>1255.3803398733708</v>
      </c>
      <c r="L19" s="168">
        <f t="shared" si="3"/>
        <v>25419.806905833371</v>
      </c>
      <c r="M19" s="145"/>
      <c r="N19" s="163" t="s">
        <v>49</v>
      </c>
      <c r="O19" s="169">
        <v>1137466.3999999999</v>
      </c>
      <c r="P19" s="170">
        <v>0</v>
      </c>
      <c r="Q19" s="168">
        <f>IF(Calculation_RIS!L19=0,O19*P19,0)</f>
        <v>0</v>
      </c>
      <c r="R19" s="148"/>
      <c r="S19" s="171">
        <f>Calculation_RIS!L19+Q19</f>
        <v>25419.806905833371</v>
      </c>
    </row>
    <row r="20" spans="1:19" ht="15.75" customHeight="1" x14ac:dyDescent="0.25">
      <c r="A20" s="152" t="s">
        <v>50</v>
      </c>
      <c r="B20" s="153">
        <f>(Salaires_bruts!B17*B$11)/1000</f>
        <v>31913.917943999997</v>
      </c>
      <c r="C20" s="153">
        <f>(Salaires_bruts!C17*C$11)/1000</f>
        <v>37.275143999999997</v>
      </c>
      <c r="D20" s="154">
        <f>(Salaires_bruts!D17*D$11)/1000</f>
        <v>1841.265615</v>
      </c>
      <c r="E20" s="153">
        <f>(Salaires_bruts!E17*E$11)/1000</f>
        <v>15.635144404332127</v>
      </c>
      <c r="F20" s="153">
        <f>(Salaires_bruts!F17*F$11)/1000</f>
        <v>0</v>
      </c>
      <c r="G20" s="153">
        <f>(Salaires_bruts!G17*G$11)/1000</f>
        <v>0</v>
      </c>
      <c r="H20" s="155">
        <f>(Salaires_bruts!H17*H$11)/1000</f>
        <v>0</v>
      </c>
      <c r="I20" s="153">
        <f t="shared" si="0"/>
        <v>1894.1759034043321</v>
      </c>
      <c r="J20" s="156">
        <f t="shared" si="1"/>
        <v>0.75</v>
      </c>
      <c r="K20" s="153">
        <f t="shared" si="2"/>
        <v>1420.6319275532492</v>
      </c>
      <c r="L20" s="157">
        <f t="shared" si="3"/>
        <v>33334.549871553245</v>
      </c>
      <c r="M20" s="145"/>
      <c r="N20" s="152" t="s">
        <v>50</v>
      </c>
      <c r="O20" s="158">
        <v>574654.4</v>
      </c>
      <c r="P20" s="159">
        <v>0</v>
      </c>
      <c r="Q20" s="157">
        <f>IF(Calculation_RIS!L20=0,O20*P20,0)</f>
        <v>0</v>
      </c>
      <c r="R20" s="148"/>
      <c r="S20" s="160">
        <f>Calculation_RIS!L20+Q20</f>
        <v>33334.549871553245</v>
      </c>
    </row>
    <row r="21" spans="1:19" ht="15.75" customHeight="1" x14ac:dyDescent="0.25">
      <c r="A21" s="163" t="s">
        <v>51</v>
      </c>
      <c r="B21" s="164">
        <f>(Salaires_bruts!B18*B$11)/1000</f>
        <v>190980.240024</v>
      </c>
      <c r="C21" s="164">
        <f>(Salaires_bruts!C18*C$11)/1000</f>
        <v>10589.619839999999</v>
      </c>
      <c r="D21" s="165">
        <f>(Salaires_bruts!D18*D$11)/1000</f>
        <v>745.06559400000003</v>
      </c>
      <c r="E21" s="164">
        <f>(Salaires_bruts!E18*E$11)/1000</f>
        <v>589.42527075812268</v>
      </c>
      <c r="F21" s="164">
        <f>(Salaires_bruts!F18*F$11)/1000</f>
        <v>0</v>
      </c>
      <c r="G21" s="164">
        <f>(Salaires_bruts!G18*G$11)/1000</f>
        <v>0</v>
      </c>
      <c r="H21" s="166">
        <f>(Salaires_bruts!H18*H$11)/1000</f>
        <v>0</v>
      </c>
      <c r="I21" s="164">
        <f t="shared" si="0"/>
        <v>11924.110704758121</v>
      </c>
      <c r="J21" s="167">
        <f t="shared" si="1"/>
        <v>0.75</v>
      </c>
      <c r="K21" s="164">
        <f t="shared" si="2"/>
        <v>8943.0830285685915</v>
      </c>
      <c r="L21" s="168">
        <f t="shared" si="3"/>
        <v>199923.32305256859</v>
      </c>
      <c r="M21" s="145"/>
      <c r="N21" s="163" t="s">
        <v>51</v>
      </c>
      <c r="O21" s="169">
        <v>4597067.0999999996</v>
      </c>
      <c r="P21" s="170">
        <v>0</v>
      </c>
      <c r="Q21" s="168">
        <f>IF(Calculation_RIS!L21=0,O21*P21,0)</f>
        <v>0</v>
      </c>
      <c r="R21" s="148"/>
      <c r="S21" s="171">
        <f>Calculation_RIS!L21+Q21</f>
        <v>199923.32305256859</v>
      </c>
    </row>
    <row r="22" spans="1:19" ht="15.75" customHeight="1" x14ac:dyDescent="0.25">
      <c r="A22" s="152" t="s">
        <v>52</v>
      </c>
      <c r="B22" s="153">
        <f>(Salaires_bruts!B19*B$11)/1000</f>
        <v>185953.46830560037</v>
      </c>
      <c r="C22" s="153">
        <f>(Salaires_bruts!C19*C$11)/1000</f>
        <v>0</v>
      </c>
      <c r="D22" s="154">
        <f>(Salaires_bruts!D19*D$11)/1000</f>
        <v>1052.7000219750003</v>
      </c>
      <c r="E22" s="153">
        <f>(Salaires_bruts!E19*E$11)/1000</f>
        <v>0</v>
      </c>
      <c r="F22" s="153">
        <f>(Salaires_bruts!F19*F$11)/1000</f>
        <v>0</v>
      </c>
      <c r="G22" s="153">
        <f>(Salaires_bruts!G19*G$11)/1000</f>
        <v>0</v>
      </c>
      <c r="H22" s="155">
        <f>(Salaires_bruts!H19*H$11)/1000</f>
        <v>0</v>
      </c>
      <c r="I22" s="153">
        <f t="shared" si="0"/>
        <v>1052.7000219750003</v>
      </c>
      <c r="J22" s="156">
        <f t="shared" si="1"/>
        <v>0.75</v>
      </c>
      <c r="K22" s="153">
        <f t="shared" si="2"/>
        <v>789.52501648125019</v>
      </c>
      <c r="L22" s="157">
        <f t="shared" si="3"/>
        <v>186742.99332208163</v>
      </c>
      <c r="M22" s="145"/>
      <c r="N22" s="152" t="s">
        <v>52</v>
      </c>
      <c r="O22" s="158">
        <v>4446248.7</v>
      </c>
      <c r="P22" s="159">
        <v>0</v>
      </c>
      <c r="Q22" s="157">
        <f>IF(Calculation_RIS!L22=0,O22*P22,0)</f>
        <v>0</v>
      </c>
      <c r="R22" s="148"/>
      <c r="S22" s="160">
        <f>Calculation_RIS!L22+Q22</f>
        <v>186742.99332208163</v>
      </c>
    </row>
    <row r="23" spans="1:19" ht="15.75" customHeight="1" x14ac:dyDescent="0.25">
      <c r="A23" s="163" t="s">
        <v>53</v>
      </c>
      <c r="B23" s="164">
        <f>(Salaires_bruts!B20*B$11)/1000</f>
        <v>134078.99614800001</v>
      </c>
      <c r="C23" s="164">
        <f>(Salaires_bruts!C20*C$11)/1000</f>
        <v>4943.1926370000001</v>
      </c>
      <c r="D23" s="165">
        <f>(Salaires_bruts!D20*D$11)/1000</f>
        <v>361.448871</v>
      </c>
      <c r="E23" s="164">
        <f>(Salaires_bruts!E20*E$11)/1000</f>
        <v>5292.1644530685917</v>
      </c>
      <c r="F23" s="164">
        <f>(Salaires_bruts!F20*F$11)/1000</f>
        <v>0</v>
      </c>
      <c r="G23" s="164">
        <f>(Salaires_bruts!G20*G$11)/1000</f>
        <v>13146.006606498193</v>
      </c>
      <c r="H23" s="166">
        <f>(Salaires_bruts!H20*H$11)/1000</f>
        <v>0</v>
      </c>
      <c r="I23" s="164">
        <f t="shared" si="0"/>
        <v>23742.812567566783</v>
      </c>
      <c r="J23" s="167">
        <f t="shared" si="1"/>
        <v>0.75</v>
      </c>
      <c r="K23" s="164">
        <f t="shared" si="2"/>
        <v>17807.109425675088</v>
      </c>
      <c r="L23" s="168">
        <f t="shared" si="3"/>
        <v>151886.1055736751</v>
      </c>
      <c r="M23" s="145"/>
      <c r="N23" s="163" t="s">
        <v>53</v>
      </c>
      <c r="O23" s="169">
        <v>4492692.9000000004</v>
      </c>
      <c r="P23" s="170">
        <v>0</v>
      </c>
      <c r="Q23" s="168">
        <f>IF(Calculation_RIS!L23=0,O23*P23,0)</f>
        <v>0</v>
      </c>
      <c r="R23" s="148"/>
      <c r="S23" s="171">
        <f>Calculation_RIS!L23+Q23</f>
        <v>151886.1055736751</v>
      </c>
    </row>
    <row r="24" spans="1:19" ht="15.75" customHeight="1" x14ac:dyDescent="0.25">
      <c r="A24" s="152" t="s">
        <v>54</v>
      </c>
      <c r="B24" s="153">
        <f>(Salaires_bruts!B21*B$11)/1000</f>
        <v>256165.22140404</v>
      </c>
      <c r="C24" s="153">
        <f>(Salaires_bruts!C21*C$11)/1000</f>
        <v>53634.563373600009</v>
      </c>
      <c r="D24" s="154">
        <f>(Salaires_bruts!D21*D$11)/1000</f>
        <v>280.91195863499996</v>
      </c>
      <c r="E24" s="153">
        <f>(Salaires_bruts!E21*E$11)/1000</f>
        <v>205884.79984169675</v>
      </c>
      <c r="F24" s="153">
        <f>(Salaires_bruts!F21*F$11)/1000</f>
        <v>0</v>
      </c>
      <c r="G24" s="153">
        <f>(Salaires_bruts!G21*G$11)/1000</f>
        <v>236609.98674205775</v>
      </c>
      <c r="H24" s="155">
        <f>(Salaires_bruts!H21*H$11)/1000</f>
        <v>0</v>
      </c>
      <c r="I24" s="153">
        <f t="shared" si="0"/>
        <v>496410.26191598951</v>
      </c>
      <c r="J24" s="156">
        <f t="shared" si="1"/>
        <v>0.75</v>
      </c>
      <c r="K24" s="153">
        <f t="shared" si="2"/>
        <v>372307.69643699215</v>
      </c>
      <c r="L24" s="157">
        <f t="shared" si="3"/>
        <v>628472.91784103215</v>
      </c>
      <c r="M24" s="145"/>
      <c r="N24" s="152" t="s">
        <v>54</v>
      </c>
      <c r="O24" s="158">
        <v>4503203</v>
      </c>
      <c r="P24" s="159">
        <v>0</v>
      </c>
      <c r="Q24" s="157">
        <f>IF(Calculation_RIS!L24=0,O24*P24,0)</f>
        <v>0</v>
      </c>
      <c r="R24" s="148"/>
      <c r="S24" s="160">
        <f>Calculation_RIS!L24+Q24</f>
        <v>628472.91784103215</v>
      </c>
    </row>
    <row r="25" spans="1:19" ht="15.75" customHeight="1" x14ac:dyDescent="0.25">
      <c r="A25" s="163" t="s">
        <v>55</v>
      </c>
      <c r="B25" s="164">
        <f>(Salaires_bruts!B22*B$11)/1000</f>
        <v>140770.46067192001</v>
      </c>
      <c r="C25" s="164">
        <f>(Salaires_bruts!C22*C$11)/1000</f>
        <v>30583.934511840002</v>
      </c>
      <c r="D25" s="165">
        <f>(Salaires_bruts!D22*D$11)/1000</f>
        <v>473.87771025000001</v>
      </c>
      <c r="E25" s="164">
        <f>(Salaires_bruts!E22*E$11)/1000</f>
        <v>97643.515110108288</v>
      </c>
      <c r="F25" s="164">
        <f>(Salaires_bruts!F22*F$11)/1000</f>
        <v>0</v>
      </c>
      <c r="G25" s="164">
        <f>(Salaires_bruts!G22*G$11)/1000</f>
        <v>154404.15246389891</v>
      </c>
      <c r="H25" s="166">
        <f>(Salaires_bruts!H22*H$11)/1000</f>
        <v>0</v>
      </c>
      <c r="I25" s="164">
        <f t="shared" si="0"/>
        <v>283105.47979609721</v>
      </c>
      <c r="J25" s="167">
        <f t="shared" si="1"/>
        <v>0.75</v>
      </c>
      <c r="K25" s="164">
        <f t="shared" si="2"/>
        <v>212329.10984707292</v>
      </c>
      <c r="L25" s="168">
        <f t="shared" si="3"/>
        <v>353099.57051899296</v>
      </c>
      <c r="M25" s="145"/>
      <c r="N25" s="163" t="s">
        <v>55</v>
      </c>
      <c r="O25" s="169">
        <v>6535449.7999999998</v>
      </c>
      <c r="P25" s="170">
        <v>0</v>
      </c>
      <c r="Q25" s="168">
        <f>IF(Calculation_RIS!L25=0,O25*P25,0)</f>
        <v>0</v>
      </c>
      <c r="R25" s="148"/>
      <c r="S25" s="171">
        <f>Calculation_RIS!L25+Q25</f>
        <v>353099.57051899296</v>
      </c>
    </row>
    <row r="26" spans="1:19" ht="15.75" customHeight="1" x14ac:dyDescent="0.25">
      <c r="A26" s="152" t="s">
        <v>56</v>
      </c>
      <c r="B26" s="153">
        <f>(Salaires_bruts!B23*B$11)/1000</f>
        <v>100719.36922860002</v>
      </c>
      <c r="C26" s="153">
        <f>(Salaires_bruts!C23*C$11)/1000</f>
        <v>5739.0365472000003</v>
      </c>
      <c r="D26" s="154">
        <f>(Salaires_bruts!D23*D$11)/1000</f>
        <v>148.16362890000002</v>
      </c>
      <c r="E26" s="153">
        <f>(Salaires_bruts!E23*E$11)/1000</f>
        <v>51722.910836642586</v>
      </c>
      <c r="F26" s="153">
        <f>(Salaires_bruts!F23*F$11)/1000</f>
        <v>0</v>
      </c>
      <c r="G26" s="153">
        <f>(Salaires_bruts!G23*G$11)/1000</f>
        <v>0</v>
      </c>
      <c r="H26" s="155">
        <f>(Salaires_bruts!H23*H$11)/1000</f>
        <v>0</v>
      </c>
      <c r="I26" s="153">
        <f t="shared" si="0"/>
        <v>57610.111012742585</v>
      </c>
      <c r="J26" s="156">
        <f t="shared" si="1"/>
        <v>0.75</v>
      </c>
      <c r="K26" s="153">
        <f t="shared" si="2"/>
        <v>43207.583259556937</v>
      </c>
      <c r="L26" s="157">
        <f t="shared" si="3"/>
        <v>143926.95248815697</v>
      </c>
      <c r="M26" s="145"/>
      <c r="N26" s="152" t="s">
        <v>56</v>
      </c>
      <c r="O26" s="158">
        <v>1269588.3</v>
      </c>
      <c r="P26" s="159">
        <v>0</v>
      </c>
      <c r="Q26" s="157">
        <f>IF(Calculation_RIS!L26=0,O26*P26,0)</f>
        <v>0</v>
      </c>
      <c r="R26" s="148"/>
      <c r="S26" s="160">
        <f>Calculation_RIS!L26+Q26</f>
        <v>143926.95248815697</v>
      </c>
    </row>
    <row r="27" spans="1:19" ht="15.75" customHeight="1" x14ac:dyDescent="0.25">
      <c r="A27" s="163" t="s">
        <v>57</v>
      </c>
      <c r="B27" s="164">
        <f>(Salaires_bruts!B24*B$11)/1000</f>
        <v>34335.557591999997</v>
      </c>
      <c r="C27" s="164">
        <f>(Salaires_bruts!C24*C$11)/1000</f>
        <v>1263.916872</v>
      </c>
      <c r="D27" s="165">
        <f>(Salaires_bruts!D24*D$11)/1000</f>
        <v>3959.4008790000003</v>
      </c>
      <c r="E27" s="164">
        <f>(Salaires_bruts!E24*E$11)/1000</f>
        <v>715.61583032490967</v>
      </c>
      <c r="F27" s="164">
        <f>(Salaires_bruts!F24*F$11)/1000</f>
        <v>0</v>
      </c>
      <c r="G27" s="164">
        <f>(Salaires_bruts!G24*G$11)/1000</f>
        <v>0</v>
      </c>
      <c r="H27" s="166">
        <f>(Salaires_bruts!H24*H$11)/1000</f>
        <v>0</v>
      </c>
      <c r="I27" s="164">
        <f t="shared" si="0"/>
        <v>5938.9335813249099</v>
      </c>
      <c r="J27" s="167">
        <f t="shared" si="1"/>
        <v>0.75</v>
      </c>
      <c r="K27" s="164">
        <f t="shared" si="2"/>
        <v>4454.2001859936827</v>
      </c>
      <c r="L27" s="168">
        <f t="shared" si="3"/>
        <v>38789.757777993684</v>
      </c>
      <c r="M27" s="145"/>
      <c r="N27" s="163" t="s">
        <v>57</v>
      </c>
      <c r="O27" s="169">
        <v>951184.3</v>
      </c>
      <c r="P27" s="170">
        <v>0</v>
      </c>
      <c r="Q27" s="168">
        <f>IF(Calculation_RIS!L27=0,O27*P27,0)</f>
        <v>0</v>
      </c>
      <c r="R27" s="148"/>
      <c r="S27" s="171">
        <f>Calculation_RIS!L27+Q27</f>
        <v>38789.757777993684</v>
      </c>
    </row>
    <row r="28" spans="1:19" ht="15.75" customHeight="1" x14ac:dyDescent="0.25">
      <c r="A28" s="152" t="s">
        <v>58</v>
      </c>
      <c r="B28" s="153">
        <f>(Salaires_bruts!B25*B$11)/1000</f>
        <v>6326.9619979199997</v>
      </c>
      <c r="C28" s="153">
        <f>(Salaires_bruts!C25*C$11)/1000</f>
        <v>740.19355464</v>
      </c>
      <c r="D28" s="154">
        <f>(Salaires_bruts!D25*D$11)/1000</f>
        <v>1165.9427576999999</v>
      </c>
      <c r="E28" s="153">
        <f>(Salaires_bruts!E25*E$11)/1000</f>
        <v>103.29757310469311</v>
      </c>
      <c r="F28" s="153">
        <f>(Salaires_bruts!F25*F$11)/1000</f>
        <v>0</v>
      </c>
      <c r="G28" s="153">
        <f>(Salaires_bruts!G25*G$11)/1000</f>
        <v>0</v>
      </c>
      <c r="H28" s="155">
        <f>(Salaires_bruts!H25*H$11)/1000</f>
        <v>0</v>
      </c>
      <c r="I28" s="153">
        <f t="shared" si="0"/>
        <v>2009.433885444693</v>
      </c>
      <c r="J28" s="156">
        <f t="shared" si="1"/>
        <v>0.75</v>
      </c>
      <c r="K28" s="153">
        <f t="shared" si="2"/>
        <v>1507.0754140835197</v>
      </c>
      <c r="L28" s="157">
        <f t="shared" si="3"/>
        <v>7834.0374120035194</v>
      </c>
      <c r="M28" s="145"/>
      <c r="N28" s="152" t="s">
        <v>58</v>
      </c>
      <c r="O28" s="158">
        <v>273126.40000000002</v>
      </c>
      <c r="P28" s="159">
        <v>0</v>
      </c>
      <c r="Q28" s="157">
        <f>IF(Calculation_RIS!L28=0,O28*P28,0)</f>
        <v>0</v>
      </c>
      <c r="R28" s="148"/>
      <c r="S28" s="160">
        <f>Calculation_RIS!L28+Q28</f>
        <v>7834.0374120035194</v>
      </c>
    </row>
    <row r="29" spans="1:19" ht="15.75" customHeight="1" x14ac:dyDescent="0.25">
      <c r="A29" s="163" t="s">
        <v>59</v>
      </c>
      <c r="B29" s="164">
        <f>(Salaires_bruts!B26*B$11)/1000</f>
        <v>317129.57358012005</v>
      </c>
      <c r="C29" s="164">
        <f>(Salaires_bruts!C26*C$11)/1000</f>
        <v>21847.954119120001</v>
      </c>
      <c r="D29" s="165">
        <f>(Salaires_bruts!D26*D$11)/1000</f>
        <v>138701.54854836001</v>
      </c>
      <c r="E29" s="164">
        <f>(Salaires_bruts!E26*E$11)/1000</f>
        <v>10713.767042599278</v>
      </c>
      <c r="F29" s="164">
        <f>(Salaires_bruts!F26*F$11)/1000</f>
        <v>0</v>
      </c>
      <c r="G29" s="164">
        <f>(Salaires_bruts!G26*G$11)/1000</f>
        <v>0</v>
      </c>
      <c r="H29" s="166">
        <f>(Salaires_bruts!H26*H$11)/1000</f>
        <v>0</v>
      </c>
      <c r="I29" s="164">
        <f t="shared" si="0"/>
        <v>171263.26971007927</v>
      </c>
      <c r="J29" s="167">
        <f t="shared" si="1"/>
        <v>0.75</v>
      </c>
      <c r="K29" s="164">
        <f t="shared" si="2"/>
        <v>128447.45228255945</v>
      </c>
      <c r="L29" s="168">
        <f t="shared" si="3"/>
        <v>445577.02586267947</v>
      </c>
      <c r="M29" s="145"/>
      <c r="N29" s="163" t="s">
        <v>59</v>
      </c>
      <c r="O29" s="169">
        <v>7540608.5</v>
      </c>
      <c r="P29" s="170">
        <v>0</v>
      </c>
      <c r="Q29" s="168">
        <f>IF(Calculation_RIS!L29=0,O29*P29,0)</f>
        <v>0</v>
      </c>
      <c r="R29" s="148"/>
      <c r="S29" s="171">
        <f>Calculation_RIS!L29+Q29</f>
        <v>445577.02586267947</v>
      </c>
    </row>
    <row r="30" spans="1:19" ht="15.75" customHeight="1" x14ac:dyDescent="0.25">
      <c r="A30" s="152" t="s">
        <v>60</v>
      </c>
      <c r="B30" s="153">
        <f>(Salaires_bruts!B27*B$11)/1000</f>
        <v>271955.94675599999</v>
      </c>
      <c r="C30" s="153">
        <f>(Salaires_bruts!C27*C$11)/1000</f>
        <v>88714.18688400001</v>
      </c>
      <c r="D30" s="154">
        <f>(Salaires_bruts!D27*D$11)/1000</f>
        <v>6844.4824980000003</v>
      </c>
      <c r="E30" s="153">
        <f>(Salaires_bruts!E27*E$11)/1000</f>
        <v>0</v>
      </c>
      <c r="F30" s="153">
        <f>(Salaires_bruts!F27*F$11)/1000</f>
        <v>0</v>
      </c>
      <c r="G30" s="153">
        <f>(Salaires_bruts!G27*G$11)/1000</f>
        <v>0</v>
      </c>
      <c r="H30" s="155">
        <f>(Salaires_bruts!H27*H$11)/1000</f>
        <v>15477.410944799998</v>
      </c>
      <c r="I30" s="153">
        <f t="shared" si="0"/>
        <v>111036.0803268</v>
      </c>
      <c r="J30" s="156">
        <f t="shared" si="1"/>
        <v>0.75</v>
      </c>
      <c r="K30" s="153">
        <f t="shared" si="2"/>
        <v>83277.060245100001</v>
      </c>
      <c r="L30" s="157">
        <f t="shared" si="3"/>
        <v>355233.00700109999</v>
      </c>
      <c r="M30" s="145"/>
      <c r="N30" s="152" t="s">
        <v>60</v>
      </c>
      <c r="O30" s="158">
        <v>3424468</v>
      </c>
      <c r="P30" s="159">
        <v>0</v>
      </c>
      <c r="Q30" s="157">
        <f>IF(Calculation_RIS!L30=0,O30*P30,0)</f>
        <v>0</v>
      </c>
      <c r="R30" s="148"/>
      <c r="S30" s="160">
        <f>Calculation_RIS!L30+Q30</f>
        <v>355233.00700109999</v>
      </c>
    </row>
    <row r="31" spans="1:19" ht="15.75" customHeight="1" x14ac:dyDescent="0.25">
      <c r="A31" s="163" t="s">
        <v>61</v>
      </c>
      <c r="B31" s="164">
        <f>(Salaires_bruts!B28*B$11)/1000</f>
        <v>384948.54103199998</v>
      </c>
      <c r="C31" s="164">
        <f>(Salaires_bruts!C28*C$11)/1000</f>
        <v>83673.981203999996</v>
      </c>
      <c r="D31" s="165">
        <f>(Salaires_bruts!D28*D$11)/1000</f>
        <v>607.40318100000002</v>
      </c>
      <c r="E31" s="164">
        <f>(Salaires_bruts!E28*E$11)/1000</f>
        <v>122928.02528880864</v>
      </c>
      <c r="F31" s="164">
        <f>(Salaires_bruts!F28*F$11)/1000</f>
        <v>0</v>
      </c>
      <c r="G31" s="164">
        <f>(Salaires_bruts!G28*G$11)/1000</f>
        <v>0</v>
      </c>
      <c r="H31" s="166">
        <f>(Salaires_bruts!H28*H$11)/1000</f>
        <v>0</v>
      </c>
      <c r="I31" s="164">
        <f t="shared" si="0"/>
        <v>207209.40967380864</v>
      </c>
      <c r="J31" s="167">
        <f t="shared" si="1"/>
        <v>0.75</v>
      </c>
      <c r="K31" s="164">
        <f t="shared" si="2"/>
        <v>155407.05725535649</v>
      </c>
      <c r="L31" s="168">
        <f t="shared" si="3"/>
        <v>540355.59828735644</v>
      </c>
      <c r="M31" s="145"/>
      <c r="N31" s="163" t="s">
        <v>61</v>
      </c>
      <c r="O31" s="169">
        <v>11673644.699999999</v>
      </c>
      <c r="P31" s="170">
        <v>0</v>
      </c>
      <c r="Q31" s="168">
        <f>IF(Calculation_RIS!L31=0,O31*P31,0)</f>
        <v>0</v>
      </c>
      <c r="R31" s="148"/>
      <c r="S31" s="171">
        <f>Calculation_RIS!L31+Q31</f>
        <v>540355.59828735644</v>
      </c>
    </row>
    <row r="32" spans="1:19" ht="15.75" customHeight="1" x14ac:dyDescent="0.25">
      <c r="A32" s="152" t="s">
        <v>62</v>
      </c>
      <c r="B32" s="153">
        <f>(Salaires_bruts!B29*B$11)/1000</f>
        <v>194083.14251928002</v>
      </c>
      <c r="C32" s="153">
        <f>(Salaires_bruts!C29*C$11)/1000</f>
        <v>14787.354508559998</v>
      </c>
      <c r="D32" s="154">
        <f>(Salaires_bruts!D29*D$11)/1000</f>
        <v>4906.7514914250005</v>
      </c>
      <c r="E32" s="153">
        <f>(Salaires_bruts!E29*E$11)/1000</f>
        <v>39098.561916606493</v>
      </c>
      <c r="F32" s="153">
        <f>(Salaires_bruts!F29*F$11)/1000</f>
        <v>0</v>
      </c>
      <c r="G32" s="153">
        <f>(Salaires_bruts!G29*G$11)/1000</f>
        <v>0</v>
      </c>
      <c r="H32" s="155">
        <f>(Salaires_bruts!H29*H$11)/1000</f>
        <v>0</v>
      </c>
      <c r="I32" s="153">
        <f t="shared" si="0"/>
        <v>58792.66791659149</v>
      </c>
      <c r="J32" s="156">
        <f t="shared" si="1"/>
        <v>0.75</v>
      </c>
      <c r="K32" s="153">
        <f t="shared" si="2"/>
        <v>44094.500937443619</v>
      </c>
      <c r="L32" s="157">
        <f t="shared" si="3"/>
        <v>238177.64345672366</v>
      </c>
      <c r="M32" s="145"/>
      <c r="N32" s="152" t="s">
        <v>62</v>
      </c>
      <c r="O32" s="158">
        <v>4161203.3</v>
      </c>
      <c r="P32" s="159">
        <v>0</v>
      </c>
      <c r="Q32" s="157">
        <f>IF(Calculation_RIS!L32=0,O32*P32,0)</f>
        <v>0</v>
      </c>
      <c r="R32" s="148"/>
      <c r="S32" s="160">
        <f>Calculation_RIS!L32+Q32</f>
        <v>238177.64345672366</v>
      </c>
    </row>
    <row r="33" spans="1:19" ht="15.75" customHeight="1" x14ac:dyDescent="0.25">
      <c r="A33" s="163" t="s">
        <v>63</v>
      </c>
      <c r="B33" s="164">
        <f>(Salaires_bruts!B30*B$11)/1000</f>
        <v>262100.436552</v>
      </c>
      <c r="C33" s="164">
        <f>(Salaires_bruts!C30*C$11)/1000</f>
        <v>149839.95241200001</v>
      </c>
      <c r="D33" s="165">
        <f>(Salaires_bruts!D30*D$11)/1000</f>
        <v>4907.5195574999998</v>
      </c>
      <c r="E33" s="164">
        <f>(Salaires_bruts!E30*E$11)/1000</f>
        <v>0</v>
      </c>
      <c r="F33" s="164">
        <f>(Salaires_bruts!F30*F$11)/1000</f>
        <v>0</v>
      </c>
      <c r="G33" s="164">
        <f>(Salaires_bruts!G30*G$11)/1000</f>
        <v>0</v>
      </c>
      <c r="H33" s="166">
        <f>(Salaires_bruts!H30*H$11)/1000</f>
        <v>547536.96007919987</v>
      </c>
      <c r="I33" s="164">
        <f t="shared" si="0"/>
        <v>702284.43204869982</v>
      </c>
      <c r="J33" s="167">
        <f t="shared" si="1"/>
        <v>0.75</v>
      </c>
      <c r="K33" s="164">
        <f t="shared" si="2"/>
        <v>526713.32403652486</v>
      </c>
      <c r="L33" s="168">
        <f t="shared" si="3"/>
        <v>788813.76058852486</v>
      </c>
      <c r="M33" s="145"/>
      <c r="N33" s="163" t="s">
        <v>63</v>
      </c>
      <c r="O33" s="169">
        <v>6353705.5999999996</v>
      </c>
      <c r="P33" s="170">
        <v>0</v>
      </c>
      <c r="Q33" s="168">
        <f>IF(Calculation_RIS!L33=0,O33*P33,0)</f>
        <v>0</v>
      </c>
      <c r="R33" s="148"/>
      <c r="S33" s="171">
        <f>Calculation_RIS!L33+Q33</f>
        <v>788813.76058852486</v>
      </c>
    </row>
    <row r="34" spans="1:19" ht="15.75" customHeight="1" x14ac:dyDescent="0.25">
      <c r="A34" s="152" t="s">
        <v>64</v>
      </c>
      <c r="B34" s="153">
        <f>(Salaires_bruts!B31*B$11)/1000</f>
        <v>947949.12275999994</v>
      </c>
      <c r="C34" s="153">
        <f>(Salaires_bruts!C31*C$11)/1000</f>
        <v>0</v>
      </c>
      <c r="D34" s="154">
        <f>(Salaires_bruts!D31*D$11)/1000</f>
        <v>0</v>
      </c>
      <c r="E34" s="153">
        <f>(Salaires_bruts!E31*E$11)/1000</f>
        <v>0</v>
      </c>
      <c r="F34" s="153">
        <f>(Salaires_bruts!F31*F$11)/1000</f>
        <v>0</v>
      </c>
      <c r="G34" s="153">
        <f>(Salaires_bruts!G31*G$11)/1000</f>
        <v>254583.65917689525</v>
      </c>
      <c r="H34" s="155">
        <f>(Salaires_bruts!H31*H$11)/1000</f>
        <v>0</v>
      </c>
      <c r="I34" s="153">
        <f t="shared" si="0"/>
        <v>254583.65917689525</v>
      </c>
      <c r="J34" s="156">
        <f t="shared" si="1"/>
        <v>0.75</v>
      </c>
      <c r="K34" s="153">
        <f t="shared" si="2"/>
        <v>190937.74438267143</v>
      </c>
      <c r="L34" s="157">
        <f t="shared" si="3"/>
        <v>1138886.8671426713</v>
      </c>
      <c r="M34" s="145"/>
      <c r="N34" s="152" t="s">
        <v>64</v>
      </c>
      <c r="O34" s="158">
        <v>15487331.1</v>
      </c>
      <c r="P34" s="159">
        <v>0</v>
      </c>
      <c r="Q34" s="157">
        <f>IF(Calculation_RIS!L34=0,O34*P34,0)</f>
        <v>0</v>
      </c>
      <c r="R34" s="148"/>
      <c r="S34" s="160">
        <f>Calculation_RIS!L34+Q34</f>
        <v>1138886.8671426713</v>
      </c>
    </row>
    <row r="35" spans="1:19" ht="15.75" customHeight="1" x14ac:dyDescent="0.25">
      <c r="A35" s="163" t="s">
        <v>65</v>
      </c>
      <c r="B35" s="164">
        <f>(Salaires_bruts!B32*B$11)/1000</f>
        <v>348969.34459200001</v>
      </c>
      <c r="C35" s="164">
        <f>(Salaires_bruts!C32*C$11)/1000</f>
        <v>3102.1924440000003</v>
      </c>
      <c r="D35" s="165">
        <f>(Salaires_bruts!D32*D$11)/1000</f>
        <v>0</v>
      </c>
      <c r="E35" s="164">
        <f>(Salaires_bruts!E32*E$11)/1000</f>
        <v>58.927418772563172</v>
      </c>
      <c r="F35" s="164">
        <f>(Salaires_bruts!F32*F$11)/1000</f>
        <v>0</v>
      </c>
      <c r="G35" s="164">
        <f>(Salaires_bruts!G32*G$11)/1000</f>
        <v>10932.502581227434</v>
      </c>
      <c r="H35" s="166">
        <f>(Salaires_bruts!H32*H$11)/1000</f>
        <v>11370.6579456</v>
      </c>
      <c r="I35" s="164">
        <f t="shared" si="0"/>
        <v>25464.280389599997</v>
      </c>
      <c r="J35" s="167">
        <f t="shared" si="1"/>
        <v>0.75</v>
      </c>
      <c r="K35" s="164">
        <f t="shared" si="2"/>
        <v>19098.210292199998</v>
      </c>
      <c r="L35" s="168">
        <f t="shared" si="3"/>
        <v>368067.55488419998</v>
      </c>
      <c r="M35" s="145"/>
      <c r="N35" s="163" t="s">
        <v>65</v>
      </c>
      <c r="O35" s="169">
        <v>4776054.3</v>
      </c>
      <c r="P35" s="170">
        <v>0</v>
      </c>
      <c r="Q35" s="168">
        <f>IF(Calculation_RIS!L35=0,O35*P35,0)</f>
        <v>0</v>
      </c>
      <c r="R35" s="148"/>
      <c r="S35" s="171">
        <f>Calculation_RIS!L35+Q35</f>
        <v>368067.55488419998</v>
      </c>
    </row>
    <row r="36" spans="1:19" ht="15.75" customHeight="1" x14ac:dyDescent="0.25">
      <c r="A36" s="152" t="s">
        <v>66</v>
      </c>
      <c r="B36" s="153">
        <f>(Salaires_bruts!B33*B$11)/1000</f>
        <v>119913.962292</v>
      </c>
      <c r="C36" s="153">
        <f>(Salaires_bruts!C33*C$11)/1000</f>
        <v>5156.7283559999996</v>
      </c>
      <c r="D36" s="154">
        <f>(Salaires_bruts!D33*D$11)/1000</f>
        <v>3.0479820000000002</v>
      </c>
      <c r="E36" s="153">
        <f>(Salaires_bruts!E33*E$11)/1000</f>
        <v>23.337292418772559</v>
      </c>
      <c r="F36" s="153">
        <f>(Salaires_bruts!F33*F$11)/1000</f>
        <v>0</v>
      </c>
      <c r="G36" s="153">
        <f>(Salaires_bruts!G33*G$11)/1000</f>
        <v>116061.18319494583</v>
      </c>
      <c r="H36" s="155">
        <f>(Salaires_bruts!H33*H$11)/1000</f>
        <v>0</v>
      </c>
      <c r="I36" s="153">
        <f t="shared" si="0"/>
        <v>121244.2968253646</v>
      </c>
      <c r="J36" s="156">
        <f t="shared" si="1"/>
        <v>0.75</v>
      </c>
      <c r="K36" s="153">
        <f t="shared" si="2"/>
        <v>90933.222619023451</v>
      </c>
      <c r="L36" s="157">
        <f t="shared" si="3"/>
        <v>210847.18491102345</v>
      </c>
      <c r="M36" s="145"/>
      <c r="N36" s="152" t="s">
        <v>66</v>
      </c>
      <c r="O36" s="158">
        <v>2734328</v>
      </c>
      <c r="P36" s="159">
        <v>0</v>
      </c>
      <c r="Q36" s="157">
        <f>IF(Calculation_RIS!L36=0,O36*P36,0)</f>
        <v>0</v>
      </c>
      <c r="R36" s="148"/>
      <c r="S36" s="160">
        <f>Calculation_RIS!L36+Q36</f>
        <v>210847.18491102345</v>
      </c>
    </row>
    <row r="37" spans="1:19" ht="15.75" customHeight="1" x14ac:dyDescent="0.25">
      <c r="A37" s="163" t="s">
        <v>67</v>
      </c>
      <c r="B37" s="164">
        <f>(Salaires_bruts!B34*B$11)/1000</f>
        <v>693669.42486000003</v>
      </c>
      <c r="C37" s="164">
        <f>(Salaires_bruts!C34*C$11)/1000</f>
        <v>99500.332464000006</v>
      </c>
      <c r="D37" s="165">
        <f>(Salaires_bruts!D34*D$11)/1000</f>
        <v>360.26958450000001</v>
      </c>
      <c r="E37" s="164">
        <f>(Salaires_bruts!E34*E$11)/1000</f>
        <v>0</v>
      </c>
      <c r="F37" s="164">
        <f>(Salaires_bruts!F34*F$11)/1000</f>
        <v>1661369.9757767653</v>
      </c>
      <c r="G37" s="164">
        <f>(Salaires_bruts!G34*G$11)/1000</f>
        <v>0</v>
      </c>
      <c r="H37" s="166">
        <f>(Salaires_bruts!H34*H$11)/1000</f>
        <v>0</v>
      </c>
      <c r="I37" s="164">
        <f t="shared" si="0"/>
        <v>1761230.5778252652</v>
      </c>
      <c r="J37" s="167">
        <f t="shared" si="1"/>
        <v>0.75</v>
      </c>
      <c r="K37" s="164">
        <f t="shared" si="2"/>
        <v>1320922.933368949</v>
      </c>
      <c r="L37" s="168">
        <f t="shared" si="3"/>
        <v>2014592.3582289489</v>
      </c>
      <c r="M37" s="145"/>
      <c r="N37" s="163" t="s">
        <v>67</v>
      </c>
      <c r="O37" s="169">
        <v>12629665.199999999</v>
      </c>
      <c r="P37" s="170">
        <v>0</v>
      </c>
      <c r="Q37" s="168">
        <f>IF(Calculation_RIS!L37=0,O37*P37,0)</f>
        <v>0</v>
      </c>
      <c r="R37" s="148"/>
      <c r="S37" s="171">
        <f>Calculation_RIS!L37+Q37</f>
        <v>2014592.3582289489</v>
      </c>
    </row>
    <row r="38" spans="1:19" ht="15.75" customHeight="1" x14ac:dyDescent="0.25">
      <c r="A38" s="172" t="s">
        <v>68</v>
      </c>
      <c r="B38" s="173">
        <f>(Salaires_bruts!B35*B$11)/1000</f>
        <v>25484.243903999999</v>
      </c>
      <c r="C38" s="173">
        <f>(Salaires_bruts!C35*C$11)/1000</f>
        <v>2199.5601120000001</v>
      </c>
      <c r="D38" s="174">
        <f>(Salaires_bruts!D35*D$11)/1000</f>
        <v>0</v>
      </c>
      <c r="E38" s="173">
        <f>(Salaires_bruts!E35*E$11)/1000</f>
        <v>75.531606498194932</v>
      </c>
      <c r="F38" s="173">
        <f>(Salaires_bruts!F35*F$11)/1000</f>
        <v>0</v>
      </c>
      <c r="G38" s="173">
        <f>(Salaires_bruts!G35*G$11)/1000</f>
        <v>61303.452888086635</v>
      </c>
      <c r="H38" s="175">
        <f>(Salaires_bruts!H35*H$11)/1000</f>
        <v>0</v>
      </c>
      <c r="I38" s="173">
        <f t="shared" si="0"/>
        <v>63578.54460658483</v>
      </c>
      <c r="J38" s="176">
        <f t="shared" si="1"/>
        <v>0.75</v>
      </c>
      <c r="K38" s="173">
        <f t="shared" si="2"/>
        <v>47683.908454938624</v>
      </c>
      <c r="L38" s="177">
        <f t="shared" si="3"/>
        <v>73168.15235893862</v>
      </c>
      <c r="M38" s="145"/>
      <c r="N38" s="172" t="s">
        <v>68</v>
      </c>
      <c r="O38" s="178">
        <v>924737</v>
      </c>
      <c r="P38" s="179">
        <v>0</v>
      </c>
      <c r="Q38" s="177">
        <f>IF(Calculation_RIS!L38=0,O38*P38,0)</f>
        <v>0</v>
      </c>
      <c r="R38" s="148"/>
      <c r="S38" s="180">
        <f>Calculation_RIS!L38+Q38</f>
        <v>73168.15235893862</v>
      </c>
    </row>
    <row r="39" spans="1:19" ht="15.75" customHeight="1" x14ac:dyDescent="0.25">
      <c r="A39" s="181" t="s">
        <v>69</v>
      </c>
      <c r="B39" s="182">
        <f t="shared" ref="B39:I39" si="4">SUM(B13:B38)</f>
        <v>7277531.4993117601</v>
      </c>
      <c r="C39" s="182">
        <f t="shared" si="4"/>
        <v>656906.39587643999</v>
      </c>
      <c r="D39" s="183">
        <f t="shared" si="4"/>
        <v>168387.048870495</v>
      </c>
      <c r="E39" s="182">
        <f t="shared" si="4"/>
        <v>613428.45770631765</v>
      </c>
      <c r="F39" s="182">
        <f t="shared" si="4"/>
        <v>1661369.9757767653</v>
      </c>
      <c r="G39" s="182">
        <f t="shared" si="4"/>
        <v>863539.34856335737</v>
      </c>
      <c r="H39" s="184">
        <f t="shared" si="4"/>
        <v>574385.02896959987</v>
      </c>
      <c r="I39" s="182">
        <f t="shared" si="4"/>
        <v>4538016.2557629757</v>
      </c>
      <c r="J39" s="185">
        <v>0.75</v>
      </c>
      <c r="K39" s="182">
        <f t="shared" si="2"/>
        <v>3403512.1918222317</v>
      </c>
      <c r="L39" s="186">
        <f t="shared" si="3"/>
        <v>10681043.691133991</v>
      </c>
      <c r="M39" s="145"/>
      <c r="N39" s="181" t="s">
        <v>69</v>
      </c>
      <c r="O39" s="187">
        <f>SUM(O13:O38)</f>
        <v>162652358.79999998</v>
      </c>
      <c r="P39" s="188"/>
      <c r="Q39" s="186">
        <f>SUM(Q13:Q38)</f>
        <v>0</v>
      </c>
      <c r="R39" s="148"/>
      <c r="S39" s="189">
        <f>SUM(S13:S38)</f>
        <v>10681043.691133991</v>
      </c>
    </row>
  </sheetData>
  <mergeCells count="17">
    <mergeCell ref="D9:H9"/>
    <mergeCell ref="C9:C10"/>
    <mergeCell ref="B9:B10"/>
    <mergeCell ref="A4:L4"/>
    <mergeCell ref="A1:F1"/>
    <mergeCell ref="I9:I10"/>
    <mergeCell ref="Q8:Q10"/>
    <mergeCell ref="N4:Q4"/>
    <mergeCell ref="S8:S10"/>
    <mergeCell ref="U12:V12"/>
    <mergeCell ref="U11:V11"/>
    <mergeCell ref="U10:V10"/>
    <mergeCell ref="L9:L10"/>
    <mergeCell ref="K9:K10"/>
    <mergeCell ref="J9:J10"/>
    <mergeCell ref="O8:O10"/>
    <mergeCell ref="P8:P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2011-12-23T17:07:19Z</cp:lastPrinted>
  <dcterms:created xsi:type="dcterms:W3CDTF">2006-06-26T16:01:42Z</dcterms:created>
  <dcterms:modified xsi:type="dcterms:W3CDTF">2015-06-18T12:52:40Z</dcterms:modified>
</cp:coreProperties>
</file>