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C32" i="6"/>
  <c r="C28"/>
  <c r="C24"/>
  <c r="C20"/>
  <c r="C16"/>
  <c r="C14"/>
  <c r="C12"/>
  <c r="C10"/>
  <c r="C8"/>
  <c r="F2"/>
  <c r="A1"/>
  <c r="B23" i="5"/>
  <c r="C15"/>
  <c r="C14"/>
  <c r="C13"/>
  <c r="G4"/>
  <c r="D12" s="1"/>
  <c r="C4"/>
  <c r="B28" s="1"/>
  <c r="G3"/>
  <c r="B1"/>
  <c r="D33" i="4"/>
  <c r="E5"/>
  <c r="H5" s="1"/>
  <c r="D5"/>
  <c r="G5" s="1"/>
  <c r="C4"/>
  <c r="I2"/>
  <c r="B1"/>
  <c r="E33" i="3"/>
  <c r="D33"/>
  <c r="C33"/>
  <c r="F32"/>
  <c r="F31"/>
  <c r="G31" i="2" s="1"/>
  <c r="F30" i="3"/>
  <c r="F29"/>
  <c r="G29" i="2" s="1"/>
  <c r="F28" i="3"/>
  <c r="F27"/>
  <c r="G27" i="2" s="1"/>
  <c r="F26" i="3"/>
  <c r="F25"/>
  <c r="G25" i="2" s="1"/>
  <c r="F24" i="3"/>
  <c r="F23"/>
  <c r="G23" i="2" s="1"/>
  <c r="F22" i="3"/>
  <c r="F21"/>
  <c r="G21" i="2" s="1"/>
  <c r="F20" i="3"/>
  <c r="F19"/>
  <c r="G19" i="2" s="1"/>
  <c r="F18" i="3"/>
  <c r="F17"/>
  <c r="G17" i="2" s="1"/>
  <c r="F16" i="3"/>
  <c r="F15"/>
  <c r="G15" i="2" s="1"/>
  <c r="F14" i="3"/>
  <c r="F13"/>
  <c r="G13" i="2" s="1"/>
  <c r="F12" i="3"/>
  <c r="F11"/>
  <c r="G11" i="2" s="1"/>
  <c r="F10" i="3"/>
  <c r="F9"/>
  <c r="G9" i="2" s="1"/>
  <c r="F8" i="3"/>
  <c r="F7"/>
  <c r="F33" s="1"/>
  <c r="J41" i="8" s="1"/>
  <c r="F5" i="3"/>
  <c r="F1"/>
  <c r="B1"/>
  <c r="E33" i="2"/>
  <c r="D33"/>
  <c r="C33"/>
  <c r="G32"/>
  <c r="F32"/>
  <c r="E32" i="4" s="1"/>
  <c r="F32" s="1"/>
  <c r="F31" i="2"/>
  <c r="G30"/>
  <c r="F30"/>
  <c r="E30" i="4" s="1"/>
  <c r="F30" s="1"/>
  <c r="H29" i="2"/>
  <c r="F29"/>
  <c r="E29" i="4" s="1"/>
  <c r="F29" s="1"/>
  <c r="G28" i="2"/>
  <c r="F28"/>
  <c r="E28" i="4" s="1"/>
  <c r="F28" s="1"/>
  <c r="F27" i="2"/>
  <c r="E27" i="4" s="1"/>
  <c r="F27" s="1"/>
  <c r="G26" i="2"/>
  <c r="F26"/>
  <c r="E26" i="4" s="1"/>
  <c r="F26" s="1"/>
  <c r="H25" i="2"/>
  <c r="F25"/>
  <c r="E25" i="4" s="1"/>
  <c r="F25" s="1"/>
  <c r="G24" i="2"/>
  <c r="F24"/>
  <c r="E24" i="4" s="1"/>
  <c r="F24" s="1"/>
  <c r="F23" i="2"/>
  <c r="E23" i="4" s="1"/>
  <c r="F23" s="1"/>
  <c r="G22" i="2"/>
  <c r="F22"/>
  <c r="E22" i="4" s="1"/>
  <c r="F22" s="1"/>
  <c r="H21" i="2"/>
  <c r="F21"/>
  <c r="E21" i="4" s="1"/>
  <c r="F21" s="1"/>
  <c r="G20" i="2"/>
  <c r="F20"/>
  <c r="E20" i="4" s="1"/>
  <c r="F20" s="1"/>
  <c r="F19" i="2"/>
  <c r="E19" i="4" s="1"/>
  <c r="F19" s="1"/>
  <c r="G18" i="2"/>
  <c r="F18"/>
  <c r="E18" i="4" s="1"/>
  <c r="F18" s="1"/>
  <c r="H17" i="2"/>
  <c r="F17"/>
  <c r="E17" i="4" s="1"/>
  <c r="F17" s="1"/>
  <c r="G16" i="2"/>
  <c r="F16"/>
  <c r="E16" i="4" s="1"/>
  <c r="F16" s="1"/>
  <c r="F15" i="2"/>
  <c r="E15" i="4" s="1"/>
  <c r="F15" s="1"/>
  <c r="G14" i="2"/>
  <c r="D13" i="8" s="1"/>
  <c r="F14" i="2"/>
  <c r="E14" i="4" s="1"/>
  <c r="F14" s="1"/>
  <c r="H13" i="2"/>
  <c r="F13"/>
  <c r="E13" i="4" s="1"/>
  <c r="F13" s="1"/>
  <c r="G12" i="2"/>
  <c r="F12"/>
  <c r="E12" i="4" s="1"/>
  <c r="F12" s="1"/>
  <c r="F11" i="2"/>
  <c r="E11" i="4" s="1"/>
  <c r="F11" s="1"/>
  <c r="G10" i="2"/>
  <c r="F10"/>
  <c r="E10" i="4" s="1"/>
  <c r="F10" s="1"/>
  <c r="H9" i="2"/>
  <c r="F9"/>
  <c r="E9" i="4" s="1"/>
  <c r="F9" s="1"/>
  <c r="G8" i="2"/>
  <c r="F8"/>
  <c r="E8" i="4" s="1"/>
  <c r="F8" s="1"/>
  <c r="F7" i="2"/>
  <c r="E5"/>
  <c r="D5"/>
  <c r="C5"/>
  <c r="E4"/>
  <c r="D4"/>
  <c r="C4"/>
  <c r="I1"/>
  <c r="B1"/>
  <c r="A5" i="1"/>
  <c r="F33" i="2" l="1"/>
  <c r="E7" i="4"/>
  <c r="E31"/>
  <c r="F31" s="1"/>
  <c r="H31" i="2"/>
  <c r="D8" i="8"/>
  <c r="C8" i="7"/>
  <c r="C9" i="6"/>
  <c r="D10" i="8"/>
  <c r="C11" i="6"/>
  <c r="C10" i="7"/>
  <c r="D12" i="8"/>
  <c r="C12" i="7"/>
  <c r="C13" i="6"/>
  <c r="D14" i="8"/>
  <c r="C15" i="6"/>
  <c r="C14" i="7"/>
  <c r="D16" i="8"/>
  <c r="C17" i="6"/>
  <c r="C16" i="7"/>
  <c r="D18" i="8"/>
  <c r="C19" i="6"/>
  <c r="C18" i="7"/>
  <c r="D20" i="8"/>
  <c r="C21" i="6"/>
  <c r="C20" i="7"/>
  <c r="D22" i="8"/>
  <c r="C23" i="6"/>
  <c r="C22" i="7"/>
  <c r="D24" i="8"/>
  <c r="C25" i="6"/>
  <c r="C24" i="7"/>
  <c r="D26" i="8"/>
  <c r="C27" i="6"/>
  <c r="C26" i="7"/>
  <c r="D28" i="8"/>
  <c r="C29" i="6"/>
  <c r="C28" i="7"/>
  <c r="D30" i="8"/>
  <c r="C31" i="6"/>
  <c r="C30" i="7"/>
  <c r="H8" i="2"/>
  <c r="H12"/>
  <c r="H16"/>
  <c r="H20"/>
  <c r="H24"/>
  <c r="H28"/>
  <c r="H7"/>
  <c r="H10"/>
  <c r="H11"/>
  <c r="H14"/>
  <c r="H15"/>
  <c r="H18"/>
  <c r="H19"/>
  <c r="H22"/>
  <c r="H23"/>
  <c r="H26"/>
  <c r="H27"/>
  <c r="H30"/>
  <c r="J42" i="8"/>
  <c r="D7"/>
  <c r="C7" i="7"/>
  <c r="D9" i="8"/>
  <c r="C9" i="7"/>
  <c r="D11" i="8"/>
  <c r="C11" i="7"/>
  <c r="D15" i="8"/>
  <c r="C15" i="7"/>
  <c r="D17" i="8"/>
  <c r="C17" i="7"/>
  <c r="D19" i="8"/>
  <c r="C19" i="7"/>
  <c r="D21" i="8"/>
  <c r="C21" i="7"/>
  <c r="D23" i="8"/>
  <c r="C23" i="7"/>
  <c r="D25" i="8"/>
  <c r="C25" i="7"/>
  <c r="D27" i="8"/>
  <c r="C27" i="7"/>
  <c r="D29" i="8"/>
  <c r="C29" i="7"/>
  <c r="D31" i="8"/>
  <c r="C31" i="7"/>
  <c r="H32" i="2"/>
  <c r="C12" i="5"/>
  <c r="G7" i="2"/>
  <c r="C18" i="6"/>
  <c r="C22"/>
  <c r="C26"/>
  <c r="C30"/>
  <c r="C13" i="7"/>
  <c r="C26" i="8" l="1"/>
  <c r="E26" s="1"/>
  <c r="C22"/>
  <c r="E22" s="1"/>
  <c r="C18"/>
  <c r="E18" s="1"/>
  <c r="C14"/>
  <c r="E14" s="1"/>
  <c r="C10"/>
  <c r="E10" s="1"/>
  <c r="C23"/>
  <c r="E23" s="1"/>
  <c r="C15"/>
  <c r="E15" s="1"/>
  <c r="C7"/>
  <c r="E7" s="1"/>
  <c r="D6"/>
  <c r="D32" s="1"/>
  <c r="C6" i="7"/>
  <c r="C33" i="6" s="1"/>
  <c r="C7"/>
  <c r="G33" i="2"/>
  <c r="C32" i="7" s="1"/>
  <c r="C31" i="8"/>
  <c r="E31" s="1"/>
  <c r="C29"/>
  <c r="E29" s="1"/>
  <c r="C25"/>
  <c r="E25" s="1"/>
  <c r="C21"/>
  <c r="E21" s="1"/>
  <c r="C17"/>
  <c r="E17" s="1"/>
  <c r="C13"/>
  <c r="E13" s="1"/>
  <c r="C9"/>
  <c r="E9" s="1"/>
  <c r="C27"/>
  <c r="E27" s="1"/>
  <c r="C19"/>
  <c r="E19" s="1"/>
  <c r="C11"/>
  <c r="E11" s="1"/>
  <c r="C30"/>
  <c r="E30" s="1"/>
  <c r="E33" i="4"/>
  <c r="F33" s="1"/>
  <c r="D5" i="5" s="1"/>
  <c r="E5" s="1"/>
  <c r="G5" s="1"/>
  <c r="F7" i="4"/>
  <c r="H33" i="2"/>
  <c r="D24" i="5" l="1"/>
  <c r="D15"/>
  <c r="D13"/>
  <c r="J43" i="8"/>
  <c r="J44" s="1"/>
  <c r="I33" i="2"/>
  <c r="I9"/>
  <c r="I13"/>
  <c r="I17"/>
  <c r="I21"/>
  <c r="I25"/>
  <c r="I29"/>
  <c r="C8" i="8"/>
  <c r="E8" s="1"/>
  <c r="C12"/>
  <c r="E12" s="1"/>
  <c r="C16"/>
  <c r="E16" s="1"/>
  <c r="C20"/>
  <c r="E20" s="1"/>
  <c r="C24"/>
  <c r="E24" s="1"/>
  <c r="C28"/>
  <c r="E28" s="1"/>
  <c r="C6"/>
  <c r="I31" i="2"/>
  <c r="I12"/>
  <c r="I20"/>
  <c r="I28"/>
  <c r="I10"/>
  <c r="I14"/>
  <c r="I18"/>
  <c r="I22"/>
  <c r="I26"/>
  <c r="I30"/>
  <c r="I32"/>
  <c r="I8"/>
  <c r="I16"/>
  <c r="I24"/>
  <c r="I7"/>
  <c r="I11"/>
  <c r="I15"/>
  <c r="I19"/>
  <c r="I23"/>
  <c r="I27"/>
  <c r="B22" i="8" l="1"/>
  <c r="B22" i="7"/>
  <c r="B23" i="6"/>
  <c r="C23" i="4"/>
  <c r="B14" i="8"/>
  <c r="B14" i="7"/>
  <c r="B15" i="6"/>
  <c r="C15" i="4"/>
  <c r="B6" i="8"/>
  <c r="C7" i="4"/>
  <c r="B6" i="7"/>
  <c r="B7" i="6"/>
  <c r="B15" i="8"/>
  <c r="B16" i="6"/>
  <c r="C16" i="4"/>
  <c r="B15" i="7"/>
  <c r="B31" i="8"/>
  <c r="B32" i="6"/>
  <c r="C32" i="4"/>
  <c r="B31" i="7"/>
  <c r="B25" i="8"/>
  <c r="B26" i="6"/>
  <c r="B25" i="7"/>
  <c r="C26" i="4"/>
  <c r="B17" i="8"/>
  <c r="B18" i="6"/>
  <c r="B17" i="7"/>
  <c r="C18" i="4"/>
  <c r="B9" i="8"/>
  <c r="B10" i="6"/>
  <c r="C10" i="4"/>
  <c r="B9" i="7"/>
  <c r="B19" i="8"/>
  <c r="B20" i="6"/>
  <c r="C20" i="4"/>
  <c r="B19" i="7"/>
  <c r="B30" i="8"/>
  <c r="B30" i="7"/>
  <c r="B31" i="6"/>
  <c r="C31" i="4"/>
  <c r="B28" i="8"/>
  <c r="B28" i="7"/>
  <c r="C29" i="4"/>
  <c r="B29" i="6"/>
  <c r="B20" i="8"/>
  <c r="B20" i="7"/>
  <c r="C21" i="4"/>
  <c r="B21" i="6"/>
  <c r="B12" i="8"/>
  <c r="B12" i="7"/>
  <c r="C13" i="4"/>
  <c r="B13" i="6"/>
  <c r="B32" i="8"/>
  <c r="B32" i="7"/>
  <c r="C33" i="4"/>
  <c r="B33" i="6"/>
  <c r="C29" i="5"/>
  <c r="B26" i="8"/>
  <c r="B26" i="7"/>
  <c r="B27" i="6"/>
  <c r="C27" i="4"/>
  <c r="B18" i="8"/>
  <c r="B18" i="7"/>
  <c r="B19" i="6"/>
  <c r="C19" i="4"/>
  <c r="B10" i="8"/>
  <c r="B10" i="7"/>
  <c r="C11" i="4"/>
  <c r="B11" i="6"/>
  <c r="B23" i="8"/>
  <c r="B24" i="6"/>
  <c r="C24" i="4"/>
  <c r="B23" i="7"/>
  <c r="B7" i="8"/>
  <c r="B8" i="6"/>
  <c r="C8" i="4"/>
  <c r="B7" i="7"/>
  <c r="B29" i="8"/>
  <c r="B30" i="6"/>
  <c r="B29" i="7"/>
  <c r="C30" i="4"/>
  <c r="B21" i="8"/>
  <c r="B22" i="6"/>
  <c r="B21" i="7"/>
  <c r="C22" i="4"/>
  <c r="B13" i="8"/>
  <c r="B13" i="7"/>
  <c r="B14" i="6"/>
  <c r="C14" i="4"/>
  <c r="B27" i="8"/>
  <c r="B28" i="6"/>
  <c r="C28" i="4"/>
  <c r="B27" i="7"/>
  <c r="B11" i="8"/>
  <c r="B11" i="7"/>
  <c r="B12" i="6"/>
  <c r="C12" i="4"/>
  <c r="C32" i="8"/>
  <c r="E32" s="1"/>
  <c r="E6"/>
  <c r="B24"/>
  <c r="B24" i="7"/>
  <c r="C25" i="4"/>
  <c r="B25" i="6"/>
  <c r="B16" i="8"/>
  <c r="B16" i="7"/>
  <c r="C17" i="4"/>
  <c r="B17" i="6"/>
  <c r="B8" i="8"/>
  <c r="C9" i="4"/>
  <c r="B8" i="7"/>
  <c r="B9" i="6"/>
  <c r="D8" i="7" l="1"/>
  <c r="H17" i="4"/>
  <c r="I17"/>
  <c r="G17"/>
  <c r="H25"/>
  <c r="I25"/>
  <c r="G25"/>
  <c r="J32" i="8"/>
  <c r="K13" i="7"/>
  <c r="J30" i="8"/>
  <c r="J11"/>
  <c r="J19"/>
  <c r="J27"/>
  <c r="J9"/>
  <c r="J13"/>
  <c r="J17"/>
  <c r="J21"/>
  <c r="J25"/>
  <c r="J29"/>
  <c r="J31"/>
  <c r="J7"/>
  <c r="J15"/>
  <c r="J23"/>
  <c r="J10"/>
  <c r="J14"/>
  <c r="J18"/>
  <c r="J22"/>
  <c r="J26"/>
  <c r="D12" i="6"/>
  <c r="E12"/>
  <c r="F12" s="1"/>
  <c r="H28" i="4"/>
  <c r="I28"/>
  <c r="G28"/>
  <c r="D14" i="6"/>
  <c r="E14"/>
  <c r="F14" s="1"/>
  <c r="D21" i="7"/>
  <c r="D29"/>
  <c r="H8" i="4"/>
  <c r="I8"/>
  <c r="G8"/>
  <c r="H24"/>
  <c r="I24"/>
  <c r="G24"/>
  <c r="H11"/>
  <c r="I11" s="1"/>
  <c r="G11"/>
  <c r="D19" i="6"/>
  <c r="E27"/>
  <c r="F27" s="1"/>
  <c r="D27"/>
  <c r="H13" i="4"/>
  <c r="I13"/>
  <c r="G13"/>
  <c r="H21"/>
  <c r="I21"/>
  <c r="G21"/>
  <c r="H29"/>
  <c r="I29"/>
  <c r="G29"/>
  <c r="D31" i="6"/>
  <c r="H20" i="4"/>
  <c r="I20" s="1"/>
  <c r="G20"/>
  <c r="H10"/>
  <c r="I10"/>
  <c r="G10"/>
  <c r="E17" i="7"/>
  <c r="F17" s="1"/>
  <c r="D17"/>
  <c r="D25"/>
  <c r="H32" i="4"/>
  <c r="I32"/>
  <c r="G32"/>
  <c r="H16"/>
  <c r="I16"/>
  <c r="G16"/>
  <c r="K7" i="7"/>
  <c r="E6"/>
  <c r="F6" s="1"/>
  <c r="D6"/>
  <c r="B33" i="8"/>
  <c r="D15" i="6"/>
  <c r="E23"/>
  <c r="F23" s="1"/>
  <c r="D23"/>
  <c r="E9"/>
  <c r="F9" s="1"/>
  <c r="D9"/>
  <c r="H9" i="4"/>
  <c r="I9"/>
  <c r="G9"/>
  <c r="E17" i="6"/>
  <c r="F17" s="1"/>
  <c r="D17"/>
  <c r="D16" i="7"/>
  <c r="E25" i="6"/>
  <c r="F25" s="1"/>
  <c r="D25"/>
  <c r="D24" i="7"/>
  <c r="J6" i="8"/>
  <c r="H12" i="4"/>
  <c r="I12"/>
  <c r="G12"/>
  <c r="D11" i="7"/>
  <c r="E27"/>
  <c r="F27" s="1"/>
  <c r="D27"/>
  <c r="D28" i="6"/>
  <c r="H14" i="4"/>
  <c r="I14"/>
  <c r="G14"/>
  <c r="D13" i="7"/>
  <c r="H22" i="4"/>
  <c r="I22"/>
  <c r="G22"/>
  <c r="D22" i="6"/>
  <c r="E22"/>
  <c r="F22" s="1"/>
  <c r="H30" i="4"/>
  <c r="I30"/>
  <c r="G30"/>
  <c r="D30" i="6"/>
  <c r="E30"/>
  <c r="F30" s="1"/>
  <c r="D7" i="7"/>
  <c r="D8" i="6"/>
  <c r="E8"/>
  <c r="F8" s="1"/>
  <c r="D23" i="7"/>
  <c r="D24" i="6"/>
  <c r="E24"/>
  <c r="F24" s="1"/>
  <c r="D11"/>
  <c r="D10" i="7"/>
  <c r="E10"/>
  <c r="F10" s="1"/>
  <c r="H19" i="4"/>
  <c r="I19" s="1"/>
  <c r="G19"/>
  <c r="D18" i="7"/>
  <c r="E18"/>
  <c r="F18" s="1"/>
  <c r="H27" i="4"/>
  <c r="I27"/>
  <c r="G27"/>
  <c r="D26" i="7"/>
  <c r="D13" i="6"/>
  <c r="D12" i="7"/>
  <c r="E12"/>
  <c r="F12" s="1"/>
  <c r="E21" i="6"/>
  <c r="F21" s="1"/>
  <c r="D21"/>
  <c r="D20" i="7"/>
  <c r="E29" i="6"/>
  <c r="F29" s="1"/>
  <c r="D29"/>
  <c r="D28" i="7"/>
  <c r="H31" i="4"/>
  <c r="I31" s="1"/>
  <c r="G31"/>
  <c r="D30" i="7"/>
  <c r="E30"/>
  <c r="F30" s="1"/>
  <c r="E19"/>
  <c r="F19" s="1"/>
  <c r="D19"/>
  <c r="D20" i="6"/>
  <c r="D9" i="7"/>
  <c r="D10" i="6"/>
  <c r="E10"/>
  <c r="F10" s="1"/>
  <c r="H18" i="4"/>
  <c r="I18"/>
  <c r="G18"/>
  <c r="D18" i="6"/>
  <c r="H26" i="4"/>
  <c r="I26"/>
  <c r="G26"/>
  <c r="D26" i="6"/>
  <c r="E26"/>
  <c r="F26" s="1"/>
  <c r="D31" i="7"/>
  <c r="D32" i="6"/>
  <c r="E32"/>
  <c r="F32" s="1"/>
  <c r="D15" i="7"/>
  <c r="D16" i="6"/>
  <c r="E16"/>
  <c r="F16" s="1"/>
  <c r="D7"/>
  <c r="D33" s="1"/>
  <c r="H7" i="4"/>
  <c r="I7"/>
  <c r="G7"/>
  <c r="H15"/>
  <c r="I15" s="1"/>
  <c r="G15"/>
  <c r="D14" i="7"/>
  <c r="E14"/>
  <c r="F14" s="1"/>
  <c r="H23" i="4"/>
  <c r="I23"/>
  <c r="G23"/>
  <c r="D22" i="7"/>
  <c r="J8" i="8"/>
  <c r="J16"/>
  <c r="J24"/>
  <c r="J12"/>
  <c r="J20"/>
  <c r="J28"/>
  <c r="D32" i="7" l="1"/>
  <c r="G33" i="4"/>
  <c r="H33"/>
  <c r="I33" l="1"/>
  <c r="D6" i="5" s="1"/>
  <c r="E6" s="1"/>
  <c r="G6" s="1"/>
  <c r="D14" l="1"/>
  <c r="D25"/>
  <c r="G27" i="7" l="1"/>
  <c r="H27" s="1"/>
  <c r="G19"/>
  <c r="H19" s="1"/>
  <c r="G30"/>
  <c r="H30" s="1"/>
  <c r="G14"/>
  <c r="H14" s="1"/>
  <c r="G12"/>
  <c r="H12" s="1"/>
  <c r="C30" i="5"/>
  <c r="D26"/>
  <c r="E19" i="6"/>
  <c r="F19" s="1"/>
  <c r="F18" i="8" s="1"/>
  <c r="G18" s="1"/>
  <c r="H18" s="1"/>
  <c r="E15" i="6"/>
  <c r="F15" s="1"/>
  <c r="F14" i="8" s="1"/>
  <c r="G14" s="1"/>
  <c r="H14" s="1"/>
  <c r="E18" i="6"/>
  <c r="F18" s="1"/>
  <c r="F17" i="8" s="1"/>
  <c r="G17" s="1"/>
  <c r="H17" s="1"/>
  <c r="E7" i="6"/>
  <c r="F7" s="1"/>
  <c r="E31"/>
  <c r="F31" s="1"/>
  <c r="F30" i="8" s="1"/>
  <c r="G30" s="1"/>
  <c r="H30" s="1"/>
  <c r="E28" i="6"/>
  <c r="F28" s="1"/>
  <c r="F27" i="8" s="1"/>
  <c r="G27" s="1"/>
  <c r="H27" s="1"/>
  <c r="E11" i="6"/>
  <c r="F11" s="1"/>
  <c r="F10" i="8" s="1"/>
  <c r="G10" s="1"/>
  <c r="H10" s="1"/>
  <c r="E13" i="6"/>
  <c r="F13" s="1"/>
  <c r="F12" i="8" s="1"/>
  <c r="G12" s="1"/>
  <c r="H12" s="1"/>
  <c r="E20" i="6"/>
  <c r="F20" s="1"/>
  <c r="F19" i="8" s="1"/>
  <c r="G19" s="1"/>
  <c r="H19" s="1"/>
  <c r="F33" i="6" l="1"/>
  <c r="F6" i="8"/>
  <c r="G6" s="1"/>
  <c r="H6" s="1"/>
  <c r="C31" i="5"/>
  <c r="K12" i="7"/>
  <c r="G10"/>
  <c r="H10" s="1"/>
  <c r="G18"/>
  <c r="H18" s="1"/>
  <c r="G6"/>
  <c r="G17"/>
  <c r="H17" s="1"/>
  <c r="H6" l="1"/>
  <c r="E16"/>
  <c r="F16" s="1"/>
  <c r="E24"/>
  <c r="F24" s="1"/>
  <c r="E11"/>
  <c r="F11" s="1"/>
  <c r="E13"/>
  <c r="F13" s="1"/>
  <c r="E26"/>
  <c r="F26" s="1"/>
  <c r="E20"/>
  <c r="F20" s="1"/>
  <c r="E28"/>
  <c r="F28" s="1"/>
  <c r="E9"/>
  <c r="F9" s="1"/>
  <c r="E31"/>
  <c r="F31" s="1"/>
  <c r="E15"/>
  <c r="F15" s="1"/>
  <c r="E22"/>
  <c r="F22" s="1"/>
  <c r="E8"/>
  <c r="F8" s="1"/>
  <c r="E21"/>
  <c r="F21" s="1"/>
  <c r="E29"/>
  <c r="F29" s="1"/>
  <c r="E25"/>
  <c r="F25" s="1"/>
  <c r="E7"/>
  <c r="F7" s="1"/>
  <c r="E23"/>
  <c r="F23" s="1"/>
  <c r="K8"/>
  <c r="K6" s="1"/>
  <c r="F23" i="8" l="1"/>
  <c r="G23" s="1"/>
  <c r="H23" s="1"/>
  <c r="G23" i="7"/>
  <c r="H23" s="1"/>
  <c r="F25" i="8"/>
  <c r="G25" s="1"/>
  <c r="H25" s="1"/>
  <c r="G25" i="7"/>
  <c r="H25" s="1"/>
  <c r="F21" i="8"/>
  <c r="G21" s="1"/>
  <c r="H21" s="1"/>
  <c r="G21" i="7"/>
  <c r="H21" s="1"/>
  <c r="F22" i="8"/>
  <c r="G22" s="1"/>
  <c r="H22" s="1"/>
  <c r="G22" i="7"/>
  <c r="H22" s="1"/>
  <c r="F31" i="8"/>
  <c r="G31" s="1"/>
  <c r="H31" s="1"/>
  <c r="G31" i="7"/>
  <c r="H31" s="1"/>
  <c r="F28" i="8"/>
  <c r="G28" s="1"/>
  <c r="H28" s="1"/>
  <c r="G28" i="7"/>
  <c r="H28" s="1"/>
  <c r="F26" i="8"/>
  <c r="G26" s="1"/>
  <c r="H26" s="1"/>
  <c r="G26" i="7"/>
  <c r="H26" s="1"/>
  <c r="F11" i="8"/>
  <c r="G11" s="1"/>
  <c r="H11" s="1"/>
  <c r="G11" i="7"/>
  <c r="H11" s="1"/>
  <c r="F16" i="8"/>
  <c r="G16" s="1"/>
  <c r="H16" s="1"/>
  <c r="G16" i="7"/>
  <c r="H16" s="1"/>
  <c r="F7" i="8"/>
  <c r="G7" s="1"/>
  <c r="H7" s="1"/>
  <c r="F32" i="7"/>
  <c r="G7"/>
  <c r="F29" i="8"/>
  <c r="G29" s="1"/>
  <c r="H29" s="1"/>
  <c r="G29" i="7"/>
  <c r="H29" s="1"/>
  <c r="F8" i="8"/>
  <c r="G8" s="1"/>
  <c r="H8" s="1"/>
  <c r="G8" i="7"/>
  <c r="H8" s="1"/>
  <c r="F15" i="8"/>
  <c r="G15" s="1"/>
  <c r="H15" s="1"/>
  <c r="G15" i="7"/>
  <c r="H15" s="1"/>
  <c r="F9" i="8"/>
  <c r="G9" s="1"/>
  <c r="H9" s="1"/>
  <c r="G9" i="7"/>
  <c r="H9" s="1"/>
  <c r="F20" i="8"/>
  <c r="G20" s="1"/>
  <c r="H20" s="1"/>
  <c r="G20" i="7"/>
  <c r="H20" s="1"/>
  <c r="F13" i="8"/>
  <c r="G13" s="1"/>
  <c r="H13" s="1"/>
  <c r="G13" i="7"/>
  <c r="H13" s="1"/>
  <c r="F24" i="8"/>
  <c r="G24" s="1"/>
  <c r="H24" s="1"/>
  <c r="G24" i="7"/>
  <c r="H24" s="1"/>
  <c r="G32" l="1"/>
  <c r="H33" i="8"/>
  <c r="H7" i="7"/>
  <c r="H32" s="1"/>
</calcChain>
</file>

<file path=xl/sharedStrings.xml><?xml version="1.0" encoding="utf-8"?>
<sst xmlns="http://schemas.openxmlformats.org/spreadsheetml/2006/main" count="370" uniqueCount="137">
  <si>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</si>
  <si>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</si>
  <si>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</si>
  <si>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</si>
  <si>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</si>
  <si>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</si>
  <si>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</si>
  <si>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</si>
  <si>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</si>
  <si>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</si>
  <si>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</si>
  <si>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</si>
  <si>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</si>
  <si>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</si>
  <si>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</si>
  <si>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</si>
  <si>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</si>
  <si>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</si>
  <si>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</si>
  <si>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</si>
  <si>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</si>
  <si>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</si>
  <si>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</si>
  <si>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</si>
  <si>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FA_2015_20140616</t>
  </si>
  <si>
    <t>SWS</t>
  </si>
  <si>
    <t>RA_2015_20140616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</si>
  <si>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</si>
  <si>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</si>
  <si>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</si>
  <si>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</si>
  <si>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</si>
  <si>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</si>
  <si>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</si>
  <si>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</si>
  <si>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</si>
  <si>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</si>
  <si>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</si>
  <si>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</si>
  <si>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</si>
  <si>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</si>
  <si>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</si>
  <si>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</si>
  <si>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des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</si>
  <si>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</si>
  <si>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</si>
  <si>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</si>
  <si>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</si>
  <si>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</si>
  <si>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</si>
  <si>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</si>
  <si>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</si>
  <si>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</si>
  <si>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</si>
  <si>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</si>
  <si>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</si>
  <si>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</si>
  <si>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</si>
  <si>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</si>
  <si>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</si>
  <si>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</si>
  <si>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</si>
  <si>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</si>
  <si>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</si>
  <si>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</si>
  <si>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</si>
  <si>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</si>
  <si>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</si>
  <si>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</si>
  <si>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</si>
  <si>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</si>
  <si>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</si>
  <si>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</si>
  <si>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</si>
  <si>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</si>
  <si>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</si>
  <si>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</si>
  <si>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</si>
  <si>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</si>
  <si>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</si>
  <si>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</si>
  <si>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</si>
  <si>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</si>
  <si>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</si>
  <si>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</si>
  <si>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</si>
  <si>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</si>
  <si>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</si>
  <si>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</si>
  <si>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</si>
  <si>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</si>
  <si>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</si>
  <si>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</si>
  <si>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</si>
  <si>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</si>
  <si>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</si>
  <si>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</si>
  <si>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</si>
  <si>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</si>
  <si>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</si>
  <si>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</si>
  <si>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</si>
  <si>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</si>
  <si>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</si>
  <si>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</si>
  <si>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</si>
  <si>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</si>
  <si>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</si>
  <si>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</si>
  <si>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</si>
  <si>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</si>
  <si>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</si>
  <si>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</si>
  <si>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</si>
  <si>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</si>
  <si>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</si>
  <si>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</si>
  <si>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avant la compensation</t>
  </si>
  <si>
    <t>Compensation des ressources par habitant</t>
  </si>
  <si>
    <t>Recette fiscale standardisée par habitant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</si>
  <si>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</si>
  <si>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</si>
  <si>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</si>
  <si>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</si>
  <si>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</si>
  <si>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</si>
  <si>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</si>
  <si>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</si>
  <si>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</si>
  <si>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</si>
  <si>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</si>
  <si>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</si>
  <si>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</si>
  <si>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</si>
  <si>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</si>
  <si>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</si>
  <si>
    <t>Population résidante permanente et non permanente moyenne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</si>
</sst>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6" formatCode="0.0"/>
    <numFmt numFmtId="167" formatCode="_ * #,##0_ ;_ * \-#,##0_ ;_ * &quot;-&quot;??_ ;_ @_ "/>
    <numFmt numFmtId="168" formatCode="0.0%"/>
    <numFmt numFmtId="169" formatCode="#,##0.0"/>
    <numFmt numFmtId="170" formatCode="#,##0.000000000"/>
    <numFmt numFmtId="171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6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6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6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6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6" fontId="2" fillId="0" borderId="9" xfId="0" applyNumberFormat="1" applyFont="1" applyFill="1" applyBorder="1"/>
    <xf numFmtId="167" fontId="5" fillId="0" borderId="24" xfId="0" applyNumberFormat="1" applyFont="1" applyFill="1" applyBorder="1" applyAlignment="1" applyProtection="1">
      <alignment horizontal="right"/>
      <protection locked="0"/>
    </xf>
    <xf numFmtId="167" fontId="0" fillId="0" borderId="9" xfId="0" applyNumberFormat="1" applyFont="1" applyFill="1" applyBorder="1" applyAlignment="1">
      <alignment horizontal="right"/>
    </xf>
    <xf numFmtId="168" fontId="0" fillId="0" borderId="25" xfId="0" applyNumberFormat="1" applyFont="1" applyFill="1" applyBorder="1"/>
    <xf numFmtId="168" fontId="0" fillId="0" borderId="14" xfId="0" applyNumberFormat="1" applyFont="1" applyFill="1" applyBorder="1"/>
    <xf numFmtId="0" fontId="0" fillId="3" borderId="36" xfId="0" applyFont="1" applyFill="1" applyBorder="1"/>
    <xf numFmtId="166" fontId="2" fillId="3" borderId="0" xfId="0" applyNumberFormat="1" applyFont="1" applyFill="1" applyBorder="1"/>
    <xf numFmtId="167" fontId="5" fillId="3" borderId="26" xfId="0" applyNumberFormat="1" applyFont="1" applyFill="1" applyBorder="1" applyAlignment="1" applyProtection="1">
      <alignment horizontal="right"/>
      <protection locked="0"/>
    </xf>
    <xf numFmtId="167" fontId="0" fillId="3" borderId="0" xfId="0" applyNumberFormat="1" applyFont="1" applyFill="1" applyBorder="1" applyAlignment="1">
      <alignment horizontal="right"/>
    </xf>
    <xf numFmtId="168" fontId="0" fillId="3" borderId="27" xfId="0" applyNumberFormat="1" applyFont="1" applyFill="1" applyBorder="1"/>
    <xf numFmtId="168" fontId="0" fillId="3" borderId="16" xfId="0" applyNumberFormat="1" applyFont="1" applyFill="1" applyBorder="1"/>
    <xf numFmtId="0" fontId="0" fillId="0" borderId="36" xfId="0" applyFont="1" applyFill="1" applyBorder="1"/>
    <xf numFmtId="166" fontId="2" fillId="0" borderId="0" xfId="0" applyNumberFormat="1" applyFont="1" applyFill="1" applyBorder="1"/>
    <xf numFmtId="167" fontId="5" fillId="0" borderId="26" xfId="0" applyNumberFormat="1" applyFont="1" applyFill="1" applyBorder="1" applyAlignment="1" applyProtection="1">
      <alignment horizontal="right"/>
      <protection locked="0"/>
    </xf>
    <xf numFmtId="167" fontId="0" fillId="0" borderId="0" xfId="0" applyNumberFormat="1" applyFont="1" applyFill="1" applyBorder="1" applyAlignment="1">
      <alignment horizontal="right"/>
    </xf>
    <xf numFmtId="168" fontId="0" fillId="0" borderId="27" xfId="0" applyNumberFormat="1" applyFont="1" applyFill="1" applyBorder="1"/>
    <xf numFmtId="168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6" fontId="2" fillId="3" borderId="19" xfId="0" applyNumberFormat="1" applyFont="1" applyFill="1" applyBorder="1"/>
    <xf numFmtId="167" fontId="5" fillId="3" borderId="18" xfId="0" applyNumberFormat="1" applyFont="1" applyFill="1" applyBorder="1" applyAlignment="1" applyProtection="1">
      <alignment horizontal="right"/>
      <protection locked="0"/>
    </xf>
    <xf numFmtId="167" fontId="0" fillId="3" borderId="19" xfId="0" applyNumberFormat="1" applyFont="1" applyFill="1" applyBorder="1" applyAlignment="1">
      <alignment horizontal="right"/>
    </xf>
    <xf numFmtId="168" fontId="0" fillId="3" borderId="20" xfId="0" applyNumberFormat="1" applyFont="1" applyFill="1" applyBorder="1"/>
    <xf numFmtId="3" fontId="0" fillId="3" borderId="19" xfId="0" applyNumberFormat="1" applyFont="1" applyFill="1" applyBorder="1"/>
    <xf numFmtId="168" fontId="0" fillId="3" borderId="21" xfId="0" applyNumberFormat="1" applyFont="1" applyFill="1" applyBorder="1"/>
    <xf numFmtId="169" fontId="1" fillId="0" borderId="12" xfId="0" applyNumberFormat="1" applyFont="1" applyFill="1" applyBorder="1"/>
    <xf numFmtId="167" fontId="1" fillId="0" borderId="22" xfId="0" applyNumberFormat="1" applyFont="1" applyFill="1" applyBorder="1" applyAlignment="1" applyProtection="1">
      <alignment horizontal="right"/>
      <protection locked="0"/>
    </xf>
    <xf numFmtId="167" fontId="1" fillId="0" borderId="12" xfId="0" applyNumberFormat="1" applyFont="1" applyFill="1" applyBorder="1" applyAlignment="1">
      <alignment horizontal="right"/>
    </xf>
    <xf numFmtId="168" fontId="1" fillId="4" borderId="23" xfId="0" applyNumberFormat="1" applyFont="1" applyFill="1" applyBorder="1"/>
    <xf numFmtId="168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8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8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8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8" fontId="3" fillId="0" borderId="0" xfId="0" applyNumberFormat="1" applyFont="1" applyFill="1" applyBorder="1"/>
    <xf numFmtId="168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8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8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9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9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70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9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71" fontId="14" fillId="0" borderId="39" xfId="0" applyNumberFormat="1" applyFont="1" applyFill="1" applyBorder="1" applyAlignment="1">
      <alignment vertical="center"/>
    </xf>
    <xf numFmtId="169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6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9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9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9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9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9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9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9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6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6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6" fontId="2" fillId="0" borderId="13" xfId="0" applyNumberFormat="1" applyFont="1" applyFill="1" applyBorder="1"/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8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7.75" customHeight="1">
      <c r="A2" s="299" t="s">
        <v>1</v>
      </c>
      <c r="B2" s="299"/>
      <c r="C2" s="299"/>
      <c r="D2" s="299"/>
      <c r="E2" s="299"/>
    </row>
    <row r="3" spans="1:5" ht="24.75" customHeight="1">
      <c r="A3" s="3"/>
      <c r="B3" s="3"/>
      <c r="C3" s="3"/>
      <c r="D3" s="3"/>
      <c r="E3" s="3"/>
    </row>
    <row r="4" spans="1:5" ht="18" customHeight="1">
      <c r="A4" s="4"/>
      <c r="B4" s="4"/>
      <c r="C4" s="4"/>
      <c r="D4" s="4"/>
      <c r="E4" s="4"/>
    </row>
    <row r="5" spans="1:5" ht="18" customHeight="1">
      <c r="A5" s="300" t="str">
        <f>"Année de référence "&amp;C30</f>
        <v>Année de référence 2015</v>
      </c>
      <c r="B5" s="300"/>
      <c r="C5" s="300"/>
      <c r="D5" s="300"/>
      <c r="E5" s="300"/>
    </row>
    <row r="11" spans="1:5">
      <c r="A11" s="5" t="s">
        <v>2</v>
      </c>
      <c r="B11" s="5" t="s">
        <v>3</v>
      </c>
      <c r="C11" s="6"/>
      <c r="D11" s="6"/>
      <c r="E11" s="7"/>
    </row>
    <row r="12" spans="1:5">
      <c r="A12" s="8" t="s">
        <v>4</v>
      </c>
      <c r="B12" s="8" t="s">
        <v>5</v>
      </c>
      <c r="C12" s="9"/>
      <c r="D12" s="9"/>
      <c r="E12" s="10"/>
    </row>
    <row r="13" spans="1:5">
      <c r="A13" s="8" t="s">
        <v>6</v>
      </c>
      <c r="B13" s="8" t="s">
        <v>7</v>
      </c>
      <c r="C13" s="9"/>
      <c r="D13" s="9"/>
      <c r="E13" s="10"/>
    </row>
    <row r="14" spans="1:5">
      <c r="A14" s="8" t="s">
        <v>8</v>
      </c>
      <c r="B14" s="8" t="s">
        <v>9</v>
      </c>
      <c r="C14" s="9"/>
      <c r="D14" s="9"/>
      <c r="E14" s="10"/>
    </row>
    <row r="15" spans="1:5">
      <c r="A15" s="8" t="s">
        <v>10</v>
      </c>
      <c r="B15" s="8" t="s">
        <v>11</v>
      </c>
      <c r="C15" s="9"/>
      <c r="D15" s="9"/>
      <c r="E15" s="10"/>
    </row>
    <row r="16" spans="1:5">
      <c r="A16" s="8" t="s">
        <v>12</v>
      </c>
      <c r="B16" s="8" t="s">
        <v>13</v>
      </c>
      <c r="C16" s="9"/>
      <c r="D16" s="9"/>
      <c r="E16" s="10"/>
    </row>
    <row r="17" spans="1:5">
      <c r="A17" s="11" t="s">
        <v>14</v>
      </c>
      <c r="B17" s="8" t="s">
        <v>15</v>
      </c>
      <c r="C17" s="9"/>
      <c r="D17" s="9"/>
      <c r="E17" s="10"/>
    </row>
    <row r="18" spans="1:5">
      <c r="A18" s="11" t="s">
        <v>16</v>
      </c>
      <c r="B18" s="9" t="s">
        <v>17</v>
      </c>
      <c r="C18" s="9"/>
      <c r="D18" s="9"/>
      <c r="E18" s="10"/>
    </row>
    <row r="25" spans="1:5">
      <c r="B25" s="12" t="s">
        <v>18</v>
      </c>
      <c r="C25" s="13"/>
    </row>
    <row r="26" spans="1:5">
      <c r="B26" s="14" t="s">
        <v>19</v>
      </c>
      <c r="C26" s="15" t="s">
        <v>20</v>
      </c>
    </row>
    <row r="27" spans="1:5">
      <c r="B27" s="14" t="s">
        <v>21</v>
      </c>
      <c r="C27" s="16" t="s">
        <v>22</v>
      </c>
    </row>
    <row r="28" spans="1:5">
      <c r="B28" s="14" t="s">
        <v>23</v>
      </c>
      <c r="C28" s="16" t="s">
        <v>24</v>
      </c>
    </row>
    <row r="29" spans="1:5">
      <c r="B29" s="14" t="s">
        <v>25</v>
      </c>
      <c r="C29" s="16" t="s">
        <v>26</v>
      </c>
    </row>
    <row r="30" spans="1:5">
      <c r="B30" s="14" t="s">
        <v>27</v>
      </c>
      <c r="C30" s="17">
        <v>2015</v>
      </c>
    </row>
    <row r="31" spans="1:5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>
      <c r="B1" s="20" t="str">
        <f>"Potentiel de ressources "&amp;Info!C30</f>
        <v>Potentiel de ressources 2015</v>
      </c>
      <c r="C1" s="20"/>
      <c r="D1" s="20"/>
      <c r="E1" s="21"/>
      <c r="F1" s="21"/>
      <c r="G1" s="21"/>
      <c r="H1" s="22"/>
      <c r="I1" s="23" t="str">
        <f>Info!$C$28</f>
        <v>FA_2015_20140616</v>
      </c>
    </row>
    <row r="2" spans="1:9" s="2" customFormat="1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>
      <c r="B4" s="33"/>
      <c r="C4" s="34" t="str">
        <f>"AFA "&amp;Info!C30-6</f>
        <v>AFA 2009</v>
      </c>
      <c r="D4" s="34" t="str">
        <f>"AFA "&amp;Info!C30-5</f>
        <v>AFA 2010</v>
      </c>
      <c r="E4" s="34" t="str">
        <f>"AFA "&amp;Info!C30-4</f>
        <v>AFA 2011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>
      <c r="A5" s="19"/>
      <c r="B5" s="37" t="s">
        <v>43</v>
      </c>
      <c r="C5" s="38" t="str">
        <f>"AFA_"&amp;Info!$C$30&amp;"_"&amp;Info!$C$30-6</f>
        <v>AFA_2015_2009</v>
      </c>
      <c r="D5" s="38" t="str">
        <f>"AFA_"&amp;Info!$C$30&amp;"_"&amp;Info!$C$30-5</f>
        <v>AFA_2015_2010</v>
      </c>
      <c r="E5" s="38" t="str">
        <f>"AFA_"&amp;Info!$C$30&amp;"_"&amp;Info!$C$30-4</f>
        <v>AFA_2015_2011</v>
      </c>
      <c r="F5" s="39"/>
      <c r="G5" s="39"/>
      <c r="H5" s="39"/>
      <c r="I5" s="40"/>
    </row>
    <row r="6" spans="1:9" s="36" customFormat="1" ht="11.25" customHeight="1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B7" s="44" t="s">
        <v>48</v>
      </c>
      <c r="C7" s="45">
        <v>48888052.788800403</v>
      </c>
      <c r="D7" s="45">
        <v>50510480.763713099</v>
      </c>
      <c r="E7" s="45">
        <v>52758533.676519498</v>
      </c>
      <c r="F7" s="46">
        <f t="shared" ref="F7:F32" si="0">AVERAGE(C7:E7)</f>
        <v>50719022.409677662</v>
      </c>
      <c r="G7" s="47">
        <f>Population!F7</f>
        <v>1381674</v>
      </c>
      <c r="H7" s="47">
        <f t="shared" ref="H7:H33" si="1">F7/G7*1000</f>
        <v>36708.385921481953</v>
      </c>
      <c r="I7" s="48">
        <f t="shared" ref="I7:I33" si="2">H7/H$33*100</f>
        <v>119.46519022447126</v>
      </c>
    </row>
    <row r="8" spans="1:9">
      <c r="B8" s="49" t="s">
        <v>49</v>
      </c>
      <c r="C8" s="50">
        <v>22426092.928917602</v>
      </c>
      <c r="D8" s="50">
        <v>22992787.435251798</v>
      </c>
      <c r="E8" s="50">
        <v>22027198.8501793</v>
      </c>
      <c r="F8" s="51">
        <f t="shared" si="0"/>
        <v>22482026.404782902</v>
      </c>
      <c r="G8" s="52">
        <f>Population!F8</f>
        <v>984239.83333333337</v>
      </c>
      <c r="H8" s="52">
        <f t="shared" si="1"/>
        <v>22842.020454143614</v>
      </c>
      <c r="I8" s="53">
        <f t="shared" si="2"/>
        <v>74.337954398278399</v>
      </c>
    </row>
    <row r="9" spans="1:9">
      <c r="B9" s="33" t="s">
        <v>50</v>
      </c>
      <c r="C9" s="54">
        <v>8909055.4811087698</v>
      </c>
      <c r="D9" s="54">
        <v>9292835.0915675703</v>
      </c>
      <c r="E9" s="54">
        <v>9412611.0751391798</v>
      </c>
      <c r="F9" s="55">
        <f t="shared" si="0"/>
        <v>9204833.8826051727</v>
      </c>
      <c r="G9" s="56">
        <f>Population!F9</f>
        <v>376119.16666666669</v>
      </c>
      <c r="H9" s="56">
        <f t="shared" si="1"/>
        <v>24473.184826453951</v>
      </c>
      <c r="I9" s="57">
        <f t="shared" si="2"/>
        <v>79.646478789469271</v>
      </c>
    </row>
    <row r="10" spans="1:9">
      <c r="B10" s="49" t="s">
        <v>51</v>
      </c>
      <c r="C10" s="50">
        <v>645989.35862983996</v>
      </c>
      <c r="D10" s="50">
        <v>671558.60106607096</v>
      </c>
      <c r="E10" s="50">
        <v>676078.71879587695</v>
      </c>
      <c r="F10" s="51">
        <f t="shared" si="0"/>
        <v>664542.22616392933</v>
      </c>
      <c r="G10" s="52">
        <f>Population!F10</f>
        <v>35093.5</v>
      </c>
      <c r="H10" s="52">
        <f t="shared" si="1"/>
        <v>18936.333684697431</v>
      </c>
      <c r="I10" s="53">
        <f t="shared" si="2"/>
        <v>61.627136388815451</v>
      </c>
    </row>
    <row r="11" spans="1:9">
      <c r="B11" s="33" t="s">
        <v>52</v>
      </c>
      <c r="C11" s="54">
        <v>7070490.4745869199</v>
      </c>
      <c r="D11" s="54">
        <v>7180411.2535193702</v>
      </c>
      <c r="E11" s="54">
        <v>8051524.3297639703</v>
      </c>
      <c r="F11" s="55">
        <f t="shared" si="0"/>
        <v>7434142.0192900868</v>
      </c>
      <c r="G11" s="56">
        <f>Population!F11</f>
        <v>145813.66666666666</v>
      </c>
      <c r="H11" s="56">
        <f t="shared" si="1"/>
        <v>50983.849382820226</v>
      </c>
      <c r="I11" s="57">
        <f t="shared" si="2"/>
        <v>165.92381037734603</v>
      </c>
    </row>
    <row r="12" spans="1:9">
      <c r="B12" s="49" t="s">
        <v>53</v>
      </c>
      <c r="C12" s="50">
        <v>893246.71248769795</v>
      </c>
      <c r="D12" s="50">
        <v>958289.582465827</v>
      </c>
      <c r="E12" s="50">
        <v>978623.26943806605</v>
      </c>
      <c r="F12" s="51">
        <f t="shared" si="0"/>
        <v>943386.52146386367</v>
      </c>
      <c r="G12" s="52">
        <f>Population!F12</f>
        <v>35340.666666666664</v>
      </c>
      <c r="H12" s="52">
        <f t="shared" si="1"/>
        <v>26694.0782516043</v>
      </c>
      <c r="I12" s="53">
        <f t="shared" si="2"/>
        <v>86.874240208110066</v>
      </c>
    </row>
    <row r="13" spans="1:9">
      <c r="B13" s="33" t="s">
        <v>54</v>
      </c>
      <c r="C13" s="54">
        <v>1544488.8942065099</v>
      </c>
      <c r="D13" s="54">
        <v>1571755.2195937301</v>
      </c>
      <c r="E13" s="54">
        <v>1768479.0754511</v>
      </c>
      <c r="F13" s="55">
        <f t="shared" si="0"/>
        <v>1628241.06308378</v>
      </c>
      <c r="G13" s="56">
        <f>Population!F13</f>
        <v>40610.166666666664</v>
      </c>
      <c r="H13" s="56">
        <f t="shared" si="1"/>
        <v>40094.419617840693</v>
      </c>
      <c r="I13" s="57">
        <f t="shared" si="2"/>
        <v>130.48482918400509</v>
      </c>
    </row>
    <row r="14" spans="1:9">
      <c r="B14" s="49" t="s">
        <v>55</v>
      </c>
      <c r="C14" s="50">
        <v>762036.22056404897</v>
      </c>
      <c r="D14" s="50">
        <v>870447.15630634502</v>
      </c>
      <c r="E14" s="50">
        <v>828080.78791654704</v>
      </c>
      <c r="F14" s="51">
        <f t="shared" si="0"/>
        <v>820188.0549289803</v>
      </c>
      <c r="G14" s="52">
        <f>Population!F14</f>
        <v>38735.333333333336</v>
      </c>
      <c r="H14" s="52">
        <f t="shared" si="1"/>
        <v>21174.157657839878</v>
      </c>
      <c r="I14" s="53">
        <f t="shared" si="2"/>
        <v>68.909997237346914</v>
      </c>
    </row>
    <row r="15" spans="1:9">
      <c r="B15" s="33" t="s">
        <v>56</v>
      </c>
      <c r="C15" s="54">
        <v>8112707.1353983702</v>
      </c>
      <c r="D15" s="54">
        <v>8267271.8573540198</v>
      </c>
      <c r="E15" s="54">
        <v>10806633.1728312</v>
      </c>
      <c r="F15" s="55">
        <f t="shared" si="0"/>
        <v>9062204.0551945288</v>
      </c>
      <c r="G15" s="56">
        <f>Population!F15</f>
        <v>112814.66666666667</v>
      </c>
      <c r="H15" s="56">
        <f t="shared" si="1"/>
        <v>80328.243861860712</v>
      </c>
      <c r="I15" s="57">
        <f t="shared" si="2"/>
        <v>261.42334217258576</v>
      </c>
    </row>
    <row r="16" spans="1:9">
      <c r="B16" s="49" t="s">
        <v>57</v>
      </c>
      <c r="C16" s="50">
        <v>6522159.55016822</v>
      </c>
      <c r="D16" s="50">
        <v>6375103.2310805703</v>
      </c>
      <c r="E16" s="50">
        <v>6887998.3925658399</v>
      </c>
      <c r="F16" s="51">
        <f t="shared" si="0"/>
        <v>6595087.0579382097</v>
      </c>
      <c r="G16" s="52">
        <f>Population!F16</f>
        <v>278733.5</v>
      </c>
      <c r="H16" s="52">
        <f t="shared" si="1"/>
        <v>23660.905696438389</v>
      </c>
      <c r="I16" s="53">
        <f t="shared" si="2"/>
        <v>77.002966187464907</v>
      </c>
    </row>
    <row r="17" spans="2:9">
      <c r="B17" s="33" t="s">
        <v>58</v>
      </c>
      <c r="C17" s="54">
        <v>6070902.3901184499</v>
      </c>
      <c r="D17" s="54">
        <v>6296036.8646536302</v>
      </c>
      <c r="E17" s="54">
        <v>5993721.9867278403</v>
      </c>
      <c r="F17" s="55">
        <f t="shared" si="0"/>
        <v>6120220.4138333062</v>
      </c>
      <c r="G17" s="56">
        <f>Population!F17</f>
        <v>254406.83333333334</v>
      </c>
      <c r="H17" s="56">
        <f t="shared" si="1"/>
        <v>24056.823999748329</v>
      </c>
      <c r="I17" s="57">
        <f t="shared" si="2"/>
        <v>78.291458019261654</v>
      </c>
    </row>
    <row r="18" spans="2:9">
      <c r="B18" s="49" t="s">
        <v>59</v>
      </c>
      <c r="C18" s="50">
        <v>8720389.9968013391</v>
      </c>
      <c r="D18" s="50">
        <v>8510084.1257708296</v>
      </c>
      <c r="E18" s="50">
        <v>8100664.4013956496</v>
      </c>
      <c r="F18" s="51">
        <f t="shared" si="0"/>
        <v>8443712.8413226064</v>
      </c>
      <c r="G18" s="52">
        <f>Population!F18</f>
        <v>191426.33333333334</v>
      </c>
      <c r="H18" s="52">
        <f t="shared" si="1"/>
        <v>44109.463386207433</v>
      </c>
      <c r="I18" s="53">
        <f t="shared" si="2"/>
        <v>143.55154283830424</v>
      </c>
    </row>
    <row r="19" spans="2:9">
      <c r="B19" s="33" t="s">
        <v>60</v>
      </c>
      <c r="C19" s="54">
        <v>8415395.3465523999</v>
      </c>
      <c r="D19" s="54">
        <v>8618716.0195540395</v>
      </c>
      <c r="E19" s="54">
        <v>8199094.6840743497</v>
      </c>
      <c r="F19" s="55">
        <f t="shared" si="0"/>
        <v>8411068.6833935957</v>
      </c>
      <c r="G19" s="56">
        <f>Population!F19</f>
        <v>273337.66666666669</v>
      </c>
      <c r="H19" s="56">
        <f t="shared" si="1"/>
        <v>30771.714655963729</v>
      </c>
      <c r="I19" s="57">
        <f t="shared" si="2"/>
        <v>100.14465775670496</v>
      </c>
    </row>
    <row r="20" spans="2:9">
      <c r="B20" s="49" t="s">
        <v>61</v>
      </c>
      <c r="C20" s="50">
        <v>2422029.14158554</v>
      </c>
      <c r="D20" s="50">
        <v>2381891.8001909</v>
      </c>
      <c r="E20" s="50">
        <v>2373824.22010371</v>
      </c>
      <c r="F20" s="51">
        <f t="shared" si="0"/>
        <v>2392581.7206267165</v>
      </c>
      <c r="G20" s="52">
        <f>Population!F20</f>
        <v>76439</v>
      </c>
      <c r="H20" s="52">
        <f t="shared" si="1"/>
        <v>31300.53664525591</v>
      </c>
      <c r="I20" s="53">
        <f t="shared" si="2"/>
        <v>101.86567648198492</v>
      </c>
    </row>
    <row r="21" spans="2:9">
      <c r="B21" s="33" t="s">
        <v>62</v>
      </c>
      <c r="C21" s="54">
        <v>1360843.9070710801</v>
      </c>
      <c r="D21" s="54">
        <v>1400503.5215270801</v>
      </c>
      <c r="E21" s="54">
        <v>1350655.8502477901</v>
      </c>
      <c r="F21" s="55">
        <f t="shared" si="0"/>
        <v>1370667.7596153168</v>
      </c>
      <c r="G21" s="56">
        <f>Population!F21</f>
        <v>52883.666666666664</v>
      </c>
      <c r="H21" s="56">
        <f t="shared" si="1"/>
        <v>25918.546235737249</v>
      </c>
      <c r="I21" s="57">
        <f t="shared" si="2"/>
        <v>84.350318834969372</v>
      </c>
    </row>
    <row r="22" spans="2:9">
      <c r="B22" s="49" t="s">
        <v>63</v>
      </c>
      <c r="C22" s="50">
        <v>402930.97582683398</v>
      </c>
      <c r="D22" s="50">
        <v>392455.83473834099</v>
      </c>
      <c r="E22" s="50">
        <v>403172.81222209701</v>
      </c>
      <c r="F22" s="51">
        <f t="shared" si="0"/>
        <v>399519.87426242401</v>
      </c>
      <c r="G22" s="52">
        <f>Population!F22</f>
        <v>15697.166666666666</v>
      </c>
      <c r="H22" s="52">
        <f t="shared" si="1"/>
        <v>25451.718946885787</v>
      </c>
      <c r="I22" s="53">
        <f t="shared" si="2"/>
        <v>82.831058059409713</v>
      </c>
    </row>
    <row r="23" spans="2:9">
      <c r="B23" s="33" t="s">
        <v>64</v>
      </c>
      <c r="C23" s="54">
        <v>11416413.2904716</v>
      </c>
      <c r="D23" s="54">
        <v>11646815.283012601</v>
      </c>
      <c r="E23" s="54">
        <v>11771066.306161899</v>
      </c>
      <c r="F23" s="55">
        <f t="shared" si="0"/>
        <v>11611431.6265487</v>
      </c>
      <c r="G23" s="56">
        <f>Population!F23</f>
        <v>478482.33333333331</v>
      </c>
      <c r="H23" s="56">
        <f t="shared" si="1"/>
        <v>24267.210757099427</v>
      </c>
      <c r="I23" s="57">
        <f t="shared" si="2"/>
        <v>78.976148815566859</v>
      </c>
    </row>
    <row r="24" spans="2:9">
      <c r="B24" s="49" t="s">
        <v>65</v>
      </c>
      <c r="C24" s="50">
        <v>4902723.36213734</v>
      </c>
      <c r="D24" s="50">
        <v>4997538.0375395296</v>
      </c>
      <c r="E24" s="50">
        <v>4897917.9828772303</v>
      </c>
      <c r="F24" s="51">
        <f t="shared" si="0"/>
        <v>4932726.4608513666</v>
      </c>
      <c r="G24" s="52">
        <f>Population!F24</f>
        <v>197215.5</v>
      </c>
      <c r="H24" s="52">
        <f t="shared" si="1"/>
        <v>25011.859924049411</v>
      </c>
      <c r="I24" s="53">
        <f t="shared" si="2"/>
        <v>81.39956385131525</v>
      </c>
    </row>
    <row r="25" spans="2:9">
      <c r="B25" s="33" t="s">
        <v>66</v>
      </c>
      <c r="C25" s="54">
        <v>16434504.8777362</v>
      </c>
      <c r="D25" s="54">
        <v>16510758.6438672</v>
      </c>
      <c r="E25" s="54">
        <v>16934610.496892199</v>
      </c>
      <c r="F25" s="55">
        <f t="shared" si="0"/>
        <v>16626624.672831865</v>
      </c>
      <c r="G25" s="56">
        <f>Population!F25</f>
        <v>606659.66666666663</v>
      </c>
      <c r="H25" s="56">
        <f t="shared" si="1"/>
        <v>27406.840418760654</v>
      </c>
      <c r="I25" s="57">
        <f t="shared" si="2"/>
        <v>89.193880959034772</v>
      </c>
    </row>
    <row r="26" spans="2:9">
      <c r="B26" s="49" t="s">
        <v>67</v>
      </c>
      <c r="C26" s="50">
        <v>5720771.54924748</v>
      </c>
      <c r="D26" s="50">
        <v>5973569.5919540999</v>
      </c>
      <c r="E26" s="50">
        <v>5982645.67633262</v>
      </c>
      <c r="F26" s="51">
        <f t="shared" si="0"/>
        <v>5892328.9391780673</v>
      </c>
      <c r="G26" s="52">
        <f>Population!F26</f>
        <v>247785.16666666666</v>
      </c>
      <c r="H26" s="52">
        <f t="shared" si="1"/>
        <v>23779.990620280878</v>
      </c>
      <c r="I26" s="53">
        <f t="shared" si="2"/>
        <v>77.390520767231493</v>
      </c>
    </row>
    <row r="27" spans="2:9">
      <c r="B27" s="33" t="s">
        <v>68</v>
      </c>
      <c r="C27" s="54">
        <v>10488436.8634384</v>
      </c>
      <c r="D27" s="54">
        <v>10210692.504530501</v>
      </c>
      <c r="E27" s="54">
        <v>9811563.2732602302</v>
      </c>
      <c r="F27" s="55">
        <f t="shared" si="0"/>
        <v>10170230.88040971</v>
      </c>
      <c r="G27" s="56">
        <f>Population!F27</f>
        <v>336034.16666666669</v>
      </c>
      <c r="H27" s="56">
        <f t="shared" si="1"/>
        <v>30265.466697314143</v>
      </c>
      <c r="I27" s="57">
        <f t="shared" si="2"/>
        <v>98.497104829420564</v>
      </c>
    </row>
    <row r="28" spans="2:9">
      <c r="B28" s="49" t="s">
        <v>69</v>
      </c>
      <c r="C28" s="50">
        <v>23322888.660682</v>
      </c>
      <c r="D28" s="50">
        <v>23706775.2937661</v>
      </c>
      <c r="E28" s="50">
        <v>23302399.0741411</v>
      </c>
      <c r="F28" s="51">
        <f t="shared" si="0"/>
        <v>23444021.009529736</v>
      </c>
      <c r="G28" s="52">
        <f>Population!F28</f>
        <v>716361.5</v>
      </c>
      <c r="H28" s="52">
        <f t="shared" si="1"/>
        <v>32726.522865242947</v>
      </c>
      <c r="I28" s="53">
        <f t="shared" si="2"/>
        <v>106.50646116242855</v>
      </c>
    </row>
    <row r="29" spans="2:9">
      <c r="B29" s="33" t="s">
        <v>70</v>
      </c>
      <c r="C29" s="54">
        <v>6497284.7329594204</v>
      </c>
      <c r="D29" s="54">
        <v>6779034.5296745403</v>
      </c>
      <c r="E29" s="54">
        <v>6527123.8236544598</v>
      </c>
      <c r="F29" s="55">
        <f t="shared" si="0"/>
        <v>6601147.6954294741</v>
      </c>
      <c r="G29" s="56">
        <f>Population!F29</f>
        <v>312371.5</v>
      </c>
      <c r="H29" s="56">
        <f t="shared" si="1"/>
        <v>21132.362252732641</v>
      </c>
      <c r="I29" s="57">
        <f t="shared" si="2"/>
        <v>68.773976655229106</v>
      </c>
    </row>
    <row r="30" spans="2:9">
      <c r="B30" s="49" t="s">
        <v>71</v>
      </c>
      <c r="C30" s="50">
        <v>4447182.2116391202</v>
      </c>
      <c r="D30" s="50">
        <v>4658946.3580423798</v>
      </c>
      <c r="E30" s="50">
        <v>4924569.0191114601</v>
      </c>
      <c r="F30" s="51">
        <f t="shared" si="0"/>
        <v>4676899.1962643201</v>
      </c>
      <c r="G30" s="52">
        <f>Population!F30</f>
        <v>172777.66666666666</v>
      </c>
      <c r="H30" s="52">
        <f t="shared" si="1"/>
        <v>27068.887353868962</v>
      </c>
      <c r="I30" s="53">
        <f t="shared" si="2"/>
        <v>88.094033439980478</v>
      </c>
    </row>
    <row r="31" spans="2:9">
      <c r="B31" s="33" t="s">
        <v>72</v>
      </c>
      <c r="C31" s="54">
        <v>19979523.9397511</v>
      </c>
      <c r="D31" s="54">
        <v>20717962.277972199</v>
      </c>
      <c r="E31" s="54">
        <v>20572353.591144599</v>
      </c>
      <c r="F31" s="55">
        <f t="shared" si="0"/>
        <v>20423279.936289299</v>
      </c>
      <c r="G31" s="56">
        <f>Population!F31</f>
        <v>458568.83333333331</v>
      </c>
      <c r="H31" s="56">
        <f t="shared" si="1"/>
        <v>44536.999577212075</v>
      </c>
      <c r="I31" s="57">
        <f t="shared" si="2"/>
        <v>144.9429331461065</v>
      </c>
    </row>
    <row r="32" spans="2:9">
      <c r="B32" s="49" t="s">
        <v>73</v>
      </c>
      <c r="C32" s="50">
        <v>1274211.1672113</v>
      </c>
      <c r="D32" s="50">
        <v>1331746.3164241801</v>
      </c>
      <c r="E32" s="50">
        <v>1406714.8505639301</v>
      </c>
      <c r="F32" s="51">
        <f t="shared" si="0"/>
        <v>1337557.4447331366</v>
      </c>
      <c r="G32" s="52">
        <f>Population!F32</f>
        <v>69388.166666666672</v>
      </c>
      <c r="H32" s="52">
        <f t="shared" si="1"/>
        <v>19276.448838295721</v>
      </c>
      <c r="I32" s="53">
        <f t="shared" si="2"/>
        <v>62.734020292939029</v>
      </c>
    </row>
    <row r="33" spans="2:9">
      <c r="B33" s="58" t="s">
        <v>74</v>
      </c>
      <c r="C33" s="59">
        <f>SUM(C7:C32)</f>
        <v>237650751.95809796</v>
      </c>
      <c r="D33" s="59">
        <f>SUM(D7:D32)</f>
        <v>242824467.19513658</v>
      </c>
      <c r="E33" s="59">
        <f>SUM(E7:E32)</f>
        <v>246747859.39751181</v>
      </c>
      <c r="F33" s="59">
        <f>SUM(F7:F32)</f>
        <v>242407692.85024878</v>
      </c>
      <c r="G33" s="59">
        <f>SUM(G7:G32)</f>
        <v>7889009.6666666679</v>
      </c>
      <c r="H33" s="59">
        <f t="shared" si="1"/>
        <v>30727.265283308112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20" t="str">
        <f>"Population déterminante "&amp;Info!C30</f>
        <v>Population déterminante 2015</v>
      </c>
      <c r="C1" s="20"/>
      <c r="D1" s="20"/>
      <c r="E1" s="21"/>
      <c r="F1" s="23" t="str">
        <f>Info!$C$28</f>
        <v>FA_2015_20140616</v>
      </c>
    </row>
    <row r="2" spans="1:6" s="2" customFormat="1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>
      <c r="A4" s="69"/>
      <c r="B4" s="70"/>
      <c r="C4" s="301" t="s">
        <v>136</v>
      </c>
      <c r="D4" s="302"/>
      <c r="E4" s="303"/>
      <c r="F4" s="71" t="s">
        <v>7</v>
      </c>
    </row>
    <row r="5" spans="1:6" ht="19.5" customHeight="1">
      <c r="A5" s="69"/>
      <c r="B5" s="72"/>
      <c r="C5" s="73">
        <v>2009</v>
      </c>
      <c r="D5" s="74">
        <v>2010</v>
      </c>
      <c r="E5" s="75">
        <v>2011</v>
      </c>
      <c r="F5" s="76">
        <f>Info!C30</f>
        <v>2015</v>
      </c>
    </row>
    <row r="6" spans="1:6">
      <c r="A6" s="69"/>
      <c r="B6" s="77" t="s">
        <v>43</v>
      </c>
      <c r="C6" s="78" t="s">
        <v>75</v>
      </c>
      <c r="D6" s="79" t="s">
        <v>75</v>
      </c>
      <c r="E6" s="80" t="s">
        <v>75</v>
      </c>
      <c r="F6" s="81"/>
    </row>
    <row r="7" spans="1:6">
      <c r="A7" s="69"/>
      <c r="B7" s="44" t="s">
        <v>48</v>
      </c>
      <c r="C7" s="82">
        <v>1366821</v>
      </c>
      <c r="D7" s="45">
        <v>1383661</v>
      </c>
      <c r="E7" s="83">
        <v>1394540</v>
      </c>
      <c r="F7" s="84">
        <f t="shared" ref="F7:F32" si="0">AVERAGE(C7:E7)</f>
        <v>1381674</v>
      </c>
    </row>
    <row r="8" spans="1:6">
      <c r="A8" s="69"/>
      <c r="B8" s="49" t="s">
        <v>49</v>
      </c>
      <c r="C8" s="85">
        <v>979554</v>
      </c>
      <c r="D8" s="50">
        <v>983453</v>
      </c>
      <c r="E8" s="86">
        <v>989712.5</v>
      </c>
      <c r="F8" s="87">
        <f t="shared" si="0"/>
        <v>984239.83333333337</v>
      </c>
    </row>
    <row r="9" spans="1:6">
      <c r="A9" s="69"/>
      <c r="B9" s="33" t="s">
        <v>50</v>
      </c>
      <c r="C9" s="88">
        <v>370931</v>
      </c>
      <c r="D9" s="54">
        <v>375155</v>
      </c>
      <c r="E9" s="89">
        <v>382271.5</v>
      </c>
      <c r="F9" s="90">
        <f t="shared" si="0"/>
        <v>376119.16666666669</v>
      </c>
    </row>
    <row r="10" spans="1:6">
      <c r="A10" s="69"/>
      <c r="B10" s="49" t="s">
        <v>51</v>
      </c>
      <c r="C10" s="85">
        <v>34772</v>
      </c>
      <c r="D10" s="50">
        <v>34750</v>
      </c>
      <c r="E10" s="86">
        <v>35758.5</v>
      </c>
      <c r="F10" s="87">
        <f t="shared" si="0"/>
        <v>35093.5</v>
      </c>
    </row>
    <row r="11" spans="1:6">
      <c r="A11" s="69"/>
      <c r="B11" s="33" t="s">
        <v>52</v>
      </c>
      <c r="C11" s="88">
        <v>143699</v>
      </c>
      <c r="D11" s="54">
        <v>145209</v>
      </c>
      <c r="E11" s="89">
        <v>148533</v>
      </c>
      <c r="F11" s="90">
        <f t="shared" si="0"/>
        <v>145813.66666666666</v>
      </c>
    </row>
    <row r="12" spans="1:6">
      <c r="A12" s="69"/>
      <c r="B12" s="49" t="s">
        <v>53</v>
      </c>
      <c r="C12" s="85">
        <v>34667</v>
      </c>
      <c r="D12" s="50">
        <v>35202</v>
      </c>
      <c r="E12" s="86">
        <v>36153</v>
      </c>
      <c r="F12" s="87">
        <f t="shared" si="0"/>
        <v>35340.666666666664</v>
      </c>
    </row>
    <row r="13" spans="1:6">
      <c r="A13" s="69"/>
      <c r="B13" s="33" t="s">
        <v>54</v>
      </c>
      <c r="C13" s="88">
        <v>40164</v>
      </c>
      <c r="D13" s="54">
        <v>40238</v>
      </c>
      <c r="E13" s="89">
        <v>41428.5</v>
      </c>
      <c r="F13" s="90">
        <f t="shared" si="0"/>
        <v>40610.166666666664</v>
      </c>
    </row>
    <row r="14" spans="1:6">
      <c r="A14" s="69"/>
      <c r="B14" s="49" t="s">
        <v>55</v>
      </c>
      <c r="C14" s="85">
        <v>38259</v>
      </c>
      <c r="D14" s="50">
        <v>38448</v>
      </c>
      <c r="E14" s="86">
        <v>39499</v>
      </c>
      <c r="F14" s="87">
        <f t="shared" si="0"/>
        <v>38735.333333333336</v>
      </c>
    </row>
    <row r="15" spans="1:6">
      <c r="A15" s="69"/>
      <c r="B15" s="33" t="s">
        <v>56</v>
      </c>
      <c r="C15" s="88">
        <v>111151</v>
      </c>
      <c r="D15" s="54">
        <v>111918</v>
      </c>
      <c r="E15" s="89">
        <v>115375</v>
      </c>
      <c r="F15" s="90">
        <f t="shared" si="0"/>
        <v>112814.66666666667</v>
      </c>
    </row>
    <row r="16" spans="1:6">
      <c r="A16" s="69"/>
      <c r="B16" s="49" t="s">
        <v>57</v>
      </c>
      <c r="C16" s="85">
        <v>273855</v>
      </c>
      <c r="D16" s="50">
        <v>278591</v>
      </c>
      <c r="E16" s="86">
        <v>283754.5</v>
      </c>
      <c r="F16" s="87">
        <f t="shared" si="0"/>
        <v>278733.5</v>
      </c>
    </row>
    <row r="17" spans="1:6">
      <c r="A17" s="69"/>
      <c r="B17" s="33" t="s">
        <v>58</v>
      </c>
      <c r="C17" s="88">
        <v>252083</v>
      </c>
      <c r="D17" s="54">
        <v>253370</v>
      </c>
      <c r="E17" s="89">
        <v>257767.5</v>
      </c>
      <c r="F17" s="90">
        <f t="shared" si="0"/>
        <v>254406.83333333334</v>
      </c>
    </row>
    <row r="18" spans="1:6">
      <c r="A18" s="69"/>
      <c r="B18" s="49" t="s">
        <v>59</v>
      </c>
      <c r="C18" s="85">
        <v>192068</v>
      </c>
      <c r="D18" s="50">
        <v>193627</v>
      </c>
      <c r="E18" s="86">
        <v>188584</v>
      </c>
      <c r="F18" s="87">
        <f t="shared" si="0"/>
        <v>191426.33333333334</v>
      </c>
    </row>
    <row r="19" spans="1:6">
      <c r="A19" s="69"/>
      <c r="B19" s="33" t="s">
        <v>60</v>
      </c>
      <c r="C19" s="88">
        <v>271125</v>
      </c>
      <c r="D19" s="54">
        <v>272506</v>
      </c>
      <c r="E19" s="89">
        <v>276382</v>
      </c>
      <c r="F19" s="90">
        <f t="shared" si="0"/>
        <v>273337.66666666669</v>
      </c>
    </row>
    <row r="20" spans="1:6">
      <c r="A20" s="69"/>
      <c r="B20" s="49" t="s">
        <v>61</v>
      </c>
      <c r="C20" s="85">
        <v>75691</v>
      </c>
      <c r="D20" s="50">
        <v>76106</v>
      </c>
      <c r="E20" s="86">
        <v>77520</v>
      </c>
      <c r="F20" s="87">
        <f t="shared" si="0"/>
        <v>76439</v>
      </c>
    </row>
    <row r="21" spans="1:6">
      <c r="A21" s="69"/>
      <c r="B21" s="33" t="s">
        <v>62</v>
      </c>
      <c r="C21" s="88">
        <v>52681</v>
      </c>
      <c r="D21" s="54">
        <v>52590</v>
      </c>
      <c r="E21" s="89">
        <v>53380</v>
      </c>
      <c r="F21" s="90">
        <f t="shared" si="0"/>
        <v>52883.666666666664</v>
      </c>
    </row>
    <row r="22" spans="1:6">
      <c r="A22" s="69"/>
      <c r="B22" s="49" t="s">
        <v>63</v>
      </c>
      <c r="C22" s="85">
        <v>15517</v>
      </c>
      <c r="D22" s="50">
        <v>15813</v>
      </c>
      <c r="E22" s="86">
        <v>15761.5</v>
      </c>
      <c r="F22" s="87">
        <f t="shared" si="0"/>
        <v>15697.166666666666</v>
      </c>
    </row>
    <row r="23" spans="1:6">
      <c r="A23" s="69"/>
      <c r="B23" s="33" t="s">
        <v>64</v>
      </c>
      <c r="C23" s="88">
        <v>474316</v>
      </c>
      <c r="D23" s="54">
        <v>477196</v>
      </c>
      <c r="E23" s="89">
        <v>483935</v>
      </c>
      <c r="F23" s="90">
        <f t="shared" si="0"/>
        <v>478482.33333333331</v>
      </c>
    </row>
    <row r="24" spans="1:6">
      <c r="A24" s="69"/>
      <c r="B24" s="49" t="s">
        <v>65</v>
      </c>
      <c r="C24" s="85">
        <v>194753</v>
      </c>
      <c r="D24" s="50">
        <v>195401</v>
      </c>
      <c r="E24" s="86">
        <v>201492.5</v>
      </c>
      <c r="F24" s="87">
        <f t="shared" si="0"/>
        <v>197215.5</v>
      </c>
    </row>
    <row r="25" spans="1:6">
      <c r="A25" s="69"/>
      <c r="B25" s="33" t="s">
        <v>66</v>
      </c>
      <c r="C25" s="88">
        <v>596795</v>
      </c>
      <c r="D25" s="54">
        <v>604329</v>
      </c>
      <c r="E25" s="89">
        <v>618855</v>
      </c>
      <c r="F25" s="90">
        <f t="shared" si="0"/>
        <v>606659.66666666663</v>
      </c>
    </row>
    <row r="26" spans="1:6">
      <c r="A26" s="69"/>
      <c r="B26" s="49" t="s">
        <v>67</v>
      </c>
      <c r="C26" s="85">
        <v>244069</v>
      </c>
      <c r="D26" s="50">
        <v>246856</v>
      </c>
      <c r="E26" s="86">
        <v>252430.5</v>
      </c>
      <c r="F26" s="87">
        <f t="shared" si="0"/>
        <v>247785.16666666666</v>
      </c>
    </row>
    <row r="27" spans="1:6">
      <c r="A27" s="69"/>
      <c r="B27" s="33" t="s">
        <v>68</v>
      </c>
      <c r="C27" s="88">
        <v>333567</v>
      </c>
      <c r="D27" s="54">
        <v>336896</v>
      </c>
      <c r="E27" s="89">
        <v>337639.5</v>
      </c>
      <c r="F27" s="90">
        <f t="shared" si="0"/>
        <v>336034.16666666669</v>
      </c>
    </row>
    <row r="28" spans="1:6">
      <c r="A28" s="69"/>
      <c r="B28" s="49" t="s">
        <v>69</v>
      </c>
      <c r="C28" s="85">
        <v>704916</v>
      </c>
      <c r="D28" s="50">
        <v>716483</v>
      </c>
      <c r="E28" s="86">
        <v>727685.5</v>
      </c>
      <c r="F28" s="87">
        <f t="shared" si="0"/>
        <v>716361.5</v>
      </c>
    </row>
    <row r="29" spans="1:6">
      <c r="A29" s="69"/>
      <c r="B29" s="33" t="s">
        <v>70</v>
      </c>
      <c r="C29" s="88">
        <v>305178</v>
      </c>
      <c r="D29" s="54">
        <v>309325</v>
      </c>
      <c r="E29" s="89">
        <v>322611.5</v>
      </c>
      <c r="F29" s="90">
        <f t="shared" si="0"/>
        <v>312371.5</v>
      </c>
    </row>
    <row r="30" spans="1:6">
      <c r="A30" s="69"/>
      <c r="B30" s="49" t="s">
        <v>71</v>
      </c>
      <c r="C30" s="85">
        <v>172263</v>
      </c>
      <c r="D30" s="50">
        <v>172378</v>
      </c>
      <c r="E30" s="86">
        <v>173692</v>
      </c>
      <c r="F30" s="87">
        <f t="shared" si="0"/>
        <v>172777.66666666666</v>
      </c>
    </row>
    <row r="31" spans="1:6">
      <c r="A31" s="69"/>
      <c r="B31" s="33" t="s">
        <v>72</v>
      </c>
      <c r="C31" s="88">
        <v>453674</v>
      </c>
      <c r="D31" s="54">
        <v>459210</v>
      </c>
      <c r="E31" s="89">
        <v>462822.5</v>
      </c>
      <c r="F31" s="90">
        <f t="shared" si="0"/>
        <v>458568.83333333331</v>
      </c>
    </row>
    <row r="32" spans="1:6">
      <c r="A32" s="69"/>
      <c r="B32" s="49" t="s">
        <v>73</v>
      </c>
      <c r="C32" s="85">
        <v>68709</v>
      </c>
      <c r="D32" s="50">
        <v>68860</v>
      </c>
      <c r="E32" s="86">
        <v>70595.5</v>
      </c>
      <c r="F32" s="87">
        <f t="shared" si="0"/>
        <v>69388.166666666672</v>
      </c>
    </row>
    <row r="33" spans="1:6">
      <c r="A33" s="91"/>
      <c r="B33" s="58" t="s">
        <v>74</v>
      </c>
      <c r="C33" s="92">
        <f>SUM(C7:C32)</f>
        <v>7801278</v>
      </c>
      <c r="D33" s="59">
        <f>SUM(D7:D32)</f>
        <v>7877571</v>
      </c>
      <c r="E33" s="93">
        <f>SUM(E7:E32)</f>
        <v>7988180</v>
      </c>
      <c r="F33" s="94">
        <f>SUM(F7:F32)</f>
        <v>7889009.6666666679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5" t="str">
        <f>"Croissance du potentiel de ressources "&amp;Info!C30</f>
        <v>Croissance du potentiel de ressources 2015</v>
      </c>
      <c r="C1" s="95"/>
      <c r="D1" s="95"/>
      <c r="E1" s="95"/>
      <c r="F1" s="95"/>
      <c r="G1" s="95"/>
      <c r="H1" s="22"/>
      <c r="I1" s="1"/>
    </row>
    <row r="2" spans="1:9" ht="18.75" customHeight="1">
      <c r="G2" s="1"/>
      <c r="H2" s="1"/>
      <c r="I2" s="23" t="str">
        <f>Info!$C$28</f>
        <v>FA_2015_20140616</v>
      </c>
    </row>
    <row r="3" spans="1:9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>
      <c r="A4" s="69"/>
      <c r="B4" s="44"/>
      <c r="C4" s="304" t="str">
        <f>"Indice de ressources "&amp;Info!C30</f>
        <v>Indice de ressources 2015</v>
      </c>
      <c r="D4" s="308" t="s">
        <v>76</v>
      </c>
      <c r="E4" s="309"/>
      <c r="F4" s="310"/>
      <c r="G4" s="306" t="s">
        <v>77</v>
      </c>
      <c r="H4" s="306"/>
      <c r="I4" s="307"/>
    </row>
    <row r="5" spans="1:9" ht="25.5" customHeight="1">
      <c r="A5" s="69"/>
      <c r="B5" s="96"/>
      <c r="C5" s="305"/>
      <c r="D5" s="97">
        <f>Info!C30-1</f>
        <v>2014</v>
      </c>
      <c r="E5" s="98">
        <f>Info!C30</f>
        <v>2015</v>
      </c>
      <c r="F5" s="99" t="s">
        <v>78</v>
      </c>
      <c r="G5" s="98">
        <f>D5</f>
        <v>2014</v>
      </c>
      <c r="H5" s="98">
        <f>E5</f>
        <v>2015</v>
      </c>
      <c r="I5" s="100" t="s">
        <v>78</v>
      </c>
    </row>
    <row r="6" spans="1:9">
      <c r="A6" s="101"/>
      <c r="B6" s="77" t="s">
        <v>44</v>
      </c>
      <c r="C6" s="102" t="s">
        <v>79</v>
      </c>
      <c r="D6" s="103" t="s">
        <v>45</v>
      </c>
      <c r="E6" s="104" t="s">
        <v>45</v>
      </c>
      <c r="F6" s="105" t="s">
        <v>80</v>
      </c>
      <c r="G6" s="104" t="s">
        <v>45</v>
      </c>
      <c r="H6" s="104" t="s">
        <v>45</v>
      </c>
      <c r="I6" s="106" t="s">
        <v>80</v>
      </c>
    </row>
    <row r="7" spans="1:9">
      <c r="A7" s="101"/>
      <c r="B7" s="44" t="s">
        <v>48</v>
      </c>
      <c r="C7" s="107">
        <f>PotR!I7</f>
        <v>119.46519022447126</v>
      </c>
      <c r="D7" s="108">
        <v>48800388.223946497</v>
      </c>
      <c r="E7" s="109">
        <f>PotR!F7</f>
        <v>50719022.409677662</v>
      </c>
      <c r="F7" s="110">
        <f t="shared" ref="F7:F33" si="0">E7/D7-1</f>
        <v>3.9315961523225917E-2</v>
      </c>
      <c r="G7" s="47">
        <f t="shared" ref="G7:G32" si="1">IF($C7&gt;100,D7,"")</f>
        <v>48800388.223946497</v>
      </c>
      <c r="H7" s="47">
        <f t="shared" ref="H7:H32" si="2">IF($C7&gt;100,E7,"")</f>
        <v>50719022.409677662</v>
      </c>
      <c r="I7" s="111">
        <f t="shared" ref="I7:I32" si="3">IF(C7&gt;=100,H7/G7-1,"")</f>
        <v>3.9315961523225917E-2</v>
      </c>
    </row>
    <row r="8" spans="1:9">
      <c r="A8" s="101"/>
      <c r="B8" s="112" t="s">
        <v>49</v>
      </c>
      <c r="C8" s="113">
        <f>PotR!I8</f>
        <v>74.337954398278399</v>
      </c>
      <c r="D8" s="114">
        <v>22145729.727938499</v>
      </c>
      <c r="E8" s="115">
        <f>PotR!F8</f>
        <v>22482026.404782902</v>
      </c>
      <c r="F8" s="116">
        <f t="shared" si="0"/>
        <v>1.5185621832101592E-2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>
      <c r="A9" s="101"/>
      <c r="B9" s="118" t="s">
        <v>50</v>
      </c>
      <c r="C9" s="119">
        <f>PotR!I9</f>
        <v>79.646478789469271</v>
      </c>
      <c r="D9" s="120">
        <v>8883988.0156796295</v>
      </c>
      <c r="E9" s="121">
        <f>PotR!F9</f>
        <v>9204833.8826051727</v>
      </c>
      <c r="F9" s="122">
        <f t="shared" si="0"/>
        <v>3.6115072010371119E-2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>
      <c r="A10" s="101"/>
      <c r="B10" s="112" t="s">
        <v>51</v>
      </c>
      <c r="C10" s="113">
        <f>PotR!I10</f>
        <v>61.627136388815451</v>
      </c>
      <c r="D10" s="114">
        <v>645349.21042647597</v>
      </c>
      <c r="E10" s="115">
        <f>PotR!F10</f>
        <v>664542.22616392933</v>
      </c>
      <c r="F10" s="116">
        <f t="shared" si="0"/>
        <v>2.9740511690980131E-2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>
      <c r="A11" s="101"/>
      <c r="B11" s="118" t="s">
        <v>52</v>
      </c>
      <c r="C11" s="119">
        <f>PotR!I11</f>
        <v>165.92381037734603</v>
      </c>
      <c r="D11" s="120">
        <v>6929441.4118216997</v>
      </c>
      <c r="E11" s="121">
        <f>PotR!F11</f>
        <v>7434142.0192900868</v>
      </c>
      <c r="F11" s="122">
        <f t="shared" si="0"/>
        <v>7.2834241243076692E-2</v>
      </c>
      <c r="G11" s="56">
        <f t="shared" si="1"/>
        <v>6929441.4118216997</v>
      </c>
      <c r="H11" s="56">
        <f t="shared" si="2"/>
        <v>7434142.0192900868</v>
      </c>
      <c r="I11" s="123">
        <f t="shared" si="3"/>
        <v>7.2834241243076692E-2</v>
      </c>
    </row>
    <row r="12" spans="1:9">
      <c r="A12" s="101"/>
      <c r="B12" s="112" t="s">
        <v>53</v>
      </c>
      <c r="C12" s="113">
        <f>PotR!I12</f>
        <v>86.874240208110066</v>
      </c>
      <c r="D12" s="114">
        <v>894507.35719573195</v>
      </c>
      <c r="E12" s="115">
        <f>PotR!F12</f>
        <v>943386.52146386367</v>
      </c>
      <c r="F12" s="116">
        <f t="shared" si="0"/>
        <v>5.4643669361610581E-2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>
      <c r="A13" s="101"/>
      <c r="B13" s="118" t="s">
        <v>54</v>
      </c>
      <c r="C13" s="119">
        <f>PotR!I13</f>
        <v>130.48482918400509</v>
      </c>
      <c r="D13" s="120">
        <v>1549991.1497007201</v>
      </c>
      <c r="E13" s="121">
        <f>PotR!F13</f>
        <v>1628241.06308378</v>
      </c>
      <c r="F13" s="122">
        <f t="shared" si="0"/>
        <v>5.0484103343537701E-2</v>
      </c>
      <c r="G13" s="56">
        <f t="shared" si="1"/>
        <v>1549991.1497007201</v>
      </c>
      <c r="H13" s="56">
        <f t="shared" si="2"/>
        <v>1628241.06308378</v>
      </c>
      <c r="I13" s="123">
        <f t="shared" si="3"/>
        <v>5.0484103343537701E-2</v>
      </c>
    </row>
    <row r="14" spans="1:9">
      <c r="A14" s="101"/>
      <c r="B14" s="112" t="s">
        <v>55</v>
      </c>
      <c r="C14" s="113">
        <f>PotR!I14</f>
        <v>68.909997237346914</v>
      </c>
      <c r="D14" s="114">
        <v>795460.92661928805</v>
      </c>
      <c r="E14" s="115">
        <f>PotR!F14</f>
        <v>820188.0549289803</v>
      </c>
      <c r="F14" s="116">
        <f t="shared" si="0"/>
        <v>3.1085283364932437E-2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>
      <c r="A15" s="101"/>
      <c r="B15" s="118" t="s">
        <v>56</v>
      </c>
      <c r="C15" s="119">
        <f>PotR!I15</f>
        <v>261.42334217258576</v>
      </c>
      <c r="D15" s="120">
        <v>8227409.7554431902</v>
      </c>
      <c r="E15" s="121">
        <f>PotR!F15</f>
        <v>9062204.0551945288</v>
      </c>
      <c r="F15" s="122">
        <f t="shared" si="0"/>
        <v>0.10146502053079898</v>
      </c>
      <c r="G15" s="56">
        <f t="shared" si="1"/>
        <v>8227409.7554431902</v>
      </c>
      <c r="H15" s="56">
        <f t="shared" si="2"/>
        <v>9062204.0551945288</v>
      </c>
      <c r="I15" s="123">
        <f t="shared" si="3"/>
        <v>0.10146502053079898</v>
      </c>
    </row>
    <row r="16" spans="1:9">
      <c r="A16" s="101"/>
      <c r="B16" s="112" t="s">
        <v>57</v>
      </c>
      <c r="C16" s="113">
        <f>PotR!I16</f>
        <v>77.002966187464907</v>
      </c>
      <c r="D16" s="114">
        <v>6275083.1018756405</v>
      </c>
      <c r="E16" s="115">
        <f>PotR!F16</f>
        <v>6595087.0579382097</v>
      </c>
      <c r="F16" s="116">
        <f t="shared" si="0"/>
        <v>5.0995971028163556E-2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>
      <c r="A17" s="101"/>
      <c r="B17" s="118" t="s">
        <v>58</v>
      </c>
      <c r="C17" s="119">
        <f>PotR!I17</f>
        <v>78.291458019261654</v>
      </c>
      <c r="D17" s="120">
        <v>6079451.7452851096</v>
      </c>
      <c r="E17" s="121">
        <f>PotR!F17</f>
        <v>6120220.4138333062</v>
      </c>
      <c r="F17" s="122">
        <f t="shared" si="0"/>
        <v>6.7059778177882556E-3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>
      <c r="A18" s="101"/>
      <c r="B18" s="112" t="s">
        <v>59</v>
      </c>
      <c r="C18" s="113">
        <f>PotR!I18</f>
        <v>143.55154283830424</v>
      </c>
      <c r="D18" s="114">
        <v>8519684.7814415209</v>
      </c>
      <c r="E18" s="115">
        <f>PotR!F18</f>
        <v>8443712.8413226064</v>
      </c>
      <c r="F18" s="116">
        <f t="shared" si="0"/>
        <v>-8.9172242950120717E-3</v>
      </c>
      <c r="G18" s="52">
        <f t="shared" si="1"/>
        <v>8519684.7814415209</v>
      </c>
      <c r="H18" s="52">
        <f t="shared" si="2"/>
        <v>8443712.8413226064</v>
      </c>
      <c r="I18" s="117">
        <f t="shared" si="3"/>
        <v>-8.9172242950120717E-3</v>
      </c>
    </row>
    <row r="19" spans="1:9">
      <c r="A19" s="101"/>
      <c r="B19" s="118" t="s">
        <v>60</v>
      </c>
      <c r="C19" s="119">
        <f>PotR!I19</f>
        <v>100.14465775670496</v>
      </c>
      <c r="D19" s="120">
        <v>8360447.5665436704</v>
      </c>
      <c r="E19" s="121">
        <f>PotR!F19</f>
        <v>8411068.6833935957</v>
      </c>
      <c r="F19" s="122">
        <f t="shared" si="0"/>
        <v>6.0548333623307027E-3</v>
      </c>
      <c r="G19" s="56">
        <f t="shared" si="1"/>
        <v>8360447.5665436704</v>
      </c>
      <c r="H19" s="56">
        <f t="shared" si="2"/>
        <v>8411068.6833935957</v>
      </c>
      <c r="I19" s="123">
        <f t="shared" si="3"/>
        <v>6.0548333623307027E-3</v>
      </c>
    </row>
    <row r="20" spans="1:9">
      <c r="A20" s="101"/>
      <c r="B20" s="112" t="s">
        <v>61</v>
      </c>
      <c r="C20" s="113">
        <f>PotR!I20</f>
        <v>101.86567648198492</v>
      </c>
      <c r="D20" s="114">
        <v>2386255.1652582302</v>
      </c>
      <c r="E20" s="115">
        <f>PotR!F20</f>
        <v>2392581.7206267165</v>
      </c>
      <c r="F20" s="116">
        <f t="shared" si="0"/>
        <v>2.6512484752658771E-3</v>
      </c>
      <c r="G20" s="52">
        <f t="shared" si="1"/>
        <v>2386255.1652582302</v>
      </c>
      <c r="H20" s="52">
        <f t="shared" si="2"/>
        <v>2392581.7206267165</v>
      </c>
      <c r="I20" s="117">
        <f t="shared" si="3"/>
        <v>2.6512484752658771E-3</v>
      </c>
    </row>
    <row r="21" spans="1:9">
      <c r="A21" s="101"/>
      <c r="B21" s="118" t="s">
        <v>62</v>
      </c>
      <c r="C21" s="119">
        <f>PotR!I21</f>
        <v>84.350318834969372</v>
      </c>
      <c r="D21" s="120">
        <v>1354692.9800766399</v>
      </c>
      <c r="E21" s="121">
        <f>PotR!F21</f>
        <v>1370667.7596153168</v>
      </c>
      <c r="F21" s="122">
        <f t="shared" si="0"/>
        <v>1.1792177101097145E-2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>
      <c r="A22" s="101"/>
      <c r="B22" s="112" t="s">
        <v>63</v>
      </c>
      <c r="C22" s="113">
        <f>PotR!I22</f>
        <v>82.831058059409713</v>
      </c>
      <c r="D22" s="114">
        <v>395189.05766692798</v>
      </c>
      <c r="E22" s="115">
        <f>PotR!F22</f>
        <v>399519.87426242401</v>
      </c>
      <c r="F22" s="116">
        <f t="shared" si="0"/>
        <v>1.0958847446495223E-2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>
      <c r="A23" s="101"/>
      <c r="B23" s="118" t="s">
        <v>64</v>
      </c>
      <c r="C23" s="119">
        <f>PotR!I23</f>
        <v>78.976148815566859</v>
      </c>
      <c r="D23" s="120">
        <v>11438476.499008</v>
      </c>
      <c r="E23" s="121">
        <f>PotR!F23</f>
        <v>11611431.6265487</v>
      </c>
      <c r="F23" s="122">
        <f t="shared" si="0"/>
        <v>1.5120468845278401E-2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>
      <c r="A24" s="101"/>
      <c r="B24" s="112" t="s">
        <v>65</v>
      </c>
      <c r="C24" s="113">
        <f>PotR!I24</f>
        <v>81.39956385131525</v>
      </c>
      <c r="D24" s="114">
        <v>4981298.9978407398</v>
      </c>
      <c r="E24" s="115">
        <f>PotR!F24</f>
        <v>4932726.4608513666</v>
      </c>
      <c r="F24" s="116">
        <f t="shared" si="0"/>
        <v>-9.7509780100387689E-3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>
      <c r="A25" s="101"/>
      <c r="B25" s="118" t="s">
        <v>66</v>
      </c>
      <c r="C25" s="119">
        <f>PotR!I25</f>
        <v>89.193880959034772</v>
      </c>
      <c r="D25" s="120">
        <v>16132902.636602201</v>
      </c>
      <c r="E25" s="121">
        <f>PotR!F25</f>
        <v>16626624.672831865</v>
      </c>
      <c r="F25" s="122">
        <f t="shared" si="0"/>
        <v>3.0603422542792247E-2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>
      <c r="A26" s="101"/>
      <c r="B26" s="112" t="s">
        <v>67</v>
      </c>
      <c r="C26" s="113">
        <f>PotR!I26</f>
        <v>77.390520767231493</v>
      </c>
      <c r="D26" s="114">
        <v>5779341.3000573199</v>
      </c>
      <c r="E26" s="115">
        <f>PotR!F26</f>
        <v>5892328.9391780673</v>
      </c>
      <c r="F26" s="116">
        <f t="shared" si="0"/>
        <v>1.9550262435552357E-2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>
      <c r="A27" s="101"/>
      <c r="B27" s="118" t="s">
        <v>68</v>
      </c>
      <c r="C27" s="119">
        <f>PotR!I27</f>
        <v>98.497104829420564</v>
      </c>
      <c r="D27" s="120">
        <v>10221495.1063824</v>
      </c>
      <c r="E27" s="121">
        <f>PotR!F27</f>
        <v>10170230.88040971</v>
      </c>
      <c r="F27" s="122">
        <f t="shared" si="0"/>
        <v>-5.0153353730688632E-3</v>
      </c>
      <c r="G27" s="56" t="str">
        <f t="shared" si="1"/>
        <v/>
      </c>
      <c r="H27" s="56" t="str">
        <f t="shared" si="2"/>
        <v/>
      </c>
      <c r="I27" s="123" t="str">
        <f t="shared" si="3"/>
        <v/>
      </c>
    </row>
    <row r="28" spans="1:9">
      <c r="A28" s="101"/>
      <c r="B28" s="112" t="s">
        <v>69</v>
      </c>
      <c r="C28" s="113">
        <f>PotR!I28</f>
        <v>106.50646116242855</v>
      </c>
      <c r="D28" s="114">
        <v>23178493.355055802</v>
      </c>
      <c r="E28" s="115">
        <f>PotR!F28</f>
        <v>23444021.009529736</v>
      </c>
      <c r="F28" s="116">
        <f t="shared" si="0"/>
        <v>1.1455777146792689E-2</v>
      </c>
      <c r="G28" s="52">
        <f t="shared" si="1"/>
        <v>23178493.355055802</v>
      </c>
      <c r="H28" s="52">
        <f t="shared" si="2"/>
        <v>23444021.009529736</v>
      </c>
      <c r="I28" s="117">
        <f t="shared" si="3"/>
        <v>1.1455777146792689E-2</v>
      </c>
    </row>
    <row r="29" spans="1:9">
      <c r="A29" s="101"/>
      <c r="B29" s="118" t="s">
        <v>70</v>
      </c>
      <c r="C29" s="119">
        <f>PotR!I29</f>
        <v>68.773976655229106</v>
      </c>
      <c r="D29" s="120">
        <v>6527088.6600920102</v>
      </c>
      <c r="E29" s="121">
        <f>PotR!F29</f>
        <v>6601147.6954294741</v>
      </c>
      <c r="F29" s="122">
        <f t="shared" si="0"/>
        <v>1.1346411730282835E-2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>
      <c r="A30" s="101"/>
      <c r="B30" s="112" t="s">
        <v>71</v>
      </c>
      <c r="C30" s="113">
        <f>PotR!I30</f>
        <v>88.094033439980478</v>
      </c>
      <c r="D30" s="114">
        <v>4709885.4659601999</v>
      </c>
      <c r="E30" s="115">
        <f>PotR!F30</f>
        <v>4676899.1962643201</v>
      </c>
      <c r="F30" s="116">
        <f t="shared" si="0"/>
        <v>-7.0036245964539834E-3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>
      <c r="A31" s="101"/>
      <c r="B31" s="118" t="s">
        <v>72</v>
      </c>
      <c r="C31" s="119">
        <f>PotR!I31</f>
        <v>144.9429331461065</v>
      </c>
      <c r="D31" s="120">
        <v>20237483.327535801</v>
      </c>
      <c r="E31" s="121">
        <f>PotR!F31</f>
        <v>20423279.936289299</v>
      </c>
      <c r="F31" s="122">
        <f t="shared" si="0"/>
        <v>9.1808159021777858E-3</v>
      </c>
      <c r="G31" s="56">
        <f t="shared" si="1"/>
        <v>20237483.327535801</v>
      </c>
      <c r="H31" s="56">
        <f t="shared" si="2"/>
        <v>20423279.936289299</v>
      </c>
      <c r="I31" s="123">
        <f t="shared" si="3"/>
        <v>9.1808159021777858E-3</v>
      </c>
    </row>
    <row r="32" spans="1:9">
      <c r="A32" s="124"/>
      <c r="B32" s="125" t="s">
        <v>73</v>
      </c>
      <c r="C32" s="126">
        <f>PotR!I32</f>
        <v>62.734020292939029</v>
      </c>
      <c r="D32" s="127">
        <v>1304397.1235931399</v>
      </c>
      <c r="E32" s="128">
        <f>PotR!F32</f>
        <v>1337557.4447331366</v>
      </c>
      <c r="F32" s="129">
        <f t="shared" si="0"/>
        <v>2.5421952057554487E-2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8" t="s">
        <v>74</v>
      </c>
      <c r="C33" s="132">
        <f>PotR!I33</f>
        <v>100</v>
      </c>
      <c r="D33" s="133">
        <f>SUM(D7:D32)</f>
        <v>236753932.64904708</v>
      </c>
      <c r="E33" s="134">
        <f>SUM(E7:E32)</f>
        <v>242407692.85024878</v>
      </c>
      <c r="F33" s="135">
        <f t="shared" si="0"/>
        <v>2.3880322231363271E-2</v>
      </c>
      <c r="G33" s="59">
        <f>SUM(G7:G32)</f>
        <v>128189594.73674715</v>
      </c>
      <c r="H33" s="59">
        <f>SUM(H7:H32)</f>
        <v>131958273.73840801</v>
      </c>
      <c r="I33" s="136">
        <f>IF(H33&gt;0,H33/G33-1,0)</f>
        <v>2.9399258258053784E-2</v>
      </c>
    </row>
    <row r="34" spans="1:9">
      <c r="A34" s="137"/>
      <c r="B34" s="69"/>
      <c r="C34" s="69"/>
      <c r="D34" s="69"/>
    </row>
    <row r="35" spans="1:9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4" t="str">
        <f>"Progression des dotations de la péréquation des ressources "&amp;Info!C30</f>
        <v>Progression des dotations de la péréquation des ressources 2015</v>
      </c>
      <c r="C1" s="1"/>
      <c r="D1" s="1"/>
      <c r="E1" s="1"/>
      <c r="F1" s="1"/>
    </row>
    <row r="2" spans="2:8">
      <c r="B2" s="138" t="s">
        <v>81</v>
      </c>
      <c r="C2" s="1"/>
      <c r="D2" s="1"/>
      <c r="E2" s="1"/>
      <c r="F2" s="1"/>
      <c r="H2" s="69"/>
    </row>
    <row r="3" spans="2:8">
      <c r="B3" s="1"/>
      <c r="C3" s="1"/>
      <c r="D3" s="1"/>
      <c r="E3" s="1"/>
      <c r="F3" s="1"/>
      <c r="G3" s="23" t="str">
        <f>Info!C28</f>
        <v>FA_2015_20140616</v>
      </c>
      <c r="H3" s="69"/>
    </row>
    <row r="4" spans="2:8" ht="24.75" customHeight="1">
      <c r="B4" s="139" t="s">
        <v>82</v>
      </c>
      <c r="C4" s="140">
        <f>G4-1</f>
        <v>2014</v>
      </c>
      <c r="D4" s="141" t="s">
        <v>83</v>
      </c>
      <c r="E4" s="142" t="s">
        <v>84</v>
      </c>
      <c r="F4" s="142" t="s">
        <v>85</v>
      </c>
      <c r="G4" s="143">
        <f>Info!C30</f>
        <v>2015</v>
      </c>
      <c r="H4" s="69"/>
    </row>
    <row r="5" spans="2:8">
      <c r="B5" s="44" t="s">
        <v>86</v>
      </c>
      <c r="C5" s="45">
        <v>2220010106.8862801</v>
      </c>
      <c r="D5" s="144">
        <f>Taux_de_croissance!F33</f>
        <v>2.3880322231363271E-2</v>
      </c>
      <c r="E5" s="47">
        <f>C5*(1+D5)</f>
        <v>2273024663.5956078</v>
      </c>
      <c r="F5" s="45">
        <v>0</v>
      </c>
      <c r="G5" s="145">
        <f>E5+F5</f>
        <v>2273024663.5956078</v>
      </c>
      <c r="H5" s="69"/>
    </row>
    <row r="6" spans="2:8">
      <c r="B6" s="96" t="s">
        <v>87</v>
      </c>
      <c r="C6" s="146">
        <v>1507952064.95363</v>
      </c>
      <c r="D6" s="147">
        <f>Taux_de_croissance!I33</f>
        <v>2.9399258258053784E-2</v>
      </c>
      <c r="E6" s="148">
        <f>C6*(1+D6)</f>
        <v>1552284737.1519673</v>
      </c>
      <c r="F6" s="146">
        <v>0</v>
      </c>
      <c r="G6" s="149">
        <f>E6+F6</f>
        <v>1552284737.1519673</v>
      </c>
      <c r="H6" s="69"/>
    </row>
    <row r="7" spans="2:8">
      <c r="B7" s="150"/>
      <c r="C7" s="69"/>
      <c r="D7" s="69"/>
      <c r="E7" s="1"/>
      <c r="F7" s="1"/>
      <c r="H7" s="69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1"/>
      <c r="F10" s="1"/>
    </row>
    <row r="11" spans="2:8">
      <c r="B11" s="138"/>
      <c r="C11" s="152"/>
      <c r="D11" s="152"/>
      <c r="E11" s="151"/>
      <c r="F11" s="153"/>
      <c r="G11" s="153"/>
    </row>
    <row r="12" spans="2:8">
      <c r="B12" s="139" t="s">
        <v>88</v>
      </c>
      <c r="C12" s="154">
        <f>C4</f>
        <v>2014</v>
      </c>
      <c r="D12" s="155">
        <f>G4</f>
        <v>2015</v>
      </c>
      <c r="E12" s="151"/>
      <c r="F12" s="153"/>
      <c r="G12" s="153"/>
    </row>
    <row r="13" spans="2:8">
      <c r="B13" s="118" t="s">
        <v>89</v>
      </c>
      <c r="C13" s="56">
        <f>0.8*C$5</f>
        <v>1776008085.5090241</v>
      </c>
      <c r="D13" s="90">
        <f>0.8*G5</f>
        <v>1818419730.8764863</v>
      </c>
      <c r="E13" s="151"/>
      <c r="F13" s="153"/>
      <c r="G13" s="153"/>
    </row>
    <row r="14" spans="2:8">
      <c r="B14" s="156" t="s">
        <v>90</v>
      </c>
      <c r="C14" s="157">
        <f>C6/C5</f>
        <v>0.67925459450661629</v>
      </c>
      <c r="D14" s="158">
        <f>G6/G5</f>
        <v>0.68291592344469743</v>
      </c>
      <c r="E14" s="1"/>
      <c r="F14" s="1"/>
    </row>
    <row r="15" spans="2:8">
      <c r="B15" s="96" t="s">
        <v>91</v>
      </c>
      <c r="C15" s="148">
        <f>(2/3)*C$5</f>
        <v>1480006737.9241867</v>
      </c>
      <c r="D15" s="159">
        <f>(2/3)*G5</f>
        <v>1515349775.7304051</v>
      </c>
      <c r="E15" s="1"/>
      <c r="F15" s="1"/>
    </row>
    <row r="16" spans="2:8">
      <c r="B16" s="160" t="s">
        <v>92</v>
      </c>
      <c r="E16" s="1"/>
      <c r="F16" s="1"/>
    </row>
    <row r="17" spans="2:6">
      <c r="B17" s="161" t="s">
        <v>93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8"/>
      <c r="C22" s="1"/>
      <c r="D22" s="1"/>
      <c r="E22" s="1"/>
      <c r="F22" s="1"/>
    </row>
    <row r="23" spans="2:6" ht="15.75" customHeight="1">
      <c r="B23" s="162" t="str">
        <f>"Dotations "&amp;G4</f>
        <v>Dotations 2015</v>
      </c>
      <c r="C23" s="163"/>
      <c r="D23" s="164"/>
      <c r="E23" s="1"/>
      <c r="F23" s="1"/>
    </row>
    <row r="24" spans="2:6" ht="15.75" customHeight="1">
      <c r="B24" s="165" t="s">
        <v>86</v>
      </c>
      <c r="C24" s="166"/>
      <c r="D24" s="167">
        <f>G5</f>
        <v>2273024663.5956078</v>
      </c>
      <c r="E24" s="1"/>
      <c r="F24" s="1"/>
    </row>
    <row r="25" spans="2:6" ht="15.75" customHeight="1">
      <c r="B25" s="165" t="s">
        <v>87</v>
      </c>
      <c r="C25" s="166"/>
      <c r="D25" s="167">
        <f>IF(G6&gt;D13,D13,IF(G6&lt;D15,D15,G6))</f>
        <v>1552284737.1519673</v>
      </c>
      <c r="E25" s="1"/>
      <c r="F25" s="1"/>
    </row>
    <row r="26" spans="2:6" ht="20.25" customHeight="1">
      <c r="B26" s="168" t="s">
        <v>94</v>
      </c>
      <c r="C26" s="169"/>
      <c r="D26" s="170">
        <f>D24+D25</f>
        <v>3825309400.7475748</v>
      </c>
      <c r="E26" s="1"/>
      <c r="F26" s="1"/>
    </row>
    <row r="27" spans="2:6" ht="25.5" customHeight="1">
      <c r="B27" s="1"/>
      <c r="C27" s="1"/>
      <c r="D27" s="1"/>
      <c r="E27" s="1"/>
      <c r="F27" s="1"/>
    </row>
    <row r="28" spans="2:6">
      <c r="B28" s="311" t="str">
        <f>"Taux de croissance effectif* "&amp;C4&amp;"-"&amp;G4</f>
        <v>Taux de croissance effectif* 2014-2015</v>
      </c>
      <c r="C28" s="312"/>
      <c r="D28" s="1"/>
      <c r="E28" s="1"/>
      <c r="F28" s="1"/>
    </row>
    <row r="29" spans="2:6">
      <c r="B29" s="171" t="s">
        <v>86</v>
      </c>
      <c r="C29" s="111">
        <f>D24/C5-1</f>
        <v>2.3880322231363271E-2</v>
      </c>
      <c r="D29" s="1"/>
      <c r="E29" s="1"/>
      <c r="F29" s="1"/>
    </row>
    <row r="30" spans="2:6">
      <c r="B30" s="172" t="s">
        <v>87</v>
      </c>
      <c r="C30" s="173">
        <f>D25/C6-1</f>
        <v>2.9399258258053784E-2</v>
      </c>
      <c r="D30" s="1"/>
      <c r="E30" s="1"/>
      <c r="F30" s="1"/>
    </row>
    <row r="31" spans="2:6" ht="17.25" customHeight="1">
      <c r="B31" s="174" t="s">
        <v>94</v>
      </c>
      <c r="C31" s="175">
        <f>D26/(C5+C6)-1</f>
        <v>2.6112719072902912E-2</v>
      </c>
      <c r="D31" s="1"/>
      <c r="E31" s="1"/>
      <c r="F31" s="1"/>
    </row>
    <row r="32" spans="2:6">
      <c r="B32" s="36" t="s">
        <v>95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>
      <c r="A1" s="95" t="str">
        <f>"Montants versés par les cantons à fort potentiel de ressources "&amp;Info!C30</f>
        <v>Montants versés par les cantons à fort potentiel de ressources 2015</v>
      </c>
      <c r="B1" s="95"/>
      <c r="C1" s="95"/>
      <c r="D1" s="95"/>
      <c r="E1" s="95"/>
      <c r="F1" s="95"/>
    </row>
    <row r="2" spans="1:6" ht="18.75" customHeight="1">
      <c r="F2" s="23" t="str">
        <f>Info!$C$28</f>
        <v>FA_2015_20140616</v>
      </c>
    </row>
    <row r="3" spans="1:6" s="2" customFormat="1">
      <c r="A3" s="62" t="s">
        <v>28</v>
      </c>
      <c r="B3" s="176" t="s">
        <v>96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>
      <c r="A4" s="177" t="s">
        <v>36</v>
      </c>
      <c r="B4" s="178"/>
      <c r="C4" s="179"/>
      <c r="D4" s="179" t="s">
        <v>97</v>
      </c>
      <c r="E4" s="179" t="s">
        <v>98</v>
      </c>
      <c r="F4" s="180" t="s">
        <v>99</v>
      </c>
    </row>
    <row r="5" spans="1:6" ht="28.5" customHeight="1">
      <c r="A5" s="181"/>
      <c r="B5" s="182" t="s">
        <v>42</v>
      </c>
      <c r="C5" s="182" t="s">
        <v>7</v>
      </c>
      <c r="D5" s="183" t="s">
        <v>100</v>
      </c>
      <c r="E5" s="183" t="s">
        <v>101</v>
      </c>
      <c r="F5" s="184" t="s">
        <v>102</v>
      </c>
    </row>
    <row r="6" spans="1:6">
      <c r="A6" s="77" t="s">
        <v>44</v>
      </c>
      <c r="B6" s="185" t="s">
        <v>79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PotR!I7</f>
        <v>119.46519022447126</v>
      </c>
      <c r="C7" s="190">
        <f>PotR!G7</f>
        <v>1381674</v>
      </c>
      <c r="D7" s="191">
        <f t="shared" ref="D7:D32" si="0">IF(B7&gt;100,(B7-100)*C7,0)</f>
        <v>26894547.2382061</v>
      </c>
      <c r="E7" s="191">
        <f t="shared" ref="E7:E32" si="1">IF(B7&gt;100,A/$D$33*(B7-100),0)</f>
        <v>336.679940636293</v>
      </c>
      <c r="F7" s="192">
        <f t="shared" ref="F7:F32" si="2">E7*C7</f>
        <v>465181920.29870951</v>
      </c>
    </row>
    <row r="8" spans="1:6" s="187" customFormat="1" ht="15" customHeight="1">
      <c r="A8" s="193" t="s">
        <v>49</v>
      </c>
      <c r="B8" s="194">
        <f>PotR!I8</f>
        <v>74.337954398278399</v>
      </c>
      <c r="C8" s="195">
        <f>PotR!G8</f>
        <v>984239.83333333337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PotR!I9</f>
        <v>79.646478789469271</v>
      </c>
      <c r="C9" s="190">
        <f>PotR!G9</f>
        <v>376119.16666666669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PotR!I10</f>
        <v>61.627136388815451</v>
      </c>
      <c r="C10" s="195">
        <f>PotR!G10</f>
        <v>35093.5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PotR!I11</f>
        <v>165.92381037734603</v>
      </c>
      <c r="C11" s="190">
        <f>PotR!G11</f>
        <v>145813.66666666666</v>
      </c>
      <c r="D11" s="191">
        <f t="shared" si="0"/>
        <v>9612592.5117588751</v>
      </c>
      <c r="E11" s="191">
        <f t="shared" si="1"/>
        <v>1140.2521274341154</v>
      </c>
      <c r="F11" s="192">
        <f t="shared" si="2"/>
        <v>166264343.62563562</v>
      </c>
    </row>
    <row r="12" spans="1:6" s="187" customFormat="1" ht="15" customHeight="1">
      <c r="A12" s="193" t="s">
        <v>53</v>
      </c>
      <c r="B12" s="194">
        <f>PotR!I12</f>
        <v>86.874240208110066</v>
      </c>
      <c r="C12" s="195">
        <f>PotR!G12</f>
        <v>35340.666666666664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PotR!I13</f>
        <v>130.48482918400509</v>
      </c>
      <c r="C13" s="190">
        <f>PotR!G13</f>
        <v>40610.166666666664</v>
      </c>
      <c r="D13" s="191">
        <f t="shared" si="0"/>
        <v>1237993.9939673108</v>
      </c>
      <c r="E13" s="191">
        <f t="shared" si="1"/>
        <v>527.28128323529711</v>
      </c>
      <c r="F13" s="192">
        <f t="shared" si="2"/>
        <v>21412980.792399287</v>
      </c>
    </row>
    <row r="14" spans="1:6" s="187" customFormat="1" ht="15" customHeight="1">
      <c r="A14" s="193" t="s">
        <v>55</v>
      </c>
      <c r="B14" s="194">
        <f>PotR!I14</f>
        <v>68.909997237346914</v>
      </c>
      <c r="C14" s="195">
        <f>PotR!G14</f>
        <v>38735.333333333336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PotR!I15</f>
        <v>261.42334217258576</v>
      </c>
      <c r="C15" s="190">
        <f>PotR!G15</f>
        <v>112814.66666666667</v>
      </c>
      <c r="D15" s="191">
        <f t="shared" si="0"/>
        <v>18210920.539419539</v>
      </c>
      <c r="E15" s="191">
        <f t="shared" si="1"/>
        <v>2792.0611426469873</v>
      </c>
      <c r="F15" s="192">
        <f t="shared" si="2"/>
        <v>314985447.12067235</v>
      </c>
    </row>
    <row r="16" spans="1:6" s="187" customFormat="1" ht="15" customHeight="1">
      <c r="A16" s="193" t="s">
        <v>57</v>
      </c>
      <c r="B16" s="194">
        <f>PotR!I16</f>
        <v>77.002966187464907</v>
      </c>
      <c r="C16" s="195">
        <f>PotR!G16</f>
        <v>278733.5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PotR!I17</f>
        <v>78.291458019261654</v>
      </c>
      <c r="C17" s="190">
        <f>PotR!G17</f>
        <v>254406.83333333334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PotR!I18</f>
        <v>143.55154283830424</v>
      </c>
      <c r="C18" s="195">
        <f>PotR!G18</f>
        <v>191426.33333333334</v>
      </c>
      <c r="D18" s="196">
        <f t="shared" si="0"/>
        <v>8336912.1565461745</v>
      </c>
      <c r="E18" s="196">
        <f t="shared" si="1"/>
        <v>753.28988251988892</v>
      </c>
      <c r="F18" s="197">
        <f t="shared" si="2"/>
        <v>144199520.14787978</v>
      </c>
    </row>
    <row r="19" spans="1:6" s="187" customFormat="1" ht="15" customHeight="1">
      <c r="A19" s="188" t="s">
        <v>60</v>
      </c>
      <c r="B19" s="189">
        <f>PotR!I19</f>
        <v>100.14465775670496</v>
      </c>
      <c r="C19" s="190">
        <f>PotR!G19</f>
        <v>273337.66666666669</v>
      </c>
      <c r="D19" s="191">
        <f t="shared" si="0"/>
        <v>39540.413682967774</v>
      </c>
      <c r="E19" s="191">
        <f t="shared" si="1"/>
        <v>2.5020749542316776</v>
      </c>
      <c r="F19" s="192">
        <f t="shared" si="2"/>
        <v>683911.32981479354</v>
      </c>
    </row>
    <row r="20" spans="1:6" s="187" customFormat="1" ht="15" customHeight="1">
      <c r="A20" s="193" t="s">
        <v>61</v>
      </c>
      <c r="B20" s="194">
        <f>PotR!I20</f>
        <v>101.86567648198492</v>
      </c>
      <c r="C20" s="195">
        <f>PotR!G20</f>
        <v>76439</v>
      </c>
      <c r="D20" s="196">
        <f t="shared" si="0"/>
        <v>142610.44460644529</v>
      </c>
      <c r="E20" s="196">
        <f t="shared" si="1"/>
        <v>32.269699908276813</v>
      </c>
      <c r="F20" s="197">
        <f t="shared" si="2"/>
        <v>2466663.5912887715</v>
      </c>
    </row>
    <row r="21" spans="1:6" s="187" customFormat="1" ht="15" customHeight="1">
      <c r="A21" s="188" t="s">
        <v>62</v>
      </c>
      <c r="B21" s="189">
        <f>PotR!I21</f>
        <v>84.350318834969372</v>
      </c>
      <c r="C21" s="190">
        <f>PotR!G21</f>
        <v>52883.666666666664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PotR!I22</f>
        <v>82.831058059409713</v>
      </c>
      <c r="C22" s="195">
        <f>PotR!G22</f>
        <v>15697.166666666666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PotR!I23</f>
        <v>78.976148815566859</v>
      </c>
      <c r="C23" s="190">
        <f>PotR!G23</f>
        <v>478482.33333333331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PotR!I24</f>
        <v>81.39956385131525</v>
      </c>
      <c r="C24" s="195">
        <f>PotR!G24</f>
        <v>197215.5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PotR!I25</f>
        <v>89.193880959034772</v>
      </c>
      <c r="C25" s="190">
        <f>PotR!G25</f>
        <v>606659.66666666663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PotR!I26</f>
        <v>77.390520767231493</v>
      </c>
      <c r="C26" s="195">
        <f>PotR!G26</f>
        <v>247785.16666666666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PotR!I27</f>
        <v>98.497104829420564</v>
      </c>
      <c r="C27" s="190">
        <f>PotR!G27</f>
        <v>336034.16666666669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69</v>
      </c>
      <c r="B28" s="194">
        <f>PotR!I28</f>
        <v>106.50646116242855</v>
      </c>
      <c r="C28" s="195">
        <f>PotR!G28</f>
        <v>716361.5</v>
      </c>
      <c r="D28" s="196">
        <f t="shared" si="0"/>
        <v>4660978.2780090598</v>
      </c>
      <c r="E28" s="196">
        <f t="shared" si="1"/>
        <v>112.53909839343963</v>
      </c>
      <c r="F28" s="197">
        <f t="shared" si="2"/>
        <v>80618677.333772004</v>
      </c>
    </row>
    <row r="29" spans="1:6" s="187" customFormat="1" ht="15" customHeight="1">
      <c r="A29" s="188" t="s">
        <v>70</v>
      </c>
      <c r="B29" s="189">
        <f>PotR!I29</f>
        <v>68.773976655229106</v>
      </c>
      <c r="C29" s="190">
        <f>PotR!G29</f>
        <v>312371.5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PotR!I30</f>
        <v>88.094033439980478</v>
      </c>
      <c r="C30" s="195">
        <f>PotR!G30</f>
        <v>172777.66666666666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PotR!I31</f>
        <v>144.9429331461065</v>
      </c>
      <c r="C31" s="190">
        <f>PotR!G31</f>
        <v>458568.83333333331</v>
      </c>
      <c r="D31" s="191">
        <f t="shared" si="0"/>
        <v>20609428.419388052</v>
      </c>
      <c r="E31" s="191">
        <f t="shared" si="1"/>
        <v>777.35608484468537</v>
      </c>
      <c r="F31" s="192">
        <f t="shared" si="2"/>
        <v>356471272.91179502</v>
      </c>
    </row>
    <row r="32" spans="1:6" s="187" customFormat="1" ht="15" customHeight="1">
      <c r="A32" s="193" t="s">
        <v>73</v>
      </c>
      <c r="B32" s="194">
        <f>PotR!I32</f>
        <v>62.734020292939029</v>
      </c>
      <c r="C32" s="195">
        <f>PotR!G32</f>
        <v>69388.166666666672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74</v>
      </c>
      <c r="B33" s="199">
        <f>PotR!I33</f>
        <v>100</v>
      </c>
      <c r="C33" s="200">
        <f>SUM(BEV)</f>
        <v>7889009.6666666679</v>
      </c>
      <c r="D33" s="200">
        <f>SUM(D7:D32)</f>
        <v>89745523.995584533</v>
      </c>
      <c r="E33" s="200"/>
      <c r="F33" s="201">
        <f>SUM(F7:F32)</f>
        <v>1552284737.151967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5" t="str">
        <f>"Montants reçus par les cantons à faible potentiel de ressources "&amp;Info!C30</f>
        <v>Montants reçus par les cantons à faible potentiel de ressources 2015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>
      <c r="G2" s="1"/>
      <c r="H2" s="23" t="str">
        <f>Info!$C$28</f>
        <v>FA_2015_20140616</v>
      </c>
      <c r="I2" s="2"/>
      <c r="J2" s="1"/>
      <c r="K2" s="1"/>
    </row>
    <row r="3" spans="1:12" s="2" customFormat="1">
      <c r="A3" s="62" t="s">
        <v>28</v>
      </c>
      <c r="B3" s="176" t="s">
        <v>96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>
      <c r="A4" s="181"/>
      <c r="B4" s="183" t="s">
        <v>42</v>
      </c>
      <c r="C4" s="183" t="s">
        <v>7</v>
      </c>
      <c r="D4" s="183" t="s">
        <v>100</v>
      </c>
      <c r="E4" s="183" t="s">
        <v>101</v>
      </c>
      <c r="F4" s="202" t="s">
        <v>102</v>
      </c>
      <c r="G4" s="203" t="s">
        <v>103</v>
      </c>
      <c r="H4" s="204" t="s">
        <v>104</v>
      </c>
      <c r="J4" s="313" t="s">
        <v>105</v>
      </c>
      <c r="K4" s="314"/>
    </row>
    <row r="5" spans="1:12" s="187" customFormat="1">
      <c r="A5" s="77" t="s">
        <v>44</v>
      </c>
      <c r="B5" s="185" t="s">
        <v>79</v>
      </c>
      <c r="C5" s="104" t="s">
        <v>106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107</v>
      </c>
      <c r="K5" s="206">
        <v>0.52162401203956199</v>
      </c>
      <c r="L5" s="207"/>
    </row>
    <row r="6" spans="1:12" s="187" customFormat="1" ht="15" customHeight="1">
      <c r="A6" s="208" t="s">
        <v>48</v>
      </c>
      <c r="B6" s="209">
        <f>PotR!I7</f>
        <v>119.46519022447126</v>
      </c>
      <c r="C6" s="191">
        <f>PotR!G7</f>
        <v>1381674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108</v>
      </c>
      <c r="K6" s="213">
        <f>(RI_26/RI_MIN)*p</f>
        <v>0.52162401203956255</v>
      </c>
    </row>
    <row r="7" spans="1:12" s="187" customFormat="1" ht="15" customHeight="1">
      <c r="A7" s="193" t="s">
        <v>49</v>
      </c>
      <c r="B7" s="214">
        <f>PotR!I8</f>
        <v>74.337954398278399</v>
      </c>
      <c r="C7" s="196">
        <f>PotR!G8</f>
        <v>984239.83333333337</v>
      </c>
      <c r="D7" s="196">
        <f>IF(B7&lt;100,(100-B7)^(1+p)*BEV,0)</f>
        <v>137250007.69763055</v>
      </c>
      <c r="E7" s="196">
        <f t="shared" si="0"/>
        <v>1163.6479262545286</v>
      </c>
      <c r="F7" s="215">
        <f t="shared" si="1"/>
        <v>1145308640.9954362</v>
      </c>
      <c r="G7" s="216">
        <f>Dotation_PR!$D$25/Dotation_PR!$D$26*F7</f>
        <v>464758516.63084716</v>
      </c>
      <c r="H7" s="217">
        <f t="shared" si="2"/>
        <v>680550124.36458898</v>
      </c>
      <c r="J7" s="205" t="s">
        <v>109</v>
      </c>
      <c r="K7" s="218">
        <f>MIN(B6:B31)</f>
        <v>61.627136388815451</v>
      </c>
    </row>
    <row r="8" spans="1:12" s="187" customFormat="1" ht="15" customHeight="1">
      <c r="A8" s="188" t="s">
        <v>50</v>
      </c>
      <c r="B8" s="209">
        <f>PotR!I9</f>
        <v>79.646478789469271</v>
      </c>
      <c r="C8" s="191">
        <f>PotR!G9</f>
        <v>376119.16666666669</v>
      </c>
      <c r="D8" s="191">
        <f t="shared" ref="D8:D31" si="3">IF(B8&lt;100,(100-RI)^(1+p)*BEV,0)</f>
        <v>36862334.340045653</v>
      </c>
      <c r="E8" s="191">
        <f t="shared" si="0"/>
        <v>817.83845715563677</v>
      </c>
      <c r="F8" s="210">
        <f t="shared" si="1"/>
        <v>307604718.9733305</v>
      </c>
      <c r="G8" s="211">
        <f>Dotation_PR!$D$25/Dotation_PR!$D$26*F8</f>
        <v>124823918.88219705</v>
      </c>
      <c r="H8" s="212">
        <f t="shared" si="2"/>
        <v>182780800.09113345</v>
      </c>
      <c r="J8" s="205" t="s">
        <v>110</v>
      </c>
      <c r="K8" s="218">
        <f>100-((sse*SUM)/((1+p)*B*100))^(1/p)</f>
        <v>61.62713638881538</v>
      </c>
    </row>
    <row r="9" spans="1:12" s="187" customFormat="1" ht="15" customHeight="1">
      <c r="A9" s="193" t="s">
        <v>51</v>
      </c>
      <c r="B9" s="214">
        <f>PotR!I10</f>
        <v>61.627136388815451</v>
      </c>
      <c r="C9" s="196">
        <f>PotR!G10</f>
        <v>35093.5</v>
      </c>
      <c r="D9" s="196">
        <f t="shared" si="3"/>
        <v>9026428.7367919311</v>
      </c>
      <c r="E9" s="196">
        <f t="shared" si="0"/>
        <v>2146.3445181083243</v>
      </c>
      <c r="F9" s="215">
        <f t="shared" si="1"/>
        <v>75322741.346234486</v>
      </c>
      <c r="G9" s="216">
        <f>Dotation_PR!$D$25/Dotation_PR!$D$26*F9</f>
        <v>30565460.072159197</v>
      </c>
      <c r="H9" s="217">
        <f t="shared" si="2"/>
        <v>44757281.274075285</v>
      </c>
      <c r="J9" s="219"/>
      <c r="K9" s="220"/>
    </row>
    <row r="10" spans="1:12" s="187" customFormat="1" ht="15" customHeight="1">
      <c r="A10" s="188" t="s">
        <v>52</v>
      </c>
      <c r="B10" s="209">
        <f>PotR!I11</f>
        <v>165.92381037734603</v>
      </c>
      <c r="C10" s="191">
        <f>PotR!G11</f>
        <v>145813.66666666666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PotR!I12</f>
        <v>86.874240208110066</v>
      </c>
      <c r="C11" s="196">
        <f>PotR!G12</f>
        <v>35340.666666666664</v>
      </c>
      <c r="D11" s="196">
        <f t="shared" si="3"/>
        <v>1776804.9386678031</v>
      </c>
      <c r="E11" s="196">
        <f t="shared" si="0"/>
        <v>419.54173971063017</v>
      </c>
      <c r="F11" s="215">
        <f t="shared" si="1"/>
        <v>14826884.77586681</v>
      </c>
      <c r="G11" s="216">
        <f>Dotation_PR!$D$25/Dotation_PR!$D$26*F11</f>
        <v>6016649.7728500133</v>
      </c>
      <c r="H11" s="217">
        <f t="shared" si="2"/>
        <v>8810235.003016796</v>
      </c>
      <c r="J11" s="219"/>
      <c r="K11" s="220"/>
    </row>
    <row r="12" spans="1:12" s="187" customFormat="1" ht="15" customHeight="1">
      <c r="A12" s="188" t="s">
        <v>54</v>
      </c>
      <c r="B12" s="209">
        <f>PotR!I13</f>
        <v>130.48482918400509</v>
      </c>
      <c r="C12" s="191">
        <f>PotR!G13</f>
        <v>40610.166666666664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96</v>
      </c>
      <c r="K12" s="221">
        <f>Dotation_PR!D26</f>
        <v>3825309400.7475748</v>
      </c>
    </row>
    <row r="13" spans="1:12" s="187" customFormat="1" ht="15" customHeight="1">
      <c r="A13" s="193" t="s">
        <v>55</v>
      </c>
      <c r="B13" s="214">
        <f>PotR!I14</f>
        <v>68.909997237346914</v>
      </c>
      <c r="C13" s="196">
        <f>PotR!G14</f>
        <v>38735.333333333336</v>
      </c>
      <c r="D13" s="196">
        <f t="shared" si="3"/>
        <v>7232940.4226351511</v>
      </c>
      <c r="E13" s="196">
        <f t="shared" si="0"/>
        <v>1558.180446509889</v>
      </c>
      <c r="F13" s="215">
        <f t="shared" si="1"/>
        <v>60356638.989042722</v>
      </c>
      <c r="G13" s="216">
        <f>Dotation_PR!$D$25/Dotation_PR!$D$26*F13</f>
        <v>24492316.744410928</v>
      </c>
      <c r="H13" s="217">
        <f t="shared" si="2"/>
        <v>35864322.244631797</v>
      </c>
      <c r="J13" s="205" t="s">
        <v>16</v>
      </c>
      <c r="K13" s="221">
        <f>RFS!E32</f>
        <v>8511.0389205125448</v>
      </c>
    </row>
    <row r="14" spans="1:12" s="187" customFormat="1" ht="15" customHeight="1">
      <c r="A14" s="188" t="s">
        <v>56</v>
      </c>
      <c r="B14" s="209">
        <f>PotR!I15</f>
        <v>261.42334217258576</v>
      </c>
      <c r="C14" s="191">
        <f>PotR!G15</f>
        <v>112814.66666666667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PotR!I16</f>
        <v>77.002966187464907</v>
      </c>
      <c r="C15" s="196">
        <f>PotR!G16</f>
        <v>278733.5</v>
      </c>
      <c r="D15" s="196">
        <f t="shared" si="3"/>
        <v>32895895.376225688</v>
      </c>
      <c r="E15" s="196">
        <f t="shared" si="0"/>
        <v>984.83325129597608</v>
      </c>
      <c r="F15" s="215">
        <f t="shared" si="1"/>
        <v>274506019.05010694</v>
      </c>
      <c r="G15" s="216">
        <f>Dotation_PR!$D$25/Dotation_PR!$D$26*F15</f>
        <v>111392689.84217429</v>
      </c>
      <c r="H15" s="217">
        <f t="shared" si="2"/>
        <v>163113329.20793265</v>
      </c>
    </row>
    <row r="16" spans="1:12" s="187" customFormat="1" ht="15" customHeight="1">
      <c r="A16" s="188" t="s">
        <v>58</v>
      </c>
      <c r="B16" s="209">
        <f>PotR!I17</f>
        <v>78.291458019261654</v>
      </c>
      <c r="C16" s="191">
        <f>PotR!G17</f>
        <v>254406.83333333334</v>
      </c>
      <c r="D16" s="191">
        <f t="shared" si="3"/>
        <v>27502873.623399589</v>
      </c>
      <c r="E16" s="191">
        <f t="shared" si="0"/>
        <v>902.10992485223221</v>
      </c>
      <c r="F16" s="210">
        <f t="shared" si="1"/>
        <v>229502929.3002277</v>
      </c>
      <c r="G16" s="211">
        <f>Dotation_PR!$D$25/Dotation_PR!$D$26*F16</f>
        <v>93130739.755270079</v>
      </c>
      <c r="H16" s="212">
        <f t="shared" si="2"/>
        <v>136372189.54495764</v>
      </c>
    </row>
    <row r="17" spans="1:8" s="187" customFormat="1" ht="15" customHeight="1">
      <c r="A17" s="193" t="s">
        <v>59</v>
      </c>
      <c r="B17" s="214">
        <f>PotR!I18</f>
        <v>143.55154283830424</v>
      </c>
      <c r="C17" s="196">
        <f>PotR!G18</f>
        <v>191426.33333333334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PotR!I19</f>
        <v>100.14465775670496</v>
      </c>
      <c r="C18" s="191">
        <f>PotR!G19</f>
        <v>273337.66666666669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Dotation_PR!$D$25/Dotation_PR!$D$26*F18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PotR!I20</f>
        <v>101.86567648198492</v>
      </c>
      <c r="C19" s="196">
        <f>PotR!G20</f>
        <v>76439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Dotation_PR!$D$25/Dotation_PR!$D$26*F19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PotR!I21</f>
        <v>84.350318834969372</v>
      </c>
      <c r="C20" s="191">
        <f>PotR!G21</f>
        <v>52883.666666666664</v>
      </c>
      <c r="D20" s="191">
        <f t="shared" si="3"/>
        <v>3474639.8908835361</v>
      </c>
      <c r="E20" s="191">
        <f t="shared" si="0"/>
        <v>548.27494754839938</v>
      </c>
      <c r="F20" s="210">
        <f t="shared" si="1"/>
        <v>28994789.567833703</v>
      </c>
      <c r="G20" s="211">
        <f>Dotation_PR!$D$25/Dotation_PR!$D$26*F20</f>
        <v>11765889.915802749</v>
      </c>
      <c r="H20" s="212">
        <f t="shared" si="2"/>
        <v>17228899.652030952</v>
      </c>
    </row>
    <row r="21" spans="1:8" s="187" customFormat="1" ht="15" customHeight="1">
      <c r="A21" s="193" t="s">
        <v>63</v>
      </c>
      <c r="B21" s="214">
        <f>PotR!I22</f>
        <v>82.831058059409713</v>
      </c>
      <c r="C21" s="196">
        <f>PotR!G22</f>
        <v>15697.166666666666</v>
      </c>
      <c r="D21" s="196">
        <f t="shared" si="3"/>
        <v>1187508.36205745</v>
      </c>
      <c r="E21" s="196">
        <f t="shared" si="0"/>
        <v>631.2851405793831</v>
      </c>
      <c r="F21" s="215">
        <f t="shared" si="1"/>
        <v>9909388.0658646729</v>
      </c>
      <c r="G21" s="216">
        <f>Dotation_PR!$D$25/Dotation_PR!$D$26*F21</f>
        <v>4021162.796962637</v>
      </c>
      <c r="H21" s="217">
        <f t="shared" si="2"/>
        <v>5888225.2689020354</v>
      </c>
    </row>
    <row r="22" spans="1:8" s="187" customFormat="1" ht="15" customHeight="1">
      <c r="A22" s="188" t="s">
        <v>64</v>
      </c>
      <c r="B22" s="209">
        <f>PotR!I23</f>
        <v>78.976148815566859</v>
      </c>
      <c r="C22" s="191">
        <f>PotR!G23</f>
        <v>478482.33333333331</v>
      </c>
      <c r="D22" s="191">
        <f t="shared" si="3"/>
        <v>49264793.196727544</v>
      </c>
      <c r="E22" s="191">
        <f t="shared" si="0"/>
        <v>859.17358566598216</v>
      </c>
      <c r="F22" s="210">
        <f t="shared" si="1"/>
        <v>411099382.00782567</v>
      </c>
      <c r="G22" s="211">
        <f>Dotation_PR!$D$25/Dotation_PR!$D$26*F22</f>
        <v>166821354.63830519</v>
      </c>
      <c r="H22" s="212">
        <f t="shared" si="2"/>
        <v>244278027.36952049</v>
      </c>
    </row>
    <row r="23" spans="1:8" s="187" customFormat="1" ht="15" customHeight="1">
      <c r="A23" s="193" t="s">
        <v>65</v>
      </c>
      <c r="B23" s="214">
        <f>PotR!I24</f>
        <v>81.39956385131525</v>
      </c>
      <c r="C23" s="196">
        <f>PotR!G24</f>
        <v>197215.5</v>
      </c>
      <c r="D23" s="196">
        <f t="shared" si="3"/>
        <v>16853027.137129251</v>
      </c>
      <c r="E23" s="196">
        <f t="shared" si="0"/>
        <v>713.09441489822348</v>
      </c>
      <c r="F23" s="215">
        <f t="shared" si="1"/>
        <v>140633271.58136058</v>
      </c>
      <c r="G23" s="216">
        <f>Dotation_PR!$D$25/Dotation_PR!$D$26*F23</f>
        <v>57068032.449566282</v>
      </c>
      <c r="H23" s="217">
        <f t="shared" si="2"/>
        <v>83565239.131794304</v>
      </c>
    </row>
    <row r="24" spans="1:8" s="187" customFormat="1" ht="15" customHeight="1">
      <c r="A24" s="188" t="s">
        <v>66</v>
      </c>
      <c r="B24" s="209">
        <f>PotR!I25</f>
        <v>89.193880959034772</v>
      </c>
      <c r="C24" s="191">
        <f>PotR!G25</f>
        <v>606659.66666666663</v>
      </c>
      <c r="D24" s="191">
        <f t="shared" si="3"/>
        <v>22688293.433562763</v>
      </c>
      <c r="E24" s="191">
        <f t="shared" si="0"/>
        <v>312.08066886488501</v>
      </c>
      <c r="F24" s="210">
        <f t="shared" si="1"/>
        <v>189326754.54668149</v>
      </c>
      <c r="G24" s="211">
        <f>Dotation_PR!$D$25/Dotation_PR!$D$26*F24</f>
        <v>76827519.196197882</v>
      </c>
      <c r="H24" s="212">
        <f t="shared" si="2"/>
        <v>112499235.35048361</v>
      </c>
    </row>
    <row r="25" spans="1:8" s="187" customFormat="1" ht="15" customHeight="1">
      <c r="A25" s="193" t="s">
        <v>67</v>
      </c>
      <c r="B25" s="214">
        <f>PotR!I26</f>
        <v>77.390520767231493</v>
      </c>
      <c r="C25" s="196">
        <f>PotR!G26</f>
        <v>247785.16666666666</v>
      </c>
      <c r="D25" s="196">
        <f t="shared" si="3"/>
        <v>28496816.028231494</v>
      </c>
      <c r="E25" s="196">
        <f t="shared" si="0"/>
        <v>959.69049654905461</v>
      </c>
      <c r="F25" s="215">
        <f t="shared" si="1"/>
        <v>237797069.63582358</v>
      </c>
      <c r="G25" s="216">
        <f>Dotation_PR!$D$25/Dotation_PR!$D$26*F25</f>
        <v>96496445.924874514</v>
      </c>
      <c r="H25" s="217">
        <f t="shared" si="2"/>
        <v>141300623.71094906</v>
      </c>
    </row>
    <row r="26" spans="1:8" s="187" customFormat="1" ht="15" customHeight="1">
      <c r="A26" s="188" t="s">
        <v>68</v>
      </c>
      <c r="B26" s="209">
        <f>PotR!I27</f>
        <v>98.497104829420564</v>
      </c>
      <c r="C26" s="191">
        <f>PotR!G27</f>
        <v>336034.16666666669</v>
      </c>
      <c r="D26" s="191">
        <f t="shared" si="3"/>
        <v>624600.57321747625</v>
      </c>
      <c r="E26" s="191">
        <f t="shared" si="0"/>
        <v>15.510617973191918</v>
      </c>
      <c r="F26" s="210">
        <f t="shared" si="1"/>
        <v>5212097.5851065684</v>
      </c>
      <c r="G26" s="211">
        <f>Dotation_PR!$D$25/Dotation_PR!$D$26*F26</f>
        <v>2115034.0226927544</v>
      </c>
      <c r="H26" s="212">
        <f t="shared" si="2"/>
        <v>3097063.562413814</v>
      </c>
    </row>
    <row r="27" spans="1:8" s="187" customFormat="1" ht="15" customHeight="1">
      <c r="A27" s="193" t="s">
        <v>69</v>
      </c>
      <c r="B27" s="214">
        <f>PotR!I28</f>
        <v>106.50646116242855</v>
      </c>
      <c r="C27" s="196">
        <f>PotR!G28</f>
        <v>716361.5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PotR!I29</f>
        <v>68.773976655229106</v>
      </c>
      <c r="C28" s="191">
        <f>PotR!G29</f>
        <v>312371.5</v>
      </c>
      <c r="D28" s="191">
        <f t="shared" si="3"/>
        <v>58717001.562453426</v>
      </c>
      <c r="E28" s="191">
        <f t="shared" si="0"/>
        <v>1568.5653844084986</v>
      </c>
      <c r="F28" s="210">
        <f t="shared" si="1"/>
        <v>489975121.97575933</v>
      </c>
      <c r="G28" s="211">
        <f>Dotation_PR!$D$25/Dotation_PR!$D$26*F28</f>
        <v>198828597.57135081</v>
      </c>
      <c r="H28" s="212">
        <f t="shared" si="2"/>
        <v>291146524.40440851</v>
      </c>
    </row>
    <row r="29" spans="1:8" s="187" customFormat="1" ht="15" customHeight="1">
      <c r="A29" s="193" t="s">
        <v>71</v>
      </c>
      <c r="B29" s="214">
        <f>PotR!I30</f>
        <v>88.094033439980478</v>
      </c>
      <c r="C29" s="196">
        <f>PotR!G30</f>
        <v>172777.66666666666</v>
      </c>
      <c r="D29" s="196">
        <f t="shared" si="3"/>
        <v>7488536.314898652</v>
      </c>
      <c r="E29" s="196">
        <f t="shared" si="0"/>
        <v>361.67583719980706</v>
      </c>
      <c r="F29" s="215">
        <f t="shared" si="1"/>
        <v>62489507.241095863</v>
      </c>
      <c r="G29" s="216">
        <f>Dotation_PR!$D$25/Dotation_PR!$D$26*F29</f>
        <v>25357820.285999242</v>
      </c>
      <c r="H29" s="217">
        <f t="shared" si="2"/>
        <v>37131686.955096617</v>
      </c>
    </row>
    <row r="30" spans="1:8" s="187" customFormat="1" ht="15" customHeight="1">
      <c r="A30" s="188" t="s">
        <v>72</v>
      </c>
      <c r="B30" s="209">
        <f>PotR!I31</f>
        <v>144.9429331461065</v>
      </c>
      <c r="C30" s="191">
        <f>PotR!G31</f>
        <v>458568.83333333331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PotR!I32</f>
        <v>62.734020292939029</v>
      </c>
      <c r="C31" s="196">
        <f>PotR!G32</f>
        <v>69388.166666666672</v>
      </c>
      <c r="D31" s="196">
        <f t="shared" si="3"/>
        <v>17069952.358719174</v>
      </c>
      <c r="E31" s="196">
        <f t="shared" si="0"/>
        <v>2052.84923860665</v>
      </c>
      <c r="F31" s="215">
        <f t="shared" si="1"/>
        <v>142443445.10997802</v>
      </c>
      <c r="G31" s="216">
        <f>Dotation_PR!$D$25/Dotation_PR!$D$26*F31</f>
        <v>57802588.650306605</v>
      </c>
      <c r="H31" s="217">
        <f t="shared" si="2"/>
        <v>84640856.459671408</v>
      </c>
    </row>
    <row r="32" spans="1:8">
      <c r="A32" s="198" t="s">
        <v>74</v>
      </c>
      <c r="B32" s="222">
        <f>PotR!I33</f>
        <v>100</v>
      </c>
      <c r="C32" s="200">
        <f>PotR!G33</f>
        <v>7889009.6666666679</v>
      </c>
      <c r="D32" s="200">
        <f>SUM(D6:D31)</f>
        <v>458412453.99327713</v>
      </c>
      <c r="E32" s="200"/>
      <c r="F32" s="200">
        <f>SUM(F6:F31)</f>
        <v>3825309400.7475748</v>
      </c>
      <c r="G32" s="223">
        <f>SUM(G6:G31)</f>
        <v>1552284737.1519675</v>
      </c>
      <c r="H32" s="224">
        <f>SUM(H6:H31)</f>
        <v>2273024663.5956078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20" t="str">
        <f>"Recette fiscale standardisée (RFS) "&amp;Info!C30</f>
        <v>Recette fiscale standardisée (RFS) 2015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FA_2015_20140616</v>
      </c>
    </row>
    <row r="2" spans="1:10" s="2" customFormat="1">
      <c r="A2" s="62" t="s">
        <v>28</v>
      </c>
      <c r="B2" s="176" t="s">
        <v>96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111</v>
      </c>
    </row>
    <row r="3" spans="1:10" s="27" customFormat="1" ht="11.25" customHeight="1">
      <c r="A3" s="66" t="s">
        <v>36</v>
      </c>
      <c r="B3" s="226"/>
      <c r="C3" s="67"/>
      <c r="D3" s="67"/>
      <c r="E3" s="67" t="s">
        <v>112</v>
      </c>
      <c r="F3" s="67"/>
      <c r="G3" s="67" t="s">
        <v>113</v>
      </c>
      <c r="H3" s="227" t="s">
        <v>114</v>
      </c>
      <c r="J3" s="228" t="s">
        <v>115</v>
      </c>
    </row>
    <row r="4" spans="1:10" ht="69" customHeight="1">
      <c r="A4" s="181"/>
      <c r="B4" s="229" t="s">
        <v>42</v>
      </c>
      <c r="C4" s="229" t="s">
        <v>116</v>
      </c>
      <c r="D4" s="202" t="s">
        <v>7</v>
      </c>
      <c r="E4" s="229" t="s">
        <v>117</v>
      </c>
      <c r="F4" s="202" t="s">
        <v>118</v>
      </c>
      <c r="G4" s="229" t="s">
        <v>119</v>
      </c>
      <c r="H4" s="184" t="s">
        <v>120</v>
      </c>
      <c r="I4" s="230"/>
      <c r="J4" s="231" t="s">
        <v>121</v>
      </c>
    </row>
    <row r="5" spans="1:10" s="36" customFormat="1" ht="11.25" customHeight="1">
      <c r="A5" s="77" t="s">
        <v>44</v>
      </c>
      <c r="B5" s="185" t="s">
        <v>79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79</v>
      </c>
      <c r="I5" s="235"/>
      <c r="J5" s="236" t="s">
        <v>47</v>
      </c>
    </row>
    <row r="6" spans="1:10">
      <c r="A6" s="237" t="s">
        <v>48</v>
      </c>
      <c r="B6" s="238">
        <f>PotR!I7</f>
        <v>119.46519022447126</v>
      </c>
      <c r="C6" s="47">
        <f>PotR!H7/PotR!$H$33*sse*D6</f>
        <v>14048486572.399605</v>
      </c>
      <c r="D6" s="239">
        <f>PotR!G7</f>
        <v>1381674</v>
      </c>
      <c r="E6" s="47">
        <f t="shared" ref="E6:E32" si="0">C6/D6</f>
        <v>10167.728836469098</v>
      </c>
      <c r="F6" s="47">
        <f>IF(B6&gt;100,-Montants_versés!F7,Montants_reçus!F6)/D6</f>
        <v>-336.679940636293</v>
      </c>
      <c r="G6" s="47">
        <f t="shared" ref="G6:G31" si="1">E6+F6</f>
        <v>9831.0488958328042</v>
      </c>
      <c r="H6" s="48">
        <f t="shared" ref="H6:H31" si="2">ROUND(G6/E$32*100,1)</f>
        <v>115.5</v>
      </c>
      <c r="J6" s="240">
        <f t="shared" ref="J6:J32" si="3">E6-E$32</f>
        <v>1656.6899159565528</v>
      </c>
    </row>
    <row r="7" spans="1:10">
      <c r="A7" s="241" t="s">
        <v>49</v>
      </c>
      <c r="B7" s="242">
        <f>PotR!I8</f>
        <v>74.337954398278399</v>
      </c>
      <c r="C7" s="52">
        <f>PotR!H8/PotR!$H$33*sse*D7</f>
        <v>6227218725.0924034</v>
      </c>
      <c r="D7" s="243">
        <f>PotR!G8</f>
        <v>984239.83333333337</v>
      </c>
      <c r="E7" s="52">
        <f t="shared" si="0"/>
        <v>6326.9322315503414</v>
      </c>
      <c r="F7" s="52">
        <f>IF(B7&gt;100,-Montants_versés!F8,Montants_reçus!F7)/D7</f>
        <v>1163.6479262545286</v>
      </c>
      <c r="G7" s="52">
        <f t="shared" si="1"/>
        <v>7490.5801578048704</v>
      </c>
      <c r="H7" s="53">
        <f t="shared" si="2"/>
        <v>88</v>
      </c>
      <c r="J7" s="244">
        <f t="shared" si="3"/>
        <v>-2184.1066889622034</v>
      </c>
    </row>
    <row r="8" spans="1:10">
      <c r="A8" s="245" t="s">
        <v>50</v>
      </c>
      <c r="B8" s="246">
        <f>PotR!I9</f>
        <v>79.646478789469271</v>
      </c>
      <c r="C8" s="56">
        <f>PotR!H9/PotR!$H$33*sse*D8</f>
        <v>2549615096.2143421</v>
      </c>
      <c r="D8" s="247">
        <f>PotR!G9</f>
        <v>376119.16666666669</v>
      </c>
      <c r="E8" s="56">
        <f t="shared" si="0"/>
        <v>6778.742808589499</v>
      </c>
      <c r="F8" s="56">
        <f>IF(B8&gt;100,-Montants_versés!F9,Montants_reçus!F8)/D8</f>
        <v>817.83845715563677</v>
      </c>
      <c r="G8" s="56">
        <f t="shared" si="1"/>
        <v>7596.5812657451361</v>
      </c>
      <c r="H8" s="57">
        <f t="shared" si="2"/>
        <v>89.3</v>
      </c>
      <c r="J8" s="248">
        <f t="shared" si="3"/>
        <v>-1732.2961119230458</v>
      </c>
    </row>
    <row r="9" spans="1:10">
      <c r="A9" s="241" t="s">
        <v>51</v>
      </c>
      <c r="B9" s="242">
        <f>PotR!I10</f>
        <v>61.627136388815451</v>
      </c>
      <c r="C9" s="52">
        <f>PotR!H10/PotR!$H$33*sse*D9</f>
        <v>184069252.47193134</v>
      </c>
      <c r="D9" s="243">
        <f>PotR!G10</f>
        <v>35093.5</v>
      </c>
      <c r="E9" s="52">
        <f t="shared" si="0"/>
        <v>5245.1095636494319</v>
      </c>
      <c r="F9" s="52">
        <f>IF(B9&gt;100,-Montants_versés!F10,Montants_reçus!F9)/D9</f>
        <v>2146.3445181083243</v>
      </c>
      <c r="G9" s="52">
        <f t="shared" si="1"/>
        <v>7391.4540817577563</v>
      </c>
      <c r="H9" s="53">
        <f t="shared" si="2"/>
        <v>86.8</v>
      </c>
      <c r="J9" s="244">
        <f t="shared" si="3"/>
        <v>-3265.9293568631128</v>
      </c>
    </row>
    <row r="10" spans="1:10">
      <c r="A10" s="245" t="s">
        <v>52</v>
      </c>
      <c r="B10" s="246">
        <f>PotR!I11</f>
        <v>165.92381037734603</v>
      </c>
      <c r="C10" s="56">
        <f>PotR!H11/PotR!$H$33*sse*D10</f>
        <v>2059157282.0887148</v>
      </c>
      <c r="D10" s="247">
        <f>PotR!G11</f>
        <v>145813.66666666666</v>
      </c>
      <c r="E10" s="56">
        <f t="shared" si="0"/>
        <v>14121.840079613354</v>
      </c>
      <c r="F10" s="56">
        <f>IF(B10&gt;100,-Montants_versés!F11,Montants_reçus!F10)/D10</f>
        <v>-1140.2521274341154</v>
      </c>
      <c r="G10" s="56">
        <f t="shared" si="1"/>
        <v>12981.587952179238</v>
      </c>
      <c r="H10" s="57">
        <f t="shared" si="2"/>
        <v>152.5</v>
      </c>
      <c r="J10" s="248">
        <f t="shared" si="3"/>
        <v>5610.8011591008089</v>
      </c>
    </row>
    <row r="11" spans="1:10">
      <c r="A11" s="241" t="s">
        <v>53</v>
      </c>
      <c r="B11" s="242">
        <f>PotR!I12</f>
        <v>86.874240208110066</v>
      </c>
      <c r="C11" s="52">
        <f>PotR!H12/PotR!$H$33*sse*D11</f>
        <v>261305369.26198789</v>
      </c>
      <c r="D11" s="243">
        <f>PotR!G12</f>
        <v>35340.666666666664</v>
      </c>
      <c r="E11" s="52">
        <f t="shared" si="0"/>
        <v>7393.9003960118062</v>
      </c>
      <c r="F11" s="52">
        <f>IF(B11&gt;100,-Montants_versés!F12,Montants_reçus!F11)/D11</f>
        <v>419.54173971063017</v>
      </c>
      <c r="G11" s="52">
        <f t="shared" si="1"/>
        <v>7813.4421357224364</v>
      </c>
      <c r="H11" s="53">
        <f t="shared" si="2"/>
        <v>91.8</v>
      </c>
      <c r="J11" s="244">
        <f t="shared" si="3"/>
        <v>-1117.1385245007386</v>
      </c>
    </row>
    <row r="12" spans="1:10">
      <c r="A12" s="245" t="s">
        <v>54</v>
      </c>
      <c r="B12" s="246">
        <f>PotR!I13</f>
        <v>130.48482918400509</v>
      </c>
      <c r="C12" s="56">
        <f>PotR!H13/PotR!$H$33*sse*D12</f>
        <v>451000859.72866678</v>
      </c>
      <c r="D12" s="247">
        <f>PotR!G13</f>
        <v>40610.166666666664</v>
      </c>
      <c r="E12" s="56">
        <f t="shared" si="0"/>
        <v>11105.614597214986</v>
      </c>
      <c r="F12" s="56">
        <f>IF(B12&gt;100,-Montants_versés!F13,Montants_reçus!F12)/D12</f>
        <v>-527.28128323529711</v>
      </c>
      <c r="G12" s="56">
        <f t="shared" si="1"/>
        <v>10578.333313979689</v>
      </c>
      <c r="H12" s="57">
        <f t="shared" si="2"/>
        <v>124.3</v>
      </c>
      <c r="J12" s="248">
        <f t="shared" si="3"/>
        <v>2594.5756767024413</v>
      </c>
    </row>
    <row r="13" spans="1:10">
      <c r="A13" s="241" t="s">
        <v>55</v>
      </c>
      <c r="B13" s="242">
        <f>PotR!I14</f>
        <v>68.909997237346914</v>
      </c>
      <c r="C13" s="52">
        <f>PotR!H14/PotR!$H$33*sse*D13</f>
        <v>227181052.17883199</v>
      </c>
      <c r="D13" s="243">
        <f>PotR!G14</f>
        <v>38735.333333333336</v>
      </c>
      <c r="E13" s="52">
        <f t="shared" si="0"/>
        <v>5864.9566849947159</v>
      </c>
      <c r="F13" s="52">
        <f>IF(B13&gt;100,-Montants_versés!F14,Montants_reçus!F13)/D13</f>
        <v>1558.180446509889</v>
      </c>
      <c r="G13" s="52">
        <f t="shared" si="1"/>
        <v>7423.1371315046053</v>
      </c>
      <c r="H13" s="53">
        <f t="shared" si="2"/>
        <v>87.2</v>
      </c>
      <c r="J13" s="244">
        <f t="shared" si="3"/>
        <v>-2646.0822355178288</v>
      </c>
    </row>
    <row r="14" spans="1:10">
      <c r="A14" s="245" t="s">
        <v>56</v>
      </c>
      <c r="B14" s="246">
        <f>PotR!I15</f>
        <v>261.42334217258576</v>
      </c>
      <c r="C14" s="56">
        <f>PotR!H15/PotR!$H$33*sse*D14</f>
        <v>2510108553.6982594</v>
      </c>
      <c r="D14" s="247">
        <f>PotR!G15</f>
        <v>112814.66666666667</v>
      </c>
      <c r="E14" s="56">
        <f t="shared" si="0"/>
        <v>22249.842399613459</v>
      </c>
      <c r="F14" s="56">
        <f>IF(B14&gt;100,-Montants_versés!F15,Montants_reçus!F14)/D14</f>
        <v>-2792.0611426469873</v>
      </c>
      <c r="G14" s="56">
        <f t="shared" si="1"/>
        <v>19457.781256966471</v>
      </c>
      <c r="H14" s="57">
        <f t="shared" si="2"/>
        <v>228.6</v>
      </c>
      <c r="J14" s="248">
        <f t="shared" si="3"/>
        <v>13738.803479100914</v>
      </c>
    </row>
    <row r="15" spans="1:10">
      <c r="A15" s="241" t="s">
        <v>57</v>
      </c>
      <c r="B15" s="242">
        <f>PotR!I16</f>
        <v>77.002966187464907</v>
      </c>
      <c r="C15" s="52">
        <f>PotR!H16/PotR!$H$33*sse*D15</f>
        <v>1826750350.7633197</v>
      </c>
      <c r="D15" s="243">
        <f>PotR!G16</f>
        <v>278733.5</v>
      </c>
      <c r="E15" s="52">
        <f t="shared" si="0"/>
        <v>6553.7524221642525</v>
      </c>
      <c r="F15" s="52">
        <f>IF(B15&gt;100,-Montants_versés!F16,Montants_reçus!F15)/D15</f>
        <v>984.83325129597608</v>
      </c>
      <c r="G15" s="52">
        <f t="shared" si="1"/>
        <v>7538.5856734602285</v>
      </c>
      <c r="H15" s="53">
        <f t="shared" si="2"/>
        <v>88.6</v>
      </c>
      <c r="J15" s="244">
        <f t="shared" si="3"/>
        <v>-1957.2864983482923</v>
      </c>
    </row>
    <row r="16" spans="1:10">
      <c r="A16" s="245" t="s">
        <v>58</v>
      </c>
      <c r="B16" s="246">
        <f>PotR!I17</f>
        <v>78.291458019261654</v>
      </c>
      <c r="C16" s="56">
        <f>PotR!H17/PotR!$H$33*sse*D16</f>
        <v>1695218681.6490653</v>
      </c>
      <c r="D16" s="247">
        <f>PotR!G17</f>
        <v>254406.83333333334</v>
      </c>
      <c r="E16" s="56">
        <f t="shared" si="0"/>
        <v>6663.4164634560993</v>
      </c>
      <c r="F16" s="56">
        <f>IF(B16&gt;100,-Montants_versés!F17,Montants_reçus!F16)/D16</f>
        <v>902.10992485223221</v>
      </c>
      <c r="G16" s="56">
        <f t="shared" si="1"/>
        <v>7565.5263883083317</v>
      </c>
      <c r="H16" s="57">
        <f t="shared" si="2"/>
        <v>88.9</v>
      </c>
      <c r="J16" s="248">
        <f t="shared" si="3"/>
        <v>-1847.6224570564455</v>
      </c>
    </row>
    <row r="17" spans="1:10">
      <c r="A17" s="241" t="s">
        <v>59</v>
      </c>
      <c r="B17" s="242">
        <f>PotR!I18</f>
        <v>143.55154283830424</v>
      </c>
      <c r="C17" s="52">
        <f>PotR!H18/PotR!$H$33*sse*D17</f>
        <v>2338794811.823595</v>
      </c>
      <c r="D17" s="243">
        <f>PotR!G18</f>
        <v>191426.33333333334</v>
      </c>
      <c r="E17" s="52">
        <f t="shared" si="0"/>
        <v>12217.727681964316</v>
      </c>
      <c r="F17" s="52">
        <f>IF(B17&gt;100,-Montants_versés!F18,Montants_reçus!F17)/D17</f>
        <v>-753.28988251988892</v>
      </c>
      <c r="G17" s="52">
        <f t="shared" si="1"/>
        <v>11464.437799444428</v>
      </c>
      <c r="H17" s="53">
        <f t="shared" si="2"/>
        <v>134.69999999999999</v>
      </c>
      <c r="J17" s="244">
        <f t="shared" si="3"/>
        <v>3706.6887614517709</v>
      </c>
    </row>
    <row r="18" spans="1:10">
      <c r="A18" s="245" t="s">
        <v>60</v>
      </c>
      <c r="B18" s="246">
        <f>PotR!I19</f>
        <v>100.14465775670496</v>
      </c>
      <c r="C18" s="56">
        <f>PotR!H19/PotR!$H$33*sse*D18</f>
        <v>2329752819.4399738</v>
      </c>
      <c r="D18" s="247">
        <f>PotR!G19</f>
        <v>273337.66666666669</v>
      </c>
      <c r="E18" s="56">
        <f t="shared" si="0"/>
        <v>8523.3507984872449</v>
      </c>
      <c r="F18" s="56">
        <f>IF(B18&gt;100,-Montants_versés!F19,Montants_reçus!F18)/D18</f>
        <v>-2.5020749542316776</v>
      </c>
      <c r="G18" s="56">
        <f t="shared" si="1"/>
        <v>8520.848723533014</v>
      </c>
      <c r="H18" s="57">
        <f t="shared" si="2"/>
        <v>100.1</v>
      </c>
      <c r="J18" s="248">
        <f t="shared" si="3"/>
        <v>12.31187797470011</v>
      </c>
    </row>
    <row r="19" spans="1:10">
      <c r="A19" s="241" t="s">
        <v>61</v>
      </c>
      <c r="B19" s="242">
        <f>PotR!I20</f>
        <v>101.86567648198492</v>
      </c>
      <c r="C19" s="52">
        <f>PotR!H20/PotR!$H$33*sse*D19</f>
        <v>662712934.49022901</v>
      </c>
      <c r="D19" s="243">
        <f>PotR!G20</f>
        <v>76439</v>
      </c>
      <c r="E19" s="52">
        <f t="shared" si="0"/>
        <v>8669.8273720251309</v>
      </c>
      <c r="F19" s="52">
        <f>IF(B19&gt;100,-Montants_versés!F20,Montants_reçus!F19)/D19</f>
        <v>-32.269699908276813</v>
      </c>
      <c r="G19" s="52">
        <f t="shared" si="1"/>
        <v>8637.5576721168545</v>
      </c>
      <c r="H19" s="53">
        <f t="shared" si="2"/>
        <v>101.5</v>
      </c>
      <c r="J19" s="244">
        <f t="shared" si="3"/>
        <v>158.78845151258611</v>
      </c>
    </row>
    <row r="20" spans="1:10">
      <c r="A20" s="245" t="s">
        <v>62</v>
      </c>
      <c r="B20" s="246">
        <f>PotR!I21</f>
        <v>84.350318834969372</v>
      </c>
      <c r="C20" s="56">
        <f>PotR!H21/PotR!$H$33*sse*D20</f>
        <v>379656521.3863948</v>
      </c>
      <c r="D20" s="247">
        <f>PotR!G21</f>
        <v>52883.666666666664</v>
      </c>
      <c r="E20" s="56">
        <f t="shared" si="0"/>
        <v>7179.0884656206672</v>
      </c>
      <c r="F20" s="56">
        <f>IF(B20&gt;100,-Montants_versés!F21,Montants_reçus!F20)/D20</f>
        <v>548.27494754839938</v>
      </c>
      <c r="G20" s="56">
        <f t="shared" si="1"/>
        <v>7727.3634131690669</v>
      </c>
      <c r="H20" s="57">
        <f t="shared" si="2"/>
        <v>90.8</v>
      </c>
      <c r="J20" s="248">
        <f t="shared" si="3"/>
        <v>-1331.9504548918776</v>
      </c>
    </row>
    <row r="21" spans="1:10">
      <c r="A21" s="241" t="s">
        <v>63</v>
      </c>
      <c r="B21" s="242">
        <f>PotR!I22</f>
        <v>82.831058059409713</v>
      </c>
      <c r="C21" s="52">
        <f>PotR!H22/PotR!$H$33*sse*D21</f>
        <v>110661627.97158913</v>
      </c>
      <c r="D21" s="243">
        <f>PotR!G22</f>
        <v>15697.166666666666</v>
      </c>
      <c r="E21" s="52">
        <f t="shared" si="0"/>
        <v>7049.7835897087034</v>
      </c>
      <c r="F21" s="52">
        <f>IF(B21&gt;100,-Montants_versés!F22,Montants_reçus!F21)/D21</f>
        <v>631.2851405793831</v>
      </c>
      <c r="G21" s="52">
        <f t="shared" si="1"/>
        <v>7681.068730288087</v>
      </c>
      <c r="H21" s="53">
        <f t="shared" si="2"/>
        <v>90.2</v>
      </c>
      <c r="J21" s="244">
        <f t="shared" si="3"/>
        <v>-1461.2553308038414</v>
      </c>
    </row>
    <row r="22" spans="1:10">
      <c r="A22" s="245" t="s">
        <v>64</v>
      </c>
      <c r="B22" s="246">
        <f>PotR!I23</f>
        <v>78.976148815566859</v>
      </c>
      <c r="C22" s="56">
        <f>PotR!H23/PotR!$H$33*sse*D22</f>
        <v>3216210280.5195255</v>
      </c>
      <c r="D22" s="247">
        <f>PotR!G23</f>
        <v>478482.33333333331</v>
      </c>
      <c r="E22" s="56">
        <f t="shared" si="0"/>
        <v>6721.6907636148026</v>
      </c>
      <c r="F22" s="56">
        <f>IF(B22&gt;100,-Montants_versés!F23,Montants_reçus!F22)/D22</f>
        <v>859.17358566598216</v>
      </c>
      <c r="G22" s="56">
        <f t="shared" si="1"/>
        <v>7580.8643492807851</v>
      </c>
      <c r="H22" s="57">
        <f t="shared" si="2"/>
        <v>89.1</v>
      </c>
      <c r="J22" s="248">
        <f t="shared" si="3"/>
        <v>-1789.3481568977422</v>
      </c>
    </row>
    <row r="23" spans="1:10">
      <c r="A23" s="241" t="s">
        <v>65</v>
      </c>
      <c r="B23" s="242">
        <f>PotR!I24</f>
        <v>81.39956385131525</v>
      </c>
      <c r="C23" s="52">
        <f>PotR!H24/PotR!$H$33*sse*D23</f>
        <v>1366298839.3358321</v>
      </c>
      <c r="D23" s="243">
        <f>PotR!G24</f>
        <v>197215.5</v>
      </c>
      <c r="E23" s="52">
        <f t="shared" si="0"/>
        <v>6927.9485605129012</v>
      </c>
      <c r="F23" s="52">
        <f>IF(B23&gt;100,-Montants_versés!F24,Montants_reçus!F23)/D23</f>
        <v>713.09441489822336</v>
      </c>
      <c r="G23" s="52">
        <f t="shared" si="1"/>
        <v>7641.0429754111246</v>
      </c>
      <c r="H23" s="53">
        <f t="shared" si="2"/>
        <v>89.8</v>
      </c>
      <c r="J23" s="244">
        <f t="shared" si="3"/>
        <v>-1583.0903599996436</v>
      </c>
    </row>
    <row r="24" spans="1:10">
      <c r="A24" s="245" t="s">
        <v>66</v>
      </c>
      <c r="B24" s="246">
        <f>PotR!I25</f>
        <v>89.193880959034772</v>
      </c>
      <c r="C24" s="56">
        <f>PotR!H25/PotR!$H$33*sse*D24</f>
        <v>4605351254.0895777</v>
      </c>
      <c r="D24" s="247">
        <f>PotR!G25</f>
        <v>606659.66666666663</v>
      </c>
      <c r="E24" s="56">
        <f t="shared" si="0"/>
        <v>7591.3259231390766</v>
      </c>
      <c r="F24" s="56">
        <f>IF(B24&gt;100,-Montants_versés!F25,Montants_reçus!F24)/D24</f>
        <v>312.08066886488501</v>
      </c>
      <c r="G24" s="56">
        <f t="shared" si="1"/>
        <v>7903.406592003962</v>
      </c>
      <c r="H24" s="57">
        <f t="shared" si="2"/>
        <v>92.9</v>
      </c>
      <c r="J24" s="248">
        <f t="shared" si="3"/>
        <v>-919.71299737346817</v>
      </c>
    </row>
    <row r="25" spans="1:10">
      <c r="A25" s="241" t="s">
        <v>67</v>
      </c>
      <c r="B25" s="242">
        <f>PotR!I26</f>
        <v>77.390520767231493</v>
      </c>
      <c r="C25" s="52">
        <f>PotR!H26/PotR!$H$33*sse*D25</f>
        <v>1632095810.3957818</v>
      </c>
      <c r="D25" s="243">
        <f>PotR!G26</f>
        <v>247785.16666666666</v>
      </c>
      <c r="E25" s="52">
        <f t="shared" si="0"/>
        <v>6586.737343286416</v>
      </c>
      <c r="F25" s="52">
        <f>IF(B25&gt;100,-Montants_versés!F26,Montants_reçus!F25)/D25</f>
        <v>959.69049654905461</v>
      </c>
      <c r="G25" s="52">
        <f t="shared" si="1"/>
        <v>7546.4278398354709</v>
      </c>
      <c r="H25" s="53">
        <f t="shared" si="2"/>
        <v>88.7</v>
      </c>
      <c r="J25" s="244">
        <f t="shared" si="3"/>
        <v>-1924.3015772261288</v>
      </c>
    </row>
    <row r="26" spans="1:10">
      <c r="A26" s="245" t="s">
        <v>68</v>
      </c>
      <c r="B26" s="246">
        <f>PotR!I27</f>
        <v>98.497104829420564</v>
      </c>
      <c r="C26" s="56">
        <f>PotR!H27/PotR!$H$33*sse*D26</f>
        <v>2817017071.1803293</v>
      </c>
      <c r="D26" s="247">
        <f>PotR!G27</f>
        <v>336034.16666666669</v>
      </c>
      <c r="E26" s="56">
        <f t="shared" si="0"/>
        <v>8383.1269276100265</v>
      </c>
      <c r="F26" s="56">
        <f>IF(B26&gt;100,-Montants_versés!F27,Montants_reçus!F26)/D26</f>
        <v>15.510617973191916</v>
      </c>
      <c r="G26" s="56">
        <f t="shared" si="1"/>
        <v>8398.6375455832185</v>
      </c>
      <c r="H26" s="57">
        <f t="shared" si="2"/>
        <v>98.7</v>
      </c>
      <c r="J26" s="248">
        <f t="shared" si="3"/>
        <v>-127.91199290251825</v>
      </c>
    </row>
    <row r="27" spans="1:10">
      <c r="A27" s="241" t="s">
        <v>69</v>
      </c>
      <c r="B27" s="242">
        <f>PotR!I28</f>
        <v>106.50646116242855</v>
      </c>
      <c r="C27" s="52">
        <f>PotR!H28/PotR!$H$33*sse*D27</f>
        <v>6493678282.9747334</v>
      </c>
      <c r="D27" s="243">
        <f>PotR!G28</f>
        <v>716361.5</v>
      </c>
      <c r="E27" s="52">
        <f t="shared" si="0"/>
        <v>9064.806362394871</v>
      </c>
      <c r="F27" s="52">
        <f>IF(B27&gt;100,-Montants_versés!F28,Montants_reçus!F27)/D27</f>
        <v>-112.53909839343963</v>
      </c>
      <c r="G27" s="52">
        <f t="shared" si="1"/>
        <v>8952.2672640014316</v>
      </c>
      <c r="H27" s="53">
        <f t="shared" si="2"/>
        <v>105.2</v>
      </c>
      <c r="J27" s="244">
        <f t="shared" si="3"/>
        <v>553.76744188232624</v>
      </c>
    </row>
    <row r="28" spans="1:10">
      <c r="A28" s="245" t="s">
        <v>70</v>
      </c>
      <c r="B28" s="246">
        <f>PotR!I29</f>
        <v>68.773976655229106</v>
      </c>
      <c r="C28" s="56">
        <f>PotR!H29/PotR!$H$33*sse*D28</f>
        <v>1828429065.7773528</v>
      </c>
      <c r="D28" s="247">
        <f>PotR!G29</f>
        <v>312371.5</v>
      </c>
      <c r="E28" s="56">
        <f t="shared" si="0"/>
        <v>5853.379920310761</v>
      </c>
      <c r="F28" s="56">
        <f>IF(B28&gt;100,-Montants_versés!F29,Montants_reçus!F28)/D28</f>
        <v>1568.5653844084986</v>
      </c>
      <c r="G28" s="56">
        <f t="shared" si="1"/>
        <v>7421.9453047192601</v>
      </c>
      <c r="H28" s="57">
        <f t="shared" si="2"/>
        <v>87.2</v>
      </c>
      <c r="J28" s="248">
        <f t="shared" si="3"/>
        <v>-2657.6590002017838</v>
      </c>
    </row>
    <row r="29" spans="1:10">
      <c r="A29" s="241" t="s">
        <v>71</v>
      </c>
      <c r="B29" s="242">
        <f>PotR!I30</f>
        <v>88.094033439980478</v>
      </c>
      <c r="C29" s="52">
        <f>PotR!H30/PotR!$H$33*sse*D29</f>
        <v>1295438130.2635081</v>
      </c>
      <c r="D29" s="243">
        <f>PotR!G30</f>
        <v>172777.66666666666</v>
      </c>
      <c r="E29" s="52">
        <f t="shared" si="0"/>
        <v>7497.7174727260744</v>
      </c>
      <c r="F29" s="52">
        <f>IF(B29&gt;100,-Montants_versés!F30,Montants_reçus!F29)/D29</f>
        <v>361.67583719980706</v>
      </c>
      <c r="G29" s="52">
        <f t="shared" si="1"/>
        <v>7859.3933099258811</v>
      </c>
      <c r="H29" s="53">
        <f t="shared" si="2"/>
        <v>92.3</v>
      </c>
      <c r="J29" s="244">
        <f t="shared" si="3"/>
        <v>-1013.3214477864703</v>
      </c>
    </row>
    <row r="30" spans="1:10">
      <c r="A30" s="245" t="s">
        <v>72</v>
      </c>
      <c r="B30" s="246">
        <f>PotR!I31</f>
        <v>144.9429331461065</v>
      </c>
      <c r="C30" s="56">
        <f>PotR!H31/PotR!$H$33*sse*D30</f>
        <v>5656973662.3033209</v>
      </c>
      <c r="D30" s="247">
        <f>PotR!G31</f>
        <v>458568.83333333331</v>
      </c>
      <c r="E30" s="56">
        <f t="shared" si="0"/>
        <v>12336.149452597603</v>
      </c>
      <c r="F30" s="56">
        <f>IF(B30&gt;100,-Montants_versés!F31,Montants_reçus!F30)/D30</f>
        <v>-777.35608484468537</v>
      </c>
      <c r="G30" s="56">
        <f t="shared" si="1"/>
        <v>11558.793367752918</v>
      </c>
      <c r="H30" s="57">
        <f t="shared" si="2"/>
        <v>135.80000000000001</v>
      </c>
      <c r="J30" s="248">
        <f t="shared" si="3"/>
        <v>3825.1105320850584</v>
      </c>
    </row>
    <row r="31" spans="1:10">
      <c r="A31" s="241" t="s">
        <v>73</v>
      </c>
      <c r="B31" s="249">
        <f>PotR!I32</f>
        <v>62.734020292939029</v>
      </c>
      <c r="C31" s="130">
        <f>PotR!H32/PotR!$H$33*sse*D31</f>
        <v>370485409.80082381</v>
      </c>
      <c r="D31" s="250">
        <f>PotR!G32</f>
        <v>69388.166666666672</v>
      </c>
      <c r="E31" s="130">
        <f t="shared" si="0"/>
        <v>5339.3168835342785</v>
      </c>
      <c r="F31" s="130">
        <f>IF(B31&gt;100,-Montants_versés!F32,Montants_reçus!F31)/D31</f>
        <v>2052.84923860665</v>
      </c>
      <c r="G31" s="130">
        <f t="shared" si="1"/>
        <v>7392.1661221409286</v>
      </c>
      <c r="H31" s="251">
        <f t="shared" si="2"/>
        <v>86.9</v>
      </c>
      <c r="J31" s="252">
        <f t="shared" si="3"/>
        <v>-3171.7220369782663</v>
      </c>
    </row>
    <row r="32" spans="1:10" s="187" customFormat="1" ht="15" customHeight="1">
      <c r="A32" s="198" t="s">
        <v>122</v>
      </c>
      <c r="B32" s="222">
        <f>PotR!I33</f>
        <v>100</v>
      </c>
      <c r="C32" s="200">
        <f>SUM(C6:C31)</f>
        <v>67143668317.299706</v>
      </c>
      <c r="D32" s="253">
        <f>SUM(D6:D31)</f>
        <v>7889009.6666666679</v>
      </c>
      <c r="E32" s="200">
        <f t="shared" si="0"/>
        <v>8511.0389205125448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123</v>
      </c>
      <c r="B33" s="258">
        <f>MIN(B6:B31)</f>
        <v>61.627136388815451</v>
      </c>
      <c r="C33" s="258"/>
      <c r="D33" s="259"/>
      <c r="E33" s="260"/>
      <c r="F33" s="260"/>
      <c r="G33" s="260"/>
      <c r="H33" s="261">
        <f>MIN(H6:H31)</f>
        <v>86.8</v>
      </c>
    </row>
    <row r="34" spans="1:10" s="2" customFormat="1" ht="14.25" customHeight="1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>
      <c r="A35" s="315" t="str">
        <f>"Taux fiscal standardisé "&amp;Info!C30</f>
        <v>Taux fiscal standardisé 2015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5" t="s">
        <v>44</v>
      </c>
      <c r="E36" s="66" t="s">
        <v>36</v>
      </c>
      <c r="F36" s="266">
        <v>2009</v>
      </c>
      <c r="G36" s="267">
        <v>2010</v>
      </c>
      <c r="H36" s="268">
        <v>2011</v>
      </c>
      <c r="I36" s="269"/>
      <c r="J36" s="270" t="str">
        <f>F36&amp;" - "&amp;H36</f>
        <v>2009 - 2011</v>
      </c>
    </row>
    <row r="37" spans="1:10" ht="15" customHeight="1">
      <c r="A37" s="271" t="s">
        <v>124</v>
      </c>
      <c r="B37" s="264"/>
      <c r="C37" s="264"/>
      <c r="D37" s="272" t="s">
        <v>45</v>
      </c>
      <c r="E37" s="273"/>
      <c r="F37" s="274">
        <v>63132563.661569998</v>
      </c>
      <c r="G37" s="275">
        <v>63678656.844159998</v>
      </c>
      <c r="H37" s="276">
        <v>65498515.582709998</v>
      </c>
      <c r="I37" s="277"/>
      <c r="J37" s="278"/>
    </row>
    <row r="38" spans="1:10" ht="15" customHeight="1">
      <c r="A38" s="271" t="s">
        <v>125</v>
      </c>
      <c r="B38" s="264"/>
      <c r="C38" s="264"/>
      <c r="D38" s="272" t="s">
        <v>45</v>
      </c>
      <c r="E38" s="273"/>
      <c r="F38" s="274">
        <v>17877366.595260002</v>
      </c>
      <c r="G38" s="275">
        <v>17886013.38312</v>
      </c>
      <c r="H38" s="276">
        <v>17891142.747850001</v>
      </c>
      <c r="I38" s="279"/>
      <c r="J38" s="280"/>
    </row>
    <row r="39" spans="1:10" ht="15" customHeight="1">
      <c r="A39" s="271" t="s">
        <v>126</v>
      </c>
      <c r="B39" s="264"/>
      <c r="C39" s="264"/>
      <c r="D39" s="272" t="s">
        <v>45</v>
      </c>
      <c r="E39" s="273" t="s">
        <v>127</v>
      </c>
      <c r="F39" s="281">
        <f>0.17*F38</f>
        <v>3039152.3211942003</v>
      </c>
      <c r="G39" s="282">
        <f>0.17*G38</f>
        <v>3040622.2751304004</v>
      </c>
      <c r="H39" s="283">
        <f>0.17*H38</f>
        <v>3041494.2671345002</v>
      </c>
      <c r="I39" s="284"/>
      <c r="J39" s="285"/>
    </row>
    <row r="40" spans="1:10" ht="15.75" customHeight="1">
      <c r="A40" s="286" t="s">
        <v>128</v>
      </c>
      <c r="B40" s="287"/>
      <c r="C40" s="287"/>
      <c r="D40" s="288" t="s">
        <v>45</v>
      </c>
      <c r="E40" s="289" t="s">
        <v>129</v>
      </c>
      <c r="F40" s="290">
        <f>F37+F39</f>
        <v>66171715.982764199</v>
      </c>
      <c r="G40" s="291">
        <f>G37+G39</f>
        <v>66719279.119290397</v>
      </c>
      <c r="H40" s="291">
        <f>H37+H39</f>
        <v>68540009.8498445</v>
      </c>
      <c r="I40" s="141"/>
      <c r="J40" s="292">
        <f>AVERAGE(F40:H40)</f>
        <v>67143668.317299709</v>
      </c>
    </row>
    <row r="41" spans="1:10" ht="15" customHeight="1">
      <c r="A41" s="271" t="s">
        <v>130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7889009.6666666679</v>
      </c>
    </row>
    <row r="42" spans="1:10" ht="15.75" customHeight="1">
      <c r="A42" s="286" t="s">
        <v>131</v>
      </c>
      <c r="B42" s="287"/>
      <c r="C42" s="287"/>
      <c r="D42" s="288" t="s">
        <v>47</v>
      </c>
      <c r="E42" s="289" t="s">
        <v>132</v>
      </c>
      <c r="F42" s="295"/>
      <c r="G42" s="141"/>
      <c r="H42" s="141"/>
      <c r="I42" s="141"/>
      <c r="J42" s="296">
        <f>J40/J41*1000</f>
        <v>8511.0389205125448</v>
      </c>
    </row>
    <row r="43" spans="1:10" ht="15" customHeight="1">
      <c r="A43" s="271" t="s">
        <v>133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30727.265283308112</v>
      </c>
    </row>
    <row r="44" spans="1:10" ht="15.75" customHeight="1">
      <c r="A44" s="286" t="s">
        <v>134</v>
      </c>
      <c r="B44" s="287"/>
      <c r="C44" s="287"/>
      <c r="D44" s="288" t="s">
        <v>80</v>
      </c>
      <c r="E44" s="289" t="s">
        <v>135</v>
      </c>
      <c r="F44" s="295"/>
      <c r="G44" s="141"/>
      <c r="H44" s="141"/>
      <c r="I44" s="141"/>
      <c r="J44" s="297">
        <f>sse/J43</f>
        <v>0.27698654084702984</v>
      </c>
    </row>
    <row r="48" spans="1:10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2011-12-23T16:40:47Z</cp:lastPrinted>
  <dcterms:created xsi:type="dcterms:W3CDTF">2010-11-03T16:06:04Z</dcterms:created>
  <dcterms:modified xsi:type="dcterms:W3CDTF">2014-06-25T13:02:09Z</dcterms:modified>
</cp:coreProperties>
</file>