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20" windowWidth="20730" windowHeight="6060"/>
  </bookViews>
  <sheets>
    <sheet name="Info" sheetId="1" r:id="rId1"/>
    <sheet name="Salaires_bruts" sheetId="2" r:id="rId2"/>
    <sheet name="Gamma" sheetId="3" r:id="rId3"/>
    <sheet name="Calculation_RIS" sheetId="4" r:id="rId4"/>
  </sheets>
  <definedNames>
    <definedName name="gamma">Gamma!$C$7</definedName>
    <definedName name="sst">Calculation_RIS!$V$14</definedName>
  </definedNames>
  <calcPr calcId="125725"/>
</workbook>
</file>

<file path=xl/calcChain.xml><?xml version="1.0" encoding="utf-8"?>
<calcChain xmlns="http://schemas.openxmlformats.org/spreadsheetml/2006/main">
  <c r="O39" i="4"/>
  <c r="J38"/>
  <c r="G38"/>
  <c r="E38"/>
  <c r="J37"/>
  <c r="J36"/>
  <c r="G36"/>
  <c r="E36"/>
  <c r="J35"/>
  <c r="J34"/>
  <c r="G34"/>
  <c r="E34"/>
  <c r="J33"/>
  <c r="J32"/>
  <c r="G32"/>
  <c r="E32"/>
  <c r="J31"/>
  <c r="J30"/>
  <c r="G30"/>
  <c r="E30"/>
  <c r="J29"/>
  <c r="J28"/>
  <c r="G28"/>
  <c r="E28"/>
  <c r="J27"/>
  <c r="J26"/>
  <c r="G26"/>
  <c r="E26"/>
  <c r="J25"/>
  <c r="J24"/>
  <c r="G24"/>
  <c r="E24"/>
  <c r="J23"/>
  <c r="J22"/>
  <c r="G22"/>
  <c r="E22"/>
  <c r="J21"/>
  <c r="J20"/>
  <c r="G20"/>
  <c r="E20"/>
  <c r="J19"/>
  <c r="J18"/>
  <c r="G18"/>
  <c r="E18"/>
  <c r="J17"/>
  <c r="J16"/>
  <c r="G16"/>
  <c r="E16"/>
  <c r="J15"/>
  <c r="V14"/>
  <c r="J14"/>
  <c r="J13"/>
  <c r="G13"/>
  <c r="E13"/>
  <c r="U11"/>
  <c r="O11"/>
  <c r="G11"/>
  <c r="G37" s="1"/>
  <c r="E11"/>
  <c r="E37" s="1"/>
  <c r="U10"/>
  <c r="V9"/>
  <c r="O8"/>
  <c r="D7"/>
  <c r="A4"/>
  <c r="L3"/>
  <c r="A1"/>
  <c r="C6" i="3"/>
  <c r="C7" s="1"/>
  <c r="C11" i="4" s="1"/>
  <c r="B6" i="3"/>
  <c r="C3"/>
  <c r="A1"/>
  <c r="H36" i="2"/>
  <c r="G36"/>
  <c r="F36"/>
  <c r="E36"/>
  <c r="D36"/>
  <c r="C36"/>
  <c r="B36"/>
  <c r="I36" s="1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2"/>
  <c r="A2"/>
  <c r="A2" i="3" s="1"/>
  <c r="A1" i="2"/>
  <c r="A5" i="1"/>
  <c r="A2" i="4" s="1"/>
  <c r="A4" i="1"/>
  <c r="C37" i="4" l="1"/>
  <c r="C35"/>
  <c r="C33"/>
  <c r="C31"/>
  <c r="C29"/>
  <c r="C27"/>
  <c r="C25"/>
  <c r="C23"/>
  <c r="C21"/>
  <c r="C19"/>
  <c r="C17"/>
  <c r="C15"/>
  <c r="C14"/>
  <c r="C38"/>
  <c r="C36"/>
  <c r="C34"/>
  <c r="C32"/>
  <c r="C30"/>
  <c r="C28"/>
  <c r="C26"/>
  <c r="C24"/>
  <c r="B11"/>
  <c r="C13"/>
  <c r="C16"/>
  <c r="C18"/>
  <c r="C20"/>
  <c r="C22"/>
  <c r="D11"/>
  <c r="F11"/>
  <c r="H11"/>
  <c r="E39"/>
  <c r="E14"/>
  <c r="G14"/>
  <c r="G39" s="1"/>
  <c r="E15"/>
  <c r="G15"/>
  <c r="E17"/>
  <c r="G17"/>
  <c r="E19"/>
  <c r="G19"/>
  <c r="E21"/>
  <c r="G21"/>
  <c r="E23"/>
  <c r="G23"/>
  <c r="E25"/>
  <c r="G25"/>
  <c r="E27"/>
  <c r="G27"/>
  <c r="E29"/>
  <c r="G29"/>
  <c r="E31"/>
  <c r="G31"/>
  <c r="E33"/>
  <c r="G33"/>
  <c r="E35"/>
  <c r="G35"/>
  <c r="F38" l="1"/>
  <c r="F36"/>
  <c r="F34"/>
  <c r="F32"/>
  <c r="F30"/>
  <c r="F28"/>
  <c r="F26"/>
  <c r="F24"/>
  <c r="F22"/>
  <c r="F20"/>
  <c r="F18"/>
  <c r="F16"/>
  <c r="F13"/>
  <c r="F37"/>
  <c r="F35"/>
  <c r="F33"/>
  <c r="F31"/>
  <c r="F29"/>
  <c r="F27"/>
  <c r="F25"/>
  <c r="F23"/>
  <c r="F21"/>
  <c r="F19"/>
  <c r="F17"/>
  <c r="F15"/>
  <c r="F14"/>
  <c r="B38"/>
  <c r="B36"/>
  <c r="B34"/>
  <c r="B32"/>
  <c r="B30"/>
  <c r="B28"/>
  <c r="B26"/>
  <c r="B24"/>
  <c r="B22"/>
  <c r="B20"/>
  <c r="B18"/>
  <c r="B16"/>
  <c r="B13"/>
  <c r="B37"/>
  <c r="B35"/>
  <c r="B33"/>
  <c r="B31"/>
  <c r="B29"/>
  <c r="B27"/>
  <c r="B25"/>
  <c r="B23"/>
  <c r="B21"/>
  <c r="B19"/>
  <c r="B17"/>
  <c r="B15"/>
  <c r="B14"/>
  <c r="H38"/>
  <c r="H36"/>
  <c r="H34"/>
  <c r="H32"/>
  <c r="H30"/>
  <c r="H28"/>
  <c r="H26"/>
  <c r="H24"/>
  <c r="H22"/>
  <c r="H20"/>
  <c r="H18"/>
  <c r="H16"/>
  <c r="H13"/>
  <c r="H37"/>
  <c r="H35"/>
  <c r="H33"/>
  <c r="H31"/>
  <c r="H29"/>
  <c r="H27"/>
  <c r="H25"/>
  <c r="H23"/>
  <c r="H21"/>
  <c r="H19"/>
  <c r="H17"/>
  <c r="H15"/>
  <c r="H14"/>
  <c r="D38"/>
  <c r="D36"/>
  <c r="D34"/>
  <c r="D32"/>
  <c r="D30"/>
  <c r="D28"/>
  <c r="D26"/>
  <c r="D24"/>
  <c r="D22"/>
  <c r="D20"/>
  <c r="D18"/>
  <c r="D16"/>
  <c r="D13"/>
  <c r="D37"/>
  <c r="D35"/>
  <c r="D33"/>
  <c r="D31"/>
  <c r="D29"/>
  <c r="D27"/>
  <c r="D25"/>
  <c r="D23"/>
  <c r="D21"/>
  <c r="D19"/>
  <c r="D17"/>
  <c r="D15"/>
  <c r="D14"/>
  <c r="C39"/>
  <c r="I13"/>
  <c r="I18"/>
  <c r="K18" s="1"/>
  <c r="L18" s="1"/>
  <c r="I26"/>
  <c r="K26" s="1"/>
  <c r="L26" s="1"/>
  <c r="I30"/>
  <c r="K30" s="1"/>
  <c r="L30" s="1"/>
  <c r="I34"/>
  <c r="K34" s="1"/>
  <c r="L34" s="1"/>
  <c r="I38"/>
  <c r="K38" s="1"/>
  <c r="L38" s="1"/>
  <c r="I15"/>
  <c r="K15" s="1"/>
  <c r="L15" s="1"/>
  <c r="I19"/>
  <c r="K19" s="1"/>
  <c r="L19" s="1"/>
  <c r="I23"/>
  <c r="K23" s="1"/>
  <c r="L23" s="1"/>
  <c r="I27"/>
  <c r="K27" s="1"/>
  <c r="L27" s="1"/>
  <c r="I31"/>
  <c r="K31" s="1"/>
  <c r="L31" s="1"/>
  <c r="I35"/>
  <c r="K35" s="1"/>
  <c r="L35" s="1"/>
  <c r="I20"/>
  <c r="K20" s="1"/>
  <c r="L20" s="1"/>
  <c r="I16"/>
  <c r="K16" s="1"/>
  <c r="L16" s="1"/>
  <c r="I24"/>
  <c r="K24" s="1"/>
  <c r="L24" s="1"/>
  <c r="I28"/>
  <c r="K28" s="1"/>
  <c r="L28" s="1"/>
  <c r="I32"/>
  <c r="K32" s="1"/>
  <c r="L32" s="1"/>
  <c r="I36"/>
  <c r="K36" s="1"/>
  <c r="L36" s="1"/>
  <c r="I14"/>
  <c r="K14" s="1"/>
  <c r="L14" s="1"/>
  <c r="I17"/>
  <c r="K17" s="1"/>
  <c r="L17" s="1"/>
  <c r="I21"/>
  <c r="K21" s="1"/>
  <c r="L21" s="1"/>
  <c r="I25"/>
  <c r="K25" s="1"/>
  <c r="L25" s="1"/>
  <c r="I29"/>
  <c r="K29" s="1"/>
  <c r="L29" s="1"/>
  <c r="I33"/>
  <c r="K33" s="1"/>
  <c r="L33" s="1"/>
  <c r="I37"/>
  <c r="K37" s="1"/>
  <c r="L37" s="1"/>
  <c r="I22"/>
  <c r="K22" s="1"/>
  <c r="L22" s="1"/>
  <c r="Q22" l="1"/>
  <c r="S22" s="1"/>
  <c r="Q33"/>
  <c r="S33"/>
  <c r="Q25"/>
  <c r="S25"/>
  <c r="Q17"/>
  <c r="S17"/>
  <c r="Q36"/>
  <c r="S36" s="1"/>
  <c r="Q28"/>
  <c r="S28" s="1"/>
  <c r="Q16"/>
  <c r="S16" s="1"/>
  <c r="Q35"/>
  <c r="S35"/>
  <c r="Q27"/>
  <c r="S27"/>
  <c r="Q19"/>
  <c r="S19"/>
  <c r="Q38"/>
  <c r="S38" s="1"/>
  <c r="Q30"/>
  <c r="S30" s="1"/>
  <c r="Q18"/>
  <c r="S18" s="1"/>
  <c r="D39"/>
  <c r="H39"/>
  <c r="B39"/>
  <c r="F39"/>
  <c r="Q37"/>
  <c r="S37"/>
  <c r="Q29"/>
  <c r="S29"/>
  <c r="Q21"/>
  <c r="S21"/>
  <c r="Q14"/>
  <c r="S14"/>
  <c r="Q32"/>
  <c r="S32" s="1"/>
  <c r="Q24"/>
  <c r="S24" s="1"/>
  <c r="Q20"/>
  <c r="S20" s="1"/>
  <c r="Q31"/>
  <c r="S31"/>
  <c r="Q23"/>
  <c r="S23"/>
  <c r="Q15"/>
  <c r="S15"/>
  <c r="Q34"/>
  <c r="S34" s="1"/>
  <c r="Q26"/>
  <c r="S26" s="1"/>
  <c r="I39"/>
  <c r="K39" s="1"/>
  <c r="L39" s="1"/>
  <c r="K13"/>
  <c r="L13" s="1"/>
  <c r="Q13" l="1"/>
  <c r="Q39" s="1"/>
  <c r="S13" l="1"/>
  <c r="S39" s="1"/>
</calcChain>
</file>

<file path=xl/comments1.xml><?xml version="1.0" encoding="utf-8"?>
<comments xmlns="http://schemas.openxmlformats.org/spreadsheetml/2006/main">
  <authors>
    <author>Utz Pascal EFV</author>
  </authors>
  <commentList>
    <comment ref="D7" authorId="0">
      <text>
        <r>
          <rPr>
            <sz val="8"/>
            <rFont val="Tahoma"/>
            <family val="2"/>
          </rPr>
          <t>Bis 2005: 0.03/sst
ab 2006: 0.875 * gamma</t>
        </r>
      </text>
    </comment>
  </commentList>
</comments>
</file>

<file path=xl/sharedStrings.xml><?xml version="1.0" encoding="utf-8"?>
<sst xmlns="http://schemas.openxmlformats.org/spreadsheetml/2006/main" count="213" uniqueCount="104">
  <si>
    <t>Revenu déterminant pour</t>
  </si>
  <si>
    <t>l'imposition à la source (RIS)</t>
  </si>
  <si>
    <t>Informations</t>
  </si>
  <si>
    <t>Environnement</t>
  </si>
  <si>
    <t>Produktion</t>
  </si>
  <si>
    <t>Type</t>
  </si>
  <si>
    <t>Berechnung</t>
  </si>
  <si>
    <t>WS</t>
  </si>
  <si>
    <t>FA_2015_20140616</t>
  </si>
  <si>
    <t>SWS</t>
  </si>
  <si>
    <t>RA_2015_20140616</t>
  </si>
  <si>
    <t>AnRef</t>
  </si>
  <si>
    <t>AnCal</t>
  </si>
  <si>
    <t>Colonne</t>
  </si>
  <si>
    <t>B</t>
  </si>
  <si>
    <t>C</t>
  </si>
  <si>
    <t>D</t>
  </si>
  <si>
    <t>E</t>
  </si>
  <si>
    <t>F</t>
  </si>
  <si>
    <t>G</t>
  </si>
  <si>
    <t>H</t>
  </si>
  <si>
    <t>I</t>
  </si>
  <si>
    <t>Formule</t>
  </si>
  <si>
    <t>C + D + E + F + G + H</t>
  </si>
  <si>
    <t>Catégorie</t>
  </si>
  <si>
    <t>A2</t>
  </si>
  <si>
    <t>D2</t>
  </si>
  <si>
    <t>F2</t>
  </si>
  <si>
    <t>F3</t>
  </si>
  <si>
    <t>I2</t>
  </si>
  <si>
    <t>Etrangers établis dans la région et conseillers d'administration étrangers</t>
  </si>
  <si>
    <t>Frontaliers imposés entièrement</t>
  </si>
  <si>
    <t>Frontaliers assujettis de manière limitée</t>
  </si>
  <si>
    <t>Total</t>
  </si>
  <si>
    <t>autrichiens</t>
  </si>
  <si>
    <t>allemands</t>
  </si>
  <si>
    <t>français imposés par le canton de Genève</t>
  </si>
  <si>
    <t>français imposés
par la France</t>
  </si>
  <si>
    <t>italiens</t>
  </si>
  <si>
    <t>Source des données</t>
  </si>
  <si>
    <t>AFC</t>
  </si>
  <si>
    <t>Unité</t>
  </si>
  <si>
    <t>CHF</t>
  </si>
  <si>
    <t>Zurich</t>
  </si>
  <si>
    <t>Berne</t>
  </si>
  <si>
    <t>Lucerne</t>
  </si>
  <si>
    <t>Uri</t>
  </si>
  <si>
    <t>Schwyz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</si>
  <si>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</si>
  <si>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</si>
  <si>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</si>
  <si>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</si>
  <si>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</si>
  <si>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</si>
  <si>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</si>
  <si>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</si>
  <si>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</si>
  <si>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Rh.-Ext.</t>
  </si>
  <si>
    <t>Appenzell Rh.-Int.</t>
  </si>
  <si>
    <t>St-Gall</t>
  </si>
  <si>
    <t>Grisons</t>
  </si>
  <si>
    <t>Argovie</t>
  </si>
  <si>
    <t>Thurgovie</t>
  </si>
  <si>
    <t>Tessin</t>
  </si>
  <si>
    <t>Vaud</t>
  </si>
  <si>
    <t>Valais</t>
  </si>
  <si>
    <t>Neuchâtel</t>
  </si>
  <si>
    <t>Genève</t>
  </si>
  <si>
    <t>Jura</t>
  </si>
  <si>
    <t>Suisse</t>
  </si>
  <si>
    <t>Source</t>
  </si>
  <si>
    <t>CHF 1'000</t>
  </si>
  <si>
    <r>
      <rPr>
        <sz val="10"/>
        <rFont val="Arial"/>
        <family val="2"/>
      </rPr>
      <t>A</t>
    </r>
    <r>
      <rPr>
        <sz val="12"/>
        <rFont val="Arial"/>
        <family val="2"/>
      </rPr>
      <t xml:space="preserve">  Revenu primaire des ménages privés</t>
    </r>
  </si>
  <si>
    <t>OFS</t>
  </si>
  <si>
    <r>
      <rPr>
        <sz val="10"/>
        <rFont val="Arial"/>
        <family val="2"/>
      </rPr>
      <t>B</t>
    </r>
    <r>
      <rPr>
        <sz val="12"/>
        <rFont val="Arial"/>
        <family val="2"/>
      </rPr>
      <t xml:space="preserve">  Revenu déterminant</t>
    </r>
  </si>
  <si>
    <r>
      <rPr>
        <sz val="10"/>
        <rFont val="Arial"/>
        <family val="2"/>
      </rPr>
      <t>C</t>
    </r>
    <r>
      <rPr>
        <sz val="12"/>
        <rFont val="Arial"/>
        <family val="2"/>
      </rPr>
      <t xml:space="preserve">   </t>
    </r>
    <r>
      <rPr>
        <b/>
        <sz val="12"/>
        <rFont val="Arial"/>
        <family val="2"/>
      </rPr>
      <t xml:space="preserve"> Gamma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(B / A)</t>
    </r>
  </si>
  <si>
    <t>Estimation du revenu déterminant pour l'imposition à la source</t>
  </si>
  <si>
    <t>I</t>
  </si>
  <si>
    <t>J</t>
  </si>
  <si>
    <t>K</t>
  </si>
  <si>
    <t>L</t>
  </si>
  <si>
    <t>O</t>
  </si>
  <si>
    <t>P</t>
  </si>
  <si>
    <t>Q</t>
  </si>
  <si>
    <t>S</t>
  </si>
  <si>
    <t>g</t>
  </si>
  <si>
    <t>0.045 / TFS</t>
  </si>
  <si>
    <r>
      <rPr>
        <sz val="8"/>
        <rFont val="Symbol"/>
        <family val="1"/>
        <charset val="2"/>
      </rPr>
      <t>g</t>
    </r>
    <r>
      <rPr>
        <sz val="8"/>
        <rFont val="Arial"/>
        <family val="2"/>
      </rPr>
      <t xml:space="preserve"> - 0.035 / TFS</t>
    </r>
  </si>
  <si>
    <r>
      <rPr>
        <sz val="12"/>
        <rFont val="Arial"/>
        <family val="2"/>
      </rPr>
      <t xml:space="preserve">(1 - 0.4) * </t>
    </r>
    <r>
      <rPr>
        <sz val="8"/>
        <rFont val="Symbol"/>
        <family val="1"/>
        <charset val="2"/>
      </rPr>
      <t>g</t>
    </r>
  </si>
  <si>
    <t>C+D+E+F+G+H</t>
  </si>
  <si>
    <t>I * J</t>
  </si>
  <si>
    <t>B + K</t>
  </si>
  <si>
    <t>O * P, si L=0</t>
  </si>
  <si>
    <t>L + Q</t>
  </si>
  <si>
    <t>Rapport estimé entre le revenu déterminant pour l'imposition à la source et le revenu déterminant
=&gt; limite supérieure de l'intervalle de confiance 95%</t>
  </si>
  <si>
    <t>Résultat sur la base de données estimées</t>
  </si>
  <si>
    <t>Revenu déterminant pour l'imposition à la source</t>
  </si>
  <si>
    <t>Frontaliers total</t>
  </si>
  <si>
    <t>Facteur Delta
(selon OPFCC)</t>
  </si>
  <si>
    <t>Résultat sur la base des salaires bruts (frontaliers)</t>
  </si>
  <si>
    <t>Résultat sur la base des salaires bruts
(total)</t>
  </si>
  <si>
    <t>Valeur</t>
  </si>
  <si>
    <t>non arrondi</t>
  </si>
  <si>
    <t>arrondi</t>
  </si>
</sst>
</file>

<file path=xl/styles.xml><?xml version="1.0" encoding="utf-8"?>
<styleSheet xmlns="http://schemas.openxmlformats.org/spreadsheetml/2006/main">
  <numFmts count="5">
    <numFmt numFmtId="166" formatCode="_ * #,##0_ ;_ * \-#,##0_ ;_ * &quot;-&quot;??_ ;_ @_ "/>
    <numFmt numFmtId="167" formatCode="0.0%"/>
    <numFmt numFmtId="168" formatCode="0.000"/>
    <numFmt numFmtId="169" formatCode="#,##0.00000000000"/>
    <numFmt numFmtId="170" formatCode="#,##0.000"/>
  </numFmts>
  <fonts count="27">
    <font>
      <sz val="12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i/>
      <sz val="8"/>
      <color rgb="FF00000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color indexed="8"/>
      <name val="Arial"/>
      <family val="2"/>
    </font>
    <font>
      <i/>
      <sz val="12"/>
      <name val="Arial"/>
      <family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22"/>
      <name val="Arial"/>
      <family val="2"/>
    </font>
    <font>
      <sz val="8"/>
      <name val="Symbol"/>
      <family val="1"/>
      <charset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i/>
      <sz val="8"/>
      <color rgb="FF0000FF"/>
      <name val="Arial"/>
      <family val="2"/>
    </font>
    <font>
      <sz val="12"/>
      <name val="Arial"/>
      <family val="2"/>
    </font>
    <font>
      <sz val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B9CDE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 style="hair">
        <color rgb="FF000000"/>
      </left>
      <right/>
      <top/>
      <bottom/>
      <diagonal/>
    </border>
    <border diagonalUp="1" diagonalDown="1">
      <left/>
      <right style="hair">
        <color rgb="FF000000"/>
      </right>
      <top/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 style="hair">
        <color rgb="FF000000"/>
      </left>
      <right/>
      <top style="thin">
        <color rgb="FF000000"/>
      </top>
      <bottom/>
      <diagonal/>
    </border>
    <border diagonalUp="1" diagonalDown="1">
      <left/>
      <right style="hair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hair">
        <color rgb="FF000000"/>
      </left>
      <right/>
      <top/>
      <bottom style="thin">
        <color rgb="FF000000"/>
      </bottom>
      <diagonal/>
    </border>
    <border diagonalUp="1" diagonalDown="1">
      <left/>
      <right style="hair">
        <color rgb="FF000000"/>
      </right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hair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double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 style="thin">
        <color auto="1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3" fillId="0" borderId="0" xfId="0" applyFont="1" applyFill="1"/>
    <xf numFmtId="0" fontId="18" fillId="0" borderId="0" xfId="0" applyFont="1" applyFill="1"/>
    <xf numFmtId="0" fontId="10" fillId="0" borderId="0" xfId="0" applyFont="1" applyFill="1"/>
    <xf numFmtId="0" fontId="4" fillId="0" borderId="0" xfId="0" applyFont="1" applyFill="1"/>
    <xf numFmtId="0" fontId="1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8" fillId="0" borderId="3" xfId="0" applyFont="1" applyFill="1" applyBorder="1"/>
    <xf numFmtId="1" fontId="24" fillId="0" borderId="4" xfId="0" applyNumberFormat="1" applyFont="1" applyFill="1" applyBorder="1" applyAlignment="1" applyProtection="1">
      <alignment horizontal="left" vertical="top"/>
      <protection locked="0"/>
    </xf>
    <xf numFmtId="1" fontId="24" fillId="0" borderId="5" xfId="0" applyNumberFormat="1" applyFont="1" applyFill="1" applyBorder="1" applyAlignment="1" applyProtection="1">
      <alignment horizontal="left" vertical="top"/>
      <protection locked="0"/>
    </xf>
    <xf numFmtId="0" fontId="8" fillId="0" borderId="6" xfId="0" applyFont="1" applyFill="1" applyBorder="1"/>
    <xf numFmtId="1" fontId="24" fillId="0" borderId="7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/>
    <xf numFmtId="0" fontId="10" fillId="0" borderId="0" xfId="0" applyFont="1" applyFill="1" applyBorder="1" applyAlignment="1" applyProtection="1">
      <alignment vertical="top" wrapText="1"/>
      <protection locked="0"/>
    </xf>
    <xf numFmtId="0" fontId="6" fillId="0" borderId="8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/>
    </xf>
    <xf numFmtId="0" fontId="15" fillId="0" borderId="0" xfId="0" applyFont="1" applyFill="1" applyAlignment="1">
      <alignment horizontal="right"/>
    </xf>
    <xf numFmtId="0" fontId="16" fillId="0" borderId="0" xfId="0" applyFont="1" applyFill="1"/>
    <xf numFmtId="0" fontId="16" fillId="0" borderId="1" xfId="0" applyFont="1" applyFill="1" applyBorder="1" applyAlignment="1">
      <alignment horizontal="right"/>
    </xf>
    <xf numFmtId="0" fontId="16" fillId="0" borderId="9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7" fillId="0" borderId="0" xfId="0" applyFont="1" applyFill="1"/>
    <xf numFmtId="0" fontId="21" fillId="0" borderId="1" xfId="0" applyFont="1" applyFill="1" applyBorder="1" applyAlignment="1">
      <alignment horizontal="right"/>
    </xf>
    <xf numFmtId="0" fontId="21" fillId="0" borderId="9" xfId="0" applyFont="1" applyFill="1" applyBorder="1" applyAlignment="1">
      <alignment horizontal="center"/>
    </xf>
    <xf numFmtId="0" fontId="22" fillId="0" borderId="9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9" fillId="0" borderId="0" xfId="0" applyFont="1" applyFill="1"/>
    <xf numFmtId="0" fontId="17" fillId="0" borderId="1" xfId="0" applyFont="1" applyFill="1" applyBorder="1" applyAlignment="1">
      <alignment horizontal="right" vertical="center"/>
    </xf>
    <xf numFmtId="0" fontId="15" fillId="0" borderId="9" xfId="0" applyFont="1" applyFill="1" applyBorder="1" applyAlignment="1">
      <alignment horizontal="right" vertical="center" wrapText="1"/>
    </xf>
    <xf numFmtId="0" fontId="15" fillId="0" borderId="10" xfId="0" applyFont="1" applyFill="1" applyBorder="1" applyAlignment="1">
      <alignment horizontal="right" vertical="center" wrapText="1"/>
    </xf>
    <xf numFmtId="0" fontId="15" fillId="0" borderId="11" xfId="0" applyFont="1" applyFill="1" applyBorder="1" applyAlignment="1">
      <alignment horizontal="right" vertical="center" wrapText="1"/>
    </xf>
    <xf numFmtId="0" fontId="15" fillId="0" borderId="2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0" fontId="15" fillId="0" borderId="1" xfId="0" applyFont="1" applyFill="1" applyBorder="1" applyAlignment="1">
      <alignment horizontal="right" vertical="center"/>
    </xf>
    <xf numFmtId="0" fontId="17" fillId="0" borderId="9" xfId="0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horizontal="right" vertical="center"/>
    </xf>
    <xf numFmtId="0" fontId="17" fillId="0" borderId="11" xfId="0" applyFont="1" applyFill="1" applyBorder="1" applyAlignment="1">
      <alignment horizontal="right" vertical="center"/>
    </xf>
    <xf numFmtId="0" fontId="17" fillId="0" borderId="2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/>
    </xf>
    <xf numFmtId="166" fontId="5" fillId="0" borderId="15" xfId="0" applyNumberFormat="1" applyFont="1" applyFill="1" applyBorder="1" applyAlignment="1" applyProtection="1">
      <alignment horizontal="right"/>
      <protection locked="0"/>
    </xf>
    <xf numFmtId="166" fontId="5" fillId="0" borderId="16" xfId="0" applyNumberFormat="1" applyFont="1" applyFill="1" applyBorder="1" applyAlignment="1" applyProtection="1">
      <alignment horizontal="right"/>
      <protection locked="0"/>
    </xf>
    <xf numFmtId="166" fontId="5" fillId="0" borderId="17" xfId="0" applyNumberFormat="1" applyFont="1" applyFill="1" applyBorder="1" applyAlignment="1" applyProtection="1">
      <alignment horizontal="right"/>
      <protection locked="0"/>
    </xf>
    <xf numFmtId="3" fontId="1" fillId="0" borderId="4" xfId="0" applyNumberFormat="1" applyFont="1" applyFill="1" applyBorder="1" applyAlignment="1">
      <alignment horizontal="right"/>
    </xf>
    <xf numFmtId="0" fontId="3" fillId="2" borderId="18" xfId="0" applyFont="1" applyFill="1" applyBorder="1" applyAlignment="1">
      <alignment horizontal="left"/>
    </xf>
    <xf numFmtId="166" fontId="5" fillId="2" borderId="0" xfId="0" applyNumberFormat="1" applyFont="1" applyFill="1" applyBorder="1" applyAlignment="1" applyProtection="1">
      <alignment horizontal="right"/>
      <protection locked="0"/>
    </xf>
    <xf numFmtId="166" fontId="5" fillId="2" borderId="13" xfId="0" applyNumberFormat="1" applyFont="1" applyFill="1" applyBorder="1" applyAlignment="1" applyProtection="1">
      <alignment horizontal="right"/>
      <protection locked="0"/>
    </xf>
    <xf numFmtId="166" fontId="5" fillId="2" borderId="14" xfId="0" applyNumberFormat="1" applyFont="1" applyFill="1" applyBorder="1" applyAlignment="1" applyProtection="1">
      <alignment horizontal="right"/>
      <protection locked="0"/>
    </xf>
    <xf numFmtId="3" fontId="1" fillId="2" borderId="19" xfId="0" applyNumberFormat="1" applyFont="1" applyFill="1" applyBorder="1" applyAlignment="1">
      <alignment horizontal="right"/>
    </xf>
    <xf numFmtId="0" fontId="3" fillId="0" borderId="18" xfId="0" applyFont="1" applyFill="1" applyBorder="1" applyAlignment="1">
      <alignment horizontal="left"/>
    </xf>
    <xf numFmtId="166" fontId="5" fillId="0" borderId="0" xfId="0" applyNumberFormat="1" applyFont="1" applyFill="1" applyBorder="1" applyAlignment="1" applyProtection="1">
      <alignment horizontal="right"/>
      <protection locked="0"/>
    </xf>
    <xf numFmtId="166" fontId="5" fillId="0" borderId="13" xfId="0" applyNumberFormat="1" applyFont="1" applyFill="1" applyBorder="1" applyAlignment="1" applyProtection="1">
      <alignment horizontal="right"/>
      <protection locked="0"/>
    </xf>
    <xf numFmtId="166" fontId="5" fillId="0" borderId="14" xfId="0" applyNumberFormat="1" applyFont="1" applyFill="1" applyBorder="1" applyAlignment="1" applyProtection="1">
      <alignment horizontal="right"/>
      <protection locked="0"/>
    </xf>
    <xf numFmtId="3" fontId="1" fillId="0" borderId="19" xfId="0" applyNumberFormat="1" applyFont="1" applyFill="1" applyBorder="1" applyAlignment="1">
      <alignment horizontal="right"/>
    </xf>
    <xf numFmtId="0" fontId="3" fillId="2" borderId="20" xfId="0" applyFont="1" applyFill="1" applyBorder="1" applyAlignment="1">
      <alignment horizontal="left"/>
    </xf>
    <xf numFmtId="166" fontId="5" fillId="2" borderId="8" xfId="0" applyNumberFormat="1" applyFont="1" applyFill="1" applyBorder="1" applyAlignment="1" applyProtection="1">
      <alignment horizontal="right"/>
      <protection locked="0"/>
    </xf>
    <xf numFmtId="166" fontId="5" fillId="2" borderId="21" xfId="0" applyNumberFormat="1" applyFont="1" applyFill="1" applyBorder="1" applyAlignment="1" applyProtection="1">
      <alignment horizontal="right"/>
      <protection locked="0"/>
    </xf>
    <xf numFmtId="166" fontId="5" fillId="2" borderId="22" xfId="0" applyNumberFormat="1" applyFont="1" applyFill="1" applyBorder="1" applyAlignment="1" applyProtection="1">
      <alignment horizontal="right"/>
      <protection locked="0"/>
    </xf>
    <xf numFmtId="3" fontId="1" fillId="2" borderId="23" xfId="0" applyNumberFormat="1" applyFont="1" applyFill="1" applyBorder="1" applyAlignment="1">
      <alignment horizontal="right"/>
    </xf>
    <xf numFmtId="3" fontId="1" fillId="0" borderId="9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0" fontId="0" fillId="0" borderId="15" xfId="0" applyFont="1" applyFill="1" applyBorder="1"/>
    <xf numFmtId="0" fontId="6" fillId="0" borderId="0" xfId="0" applyFont="1" applyFill="1" applyBorder="1" applyAlignment="1">
      <alignment horizontal="left" vertical="top"/>
    </xf>
    <xf numFmtId="0" fontId="15" fillId="0" borderId="0" xfId="0" applyFont="1" applyFill="1" applyAlignment="1">
      <alignment horizontal="right" vertical="top"/>
    </xf>
    <xf numFmtId="0" fontId="15" fillId="0" borderId="0" xfId="0" applyFont="1" applyFill="1"/>
    <xf numFmtId="167" fontId="2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15" fillId="0" borderId="15" xfId="0" applyFont="1" applyFill="1" applyBorder="1" applyAlignment="1">
      <alignment vertical="center"/>
    </xf>
    <xf numFmtId="3" fontId="7" fillId="0" borderId="15" xfId="0" applyNumberFormat="1" applyFont="1" applyFill="1" applyBorder="1" applyProtection="1">
      <protection locked="0"/>
    </xf>
    <xf numFmtId="3" fontId="0" fillId="0" borderId="0" xfId="0" applyNumberFormat="1" applyFont="1" applyFill="1"/>
    <xf numFmtId="0" fontId="0" fillId="0" borderId="8" xfId="0" applyFont="1" applyFill="1" applyBorder="1"/>
    <xf numFmtId="0" fontId="15" fillId="0" borderId="8" xfId="0" applyFont="1" applyFill="1" applyBorder="1" applyAlignment="1">
      <alignment vertical="center"/>
    </xf>
    <xf numFmtId="3" fontId="0" fillId="0" borderId="8" xfId="0" applyNumberFormat="1" applyFont="1" applyFill="1" applyBorder="1" applyProtection="1">
      <protection locked="0"/>
    </xf>
    <xf numFmtId="0" fontId="6" fillId="0" borderId="27" xfId="0" applyFont="1" applyFill="1" applyBorder="1"/>
    <xf numFmtId="168" fontId="6" fillId="0" borderId="27" xfId="0" applyNumberFormat="1" applyFont="1" applyFill="1" applyBorder="1"/>
    <xf numFmtId="0" fontId="0" fillId="0" borderId="0" xfId="0" applyFont="1" applyFill="1" applyBorder="1"/>
    <xf numFmtId="0" fontId="6" fillId="0" borderId="0" xfId="0" applyFont="1" applyFill="1" applyBorder="1" applyAlignment="1">
      <alignment horizontal="left"/>
    </xf>
    <xf numFmtId="1" fontId="11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4" fillId="0" borderId="0" xfId="0" applyFont="1" applyFill="1" applyBorder="1" applyAlignment="1">
      <alignment vertical="center" wrapText="1"/>
    </xf>
    <xf numFmtId="167" fontId="12" fillId="0" borderId="9" xfId="0" applyNumberFormat="1" applyFont="1" applyFill="1" applyBorder="1"/>
    <xf numFmtId="0" fontId="0" fillId="0" borderId="9" xfId="0" applyFont="1" applyFill="1" applyBorder="1"/>
    <xf numFmtId="167" fontId="12" fillId="0" borderId="0" xfId="0" applyNumberFormat="1" applyFont="1" applyFill="1"/>
    <xf numFmtId="0" fontId="20" fillId="0" borderId="1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right" vertical="center"/>
    </xf>
    <xf numFmtId="0" fontId="19" fillId="0" borderId="9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 applyProtection="1">
      <alignment horizontal="right" vertical="center" wrapText="1"/>
      <protection locked="0"/>
    </xf>
    <xf numFmtId="0" fontId="9" fillId="0" borderId="9" xfId="0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right" vertical="center" wrapText="1"/>
    </xf>
    <xf numFmtId="0" fontId="9" fillId="0" borderId="9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center"/>
    </xf>
    <xf numFmtId="0" fontId="15" fillId="0" borderId="28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1" fillId="0" borderId="18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right" vertical="center"/>
    </xf>
    <xf numFmtId="168" fontId="2" fillId="0" borderId="9" xfId="0" applyNumberFormat="1" applyFont="1" applyFill="1" applyBorder="1" applyAlignment="1">
      <alignment horizontal="right" vertical="center" wrapText="1"/>
    </xf>
    <xf numFmtId="168" fontId="2" fillId="0" borderId="10" xfId="0" applyNumberFormat="1" applyFont="1" applyFill="1" applyBorder="1" applyAlignment="1">
      <alignment horizontal="right" vertical="center" wrapText="1"/>
    </xf>
    <xf numFmtId="168" fontId="2" fillId="0" borderId="11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3" fillId="0" borderId="2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29" xfId="0" applyFont="1" applyFill="1" applyBorder="1"/>
    <xf numFmtId="168" fontId="2" fillId="0" borderId="2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 vertical="center"/>
    </xf>
    <xf numFmtId="168" fontId="2" fillId="0" borderId="28" xfId="0" applyNumberFormat="1" applyFont="1" applyFill="1" applyBorder="1" applyAlignment="1">
      <alignment horizontal="right" vertical="center" wrapText="1"/>
    </xf>
    <xf numFmtId="0" fontId="0" fillId="0" borderId="12" xfId="0" applyFont="1" applyFill="1" applyBorder="1"/>
    <xf numFmtId="3" fontId="0" fillId="0" borderId="15" xfId="0" applyNumberFormat="1" applyFont="1" applyFill="1" applyBorder="1"/>
    <xf numFmtId="3" fontId="0" fillId="0" borderId="16" xfId="0" applyNumberFormat="1" applyFont="1" applyFill="1" applyBorder="1"/>
    <xf numFmtId="3" fontId="0" fillId="0" borderId="17" xfId="0" applyNumberFormat="1" applyFont="1" applyFill="1" applyBorder="1"/>
    <xf numFmtId="2" fontId="0" fillId="0" borderId="15" xfId="0" applyNumberFormat="1" applyFont="1" applyFill="1" applyBorder="1" applyAlignment="1">
      <alignment horizontal="right"/>
    </xf>
    <xf numFmtId="3" fontId="0" fillId="0" borderId="4" xfId="0" applyNumberFormat="1" applyFont="1" applyFill="1" applyBorder="1"/>
    <xf numFmtId="3" fontId="6" fillId="0" borderId="0" xfId="0" applyNumberFormat="1" applyFont="1" applyFill="1" applyBorder="1" applyAlignment="1">
      <alignment vertical="center"/>
    </xf>
    <xf numFmtId="166" fontId="7" fillId="0" borderId="15" xfId="0" applyNumberFormat="1" applyFont="1" applyFill="1" applyBorder="1" applyProtection="1">
      <protection locked="0"/>
    </xf>
    <xf numFmtId="167" fontId="7" fillId="0" borderId="15" xfId="0" applyNumberFormat="1" applyFont="1" applyFill="1" applyBorder="1" applyProtection="1">
      <protection locked="0"/>
    </xf>
    <xf numFmtId="3" fontId="6" fillId="0" borderId="18" xfId="0" applyNumberFormat="1" applyFont="1" applyFill="1" applyBorder="1"/>
    <xf numFmtId="3" fontId="6" fillId="0" borderId="30" xfId="0" applyNumberFormat="1" applyFont="1" applyFill="1" applyBorder="1"/>
    <xf numFmtId="0" fontId="0" fillId="0" borderId="18" xfId="0" applyFont="1" applyFill="1" applyBorder="1" applyAlignment="1">
      <alignment horizontal="right"/>
    </xf>
    <xf numFmtId="169" fontId="13" fillId="0" borderId="19" xfId="0" applyNumberFormat="1" applyFont="1" applyFill="1" applyBorder="1" applyProtection="1">
      <protection locked="0"/>
    </xf>
    <xf numFmtId="0" fontId="0" fillId="2" borderId="18" xfId="0" applyFont="1" applyFill="1" applyBorder="1"/>
    <xf numFmtId="3" fontId="0" fillId="2" borderId="0" xfId="0" applyNumberFormat="1" applyFont="1" applyFill="1" applyBorder="1"/>
    <xf numFmtId="3" fontId="0" fillId="2" borderId="13" xfId="0" applyNumberFormat="1" applyFont="1" applyFill="1" applyBorder="1"/>
    <xf numFmtId="3" fontId="0" fillId="2" borderId="14" xfId="0" applyNumberFormat="1" applyFont="1" applyFill="1" applyBorder="1"/>
    <xf numFmtId="2" fontId="0" fillId="2" borderId="0" xfId="0" applyNumberFormat="1" applyFont="1" applyFill="1" applyBorder="1" applyAlignment="1">
      <alignment horizontal="right"/>
    </xf>
    <xf numFmtId="3" fontId="0" fillId="2" borderId="19" xfId="0" applyNumberFormat="1" applyFont="1" applyFill="1" applyBorder="1"/>
    <xf numFmtId="166" fontId="7" fillId="2" borderId="0" xfId="0" applyNumberFormat="1" applyFont="1" applyFill="1" applyBorder="1" applyProtection="1">
      <protection locked="0"/>
    </xf>
    <xf numFmtId="167" fontId="7" fillId="2" borderId="0" xfId="0" applyNumberFormat="1" applyFont="1" applyFill="1" applyBorder="1" applyProtection="1">
      <protection locked="0"/>
    </xf>
    <xf numFmtId="3" fontId="6" fillId="2" borderId="29" xfId="0" applyNumberFormat="1" applyFont="1" applyFill="1" applyBorder="1"/>
    <xf numFmtId="0" fontId="0" fillId="0" borderId="6" xfId="0" applyFont="1" applyFill="1" applyBorder="1" applyAlignment="1">
      <alignment horizontal="right"/>
    </xf>
    <xf numFmtId="170" fontId="14" fillId="0" borderId="7" xfId="0" applyNumberFormat="1" applyFont="1" applyFill="1" applyBorder="1" applyAlignment="1">
      <alignment horizontal="right"/>
    </xf>
    <xf numFmtId="0" fontId="0" fillId="0" borderId="18" xfId="0" applyFont="1" applyFill="1" applyBorder="1"/>
    <xf numFmtId="3" fontId="0" fillId="0" borderId="0" xfId="0" applyNumberFormat="1" applyFont="1" applyFill="1" applyBorder="1"/>
    <xf numFmtId="3" fontId="0" fillId="0" borderId="13" xfId="0" applyNumberFormat="1" applyFont="1" applyFill="1" applyBorder="1"/>
    <xf numFmtId="3" fontId="0" fillId="0" borderId="14" xfId="0" applyNumberFormat="1" applyFont="1" applyFill="1" applyBorder="1"/>
    <xf numFmtId="2" fontId="0" fillId="0" borderId="0" xfId="0" applyNumberFormat="1" applyFont="1" applyFill="1" applyBorder="1" applyAlignment="1">
      <alignment horizontal="right"/>
    </xf>
    <xf numFmtId="3" fontId="0" fillId="0" borderId="19" xfId="0" applyNumberFormat="1" applyFont="1" applyFill="1" applyBorder="1"/>
    <xf numFmtId="166" fontId="7" fillId="0" borderId="0" xfId="0" applyNumberFormat="1" applyFont="1" applyFill="1" applyBorder="1" applyProtection="1">
      <protection locked="0"/>
    </xf>
    <xf numFmtId="167" fontId="7" fillId="0" borderId="0" xfId="0" applyNumberFormat="1" applyFont="1" applyFill="1" applyBorder="1" applyProtection="1">
      <protection locked="0"/>
    </xf>
    <xf numFmtId="3" fontId="6" fillId="0" borderId="29" xfId="0" applyNumberFormat="1" applyFont="1" applyFill="1" applyBorder="1"/>
    <xf numFmtId="0" fontId="0" fillId="2" borderId="20" xfId="0" applyFont="1" applyFill="1" applyBorder="1"/>
    <xf numFmtId="3" fontId="0" fillId="2" borderId="8" xfId="0" applyNumberFormat="1" applyFont="1" applyFill="1" applyBorder="1"/>
    <xf numFmtId="3" fontId="0" fillId="2" borderId="21" xfId="0" applyNumberFormat="1" applyFont="1" applyFill="1" applyBorder="1"/>
    <xf numFmtId="3" fontId="0" fillId="2" borderId="22" xfId="0" applyNumberFormat="1" applyFont="1" applyFill="1" applyBorder="1"/>
    <xf numFmtId="2" fontId="0" fillId="2" borderId="8" xfId="0" applyNumberFormat="1" applyFont="1" applyFill="1" applyBorder="1" applyAlignment="1">
      <alignment horizontal="right"/>
    </xf>
    <xf numFmtId="3" fontId="0" fillId="2" borderId="23" xfId="0" applyNumberFormat="1" applyFont="1" applyFill="1" applyBorder="1"/>
    <xf numFmtId="166" fontId="7" fillId="2" borderId="8" xfId="0" applyNumberFormat="1" applyFont="1" applyFill="1" applyBorder="1" applyProtection="1">
      <protection locked="0"/>
    </xf>
    <xf numFmtId="167" fontId="7" fillId="2" borderId="8" xfId="0" applyNumberFormat="1" applyFont="1" applyFill="1" applyBorder="1" applyProtection="1">
      <protection locked="0"/>
    </xf>
    <xf numFmtId="3" fontId="6" fillId="2" borderId="31" xfId="0" applyNumberFormat="1" applyFont="1" applyFill="1" applyBorder="1"/>
    <xf numFmtId="0" fontId="6" fillId="0" borderId="1" xfId="0" applyFont="1" applyFill="1" applyBorder="1"/>
    <xf numFmtId="3" fontId="6" fillId="0" borderId="9" xfId="0" applyNumberFormat="1" applyFont="1" applyFill="1" applyBorder="1"/>
    <xf numFmtId="3" fontId="6" fillId="0" borderId="10" xfId="0" applyNumberFormat="1" applyFont="1" applyFill="1" applyBorder="1"/>
    <xf numFmtId="3" fontId="6" fillId="0" borderId="11" xfId="0" applyNumberFormat="1" applyFont="1" applyFill="1" applyBorder="1"/>
    <xf numFmtId="4" fontId="13" fillId="0" borderId="9" xfId="0" applyNumberFormat="1" applyFont="1" applyFill="1" applyBorder="1" applyAlignment="1" applyProtection="1">
      <alignment horizontal="right"/>
      <protection locked="0"/>
    </xf>
    <xf numFmtId="3" fontId="6" fillId="0" borderId="2" xfId="0" applyNumberFormat="1" applyFont="1" applyFill="1" applyBorder="1"/>
    <xf numFmtId="3" fontId="0" fillId="0" borderId="9" xfId="0" applyNumberFormat="1" applyFont="1" applyFill="1" applyBorder="1"/>
    <xf numFmtId="167" fontId="0" fillId="0" borderId="9" xfId="0" applyNumberFormat="1" applyFont="1" applyFill="1" applyBorder="1"/>
    <xf numFmtId="3" fontId="6" fillId="0" borderId="28" xfId="0" applyNumberFormat="1" applyFont="1" applyFill="1" applyBorder="1"/>
    <xf numFmtId="0" fontId="4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" fillId="0" borderId="15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0" fillId="0" borderId="5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3" fillId="0" borderId="4" xfId="0" applyFont="1" applyFill="1" applyBorder="1"/>
    <xf numFmtId="0" fontId="4" fillId="4" borderId="1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6"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1"/>
  <sheetViews>
    <sheetView showGridLines="0" tabSelected="1" workbookViewId="0">
      <selection activeCell="A5" sqref="A5:D5"/>
    </sheetView>
  </sheetViews>
  <sheetFormatPr baseColWidth="10" defaultColWidth="11.5546875" defaultRowHeight="12.75"/>
  <cols>
    <col min="1" max="1" width="15.109375" style="1" customWidth="1"/>
    <col min="2" max="2" width="9" style="1" customWidth="1"/>
    <col min="3" max="3" width="20" style="1" customWidth="1"/>
    <col min="4" max="4" width="14.77734375" style="1" customWidth="1"/>
    <col min="5" max="5" width="10" style="1" customWidth="1"/>
    <col min="6" max="6" width="11.5546875" style="1" customWidth="1"/>
    <col min="7" max="16384" width="11.5546875" style="1"/>
  </cols>
  <sheetData>
    <row r="1" spans="1:5" ht="27.75" customHeight="1">
      <c r="A1" s="191" t="s">
        <v>0</v>
      </c>
      <c r="B1" s="191"/>
      <c r="C1" s="191"/>
      <c r="D1" s="191"/>
      <c r="E1" s="2"/>
    </row>
    <row r="2" spans="1:5" ht="27.75" customHeight="1">
      <c r="A2" s="191" t="s">
        <v>1</v>
      </c>
      <c r="B2" s="191"/>
      <c r="C2" s="191"/>
      <c r="D2" s="191"/>
      <c r="E2" s="2"/>
    </row>
    <row r="3" spans="1:5" ht="24.75" customHeight="1">
      <c r="A3" s="3"/>
      <c r="B3" s="3"/>
      <c r="C3" s="3"/>
      <c r="D3" s="3"/>
      <c r="E3" s="3"/>
    </row>
    <row r="4" spans="1:5" ht="18" customHeight="1">
      <c r="A4" s="190" t="str">
        <f>"Année de calcul "&amp;C31</f>
        <v>Année de calcul 2011</v>
      </c>
      <c r="B4" s="190"/>
      <c r="C4" s="190"/>
      <c r="D4" s="190"/>
      <c r="E4" s="4"/>
    </row>
    <row r="5" spans="1:5" ht="18" customHeight="1">
      <c r="A5" s="190" t="str">
        <f>"Année de référence "&amp;C30</f>
        <v>Année de référence 2015</v>
      </c>
      <c r="B5" s="190"/>
      <c r="C5" s="190"/>
      <c r="D5" s="190"/>
      <c r="E5" s="4"/>
    </row>
    <row r="25" spans="2:3">
      <c r="B25" s="5" t="s">
        <v>2</v>
      </c>
      <c r="C25" s="6"/>
    </row>
    <row r="26" spans="2:3">
      <c r="B26" s="7" t="s">
        <v>3</v>
      </c>
      <c r="C26" s="8" t="s">
        <v>4</v>
      </c>
    </row>
    <row r="27" spans="2:3">
      <c r="B27" s="7" t="s">
        <v>5</v>
      </c>
      <c r="C27" s="9" t="s">
        <v>6</v>
      </c>
    </row>
    <row r="28" spans="2:3">
      <c r="B28" s="7" t="s">
        <v>7</v>
      </c>
      <c r="C28" s="9" t="s">
        <v>8</v>
      </c>
    </row>
    <row r="29" spans="2:3">
      <c r="B29" s="7" t="s">
        <v>9</v>
      </c>
      <c r="C29" s="9" t="s">
        <v>10</v>
      </c>
    </row>
    <row r="30" spans="2:3">
      <c r="B30" s="7" t="s">
        <v>11</v>
      </c>
      <c r="C30" s="9">
        <v>2015</v>
      </c>
    </row>
    <row r="31" spans="2:3">
      <c r="B31" s="10" t="s">
        <v>12</v>
      </c>
      <c r="C31" s="11">
        <v>2011</v>
      </c>
    </row>
  </sheetData>
  <mergeCells count="4">
    <mergeCell ref="A5:D5"/>
    <mergeCell ref="A4:D4"/>
    <mergeCell ref="A2:D2"/>
    <mergeCell ref="A1:D1"/>
  </mergeCells>
  <conditionalFormatting sqref="C26:C31">
    <cfRule type="expression" dxfId="5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37"/>
  <sheetViews>
    <sheetView showGridLines="0" zoomScale="90" workbookViewId="0">
      <selection activeCell="A8" sqref="A8"/>
    </sheetView>
  </sheetViews>
  <sheetFormatPr baseColWidth="10" defaultColWidth="11.5546875" defaultRowHeight="15"/>
  <cols>
    <col min="1" max="1" width="13.6640625" style="12" customWidth="1"/>
    <col min="2" max="2" width="17.6640625" style="12" customWidth="1"/>
    <col min="3" max="3" width="13.5546875" style="12" customWidth="1"/>
    <col min="4" max="5" width="13.33203125" style="12" customWidth="1"/>
    <col min="6" max="6" width="15.33203125" style="12" customWidth="1"/>
    <col min="7" max="7" width="16.5546875" style="12" customWidth="1"/>
    <col min="8" max="9" width="13.33203125" style="12" customWidth="1"/>
  </cols>
  <sheetData>
    <row r="1" spans="1:9" ht="26.25" customHeight="1">
      <c r="A1" s="197" t="str">
        <f>"Salaires bruts "&amp;Info!C31</f>
        <v>Salaires bruts 2011</v>
      </c>
      <c r="B1" s="197"/>
      <c r="C1" s="197"/>
      <c r="I1" s="13"/>
    </row>
    <row r="2" spans="1:9" ht="31.5" customHeight="1">
      <c r="A2" s="14" t="str">
        <f>"Année de référence "&amp;Info!C30</f>
        <v>Année de référence 2015</v>
      </c>
      <c r="B2" s="15"/>
      <c r="C2" s="15"/>
      <c r="D2" s="16"/>
      <c r="I2" s="17" t="str">
        <f>Info!C28</f>
        <v>FA_2015_20140616</v>
      </c>
    </row>
    <row r="3" spans="1:9" s="18" customFormat="1" ht="12.75">
      <c r="A3" s="19" t="s">
        <v>13</v>
      </c>
      <c r="B3" s="20" t="s">
        <v>14</v>
      </c>
      <c r="C3" s="20" t="s">
        <v>15</v>
      </c>
      <c r="D3" s="20" t="s">
        <v>16</v>
      </c>
      <c r="E3" s="20" t="s">
        <v>17</v>
      </c>
      <c r="F3" s="20" t="s">
        <v>18</v>
      </c>
      <c r="G3" s="20" t="s">
        <v>19</v>
      </c>
      <c r="H3" s="20" t="s">
        <v>20</v>
      </c>
      <c r="I3" s="21" t="s">
        <v>21</v>
      </c>
    </row>
    <row r="4" spans="1:9" s="22" customFormat="1" ht="11.25" customHeight="1">
      <c r="A4" s="23" t="s">
        <v>22</v>
      </c>
      <c r="B4" s="24"/>
      <c r="C4" s="24"/>
      <c r="D4" s="24"/>
      <c r="E4" s="24"/>
      <c r="F4" s="25"/>
      <c r="G4" s="25"/>
      <c r="H4" s="25"/>
      <c r="I4" s="26" t="s">
        <v>23</v>
      </c>
    </row>
    <row r="5" spans="1:9" ht="15.75" customHeight="1">
      <c r="A5" s="27" t="s">
        <v>24</v>
      </c>
      <c r="B5" s="28">
        <v>0</v>
      </c>
      <c r="C5" s="28">
        <v>1</v>
      </c>
      <c r="D5" s="29" t="s">
        <v>25</v>
      </c>
      <c r="E5" s="28" t="s">
        <v>26</v>
      </c>
      <c r="F5" s="28" t="s">
        <v>27</v>
      </c>
      <c r="G5" s="28" t="s">
        <v>28</v>
      </c>
      <c r="H5" s="30" t="s">
        <v>29</v>
      </c>
      <c r="I5" s="31"/>
    </row>
    <row r="6" spans="1:9" ht="20.25" customHeight="1">
      <c r="A6" s="198"/>
      <c r="B6" s="192" t="s">
        <v>30</v>
      </c>
      <c r="C6" s="192" t="s">
        <v>31</v>
      </c>
      <c r="D6" s="194" t="s">
        <v>32</v>
      </c>
      <c r="E6" s="195"/>
      <c r="F6" s="195"/>
      <c r="G6" s="195"/>
      <c r="H6" s="196"/>
      <c r="I6" s="200" t="s">
        <v>33</v>
      </c>
    </row>
    <row r="7" spans="1:9" ht="42.75" customHeight="1">
      <c r="A7" s="199"/>
      <c r="B7" s="193"/>
      <c r="C7" s="193"/>
      <c r="D7" s="34" t="s">
        <v>34</v>
      </c>
      <c r="E7" s="35" t="s">
        <v>35</v>
      </c>
      <c r="F7" s="35" t="s">
        <v>36</v>
      </c>
      <c r="G7" s="35" t="s">
        <v>37</v>
      </c>
      <c r="H7" s="36" t="s">
        <v>38</v>
      </c>
      <c r="I7" s="201"/>
    </row>
    <row r="8" spans="1:9" s="37" customFormat="1" ht="11.25" customHeight="1">
      <c r="A8" s="38" t="s">
        <v>39</v>
      </c>
      <c r="B8" s="39" t="s">
        <v>40</v>
      </c>
      <c r="C8" s="39" t="s">
        <v>40</v>
      </c>
      <c r="D8" s="40" t="s">
        <v>40</v>
      </c>
      <c r="E8" s="39" t="s">
        <v>40</v>
      </c>
      <c r="F8" s="39" t="s">
        <v>40</v>
      </c>
      <c r="G8" s="39" t="s">
        <v>40</v>
      </c>
      <c r="H8" s="41" t="s">
        <v>40</v>
      </c>
      <c r="I8" s="42"/>
    </row>
    <row r="9" spans="1:9" s="43" customFormat="1" ht="11.25" customHeight="1">
      <c r="A9" s="44" t="s">
        <v>41</v>
      </c>
      <c r="B9" s="45" t="s">
        <v>42</v>
      </c>
      <c r="C9" s="45" t="s">
        <v>42</v>
      </c>
      <c r="D9" s="46" t="s">
        <v>42</v>
      </c>
      <c r="E9" s="45" t="s">
        <v>42</v>
      </c>
      <c r="F9" s="45" t="s">
        <v>42</v>
      </c>
      <c r="G9" s="45" t="s">
        <v>42</v>
      </c>
      <c r="H9" s="47" t="s">
        <v>42</v>
      </c>
      <c r="I9" s="48" t="s">
        <v>42</v>
      </c>
    </row>
    <row r="10" spans="1:9">
      <c r="A10" s="49" t="s">
        <v>43</v>
      </c>
      <c r="B10" s="50">
        <v>4964990717</v>
      </c>
      <c r="C10" s="50">
        <v>62862707</v>
      </c>
      <c r="D10" s="51">
        <v>0</v>
      </c>
      <c r="E10" s="50">
        <v>489096507</v>
      </c>
      <c r="F10" s="50">
        <v>0</v>
      </c>
      <c r="G10" s="50">
        <v>0</v>
      </c>
      <c r="H10" s="52">
        <v>0</v>
      </c>
      <c r="I10" s="53">
        <f t="shared" ref="I10:I36" si="0">SUM(B10:H10)</f>
        <v>5516949931</v>
      </c>
    </row>
    <row r="11" spans="1:9">
      <c r="A11" s="54" t="s">
        <v>44</v>
      </c>
      <c r="B11" s="55">
        <v>1534247081.6099999</v>
      </c>
      <c r="C11" s="55">
        <v>108259426.72</v>
      </c>
      <c r="D11" s="56">
        <v>82142.05</v>
      </c>
      <c r="E11" s="55">
        <v>15048557.380000001</v>
      </c>
      <c r="F11" s="55">
        <v>0</v>
      </c>
      <c r="G11" s="55">
        <v>119460990.55</v>
      </c>
      <c r="H11" s="57">
        <v>0</v>
      </c>
      <c r="I11" s="58">
        <f t="shared" si="0"/>
        <v>1777098198.3099999</v>
      </c>
    </row>
    <row r="12" spans="1:9">
      <c r="A12" s="59" t="s">
        <v>45</v>
      </c>
      <c r="B12" s="60">
        <v>684400917.90999997</v>
      </c>
      <c r="C12" s="60">
        <v>33992620.100000001</v>
      </c>
      <c r="D12" s="61">
        <v>565337.59999999998</v>
      </c>
      <c r="E12" s="60">
        <v>5777183.3200000003</v>
      </c>
      <c r="F12" s="60">
        <v>0</v>
      </c>
      <c r="G12" s="60">
        <v>0</v>
      </c>
      <c r="H12" s="62">
        <v>0</v>
      </c>
      <c r="I12" s="63">
        <f t="shared" si="0"/>
        <v>724736058.93000007</v>
      </c>
    </row>
    <row r="13" spans="1:9">
      <c r="A13" s="54" t="s">
        <v>46</v>
      </c>
      <c r="B13" s="55">
        <v>75093964</v>
      </c>
      <c r="C13" s="55">
        <v>0</v>
      </c>
      <c r="D13" s="56">
        <v>2754008</v>
      </c>
      <c r="E13" s="55">
        <v>0</v>
      </c>
      <c r="F13" s="55">
        <v>0</v>
      </c>
      <c r="G13" s="55">
        <v>0</v>
      </c>
      <c r="H13" s="57">
        <v>0</v>
      </c>
      <c r="I13" s="58">
        <f t="shared" si="0"/>
        <v>77847972</v>
      </c>
    </row>
    <row r="14" spans="1:9">
      <c r="A14" s="59" t="s">
        <v>47</v>
      </c>
      <c r="B14" s="60">
        <v>307712334</v>
      </c>
      <c r="C14" s="60">
        <v>53968115</v>
      </c>
      <c r="D14" s="61">
        <v>1300958</v>
      </c>
      <c r="E14" s="60">
        <v>2106932</v>
      </c>
      <c r="F14" s="60">
        <v>0</v>
      </c>
      <c r="G14" s="60">
        <v>0</v>
      </c>
      <c r="H14" s="62">
        <v>0</v>
      </c>
      <c r="I14" s="63">
        <f t="shared" si="0"/>
        <v>365088339</v>
      </c>
    </row>
    <row r="15" spans="1:9">
      <c r="A15" s="54" t="s">
        <v>48</v>
      </c>
      <c r="B15" s="55">
        <v>79485411.609999999</v>
      </c>
      <c r="C15" s="55">
        <v>4659719.1100000003</v>
      </c>
      <c r="D15" s="56">
        <v>177150</v>
      </c>
      <c r="E15" s="55">
        <v>267872.23</v>
      </c>
      <c r="F15" s="55">
        <v>0</v>
      </c>
      <c r="G15" s="55">
        <v>0</v>
      </c>
      <c r="H15" s="57">
        <v>0</v>
      </c>
      <c r="I15" s="58">
        <f t="shared" si="0"/>
        <v>84590152.950000003</v>
      </c>
    </row>
    <row r="16" spans="1:9">
      <c r="A16" s="59" t="s">
        <v>49</v>
      </c>
      <c r="B16" s="60">
        <v>74363685.879999995</v>
      </c>
      <c r="C16" s="60">
        <v>1355923.5</v>
      </c>
      <c r="D16" s="61">
        <v>2593398</v>
      </c>
      <c r="E16" s="60">
        <v>539570.65</v>
      </c>
      <c r="F16" s="60">
        <v>0</v>
      </c>
      <c r="G16" s="60">
        <v>0</v>
      </c>
      <c r="H16" s="62">
        <v>0</v>
      </c>
      <c r="I16" s="63">
        <f t="shared" si="0"/>
        <v>78852578.030000001</v>
      </c>
    </row>
    <row r="17" spans="1:9">
      <c r="A17" s="54" t="s">
        <v>50</v>
      </c>
      <c r="B17" s="55">
        <v>112560578.55</v>
      </c>
      <c r="C17" s="55">
        <v>560423.85</v>
      </c>
      <c r="D17" s="56">
        <v>9863782.9800000004</v>
      </c>
      <c r="E17" s="55">
        <v>274696.75</v>
      </c>
      <c r="F17" s="55">
        <v>0</v>
      </c>
      <c r="G17" s="55">
        <v>0</v>
      </c>
      <c r="H17" s="57">
        <v>0</v>
      </c>
      <c r="I17" s="58">
        <f t="shared" si="0"/>
        <v>123259482.13</v>
      </c>
    </row>
    <row r="18" spans="1:9">
      <c r="A18" s="59" t="s">
        <v>51</v>
      </c>
      <c r="B18" s="60">
        <v>655359219</v>
      </c>
      <c r="C18" s="60">
        <v>37784843.509999998</v>
      </c>
      <c r="D18" s="61">
        <v>2677197</v>
      </c>
      <c r="E18" s="60">
        <v>4391134</v>
      </c>
      <c r="F18" s="60">
        <v>0</v>
      </c>
      <c r="G18" s="60">
        <v>0</v>
      </c>
      <c r="H18" s="62">
        <v>0</v>
      </c>
      <c r="I18" s="63">
        <f t="shared" si="0"/>
        <v>700212393.50999999</v>
      </c>
    </row>
    <row r="19" spans="1:9">
      <c r="A19" s="54" t="s">
        <v>52</v>
      </c>
      <c r="B19" s="55">
        <v>598084455</v>
      </c>
      <c r="C19" s="55">
        <v>0</v>
      </c>
      <c r="D19" s="56">
        <v>3342900</v>
      </c>
      <c r="E19" s="55">
        <v>310325</v>
      </c>
      <c r="F19" s="55">
        <v>0</v>
      </c>
      <c r="G19" s="55">
        <v>0</v>
      </c>
      <c r="H19" s="57">
        <v>0</v>
      </c>
      <c r="I19" s="58">
        <f t="shared" si="0"/>
        <v>601737680</v>
      </c>
    </row>
    <row r="20" spans="1:9">
      <c r="A20" s="59" t="s">
        <v>53</v>
      </c>
      <c r="B20" s="60">
        <v>376954483.63999999</v>
      </c>
      <c r="C20" s="60">
        <v>15458520.35</v>
      </c>
      <c r="D20" s="61">
        <v>724377.5</v>
      </c>
      <c r="E20" s="60">
        <v>36218528</v>
      </c>
      <c r="F20" s="60">
        <v>0</v>
      </c>
      <c r="G20" s="60">
        <v>82243763.25</v>
      </c>
      <c r="H20" s="62">
        <v>0</v>
      </c>
      <c r="I20" s="63">
        <f t="shared" si="0"/>
        <v>511599672.74000001</v>
      </c>
    </row>
    <row r="21" spans="1:9">
      <c r="A21" s="54" t="s">
        <v>54</v>
      </c>
      <c r="B21" s="55">
        <v>746021652.07000005</v>
      </c>
      <c r="C21" s="55">
        <v>150527506.47</v>
      </c>
      <c r="D21" s="56">
        <v>1335429.75</v>
      </c>
      <c r="E21" s="55">
        <v>1303166699.4000001</v>
      </c>
      <c r="F21" s="55">
        <v>0</v>
      </c>
      <c r="G21" s="55">
        <v>1527656298.1500001</v>
      </c>
      <c r="H21" s="57">
        <v>0</v>
      </c>
      <c r="I21" s="58">
        <f t="shared" si="0"/>
        <v>3728707585.8400002</v>
      </c>
    </row>
    <row r="22" spans="1:9">
      <c r="A22" s="59" t="s">
        <v>55</v>
      </c>
      <c r="B22" s="60">
        <v>389214719.74000001</v>
      </c>
      <c r="C22" s="60">
        <v>86920277.180000007</v>
      </c>
      <c r="D22" s="61">
        <v>1340941.1000000001</v>
      </c>
      <c r="E22" s="60">
        <v>635103116.95000005</v>
      </c>
      <c r="F22" s="60">
        <v>0</v>
      </c>
      <c r="G22" s="60">
        <v>952496409</v>
      </c>
      <c r="H22" s="62">
        <v>0</v>
      </c>
      <c r="I22" s="63">
        <f t="shared" si="0"/>
        <v>2065075463.97</v>
      </c>
    </row>
    <row r="23" spans="1:9">
      <c r="A23" s="54" t="s">
        <v>56</v>
      </c>
      <c r="B23" s="55">
        <v>300731719.89999998</v>
      </c>
      <c r="C23" s="55">
        <v>21980352</v>
      </c>
      <c r="D23" s="56">
        <v>547544.65</v>
      </c>
      <c r="E23" s="55">
        <v>337216070.19999999</v>
      </c>
      <c r="F23" s="55">
        <v>0</v>
      </c>
      <c r="G23" s="55">
        <v>0</v>
      </c>
      <c r="H23" s="57">
        <v>0</v>
      </c>
      <c r="I23" s="58">
        <f t="shared" si="0"/>
        <v>660475686.75</v>
      </c>
    </row>
    <row r="24" spans="1:9">
      <c r="A24" s="59" t="s">
        <v>57</v>
      </c>
      <c r="B24" s="60">
        <v>97771896</v>
      </c>
      <c r="C24" s="60">
        <v>5160053</v>
      </c>
      <c r="D24" s="61">
        <v>12838485</v>
      </c>
      <c r="E24" s="60">
        <v>3966479</v>
      </c>
      <c r="F24" s="60">
        <v>0</v>
      </c>
      <c r="G24" s="60">
        <v>0</v>
      </c>
      <c r="H24" s="62">
        <v>0</v>
      </c>
      <c r="I24" s="63">
        <f t="shared" si="0"/>
        <v>119736913</v>
      </c>
    </row>
    <row r="25" spans="1:9">
      <c r="A25" s="54" t="s">
        <v>58</v>
      </c>
      <c r="B25" s="55">
        <v>17972244.210000001</v>
      </c>
      <c r="C25" s="55">
        <v>1707151.39</v>
      </c>
      <c r="D25" s="56">
        <v>3753892.98</v>
      </c>
      <c r="E25" s="55">
        <v>637680.12</v>
      </c>
      <c r="F25" s="55">
        <v>0</v>
      </c>
      <c r="G25" s="55">
        <v>0</v>
      </c>
      <c r="H25" s="57">
        <v>0</v>
      </c>
      <c r="I25" s="58">
        <f t="shared" si="0"/>
        <v>24070968.700000003</v>
      </c>
    </row>
    <row r="26" spans="1:9">
      <c r="A26" s="59" t="s">
        <v>59</v>
      </c>
      <c r="B26" s="60">
        <v>922874888</v>
      </c>
      <c r="C26" s="60">
        <v>64822618</v>
      </c>
      <c r="D26" s="61">
        <v>462382371</v>
      </c>
      <c r="E26" s="60">
        <v>70388137</v>
      </c>
      <c r="F26" s="60">
        <v>0</v>
      </c>
      <c r="G26" s="60">
        <v>0</v>
      </c>
      <c r="H26" s="62">
        <v>0</v>
      </c>
      <c r="I26" s="63">
        <f t="shared" si="0"/>
        <v>1520468014</v>
      </c>
    </row>
    <row r="27" spans="1:9">
      <c r="A27" s="54" t="s">
        <v>60</v>
      </c>
      <c r="B27" s="55">
        <v>811476133</v>
      </c>
      <c r="C27" s="55">
        <v>201433665</v>
      </c>
      <c r="D27" s="56">
        <v>16513572</v>
      </c>
      <c r="E27" s="55">
        <v>0</v>
      </c>
      <c r="F27" s="55">
        <v>0</v>
      </c>
      <c r="G27" s="55">
        <v>0</v>
      </c>
      <c r="H27" s="57">
        <v>57772513</v>
      </c>
      <c r="I27" s="58">
        <f t="shared" si="0"/>
        <v>1087195883</v>
      </c>
    </row>
    <row r="28" spans="1:9">
      <c r="A28" s="59" t="s">
        <v>61</v>
      </c>
      <c r="B28" s="60">
        <v>1070752355</v>
      </c>
      <c r="C28" s="60">
        <v>242532262.44999999</v>
      </c>
      <c r="D28" s="61">
        <v>2298654</v>
      </c>
      <c r="E28" s="60">
        <v>796528415.79999995</v>
      </c>
      <c r="F28" s="60">
        <v>0</v>
      </c>
      <c r="G28" s="60">
        <v>0</v>
      </c>
      <c r="H28" s="62">
        <v>0</v>
      </c>
      <c r="I28" s="63">
        <f t="shared" si="0"/>
        <v>2112111687.25</v>
      </c>
    </row>
    <row r="29" spans="1:9">
      <c r="A29" s="54" t="s">
        <v>62</v>
      </c>
      <c r="B29" s="55">
        <v>592818775.34000003</v>
      </c>
      <c r="C29" s="55">
        <v>45919372.390000001</v>
      </c>
      <c r="D29" s="56">
        <v>15351178.91</v>
      </c>
      <c r="E29" s="55">
        <v>257932455.68000001</v>
      </c>
      <c r="F29" s="55">
        <v>0</v>
      </c>
      <c r="G29" s="55">
        <v>0</v>
      </c>
      <c r="H29" s="57">
        <v>0</v>
      </c>
      <c r="I29" s="58">
        <f t="shared" si="0"/>
        <v>912021782.31999993</v>
      </c>
    </row>
    <row r="30" spans="1:9">
      <c r="A30" s="59" t="s">
        <v>63</v>
      </c>
      <c r="B30" s="60">
        <v>836742194</v>
      </c>
      <c r="C30" s="60">
        <v>446988002</v>
      </c>
      <c r="D30" s="61">
        <v>13517735</v>
      </c>
      <c r="E30" s="60">
        <v>0</v>
      </c>
      <c r="F30" s="60">
        <v>0</v>
      </c>
      <c r="G30" s="60">
        <v>0</v>
      </c>
      <c r="H30" s="62">
        <v>2564454749</v>
      </c>
      <c r="I30" s="63">
        <f t="shared" si="0"/>
        <v>3861702680</v>
      </c>
    </row>
    <row r="31" spans="1:9">
      <c r="A31" s="54" t="s">
        <v>64</v>
      </c>
      <c r="B31" s="55">
        <v>2727881427</v>
      </c>
      <c r="C31" s="55">
        <v>0</v>
      </c>
      <c r="D31" s="56">
        <v>0</v>
      </c>
      <c r="E31" s="55">
        <v>0</v>
      </c>
      <c r="F31" s="55">
        <v>0</v>
      </c>
      <c r="G31" s="55">
        <v>1750640052</v>
      </c>
      <c r="H31" s="57">
        <v>0</v>
      </c>
      <c r="I31" s="58">
        <f t="shared" si="0"/>
        <v>4478521479</v>
      </c>
    </row>
    <row r="32" spans="1:9">
      <c r="A32" s="59" t="s">
        <v>65</v>
      </c>
      <c r="B32" s="60">
        <v>1013960467</v>
      </c>
      <c r="C32" s="60">
        <v>8901658</v>
      </c>
      <c r="D32" s="61">
        <v>0</v>
      </c>
      <c r="E32" s="60">
        <v>271559</v>
      </c>
      <c r="F32" s="60">
        <v>0</v>
      </c>
      <c r="G32" s="60">
        <v>83246829</v>
      </c>
      <c r="H32" s="62">
        <v>54556329</v>
      </c>
      <c r="I32" s="63">
        <f t="shared" si="0"/>
        <v>1160936842</v>
      </c>
    </row>
    <row r="33" spans="1:9">
      <c r="A33" s="54" t="s">
        <v>66</v>
      </c>
      <c r="B33" s="55">
        <v>338001722</v>
      </c>
      <c r="C33" s="55">
        <v>16369532</v>
      </c>
      <c r="D33" s="56">
        <v>37230</v>
      </c>
      <c r="E33" s="55">
        <v>71509</v>
      </c>
      <c r="F33" s="55">
        <v>0</v>
      </c>
      <c r="G33" s="55">
        <v>820450462</v>
      </c>
      <c r="H33" s="57">
        <v>0</v>
      </c>
      <c r="I33" s="58">
        <f t="shared" si="0"/>
        <v>1174930455</v>
      </c>
    </row>
    <row r="34" spans="1:9">
      <c r="A34" s="59" t="s">
        <v>67</v>
      </c>
      <c r="B34" s="60">
        <v>2665501985</v>
      </c>
      <c r="C34" s="60">
        <v>342324696</v>
      </c>
      <c r="D34" s="61">
        <v>1348863</v>
      </c>
      <c r="E34" s="60">
        <v>0</v>
      </c>
      <c r="F34" s="60">
        <v>7319068553</v>
      </c>
      <c r="G34" s="60">
        <v>0</v>
      </c>
      <c r="H34" s="62">
        <v>0</v>
      </c>
      <c r="I34" s="63">
        <f t="shared" si="0"/>
        <v>10328244097</v>
      </c>
    </row>
    <row r="35" spans="1:9">
      <c r="A35" s="64" t="s">
        <v>68</v>
      </c>
      <c r="B35" s="65">
        <v>74162967</v>
      </c>
      <c r="C35" s="65">
        <v>6326213.21</v>
      </c>
      <c r="D35" s="66">
        <v>0</v>
      </c>
      <c r="E35" s="65">
        <v>461457</v>
      </c>
      <c r="F35" s="65">
        <v>0</v>
      </c>
      <c r="G35" s="65">
        <v>423190469</v>
      </c>
      <c r="H35" s="67">
        <v>0</v>
      </c>
      <c r="I35" s="68">
        <f t="shared" si="0"/>
        <v>504141106.20999998</v>
      </c>
    </row>
    <row r="36" spans="1:9">
      <c r="A36" s="5" t="s">
        <v>69</v>
      </c>
      <c r="B36" s="69">
        <f t="shared" ref="B36:H36" si="1">SUM(B10:B35)</f>
        <v>22069137993.459999</v>
      </c>
      <c r="C36" s="69">
        <f t="shared" si="1"/>
        <v>1960815658.23</v>
      </c>
      <c r="D36" s="70">
        <f t="shared" si="1"/>
        <v>555347148.51999998</v>
      </c>
      <c r="E36" s="69">
        <f t="shared" si="1"/>
        <v>3959774885.48</v>
      </c>
      <c r="F36" s="69">
        <f t="shared" si="1"/>
        <v>7319068553</v>
      </c>
      <c r="G36" s="69">
        <f t="shared" si="1"/>
        <v>5759385272.9499998</v>
      </c>
      <c r="H36" s="71">
        <f t="shared" si="1"/>
        <v>2676783591</v>
      </c>
      <c r="I36" s="72">
        <f t="shared" si="0"/>
        <v>44300313102.639999</v>
      </c>
    </row>
    <row r="37" spans="1:9">
      <c r="A37" s="73"/>
      <c r="B37" s="73"/>
    </row>
  </sheetData>
  <mergeCells count="6">
    <mergeCell ref="I6:I7"/>
    <mergeCell ref="C6:C7"/>
    <mergeCell ref="B6:B7"/>
    <mergeCell ref="D6:H6"/>
    <mergeCell ref="A1:C1"/>
    <mergeCell ref="A6:A7"/>
  </mergeCells>
  <conditionalFormatting sqref="B10:H35">
    <cfRule type="expression" dxfId="4" priority="1" stopIfTrue="1">
      <formula>ISBLANK(B10)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76" orientation="landscape" r:id="rId1"/>
  <headerFooter>
    <oddHeader>&amp;L&amp;10&amp;F&amp;R&amp;10&amp;A</oddHeader>
    <oddFooter>&amp;C&amp;10&amp;P/&amp;N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8"/>
  <sheetViews>
    <sheetView showGridLines="0" workbookViewId="0"/>
  </sheetViews>
  <sheetFormatPr baseColWidth="10" defaultColWidth="11.5546875" defaultRowHeight="15"/>
  <cols>
    <col min="1" max="1" width="36.109375" style="12" customWidth="1"/>
    <col min="2" max="2" width="12.88671875" style="12" customWidth="1"/>
    <col min="3" max="3" width="15.88671875" style="12" customWidth="1"/>
    <col min="4" max="4" width="10" style="12" customWidth="1"/>
  </cols>
  <sheetData>
    <row r="1" spans="1:4" ht="18" customHeight="1">
      <c r="A1" s="4" t="str">
        <f>"Calcul du gamma "&amp;Info!C31</f>
        <v>Calcul du gamma 2011</v>
      </c>
      <c r="B1" s="4"/>
    </row>
    <row r="2" spans="1:4" ht="15.75" customHeight="1">
      <c r="A2" s="74" t="str">
        <f>Salaires_bruts!A2</f>
        <v>Année de référence 2015</v>
      </c>
      <c r="B2" s="74"/>
    </row>
    <row r="3" spans="1:4" ht="33" customHeight="1">
      <c r="C3" s="75" t="str">
        <f>Info!$C$28</f>
        <v>FA_2015_20140616</v>
      </c>
    </row>
    <row r="4" spans="1:4" ht="15.75" customHeight="1">
      <c r="B4" s="76" t="s">
        <v>70</v>
      </c>
      <c r="C4" s="77" t="s">
        <v>71</v>
      </c>
      <c r="D4" s="78"/>
    </row>
    <row r="5" spans="1:4">
      <c r="A5" s="73" t="s">
        <v>72</v>
      </c>
      <c r="B5" s="79" t="s">
        <v>73</v>
      </c>
      <c r="C5" s="80">
        <v>431123591.43698502</v>
      </c>
      <c r="D5" s="81"/>
    </row>
    <row r="6" spans="1:4">
      <c r="A6" s="82" t="s">
        <v>74</v>
      </c>
      <c r="B6" s="83" t="str">
        <f>"AFA_"&amp;Info!C30&amp;"_"&amp;Info!C31&amp;".xlsx"</f>
        <v>AFA_2015_2011.xlsx</v>
      </c>
      <c r="C6" s="84">
        <f>Calculation_RIS!O39</f>
        <v>164431392.30000001</v>
      </c>
      <c r="D6" s="81"/>
    </row>
    <row r="7" spans="1:4" ht="24.75" customHeight="1">
      <c r="A7" s="85" t="s">
        <v>75</v>
      </c>
      <c r="B7" s="85"/>
      <c r="C7" s="86">
        <f>ROUND(C6/C5,3)</f>
        <v>0.38100000000000001</v>
      </c>
    </row>
    <row r="8" spans="1:4" ht="15.75" customHeight="1"/>
  </sheetData>
  <conditionalFormatting sqref="C5:C6">
    <cfRule type="expression" dxfId="3" priority="1" stopIfTrue="1">
      <formula>ISBLANK(C5)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>
    <oddHeader>&amp;L&amp;10&amp;F&amp;R&amp;10&amp;A</oddHeader>
    <oddFooter>&amp;C&amp;10&amp;P/&amp;N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39"/>
  <sheetViews>
    <sheetView showGridLines="0" zoomScale="75" workbookViewId="0">
      <selection activeCell="A6" sqref="A6"/>
    </sheetView>
  </sheetViews>
  <sheetFormatPr baseColWidth="10" defaultColWidth="11.5546875" defaultRowHeight="15"/>
  <cols>
    <col min="1" max="1" width="17.44140625" style="12" customWidth="1"/>
    <col min="2" max="2" width="20.88671875" style="12" customWidth="1"/>
    <col min="3" max="3" width="13.33203125" style="12" customWidth="1"/>
    <col min="4" max="5" width="13.44140625" style="12" customWidth="1"/>
    <col min="6" max="7" width="15.109375" style="12" customWidth="1"/>
    <col min="8" max="9" width="13.33203125" style="12" customWidth="1"/>
    <col min="10" max="10" width="8.88671875" style="12" customWidth="1"/>
    <col min="11" max="12" width="13.77734375" style="12" customWidth="1"/>
    <col min="13" max="13" width="2" style="12" customWidth="1"/>
    <col min="14" max="14" width="15.6640625" style="12" customWidth="1"/>
    <col min="15" max="15" width="16.44140625" style="12" customWidth="1"/>
    <col min="16" max="16" width="21.6640625" style="12" customWidth="1"/>
    <col min="17" max="17" width="16.21875" style="12" customWidth="1"/>
    <col min="18" max="18" width="3.6640625" style="87" customWidth="1"/>
    <col min="19" max="19" width="18.77734375" style="12" customWidth="1"/>
    <col min="20" max="20" width="3.6640625" style="12" customWidth="1"/>
    <col min="21" max="21" width="11.5546875" style="12" customWidth="1"/>
    <col min="22" max="22" width="17.5546875" style="12" customWidth="1"/>
    <col min="23" max="23" width="11.5546875" style="12" customWidth="1"/>
    <col min="24" max="16384" width="11.5546875" style="12"/>
  </cols>
  <sheetData>
    <row r="1" spans="1:22" ht="26.25" customHeight="1">
      <c r="A1" s="197" t="str">
        <f>"Revenu déterminant pour l'imposition à la source (RIS) "&amp;Info!C31</f>
        <v>Revenu déterminant pour l'imposition à la source (RIS) 2011</v>
      </c>
      <c r="B1" s="197"/>
      <c r="C1" s="197"/>
      <c r="D1" s="197"/>
      <c r="E1" s="197"/>
      <c r="F1" s="197"/>
      <c r="H1" s="13"/>
      <c r="R1" s="12"/>
    </row>
    <row r="2" spans="1:22" ht="18.75" customHeight="1">
      <c r="A2" s="88" t="str">
        <f>Info!A5</f>
        <v>Année de référence 2015</v>
      </c>
      <c r="B2" s="89"/>
      <c r="H2" s="87"/>
      <c r="R2" s="12"/>
    </row>
    <row r="3" spans="1:22" ht="18.75" customHeight="1">
      <c r="A3" s="90"/>
      <c r="B3" s="89"/>
      <c r="H3" s="87"/>
      <c r="L3" s="91" t="str">
        <f>Info!C28</f>
        <v>FA_2015_20140616</v>
      </c>
      <c r="R3" s="12"/>
    </row>
    <row r="4" spans="1:22" ht="37.5" customHeight="1">
      <c r="A4" s="217" t="str">
        <f>"Calculation sur la base des salaires bruts "&amp;Info!C31</f>
        <v>Calculation sur la base des salaires bruts 2011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9"/>
      <c r="N4" s="206" t="s">
        <v>76</v>
      </c>
      <c r="O4" s="207"/>
      <c r="P4" s="207"/>
      <c r="Q4" s="208"/>
      <c r="S4" s="92"/>
    </row>
    <row r="5" spans="1:22" ht="16.5" customHeight="1">
      <c r="A5" s="93"/>
      <c r="B5" s="94"/>
      <c r="C5" s="94"/>
      <c r="D5" s="94"/>
      <c r="E5" s="94"/>
      <c r="F5" s="94"/>
      <c r="G5" s="94"/>
      <c r="H5" s="94"/>
      <c r="I5" s="93"/>
      <c r="J5" s="94"/>
      <c r="K5" s="94"/>
      <c r="N5" s="95"/>
    </row>
    <row r="6" spans="1:22" s="1" customFormat="1" ht="16.5" customHeight="1">
      <c r="A6" s="96" t="s">
        <v>13</v>
      </c>
      <c r="B6" s="97" t="s">
        <v>14</v>
      </c>
      <c r="C6" s="97" t="s">
        <v>15</v>
      </c>
      <c r="D6" s="97" t="s">
        <v>16</v>
      </c>
      <c r="E6" s="97" t="s">
        <v>17</v>
      </c>
      <c r="F6" s="97" t="s">
        <v>18</v>
      </c>
      <c r="G6" s="97" t="s">
        <v>19</v>
      </c>
      <c r="H6" s="97" t="s">
        <v>20</v>
      </c>
      <c r="I6" s="97" t="s">
        <v>77</v>
      </c>
      <c r="J6" s="97" t="s">
        <v>78</v>
      </c>
      <c r="K6" s="97" t="s">
        <v>79</v>
      </c>
      <c r="L6" s="98" t="s">
        <v>80</v>
      </c>
      <c r="M6" s="99"/>
      <c r="N6" s="100"/>
      <c r="O6" s="101" t="s">
        <v>81</v>
      </c>
      <c r="P6" s="101" t="s">
        <v>82</v>
      </c>
      <c r="Q6" s="102" t="s">
        <v>83</v>
      </c>
      <c r="R6" s="103"/>
      <c r="S6" s="104" t="s">
        <v>84</v>
      </c>
    </row>
    <row r="7" spans="1:22" s="37" customFormat="1" ht="16.5" customHeight="1">
      <c r="A7" s="105" t="s">
        <v>22</v>
      </c>
      <c r="B7" s="106" t="s">
        <v>85</v>
      </c>
      <c r="C7" s="106" t="s">
        <v>85</v>
      </c>
      <c r="D7" s="107" t="str">
        <f>IF(Info!C31&lt;2006,"0.03 / TFS","(1 - 0.125) * gamma")</f>
        <v>(1 - 0.125) * gamma</v>
      </c>
      <c r="E7" s="108" t="s">
        <v>86</v>
      </c>
      <c r="F7" s="108" t="s">
        <v>87</v>
      </c>
      <c r="G7" s="108" t="s">
        <v>86</v>
      </c>
      <c r="H7" s="109" t="s">
        <v>88</v>
      </c>
      <c r="I7" s="108" t="s">
        <v>89</v>
      </c>
      <c r="J7" s="108"/>
      <c r="K7" s="108" t="s">
        <v>90</v>
      </c>
      <c r="L7" s="110" t="s">
        <v>91</v>
      </c>
      <c r="M7" s="111"/>
      <c r="N7" s="112" t="s">
        <v>22</v>
      </c>
      <c r="O7" s="113"/>
      <c r="P7" s="113"/>
      <c r="Q7" s="114" t="s">
        <v>92</v>
      </c>
      <c r="R7" s="115"/>
      <c r="S7" s="116" t="s">
        <v>93</v>
      </c>
    </row>
    <row r="8" spans="1:22" s="1" customFormat="1" ht="15.75" customHeight="1">
      <c r="A8" s="27" t="s">
        <v>24</v>
      </c>
      <c r="B8" s="28">
        <v>0</v>
      </c>
      <c r="C8" s="28">
        <v>1</v>
      </c>
      <c r="D8" s="29" t="s">
        <v>25</v>
      </c>
      <c r="E8" s="28" t="s">
        <v>26</v>
      </c>
      <c r="F8" s="28" t="s">
        <v>27</v>
      </c>
      <c r="G8" s="28" t="s">
        <v>28</v>
      </c>
      <c r="H8" s="30" t="s">
        <v>29</v>
      </c>
      <c r="I8" s="28"/>
      <c r="J8" s="28"/>
      <c r="K8" s="117"/>
      <c r="L8" s="31"/>
      <c r="M8" s="118"/>
      <c r="N8" s="32"/>
      <c r="O8" s="192" t="str">
        <f>"Revenu déterminant "&amp;Info!C31</f>
        <v>Revenu déterminant 2011</v>
      </c>
      <c r="P8" s="192" t="s">
        <v>94</v>
      </c>
      <c r="Q8" s="200" t="s">
        <v>95</v>
      </c>
      <c r="R8" s="119"/>
      <c r="S8" s="209" t="s">
        <v>96</v>
      </c>
    </row>
    <row r="9" spans="1:22" s="120" customFormat="1" ht="22.5" customHeight="1">
      <c r="A9" s="32"/>
      <c r="B9" s="192" t="s">
        <v>30</v>
      </c>
      <c r="C9" s="192" t="s">
        <v>31</v>
      </c>
      <c r="D9" s="194" t="s">
        <v>32</v>
      </c>
      <c r="E9" s="195"/>
      <c r="F9" s="195"/>
      <c r="G9" s="195"/>
      <c r="H9" s="196"/>
      <c r="I9" s="192" t="s">
        <v>97</v>
      </c>
      <c r="J9" s="192" t="s">
        <v>98</v>
      </c>
      <c r="K9" s="192" t="s">
        <v>99</v>
      </c>
      <c r="L9" s="200" t="s">
        <v>100</v>
      </c>
      <c r="M9" s="118"/>
      <c r="N9" s="121"/>
      <c r="O9" s="203"/>
      <c r="P9" s="203"/>
      <c r="Q9" s="202"/>
      <c r="R9" s="119"/>
      <c r="S9" s="210"/>
      <c r="V9" s="122" t="str">
        <f>Info!C28</f>
        <v>FA_2015_20140616</v>
      </c>
    </row>
    <row r="10" spans="1:22" s="120" customFormat="1" ht="56.25" customHeight="1">
      <c r="A10" s="33"/>
      <c r="B10" s="203"/>
      <c r="C10" s="203"/>
      <c r="D10" s="34" t="s">
        <v>34</v>
      </c>
      <c r="E10" s="35" t="s">
        <v>35</v>
      </c>
      <c r="F10" s="35" t="s">
        <v>36</v>
      </c>
      <c r="G10" s="35" t="s">
        <v>37</v>
      </c>
      <c r="H10" s="36" t="s">
        <v>38</v>
      </c>
      <c r="I10" s="203"/>
      <c r="J10" s="203"/>
      <c r="K10" s="203"/>
      <c r="L10" s="202"/>
      <c r="M10" s="118"/>
      <c r="N10" s="123"/>
      <c r="O10" s="204"/>
      <c r="P10" s="204"/>
      <c r="Q10" s="205"/>
      <c r="R10" s="119"/>
      <c r="S10" s="210"/>
      <c r="U10" s="215" t="str">
        <f>" Taux fiscal standardisé (TFS) "&amp;Info!C30-1</f>
        <v xml:space="preserve"> Taux fiscal standardisé (TFS) 2014</v>
      </c>
      <c r="V10" s="216"/>
    </row>
    <row r="11" spans="1:22" s="124" customFormat="1" ht="15" customHeight="1">
      <c r="A11" s="125" t="s">
        <v>101</v>
      </c>
      <c r="B11" s="126">
        <f>gamma</f>
        <v>0.38100000000000001</v>
      </c>
      <c r="C11" s="126">
        <f>gamma</f>
        <v>0.38100000000000001</v>
      </c>
      <c r="D11" s="127">
        <f>IF(Info!C31&lt;2006,0.03/sst,0.875*gamma)</f>
        <v>0.33337499999999998</v>
      </c>
      <c r="E11" s="126">
        <f>0.045/sst</f>
        <v>0.1607142857142857</v>
      </c>
      <c r="F11" s="126">
        <f>gamma-0.035/sst</f>
        <v>0.25600000000000001</v>
      </c>
      <c r="G11" s="126">
        <f>0.045/sst</f>
        <v>0.1607142857142857</v>
      </c>
      <c r="H11" s="128">
        <f>0.6*gamma</f>
        <v>0.2286</v>
      </c>
      <c r="I11" s="126"/>
      <c r="J11" s="126"/>
      <c r="K11" s="126"/>
      <c r="L11" s="129"/>
      <c r="M11" s="130"/>
      <c r="N11" s="131" t="s">
        <v>39</v>
      </c>
      <c r="O11" s="132" t="str">
        <f>" AFA_"&amp;Info!C30&amp;"_"&amp;Info!C31&amp;".xlsx"</f>
        <v xml:space="preserve"> AFA_2015_2011.xlsx</v>
      </c>
      <c r="R11" s="133"/>
      <c r="S11" s="134"/>
      <c r="U11" s="213" t="str">
        <f>"Source: PR_"&amp;Info!C30-1&amp;".xlsx"</f>
        <v>Source: PR_2014.xlsx</v>
      </c>
      <c r="V11" s="214"/>
    </row>
    <row r="12" spans="1:22" s="124" customFormat="1" ht="12.75">
      <c r="A12" s="125" t="s">
        <v>41</v>
      </c>
      <c r="B12" s="126" t="s">
        <v>71</v>
      </c>
      <c r="C12" s="126" t="s">
        <v>71</v>
      </c>
      <c r="D12" s="127" t="s">
        <v>71</v>
      </c>
      <c r="E12" s="126" t="s">
        <v>71</v>
      </c>
      <c r="F12" s="126" t="s">
        <v>71</v>
      </c>
      <c r="G12" s="126" t="s">
        <v>71</v>
      </c>
      <c r="H12" s="128" t="s">
        <v>71</v>
      </c>
      <c r="I12" s="126" t="s">
        <v>71</v>
      </c>
      <c r="J12" s="126"/>
      <c r="K12" s="126" t="s">
        <v>71</v>
      </c>
      <c r="L12" s="135" t="s">
        <v>71</v>
      </c>
      <c r="M12" s="130"/>
      <c r="N12" s="136" t="s">
        <v>41</v>
      </c>
      <c r="O12" s="126" t="s">
        <v>71</v>
      </c>
      <c r="P12" s="137"/>
      <c r="Q12" s="135" t="s">
        <v>71</v>
      </c>
      <c r="R12" s="133"/>
      <c r="S12" s="138" t="s">
        <v>71</v>
      </c>
      <c r="U12" s="211"/>
      <c r="V12" s="212"/>
    </row>
    <row r="13" spans="1:22" ht="15.75" customHeight="1">
      <c r="A13" s="139" t="s">
        <v>43</v>
      </c>
      <c r="B13" s="140">
        <f>(Salaires_bruts!B10*B$11)/1000</f>
        <v>1891661.4631769999</v>
      </c>
      <c r="C13" s="140">
        <f>(Salaires_bruts!C10*C$11)/1000</f>
        <v>23950.691366999999</v>
      </c>
      <c r="D13" s="141">
        <f>(Salaires_bruts!D10*D$11)/1000</f>
        <v>0</v>
      </c>
      <c r="E13" s="140">
        <f>(Salaires_bruts!E10*E$11)/1000</f>
        <v>78604.79576785714</v>
      </c>
      <c r="F13" s="140">
        <f>(Salaires_bruts!F10*F$11)/1000</f>
        <v>0</v>
      </c>
      <c r="G13" s="140">
        <f>(Salaires_bruts!G10*G$11)/1000</f>
        <v>0</v>
      </c>
      <c r="H13" s="142">
        <f>(Salaires_bruts!H10*H$11)/1000</f>
        <v>0</v>
      </c>
      <c r="I13" s="140">
        <f t="shared" ref="I13:I38" si="0">SUM(C13:H13)</f>
        <v>102555.48713485713</v>
      </c>
      <c r="J13" s="143">
        <f t="shared" ref="J13:J38" si="1">$J$39</f>
        <v>0.75</v>
      </c>
      <c r="K13" s="140">
        <f t="shared" ref="K13:K39" si="2">I13*J13</f>
        <v>76916.615351142857</v>
      </c>
      <c r="L13" s="144">
        <f t="shared" ref="L13:L39" si="3">K13+B13</f>
        <v>1968578.0785281428</v>
      </c>
      <c r="M13" s="145"/>
      <c r="N13" s="139" t="s">
        <v>43</v>
      </c>
      <c r="O13" s="146">
        <v>36444289.200000003</v>
      </c>
      <c r="P13" s="147">
        <v>0</v>
      </c>
      <c r="Q13" s="144">
        <f>IF(Calculation_RIS!L13=0,O13*P13,0)</f>
        <v>0</v>
      </c>
      <c r="R13" s="148"/>
      <c r="S13" s="149">
        <f>Calculation_RIS!L13+Q13</f>
        <v>1968578.0785281428</v>
      </c>
      <c r="U13" s="150" t="s">
        <v>102</v>
      </c>
      <c r="V13" s="151">
        <v>0.279645000495235</v>
      </c>
    </row>
    <row r="14" spans="1:22" ht="15.75" customHeight="1">
      <c r="A14" s="152" t="s">
        <v>44</v>
      </c>
      <c r="B14" s="153">
        <f>(Salaires_bruts!B11*B$11)/1000</f>
        <v>584548.13809341006</v>
      </c>
      <c r="C14" s="153">
        <f>(Salaires_bruts!C11*C$11)/1000</f>
        <v>41246.841580320004</v>
      </c>
      <c r="D14" s="154">
        <f>(Salaires_bruts!D11*D$11)/1000</f>
        <v>27.384105918749999</v>
      </c>
      <c r="E14" s="153">
        <f>(Salaires_bruts!E11*E$11)/1000</f>
        <v>2418.5181503571425</v>
      </c>
      <c r="F14" s="153">
        <f>(Salaires_bruts!F11*F$11)/1000</f>
        <v>0</v>
      </c>
      <c r="G14" s="153">
        <f>(Salaires_bruts!G11*G$11)/1000</f>
        <v>19199.087766964283</v>
      </c>
      <c r="H14" s="155">
        <f>(Salaires_bruts!H11*H$11)/1000</f>
        <v>0</v>
      </c>
      <c r="I14" s="153">
        <f t="shared" si="0"/>
        <v>62891.831603560175</v>
      </c>
      <c r="J14" s="156">
        <f t="shared" si="1"/>
        <v>0.75</v>
      </c>
      <c r="K14" s="153">
        <f t="shared" si="2"/>
        <v>47168.873702670127</v>
      </c>
      <c r="L14" s="157">
        <f t="shared" si="3"/>
        <v>631717.01179608016</v>
      </c>
      <c r="M14" s="145"/>
      <c r="N14" s="152" t="s">
        <v>44</v>
      </c>
      <c r="O14" s="158">
        <v>15571543.9</v>
      </c>
      <c r="P14" s="159">
        <v>0</v>
      </c>
      <c r="Q14" s="157">
        <f>IF(Calculation_RIS!L14=0,O14*P14,0)</f>
        <v>0</v>
      </c>
      <c r="R14" s="148"/>
      <c r="S14" s="160">
        <f>Calculation_RIS!L14+Q14</f>
        <v>631717.01179608016</v>
      </c>
      <c r="U14" s="161" t="s">
        <v>103</v>
      </c>
      <c r="V14" s="162">
        <f>ROUND(V13,3)</f>
        <v>0.28000000000000003</v>
      </c>
    </row>
    <row r="15" spans="1:22" ht="15.75" customHeight="1">
      <c r="A15" s="163" t="s">
        <v>45</v>
      </c>
      <c r="B15" s="164">
        <f>(Salaires_bruts!B12*B$11)/1000</f>
        <v>260756.74972371</v>
      </c>
      <c r="C15" s="164">
        <f>(Salaires_bruts!C12*C$11)/1000</f>
        <v>12951.188258100001</v>
      </c>
      <c r="D15" s="165">
        <f>(Salaires_bruts!D12*D$11)/1000</f>
        <v>188.46942239999998</v>
      </c>
      <c r="E15" s="164">
        <f>(Salaires_bruts!E12*E$11)/1000</f>
        <v>928.4758907142857</v>
      </c>
      <c r="F15" s="164">
        <f>(Salaires_bruts!F12*F$11)/1000</f>
        <v>0</v>
      </c>
      <c r="G15" s="164">
        <f>(Salaires_bruts!G12*G$11)/1000</f>
        <v>0</v>
      </c>
      <c r="H15" s="166">
        <f>(Salaires_bruts!H12*H$11)/1000</f>
        <v>0</v>
      </c>
      <c r="I15" s="164">
        <f t="shared" si="0"/>
        <v>14068.133571214286</v>
      </c>
      <c r="J15" s="167">
        <f t="shared" si="1"/>
        <v>0.75</v>
      </c>
      <c r="K15" s="164">
        <f t="shared" si="2"/>
        <v>10551.100178410714</v>
      </c>
      <c r="L15" s="168">
        <f t="shared" si="3"/>
        <v>271307.84990212071</v>
      </c>
      <c r="M15" s="145"/>
      <c r="N15" s="163" t="s">
        <v>45</v>
      </c>
      <c r="O15" s="169">
        <v>6479996.7999999998</v>
      </c>
      <c r="P15" s="170">
        <v>0</v>
      </c>
      <c r="Q15" s="168">
        <f>IF(Calculation_RIS!L15=0,O15*P15,0)</f>
        <v>0</v>
      </c>
      <c r="R15" s="148"/>
      <c r="S15" s="171">
        <f>Calculation_RIS!L15+Q15</f>
        <v>271307.84990212071</v>
      </c>
    </row>
    <row r="16" spans="1:22" ht="15.75" customHeight="1">
      <c r="A16" s="152" t="s">
        <v>46</v>
      </c>
      <c r="B16" s="153">
        <f>(Salaires_bruts!B13*B$11)/1000</f>
        <v>28610.800284000001</v>
      </c>
      <c r="C16" s="153">
        <f>(Salaires_bruts!C13*C$11)/1000</f>
        <v>0</v>
      </c>
      <c r="D16" s="154">
        <f>(Salaires_bruts!D13*D$11)/1000</f>
        <v>918.11741699999993</v>
      </c>
      <c r="E16" s="153">
        <f>(Salaires_bruts!E13*E$11)/1000</f>
        <v>0</v>
      </c>
      <c r="F16" s="153">
        <f>(Salaires_bruts!F13*F$11)/1000</f>
        <v>0</v>
      </c>
      <c r="G16" s="153">
        <f>(Salaires_bruts!G13*G$11)/1000</f>
        <v>0</v>
      </c>
      <c r="H16" s="155">
        <f>(Salaires_bruts!H13*H$11)/1000</f>
        <v>0</v>
      </c>
      <c r="I16" s="153">
        <f t="shared" si="0"/>
        <v>918.11741699999993</v>
      </c>
      <c r="J16" s="156">
        <f t="shared" si="1"/>
        <v>0.75</v>
      </c>
      <c r="K16" s="153">
        <f t="shared" si="2"/>
        <v>688.58806274999995</v>
      </c>
      <c r="L16" s="157">
        <f t="shared" si="3"/>
        <v>29299.388346750002</v>
      </c>
      <c r="M16" s="145"/>
      <c r="N16" s="152" t="s">
        <v>46</v>
      </c>
      <c r="O16" s="158">
        <v>452188.4</v>
      </c>
      <c r="P16" s="159">
        <v>0</v>
      </c>
      <c r="Q16" s="157">
        <f>IF(Calculation_RIS!L16=0,O16*P16,0)</f>
        <v>0</v>
      </c>
      <c r="R16" s="148"/>
      <c r="S16" s="160">
        <f>Calculation_RIS!L16+Q16</f>
        <v>29299.388346750002</v>
      </c>
    </row>
    <row r="17" spans="1:19" ht="15.75" customHeight="1">
      <c r="A17" s="163" t="s">
        <v>47</v>
      </c>
      <c r="B17" s="164">
        <f>(Salaires_bruts!B14*B$11)/1000</f>
        <v>117238.399254</v>
      </c>
      <c r="C17" s="164">
        <f>(Salaires_bruts!C14*C$11)/1000</f>
        <v>20561.851815000002</v>
      </c>
      <c r="D17" s="165">
        <f>(Salaires_bruts!D14*D$11)/1000</f>
        <v>433.70687324999994</v>
      </c>
      <c r="E17" s="164">
        <f>(Salaires_bruts!E14*E$11)/1000</f>
        <v>338.61407142857144</v>
      </c>
      <c r="F17" s="164">
        <f>(Salaires_bruts!F14*F$11)/1000</f>
        <v>0</v>
      </c>
      <c r="G17" s="164">
        <f>(Salaires_bruts!G14*G$11)/1000</f>
        <v>0</v>
      </c>
      <c r="H17" s="166">
        <f>(Salaires_bruts!H14*H$11)/1000</f>
        <v>0</v>
      </c>
      <c r="I17" s="164">
        <f t="shared" si="0"/>
        <v>21334.172759678575</v>
      </c>
      <c r="J17" s="167">
        <f t="shared" si="1"/>
        <v>0.75</v>
      </c>
      <c r="K17" s="164">
        <f t="shared" si="2"/>
        <v>16000.62956975893</v>
      </c>
      <c r="L17" s="168">
        <f t="shared" si="3"/>
        <v>133239.02882375894</v>
      </c>
      <c r="M17" s="145"/>
      <c r="N17" s="163" t="s">
        <v>47</v>
      </c>
      <c r="O17" s="169">
        <v>6110860.7999999998</v>
      </c>
      <c r="P17" s="170">
        <v>0</v>
      </c>
      <c r="Q17" s="168">
        <f>IF(Calculation_RIS!L17=0,O17*P17,0)</f>
        <v>0</v>
      </c>
      <c r="R17" s="148"/>
      <c r="S17" s="171">
        <f>Calculation_RIS!L17+Q17</f>
        <v>133239.02882375894</v>
      </c>
    </row>
    <row r="18" spans="1:19" ht="15.75" customHeight="1">
      <c r="A18" s="152" t="s">
        <v>48</v>
      </c>
      <c r="B18" s="153">
        <f>(Salaires_bruts!B15*B$11)/1000</f>
        <v>30283.941823410001</v>
      </c>
      <c r="C18" s="153">
        <f>(Salaires_bruts!C15*C$11)/1000</f>
        <v>1775.3529809100003</v>
      </c>
      <c r="D18" s="154">
        <f>(Salaires_bruts!D15*D$11)/1000</f>
        <v>59.057381249999999</v>
      </c>
      <c r="E18" s="153">
        <f>(Salaires_bruts!E15*E$11)/1000</f>
        <v>43.050894107142852</v>
      </c>
      <c r="F18" s="153">
        <f>(Salaires_bruts!F15*F$11)/1000</f>
        <v>0</v>
      </c>
      <c r="G18" s="153">
        <f>(Salaires_bruts!G15*G$11)/1000</f>
        <v>0</v>
      </c>
      <c r="H18" s="155">
        <f>(Salaires_bruts!H15*H$11)/1000</f>
        <v>0</v>
      </c>
      <c r="I18" s="153">
        <f t="shared" si="0"/>
        <v>1877.461256267143</v>
      </c>
      <c r="J18" s="156">
        <f t="shared" si="1"/>
        <v>0.75</v>
      </c>
      <c r="K18" s="153">
        <f t="shared" si="2"/>
        <v>1408.0959422003573</v>
      </c>
      <c r="L18" s="157">
        <f t="shared" si="3"/>
        <v>31692.037765610359</v>
      </c>
      <c r="M18" s="145"/>
      <c r="N18" s="152" t="s">
        <v>48</v>
      </c>
      <c r="O18" s="158">
        <v>641642.9</v>
      </c>
      <c r="P18" s="159">
        <v>0</v>
      </c>
      <c r="Q18" s="157">
        <f>IF(Calculation_RIS!L18=0,O18*P18,0)</f>
        <v>0</v>
      </c>
      <c r="R18" s="148"/>
      <c r="S18" s="160">
        <f>Calculation_RIS!L18+Q18</f>
        <v>31692.037765610359</v>
      </c>
    </row>
    <row r="19" spans="1:19" ht="15.75" customHeight="1">
      <c r="A19" s="163" t="s">
        <v>49</v>
      </c>
      <c r="B19" s="164">
        <f>(Salaires_bruts!B16*B$11)/1000</f>
        <v>28332.564320279998</v>
      </c>
      <c r="C19" s="164">
        <f>(Salaires_bruts!C16*C$11)/1000</f>
        <v>516.60685350000006</v>
      </c>
      <c r="D19" s="165">
        <f>(Salaires_bruts!D16*D$11)/1000</f>
        <v>864.57405824999989</v>
      </c>
      <c r="E19" s="164">
        <f>(Salaires_bruts!E16*E$11)/1000</f>
        <v>86.716711607142841</v>
      </c>
      <c r="F19" s="164">
        <f>(Salaires_bruts!F16*F$11)/1000</f>
        <v>0</v>
      </c>
      <c r="G19" s="164">
        <f>(Salaires_bruts!G16*G$11)/1000</f>
        <v>0</v>
      </c>
      <c r="H19" s="166">
        <f>(Salaires_bruts!H16*H$11)/1000</f>
        <v>0</v>
      </c>
      <c r="I19" s="164">
        <f t="shared" si="0"/>
        <v>1467.8976233571427</v>
      </c>
      <c r="J19" s="167">
        <f t="shared" si="1"/>
        <v>0.75</v>
      </c>
      <c r="K19" s="164">
        <f t="shared" si="2"/>
        <v>1100.923217517857</v>
      </c>
      <c r="L19" s="168">
        <f t="shared" si="3"/>
        <v>29433.487537797857</v>
      </c>
      <c r="M19" s="145"/>
      <c r="N19" s="163" t="s">
        <v>49</v>
      </c>
      <c r="O19" s="169">
        <v>1196598.1000000001</v>
      </c>
      <c r="P19" s="170">
        <v>0</v>
      </c>
      <c r="Q19" s="168">
        <f>IF(Calculation_RIS!L19=0,O19*P19,0)</f>
        <v>0</v>
      </c>
      <c r="R19" s="148"/>
      <c r="S19" s="171">
        <f>Calculation_RIS!L19+Q19</f>
        <v>29433.487537797857</v>
      </c>
    </row>
    <row r="20" spans="1:19" ht="15.75" customHeight="1">
      <c r="A20" s="152" t="s">
        <v>50</v>
      </c>
      <c r="B20" s="153">
        <f>(Salaires_bruts!B17*B$11)/1000</f>
        <v>42885.580427550005</v>
      </c>
      <c r="C20" s="153">
        <f>(Salaires_bruts!C17*C$11)/1000</f>
        <v>213.52148684999997</v>
      </c>
      <c r="D20" s="154">
        <f>(Salaires_bruts!D17*D$11)/1000</f>
        <v>3288.3386509575002</v>
      </c>
      <c r="E20" s="153">
        <f>(Salaires_bruts!E17*E$11)/1000</f>
        <v>44.147691964285713</v>
      </c>
      <c r="F20" s="153">
        <f>(Salaires_bruts!F17*F$11)/1000</f>
        <v>0</v>
      </c>
      <c r="G20" s="153">
        <f>(Salaires_bruts!G17*G$11)/1000</f>
        <v>0</v>
      </c>
      <c r="H20" s="155">
        <f>(Salaires_bruts!H17*H$11)/1000</f>
        <v>0</v>
      </c>
      <c r="I20" s="153">
        <f t="shared" si="0"/>
        <v>3546.0078297717855</v>
      </c>
      <c r="J20" s="156">
        <f t="shared" si="1"/>
        <v>0.75</v>
      </c>
      <c r="K20" s="153">
        <f t="shared" si="2"/>
        <v>2659.5058723288394</v>
      </c>
      <c r="L20" s="157">
        <f t="shared" si="3"/>
        <v>45545.086299878843</v>
      </c>
      <c r="M20" s="145"/>
      <c r="N20" s="152" t="s">
        <v>50</v>
      </c>
      <c r="O20" s="158">
        <v>561553.80000000005</v>
      </c>
      <c r="P20" s="159">
        <v>0</v>
      </c>
      <c r="Q20" s="157">
        <f>IF(Calculation_RIS!L20=0,O20*P20,0)</f>
        <v>0</v>
      </c>
      <c r="R20" s="148"/>
      <c r="S20" s="160">
        <f>Calculation_RIS!L20+Q20</f>
        <v>45545.086299878843</v>
      </c>
    </row>
    <row r="21" spans="1:19" ht="15.75" customHeight="1">
      <c r="A21" s="163" t="s">
        <v>51</v>
      </c>
      <c r="B21" s="164">
        <f>(Salaires_bruts!B18*B$11)/1000</f>
        <v>249691.86243900002</v>
      </c>
      <c r="C21" s="164">
        <f>(Salaires_bruts!C18*C$11)/1000</f>
        <v>14396.025377309999</v>
      </c>
      <c r="D21" s="165">
        <f>(Salaires_bruts!D18*D$11)/1000</f>
        <v>892.51054987499992</v>
      </c>
      <c r="E21" s="164">
        <f>(Salaires_bruts!E18*E$11)/1000</f>
        <v>705.71796428571417</v>
      </c>
      <c r="F21" s="164">
        <f>(Salaires_bruts!F18*F$11)/1000</f>
        <v>0</v>
      </c>
      <c r="G21" s="164">
        <f>(Salaires_bruts!G18*G$11)/1000</f>
        <v>0</v>
      </c>
      <c r="H21" s="166">
        <f>(Salaires_bruts!H18*H$11)/1000</f>
        <v>0</v>
      </c>
      <c r="I21" s="164">
        <f t="shared" si="0"/>
        <v>15994.253891470713</v>
      </c>
      <c r="J21" s="167">
        <f t="shared" si="1"/>
        <v>0.75</v>
      </c>
      <c r="K21" s="164">
        <f t="shared" si="2"/>
        <v>11995.690418603035</v>
      </c>
      <c r="L21" s="168">
        <f t="shared" si="3"/>
        <v>261687.55285760306</v>
      </c>
      <c r="M21" s="145"/>
      <c r="N21" s="163" t="s">
        <v>51</v>
      </c>
      <c r="O21" s="169">
        <v>6718838.2000000002</v>
      </c>
      <c r="P21" s="170">
        <v>0</v>
      </c>
      <c r="Q21" s="168">
        <f>IF(Calculation_RIS!L21=0,O21*P21,0)</f>
        <v>0</v>
      </c>
      <c r="R21" s="148"/>
      <c r="S21" s="171">
        <f>Calculation_RIS!L21+Q21</f>
        <v>261687.55285760306</v>
      </c>
    </row>
    <row r="22" spans="1:19" ht="15.75" customHeight="1">
      <c r="A22" s="152" t="s">
        <v>52</v>
      </c>
      <c r="B22" s="153">
        <f>(Salaires_bruts!B19*B$11)/1000</f>
        <v>227870.17735499999</v>
      </c>
      <c r="C22" s="153">
        <f>(Salaires_bruts!C19*C$11)/1000</f>
        <v>0</v>
      </c>
      <c r="D22" s="154">
        <f>(Salaires_bruts!D19*D$11)/1000</f>
        <v>1114.4392874999999</v>
      </c>
      <c r="E22" s="153">
        <f>(Salaires_bruts!E19*E$11)/1000</f>
        <v>49.873660714285712</v>
      </c>
      <c r="F22" s="153">
        <f>(Salaires_bruts!F19*F$11)/1000</f>
        <v>0</v>
      </c>
      <c r="G22" s="153">
        <f>(Salaires_bruts!G19*G$11)/1000</f>
        <v>0</v>
      </c>
      <c r="H22" s="155">
        <f>(Salaires_bruts!H19*H$11)/1000</f>
        <v>0</v>
      </c>
      <c r="I22" s="153">
        <f t="shared" si="0"/>
        <v>1164.3129482142856</v>
      </c>
      <c r="J22" s="156">
        <f t="shared" si="1"/>
        <v>0.75</v>
      </c>
      <c r="K22" s="153">
        <f t="shared" si="2"/>
        <v>873.23471116071414</v>
      </c>
      <c r="L22" s="157">
        <f t="shared" si="3"/>
        <v>228743.4120661607</v>
      </c>
      <c r="M22" s="145"/>
      <c r="N22" s="152" t="s">
        <v>52</v>
      </c>
      <c r="O22" s="158">
        <v>4570900.4000000004</v>
      </c>
      <c r="P22" s="159">
        <v>0</v>
      </c>
      <c r="Q22" s="157">
        <f>IF(Calculation_RIS!L22=0,O22*P22,0)</f>
        <v>0</v>
      </c>
      <c r="R22" s="148"/>
      <c r="S22" s="160">
        <f>Calculation_RIS!L22+Q22</f>
        <v>228743.4120661607</v>
      </c>
    </row>
    <row r="23" spans="1:19" ht="15.75" customHeight="1">
      <c r="A23" s="163" t="s">
        <v>53</v>
      </c>
      <c r="B23" s="164">
        <f>(Salaires_bruts!B20*B$11)/1000</f>
        <v>143619.65826684001</v>
      </c>
      <c r="C23" s="164">
        <f>(Salaires_bruts!C20*C$11)/1000</f>
        <v>5889.69625335</v>
      </c>
      <c r="D23" s="165">
        <f>(Salaires_bruts!D20*D$11)/1000</f>
        <v>241.4893490625</v>
      </c>
      <c r="E23" s="164">
        <f>(Salaires_bruts!E20*E$11)/1000</f>
        <v>5820.834857142856</v>
      </c>
      <c r="F23" s="164">
        <f>(Salaires_bruts!F20*F$11)/1000</f>
        <v>0</v>
      </c>
      <c r="G23" s="164">
        <f>(Salaires_bruts!G20*G$11)/1000</f>
        <v>13217.747665178571</v>
      </c>
      <c r="H23" s="166">
        <f>(Salaires_bruts!H20*H$11)/1000</f>
        <v>0</v>
      </c>
      <c r="I23" s="164">
        <f t="shared" si="0"/>
        <v>25169.768124733928</v>
      </c>
      <c r="J23" s="167">
        <f t="shared" si="1"/>
        <v>0.75</v>
      </c>
      <c r="K23" s="164">
        <f t="shared" si="2"/>
        <v>18877.326093550444</v>
      </c>
      <c r="L23" s="168">
        <f t="shared" si="3"/>
        <v>162496.98436039046</v>
      </c>
      <c r="M23" s="145"/>
      <c r="N23" s="163" t="s">
        <v>53</v>
      </c>
      <c r="O23" s="169">
        <v>4458564.3</v>
      </c>
      <c r="P23" s="170">
        <v>0</v>
      </c>
      <c r="Q23" s="168">
        <f>IF(Calculation_RIS!L23=0,O23*P23,0)</f>
        <v>0</v>
      </c>
      <c r="R23" s="148"/>
      <c r="S23" s="171">
        <f>Calculation_RIS!L23+Q23</f>
        <v>162496.98436039046</v>
      </c>
    </row>
    <row r="24" spans="1:19" ht="15.75" customHeight="1">
      <c r="A24" s="152" t="s">
        <v>54</v>
      </c>
      <c r="B24" s="153">
        <f>(Salaires_bruts!B21*B$11)/1000</f>
        <v>284234.24943867006</v>
      </c>
      <c r="C24" s="153">
        <f>(Salaires_bruts!C21*C$11)/1000</f>
        <v>57350.979965070001</v>
      </c>
      <c r="D24" s="154">
        <f>(Salaires_bruts!D21*D$11)/1000</f>
        <v>445.19889290624997</v>
      </c>
      <c r="E24" s="153">
        <f>(Salaires_bruts!E21*E$11)/1000</f>
        <v>209437.5052607143</v>
      </c>
      <c r="F24" s="153">
        <f>(Salaires_bruts!F21*F$11)/1000</f>
        <v>0</v>
      </c>
      <c r="G24" s="153">
        <f>(Salaires_bruts!G21*G$11)/1000</f>
        <v>245516.19077410712</v>
      </c>
      <c r="H24" s="155">
        <f>(Salaires_bruts!H21*H$11)/1000</f>
        <v>0</v>
      </c>
      <c r="I24" s="153">
        <f t="shared" si="0"/>
        <v>512749.87489279767</v>
      </c>
      <c r="J24" s="156">
        <f t="shared" si="1"/>
        <v>0.75</v>
      </c>
      <c r="K24" s="153">
        <f t="shared" si="2"/>
        <v>384562.40616959822</v>
      </c>
      <c r="L24" s="157">
        <f t="shared" si="3"/>
        <v>668796.65560826822</v>
      </c>
      <c r="M24" s="145"/>
      <c r="N24" s="152" t="s">
        <v>54</v>
      </c>
      <c r="O24" s="158">
        <v>4465168.3</v>
      </c>
      <c r="P24" s="159">
        <v>0</v>
      </c>
      <c r="Q24" s="157">
        <f>IF(Calculation_RIS!L24=0,O24*P24,0)</f>
        <v>0</v>
      </c>
      <c r="R24" s="148"/>
      <c r="S24" s="160">
        <f>Calculation_RIS!L24+Q24</f>
        <v>668796.65560826822</v>
      </c>
    </row>
    <row r="25" spans="1:19" ht="15.75" customHeight="1">
      <c r="A25" s="163" t="s">
        <v>55</v>
      </c>
      <c r="B25" s="164">
        <f>(Salaires_bruts!B22*B$11)/1000</f>
        <v>148290.80822094</v>
      </c>
      <c r="C25" s="164">
        <f>(Salaires_bruts!C22*C$11)/1000</f>
        <v>33116.625605580004</v>
      </c>
      <c r="D25" s="165">
        <f>(Salaires_bruts!D22*D$11)/1000</f>
        <v>447.03623921249999</v>
      </c>
      <c r="E25" s="164">
        <f>(Salaires_bruts!E22*E$11)/1000</f>
        <v>102070.14379553571</v>
      </c>
      <c r="F25" s="164">
        <f>(Salaires_bruts!F22*F$11)/1000</f>
        <v>0</v>
      </c>
      <c r="G25" s="164">
        <f>(Salaires_bruts!G22*G$11)/1000</f>
        <v>153079.78001785715</v>
      </c>
      <c r="H25" s="166">
        <f>(Salaires_bruts!H22*H$11)/1000</f>
        <v>0</v>
      </c>
      <c r="I25" s="164">
        <f t="shared" si="0"/>
        <v>288713.58565818536</v>
      </c>
      <c r="J25" s="167">
        <f t="shared" si="1"/>
        <v>0.75</v>
      </c>
      <c r="K25" s="164">
        <f t="shared" si="2"/>
        <v>216535.189243639</v>
      </c>
      <c r="L25" s="168">
        <f t="shared" si="3"/>
        <v>364825.99746457901</v>
      </c>
      <c r="M25" s="145"/>
      <c r="N25" s="163" t="s">
        <v>55</v>
      </c>
      <c r="O25" s="169">
        <v>6294538.7000000002</v>
      </c>
      <c r="P25" s="170">
        <v>0</v>
      </c>
      <c r="Q25" s="168">
        <f>IF(Calculation_RIS!L25=0,O25*P25,0)</f>
        <v>0</v>
      </c>
      <c r="R25" s="148"/>
      <c r="S25" s="171">
        <f>Calculation_RIS!L25+Q25</f>
        <v>364825.99746457901</v>
      </c>
    </row>
    <row r="26" spans="1:19" ht="15.75" customHeight="1">
      <c r="A26" s="152" t="s">
        <v>56</v>
      </c>
      <c r="B26" s="153">
        <f>(Salaires_bruts!B23*B$11)/1000</f>
        <v>114578.78528189998</v>
      </c>
      <c r="C26" s="153">
        <f>(Salaires_bruts!C23*C$11)/1000</f>
        <v>8374.5141119999989</v>
      </c>
      <c r="D26" s="154">
        <f>(Salaires_bruts!D23*D$11)/1000</f>
        <v>182.53769769375</v>
      </c>
      <c r="E26" s="153">
        <f>(Salaires_bruts!E23*E$11)/1000</f>
        <v>54195.439853571421</v>
      </c>
      <c r="F26" s="153">
        <f>(Salaires_bruts!F23*F$11)/1000</f>
        <v>0</v>
      </c>
      <c r="G26" s="153">
        <f>(Salaires_bruts!G23*G$11)/1000</f>
        <v>0</v>
      </c>
      <c r="H26" s="155">
        <f>(Salaires_bruts!H23*H$11)/1000</f>
        <v>0</v>
      </c>
      <c r="I26" s="153">
        <f t="shared" si="0"/>
        <v>62752.491663265173</v>
      </c>
      <c r="J26" s="156">
        <f t="shared" si="1"/>
        <v>0.75</v>
      </c>
      <c r="K26" s="153">
        <f t="shared" si="2"/>
        <v>47064.368747448883</v>
      </c>
      <c r="L26" s="157">
        <f t="shared" si="3"/>
        <v>161643.15402934887</v>
      </c>
      <c r="M26" s="145"/>
      <c r="N26" s="152" t="s">
        <v>56</v>
      </c>
      <c r="O26" s="158">
        <v>1237632.3</v>
      </c>
      <c r="P26" s="159">
        <v>0</v>
      </c>
      <c r="Q26" s="157">
        <f>IF(Calculation_RIS!L26=0,O26*P26,0)</f>
        <v>0</v>
      </c>
      <c r="R26" s="148"/>
      <c r="S26" s="160">
        <f>Calculation_RIS!L26+Q26</f>
        <v>161643.15402934887</v>
      </c>
    </row>
    <row r="27" spans="1:19" ht="15.75" customHeight="1">
      <c r="A27" s="163" t="s">
        <v>57</v>
      </c>
      <c r="B27" s="164">
        <f>(Salaires_bruts!B24*B$11)/1000</f>
        <v>37251.092376000001</v>
      </c>
      <c r="C27" s="164">
        <f>(Salaires_bruts!C24*C$11)/1000</f>
        <v>1965.9801929999999</v>
      </c>
      <c r="D27" s="165">
        <f>(Salaires_bruts!D24*D$11)/1000</f>
        <v>4280.0299368749993</v>
      </c>
      <c r="E27" s="164">
        <f>(Salaires_bruts!E24*E$11)/1000</f>
        <v>637.46983928571422</v>
      </c>
      <c r="F27" s="164">
        <f>(Salaires_bruts!F24*F$11)/1000</f>
        <v>0</v>
      </c>
      <c r="G27" s="164">
        <f>(Salaires_bruts!G24*G$11)/1000</f>
        <v>0</v>
      </c>
      <c r="H27" s="166">
        <f>(Salaires_bruts!H24*H$11)/1000</f>
        <v>0</v>
      </c>
      <c r="I27" s="164">
        <f t="shared" si="0"/>
        <v>6883.4799691607141</v>
      </c>
      <c r="J27" s="167">
        <f t="shared" si="1"/>
        <v>0.75</v>
      </c>
      <c r="K27" s="164">
        <f t="shared" si="2"/>
        <v>5162.6099768705353</v>
      </c>
      <c r="L27" s="168">
        <f t="shared" si="3"/>
        <v>42413.702352870532</v>
      </c>
      <c r="M27" s="145"/>
      <c r="N27" s="163" t="s">
        <v>57</v>
      </c>
      <c r="O27" s="169">
        <v>910568.8</v>
      </c>
      <c r="P27" s="170">
        <v>0</v>
      </c>
      <c r="Q27" s="168">
        <f>IF(Calculation_RIS!L27=0,O27*P27,0)</f>
        <v>0</v>
      </c>
      <c r="R27" s="148"/>
      <c r="S27" s="171">
        <f>Calculation_RIS!L27+Q27</f>
        <v>42413.702352870532</v>
      </c>
    </row>
    <row r="28" spans="1:19" ht="15.75" customHeight="1">
      <c r="A28" s="152" t="s">
        <v>58</v>
      </c>
      <c r="B28" s="153">
        <f>(Salaires_bruts!B25*B$11)/1000</f>
        <v>6847.4250440100004</v>
      </c>
      <c r="C28" s="153">
        <f>(Salaires_bruts!C25*C$11)/1000</f>
        <v>650.42467958999998</v>
      </c>
      <c r="D28" s="154">
        <f>(Salaires_bruts!D25*D$11)/1000</f>
        <v>1251.4540722075001</v>
      </c>
      <c r="E28" s="153">
        <f>(Salaires_bruts!E25*E$11)/1000</f>
        <v>102.48430499999999</v>
      </c>
      <c r="F28" s="153">
        <f>(Salaires_bruts!F25*F$11)/1000</f>
        <v>0</v>
      </c>
      <c r="G28" s="153">
        <f>(Salaires_bruts!G25*G$11)/1000</f>
        <v>0</v>
      </c>
      <c r="H28" s="155">
        <f>(Salaires_bruts!H25*H$11)/1000</f>
        <v>0</v>
      </c>
      <c r="I28" s="153">
        <f t="shared" si="0"/>
        <v>2004.3630567975001</v>
      </c>
      <c r="J28" s="156">
        <f t="shared" si="1"/>
        <v>0.75</v>
      </c>
      <c r="K28" s="153">
        <f t="shared" si="2"/>
        <v>1503.2722925981252</v>
      </c>
      <c r="L28" s="157">
        <f t="shared" si="3"/>
        <v>8350.6973366081256</v>
      </c>
      <c r="M28" s="145"/>
      <c r="N28" s="152" t="s">
        <v>58</v>
      </c>
      <c r="O28" s="158">
        <v>277451.40000000002</v>
      </c>
      <c r="P28" s="159">
        <v>0</v>
      </c>
      <c r="Q28" s="157">
        <f>IF(Calculation_RIS!L28=0,O28*P28,0)</f>
        <v>0</v>
      </c>
      <c r="R28" s="148"/>
      <c r="S28" s="160">
        <f>Calculation_RIS!L28+Q28</f>
        <v>8350.6973366081256</v>
      </c>
    </row>
    <row r="29" spans="1:19" ht="15.75" customHeight="1">
      <c r="A29" s="163" t="s">
        <v>59</v>
      </c>
      <c r="B29" s="164">
        <f>(Salaires_bruts!B26*B$11)/1000</f>
        <v>351615.33232799999</v>
      </c>
      <c r="C29" s="164">
        <f>(Salaires_bruts!C26*C$11)/1000</f>
        <v>24697.417458</v>
      </c>
      <c r="D29" s="165">
        <f>(Salaires_bruts!D26*D$11)/1000</f>
        <v>154146.72293212501</v>
      </c>
      <c r="E29" s="164">
        <f>(Salaires_bruts!E26*E$11)/1000</f>
        <v>11312.379160714285</v>
      </c>
      <c r="F29" s="164">
        <f>(Salaires_bruts!F26*F$11)/1000</f>
        <v>0</v>
      </c>
      <c r="G29" s="164">
        <f>(Salaires_bruts!G26*G$11)/1000</f>
        <v>0</v>
      </c>
      <c r="H29" s="166">
        <f>(Salaires_bruts!H26*H$11)/1000</f>
        <v>0</v>
      </c>
      <c r="I29" s="164">
        <f t="shared" si="0"/>
        <v>190156.51955083929</v>
      </c>
      <c r="J29" s="167">
        <f t="shared" si="1"/>
        <v>0.75</v>
      </c>
      <c r="K29" s="164">
        <f t="shared" si="2"/>
        <v>142617.38966312946</v>
      </c>
      <c r="L29" s="168">
        <f t="shared" si="3"/>
        <v>494232.72199112945</v>
      </c>
      <c r="M29" s="145"/>
      <c r="N29" s="163" t="s">
        <v>59</v>
      </c>
      <c r="O29" s="169">
        <v>7470497.7000000002</v>
      </c>
      <c r="P29" s="170">
        <v>0</v>
      </c>
      <c r="Q29" s="168">
        <f>IF(Calculation_RIS!L29=0,O29*P29,0)</f>
        <v>0</v>
      </c>
      <c r="R29" s="148"/>
      <c r="S29" s="171">
        <f>Calculation_RIS!L29+Q29</f>
        <v>494232.72199112945</v>
      </c>
    </row>
    <row r="30" spans="1:19" ht="15.75" customHeight="1">
      <c r="A30" s="152" t="s">
        <v>60</v>
      </c>
      <c r="B30" s="153">
        <f>(Salaires_bruts!B27*B$11)/1000</f>
        <v>309172.40667299996</v>
      </c>
      <c r="C30" s="153">
        <f>(Salaires_bruts!C27*C$11)/1000</f>
        <v>76746.226364999995</v>
      </c>
      <c r="D30" s="154">
        <f>(Salaires_bruts!D27*D$11)/1000</f>
        <v>5505.2120654999999</v>
      </c>
      <c r="E30" s="153">
        <f>(Salaires_bruts!E27*E$11)/1000</f>
        <v>0</v>
      </c>
      <c r="F30" s="153">
        <f>(Salaires_bruts!F27*F$11)/1000</f>
        <v>0</v>
      </c>
      <c r="G30" s="153">
        <f>(Salaires_bruts!G27*G$11)/1000</f>
        <v>0</v>
      </c>
      <c r="H30" s="155">
        <f>(Salaires_bruts!H27*H$11)/1000</f>
        <v>13206.7964718</v>
      </c>
      <c r="I30" s="153">
        <f t="shared" si="0"/>
        <v>95458.234902299999</v>
      </c>
      <c r="J30" s="156">
        <f t="shared" si="1"/>
        <v>0.75</v>
      </c>
      <c r="K30" s="153">
        <f t="shared" si="2"/>
        <v>71593.676176724999</v>
      </c>
      <c r="L30" s="157">
        <f t="shared" si="3"/>
        <v>380766.08284972497</v>
      </c>
      <c r="M30" s="145"/>
      <c r="N30" s="152" t="s">
        <v>60</v>
      </c>
      <c r="O30" s="158">
        <v>3268764.8</v>
      </c>
      <c r="P30" s="159">
        <v>0</v>
      </c>
      <c r="Q30" s="157">
        <f>IF(Calculation_RIS!L30=0,O30*P30,0)</f>
        <v>0</v>
      </c>
      <c r="R30" s="148"/>
      <c r="S30" s="160">
        <f>Calculation_RIS!L30+Q30</f>
        <v>380766.08284972497</v>
      </c>
    </row>
    <row r="31" spans="1:19" ht="15.75" customHeight="1">
      <c r="A31" s="163" t="s">
        <v>61</v>
      </c>
      <c r="B31" s="164">
        <f>(Salaires_bruts!B28*B$11)/1000</f>
        <v>407956.64725500002</v>
      </c>
      <c r="C31" s="164">
        <f>(Salaires_bruts!C28*C$11)/1000</f>
        <v>92404.791993449995</v>
      </c>
      <c r="D31" s="165">
        <f>(Salaires_bruts!D28*D$11)/1000</f>
        <v>766.31377724999993</v>
      </c>
      <c r="E31" s="164">
        <f>(Salaires_bruts!E28*E$11)/1000</f>
        <v>128013.49539642855</v>
      </c>
      <c r="F31" s="164">
        <f>(Salaires_bruts!F28*F$11)/1000</f>
        <v>0</v>
      </c>
      <c r="G31" s="164">
        <f>(Salaires_bruts!G28*G$11)/1000</f>
        <v>0</v>
      </c>
      <c r="H31" s="166">
        <f>(Salaires_bruts!H28*H$11)/1000</f>
        <v>0</v>
      </c>
      <c r="I31" s="164">
        <f t="shared" si="0"/>
        <v>221184.60116712854</v>
      </c>
      <c r="J31" s="167">
        <f t="shared" si="1"/>
        <v>0.75</v>
      </c>
      <c r="K31" s="164">
        <f t="shared" si="2"/>
        <v>165888.4508753464</v>
      </c>
      <c r="L31" s="168">
        <f t="shared" si="3"/>
        <v>573845.09813034639</v>
      </c>
      <c r="M31" s="145"/>
      <c r="N31" s="163" t="s">
        <v>61</v>
      </c>
      <c r="O31" s="169">
        <v>11600601</v>
      </c>
      <c r="P31" s="170">
        <v>0</v>
      </c>
      <c r="Q31" s="168">
        <f>IF(Calculation_RIS!L31=0,O31*P31,0)</f>
        <v>0</v>
      </c>
      <c r="R31" s="148"/>
      <c r="S31" s="171">
        <f>Calculation_RIS!L31+Q31</f>
        <v>573845.09813034639</v>
      </c>
    </row>
    <row r="32" spans="1:19" ht="15.75" customHeight="1">
      <c r="A32" s="152" t="s">
        <v>62</v>
      </c>
      <c r="B32" s="153">
        <f>(Salaires_bruts!B29*B$11)/1000</f>
        <v>225863.95340453999</v>
      </c>
      <c r="C32" s="153">
        <f>(Salaires_bruts!C29*C$11)/1000</f>
        <v>17495.280880589999</v>
      </c>
      <c r="D32" s="154">
        <f>(Salaires_bruts!D29*D$11)/1000</f>
        <v>5117.6992691212499</v>
      </c>
      <c r="E32" s="153">
        <f>(Salaires_bruts!E29*E$11)/1000</f>
        <v>41453.430377142853</v>
      </c>
      <c r="F32" s="153">
        <f>(Salaires_bruts!F29*F$11)/1000</f>
        <v>0</v>
      </c>
      <c r="G32" s="153">
        <f>(Salaires_bruts!G29*G$11)/1000</f>
        <v>0</v>
      </c>
      <c r="H32" s="155">
        <f>(Salaires_bruts!H29*H$11)/1000</f>
        <v>0</v>
      </c>
      <c r="I32" s="153">
        <f t="shared" si="0"/>
        <v>64066.410526854102</v>
      </c>
      <c r="J32" s="156">
        <f t="shared" si="1"/>
        <v>0.75</v>
      </c>
      <c r="K32" s="153">
        <f t="shared" si="2"/>
        <v>48049.807895140577</v>
      </c>
      <c r="L32" s="157">
        <f t="shared" si="3"/>
        <v>273913.76129968057</v>
      </c>
      <c r="M32" s="145"/>
      <c r="N32" s="152" t="s">
        <v>62</v>
      </c>
      <c r="O32" s="158">
        <v>4138551.2</v>
      </c>
      <c r="P32" s="159">
        <v>0</v>
      </c>
      <c r="Q32" s="157">
        <f>IF(Calculation_RIS!L32=0,O32*P32,0)</f>
        <v>0</v>
      </c>
      <c r="R32" s="148"/>
      <c r="S32" s="160">
        <f>Calculation_RIS!L32+Q32</f>
        <v>273913.76129968057</v>
      </c>
    </row>
    <row r="33" spans="1:19" ht="15.75" customHeight="1">
      <c r="A33" s="163" t="s">
        <v>63</v>
      </c>
      <c r="B33" s="164">
        <f>(Salaires_bruts!B30*B$11)/1000</f>
        <v>318798.775914</v>
      </c>
      <c r="C33" s="164">
        <f>(Salaires_bruts!C30*C$11)/1000</f>
        <v>170302.428762</v>
      </c>
      <c r="D33" s="165">
        <f>(Salaires_bruts!D30*D$11)/1000</f>
        <v>4506.4749056249993</v>
      </c>
      <c r="E33" s="164">
        <f>(Salaires_bruts!E30*E$11)/1000</f>
        <v>0</v>
      </c>
      <c r="F33" s="164">
        <f>(Salaires_bruts!F30*F$11)/1000</f>
        <v>0</v>
      </c>
      <c r="G33" s="164">
        <f>(Salaires_bruts!G30*G$11)/1000</f>
        <v>0</v>
      </c>
      <c r="H33" s="166">
        <f>(Salaires_bruts!H30*H$11)/1000</f>
        <v>586234.35562140006</v>
      </c>
      <c r="I33" s="164">
        <f t="shared" si="0"/>
        <v>761043.2592890251</v>
      </c>
      <c r="J33" s="167">
        <f t="shared" si="1"/>
        <v>0.75</v>
      </c>
      <c r="K33" s="164">
        <f t="shared" si="2"/>
        <v>570782.44446676876</v>
      </c>
      <c r="L33" s="168">
        <f t="shared" si="3"/>
        <v>889581.22038076876</v>
      </c>
      <c r="M33" s="145"/>
      <c r="N33" s="163" t="s">
        <v>63</v>
      </c>
      <c r="O33" s="169">
        <v>6188314.0999999996</v>
      </c>
      <c r="P33" s="170">
        <v>0</v>
      </c>
      <c r="Q33" s="168">
        <f>IF(Calculation_RIS!L33=0,O33*P33,0)</f>
        <v>0</v>
      </c>
      <c r="R33" s="148"/>
      <c r="S33" s="171">
        <f>Calculation_RIS!L33+Q33</f>
        <v>889581.22038076876</v>
      </c>
    </row>
    <row r="34" spans="1:19" ht="15.75" customHeight="1">
      <c r="A34" s="152" t="s">
        <v>64</v>
      </c>
      <c r="B34" s="153">
        <f>(Salaires_bruts!B31*B$11)/1000</f>
        <v>1039322.8236870001</v>
      </c>
      <c r="C34" s="153">
        <f>(Salaires_bruts!C31*C$11)/1000</f>
        <v>0</v>
      </c>
      <c r="D34" s="154">
        <f>(Salaires_bruts!D31*D$11)/1000</f>
        <v>0</v>
      </c>
      <c r="E34" s="153">
        <f>(Salaires_bruts!E31*E$11)/1000</f>
        <v>0</v>
      </c>
      <c r="F34" s="153">
        <f>(Salaires_bruts!F31*F$11)/1000</f>
        <v>0</v>
      </c>
      <c r="G34" s="153">
        <f>(Salaires_bruts!G31*G$11)/1000</f>
        <v>281352.86550000001</v>
      </c>
      <c r="H34" s="155">
        <f>(Salaires_bruts!H31*H$11)/1000</f>
        <v>0</v>
      </c>
      <c r="I34" s="153">
        <f t="shared" si="0"/>
        <v>281352.86550000001</v>
      </c>
      <c r="J34" s="156">
        <f t="shared" si="1"/>
        <v>0.75</v>
      </c>
      <c r="K34" s="153">
        <f t="shared" si="2"/>
        <v>211014.649125</v>
      </c>
      <c r="L34" s="157">
        <f t="shared" si="3"/>
        <v>1250337.4728120002</v>
      </c>
      <c r="M34" s="145"/>
      <c r="N34" s="152" t="s">
        <v>64</v>
      </c>
      <c r="O34" s="158">
        <v>15287259.9</v>
      </c>
      <c r="P34" s="159">
        <v>0</v>
      </c>
      <c r="Q34" s="157">
        <f>IF(Calculation_RIS!L34=0,O34*P34,0)</f>
        <v>0</v>
      </c>
      <c r="R34" s="148"/>
      <c r="S34" s="160">
        <f>Calculation_RIS!L34+Q34</f>
        <v>1250337.4728120002</v>
      </c>
    </row>
    <row r="35" spans="1:19" ht="15.75" customHeight="1">
      <c r="A35" s="163" t="s">
        <v>65</v>
      </c>
      <c r="B35" s="164">
        <f>(Salaires_bruts!B32*B$11)/1000</f>
        <v>386318.93792699999</v>
      </c>
      <c r="C35" s="164">
        <f>(Salaires_bruts!C32*C$11)/1000</f>
        <v>3391.5316979999998</v>
      </c>
      <c r="D35" s="165">
        <f>(Salaires_bruts!D32*D$11)/1000</f>
        <v>0</v>
      </c>
      <c r="E35" s="164">
        <f>(Salaires_bruts!E32*E$11)/1000</f>
        <v>43.643410714285707</v>
      </c>
      <c r="F35" s="164">
        <f>(Salaires_bruts!F32*F$11)/1000</f>
        <v>0</v>
      </c>
      <c r="G35" s="164">
        <f>(Salaires_bruts!G32*G$11)/1000</f>
        <v>13378.954660714284</v>
      </c>
      <c r="H35" s="166">
        <f>(Salaires_bruts!H32*H$11)/1000</f>
        <v>12471.5768094</v>
      </c>
      <c r="I35" s="164">
        <f t="shared" si="0"/>
        <v>29285.706578828569</v>
      </c>
      <c r="J35" s="167">
        <f t="shared" si="1"/>
        <v>0.75</v>
      </c>
      <c r="K35" s="164">
        <f t="shared" si="2"/>
        <v>21964.279934121427</v>
      </c>
      <c r="L35" s="168">
        <f t="shared" si="3"/>
        <v>408283.2178611214</v>
      </c>
      <c r="M35" s="145"/>
      <c r="N35" s="163" t="s">
        <v>65</v>
      </c>
      <c r="O35" s="169">
        <v>4599922.8</v>
      </c>
      <c r="P35" s="170">
        <v>0</v>
      </c>
      <c r="Q35" s="168">
        <f>IF(Calculation_RIS!L35=0,O35*P35,0)</f>
        <v>0</v>
      </c>
      <c r="R35" s="148"/>
      <c r="S35" s="171">
        <f>Calculation_RIS!L35+Q35</f>
        <v>408283.2178611214</v>
      </c>
    </row>
    <row r="36" spans="1:19" ht="15.75" customHeight="1">
      <c r="A36" s="152" t="s">
        <v>66</v>
      </c>
      <c r="B36" s="153">
        <f>(Salaires_bruts!B33*B$11)/1000</f>
        <v>128778.656082</v>
      </c>
      <c r="C36" s="153">
        <f>(Salaires_bruts!C33*C$11)/1000</f>
        <v>6236.7916919999998</v>
      </c>
      <c r="D36" s="154">
        <f>(Salaires_bruts!D33*D$11)/1000</f>
        <v>12.411551249999999</v>
      </c>
      <c r="E36" s="153">
        <f>(Salaires_bruts!E33*E$11)/1000</f>
        <v>11.492517857142857</v>
      </c>
      <c r="F36" s="153">
        <f>(Salaires_bruts!F33*F$11)/1000</f>
        <v>0</v>
      </c>
      <c r="G36" s="153">
        <f>(Salaires_bruts!G33*G$11)/1000</f>
        <v>131858.10996428572</v>
      </c>
      <c r="H36" s="155">
        <f>(Salaires_bruts!H33*H$11)/1000</f>
        <v>0</v>
      </c>
      <c r="I36" s="153">
        <f t="shared" si="0"/>
        <v>138118.80572539286</v>
      </c>
      <c r="J36" s="156">
        <f t="shared" si="1"/>
        <v>0.75</v>
      </c>
      <c r="K36" s="153">
        <f t="shared" si="2"/>
        <v>103589.10429404464</v>
      </c>
      <c r="L36" s="157">
        <f t="shared" si="3"/>
        <v>232367.76037604464</v>
      </c>
      <c r="M36" s="145"/>
      <c r="N36" s="152" t="s">
        <v>66</v>
      </c>
      <c r="O36" s="158">
        <v>2693122.2</v>
      </c>
      <c r="P36" s="159">
        <v>0</v>
      </c>
      <c r="Q36" s="157">
        <f>IF(Calculation_RIS!L36=0,O36*P36,0)</f>
        <v>0</v>
      </c>
      <c r="R36" s="148"/>
      <c r="S36" s="160">
        <f>Calculation_RIS!L36+Q36</f>
        <v>232367.76037604464</v>
      </c>
    </row>
    <row r="37" spans="1:19" ht="15.75" customHeight="1">
      <c r="A37" s="163" t="s">
        <v>67</v>
      </c>
      <c r="B37" s="164">
        <f>(Salaires_bruts!B34*B$11)/1000</f>
        <v>1015556.256285</v>
      </c>
      <c r="C37" s="164">
        <f>(Salaires_bruts!C34*C$11)/1000</f>
        <v>130425.709176</v>
      </c>
      <c r="D37" s="165">
        <f>(Salaires_bruts!D34*D$11)/1000</f>
        <v>449.67720262499995</v>
      </c>
      <c r="E37" s="164">
        <f>(Salaires_bruts!E34*E$11)/1000</f>
        <v>0</v>
      </c>
      <c r="F37" s="164">
        <f>(Salaires_bruts!F34*F$11)/1000</f>
        <v>1873681.549568</v>
      </c>
      <c r="G37" s="164">
        <f>(Salaires_bruts!G34*G$11)/1000</f>
        <v>0</v>
      </c>
      <c r="H37" s="166">
        <f>(Salaires_bruts!H34*H$11)/1000</f>
        <v>0</v>
      </c>
      <c r="I37" s="164">
        <f t="shared" si="0"/>
        <v>2004556.935946625</v>
      </c>
      <c r="J37" s="167">
        <f t="shared" si="1"/>
        <v>0.75</v>
      </c>
      <c r="K37" s="164">
        <f t="shared" si="2"/>
        <v>1503417.7019599688</v>
      </c>
      <c r="L37" s="168">
        <f t="shared" si="3"/>
        <v>2518973.9582449687</v>
      </c>
      <c r="M37" s="145"/>
      <c r="N37" s="163" t="s">
        <v>67</v>
      </c>
      <c r="O37" s="169">
        <v>11897753.5</v>
      </c>
      <c r="P37" s="170">
        <v>0</v>
      </c>
      <c r="Q37" s="168">
        <f>IF(Calculation_RIS!L37=0,O37*P37,0)</f>
        <v>0</v>
      </c>
      <c r="R37" s="148"/>
      <c r="S37" s="171">
        <f>Calculation_RIS!L37+Q37</f>
        <v>2518973.9582449687</v>
      </c>
    </row>
    <row r="38" spans="1:19" ht="15.75" customHeight="1">
      <c r="A38" s="172" t="s">
        <v>68</v>
      </c>
      <c r="B38" s="173">
        <f>(Salaires_bruts!B35*B$11)/1000</f>
        <v>28256.090427000003</v>
      </c>
      <c r="C38" s="173">
        <f>(Salaires_bruts!C35*C$11)/1000</f>
        <v>2410.2872330099999</v>
      </c>
      <c r="D38" s="174">
        <f>(Salaires_bruts!D35*D$11)/1000</f>
        <v>0</v>
      </c>
      <c r="E38" s="173">
        <f>(Salaires_bruts!E35*E$11)/1000</f>
        <v>74.162732142857124</v>
      </c>
      <c r="F38" s="173">
        <f>(Salaires_bruts!F35*F$11)/1000</f>
        <v>0</v>
      </c>
      <c r="G38" s="173">
        <f>(Salaires_bruts!G35*G$11)/1000</f>
        <v>68012.753946428566</v>
      </c>
      <c r="H38" s="175">
        <f>(Salaires_bruts!H35*H$11)/1000</f>
        <v>0</v>
      </c>
      <c r="I38" s="173">
        <f t="shared" si="0"/>
        <v>70497.203911581426</v>
      </c>
      <c r="J38" s="176">
        <f t="shared" si="1"/>
        <v>0.75</v>
      </c>
      <c r="K38" s="173">
        <f t="shared" si="2"/>
        <v>52872.902933686069</v>
      </c>
      <c r="L38" s="177">
        <f t="shared" si="3"/>
        <v>81128.993360686072</v>
      </c>
      <c r="M38" s="145"/>
      <c r="N38" s="172" t="s">
        <v>68</v>
      </c>
      <c r="O38" s="178">
        <v>894268.8</v>
      </c>
      <c r="P38" s="179">
        <v>0</v>
      </c>
      <c r="Q38" s="177">
        <f>IF(Calculation_RIS!L38=0,O38*P38,0)</f>
        <v>0</v>
      </c>
      <c r="R38" s="148"/>
      <c r="S38" s="180">
        <f>Calculation_RIS!L38+Q38</f>
        <v>81128.993360686072</v>
      </c>
    </row>
    <row r="39" spans="1:19" ht="15.75" customHeight="1">
      <c r="A39" s="181" t="s">
        <v>69</v>
      </c>
      <c r="B39" s="182">
        <f t="shared" ref="B39:I39" si="4">SUM(B13:B38)</f>
        <v>8408341.5755082592</v>
      </c>
      <c r="C39" s="182">
        <f t="shared" si="4"/>
        <v>747070.76578562998</v>
      </c>
      <c r="D39" s="183">
        <f t="shared" si="4"/>
        <v>185138.85563785498</v>
      </c>
      <c r="E39" s="182">
        <f t="shared" si="4"/>
        <v>636392.3923092857</v>
      </c>
      <c r="F39" s="182">
        <f t="shared" si="4"/>
        <v>1873681.549568</v>
      </c>
      <c r="G39" s="182">
        <f t="shared" si="4"/>
        <v>925615.49029553565</v>
      </c>
      <c r="H39" s="184">
        <f t="shared" si="4"/>
        <v>611912.72890260001</v>
      </c>
      <c r="I39" s="182">
        <f t="shared" si="4"/>
        <v>4979811.7824989054</v>
      </c>
      <c r="J39" s="185">
        <v>0.75</v>
      </c>
      <c r="K39" s="182">
        <f t="shared" si="2"/>
        <v>3734858.8368741791</v>
      </c>
      <c r="L39" s="186">
        <f t="shared" si="3"/>
        <v>12143200.412382439</v>
      </c>
      <c r="M39" s="145"/>
      <c r="N39" s="181" t="s">
        <v>69</v>
      </c>
      <c r="O39" s="187">
        <f>SUM(O13:O38)</f>
        <v>164431392.30000001</v>
      </c>
      <c r="P39" s="188"/>
      <c r="Q39" s="186">
        <f>SUM(Q13:Q38)</f>
        <v>0</v>
      </c>
      <c r="R39" s="148"/>
      <c r="S39" s="189">
        <f>SUM(S13:S38)</f>
        <v>12143200.412382441</v>
      </c>
    </row>
  </sheetData>
  <mergeCells count="17">
    <mergeCell ref="D9:H9"/>
    <mergeCell ref="C9:C10"/>
    <mergeCell ref="B9:B10"/>
    <mergeCell ref="A4:L4"/>
    <mergeCell ref="A1:F1"/>
    <mergeCell ref="I9:I10"/>
    <mergeCell ref="Q8:Q10"/>
    <mergeCell ref="N4:Q4"/>
    <mergeCell ref="S8:S10"/>
    <mergeCell ref="U12:V12"/>
    <mergeCell ref="U11:V11"/>
    <mergeCell ref="U10:V10"/>
    <mergeCell ref="L9:L10"/>
    <mergeCell ref="K9:K10"/>
    <mergeCell ref="J9:J10"/>
    <mergeCell ref="O8:O10"/>
    <mergeCell ref="P8:P10"/>
  </mergeCells>
  <conditionalFormatting sqref="V13 O13:P38 J39">
    <cfRule type="expression" dxfId="2" priority="1" stopIfTrue="1">
      <formula>ISBLANK(J13)</formula>
    </cfRule>
  </conditionalFormatting>
  <conditionalFormatting sqref="B11:H11">
    <cfRule type="cellIs" dxfId="1" priority="2" stopIfTrue="1" operator="equal">
      <formula>"Eingabe Formel gemäss obiger Zeile"</formula>
    </cfRule>
    <cfRule type="expression" dxfId="0" priority="3" stopIfTrue="1">
      <formula>ISBLANK(B11)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3" fitToWidth="2" orientation="landscape" r:id="rId1"/>
  <headerFooter>
    <oddHeader>&amp;L&amp;10&amp;F&amp;R&amp;10&amp;A</oddHeader>
    <oddFooter>&amp;C&amp;10&amp;P/&amp;N</oddFooter>
  </headerFooter>
  <colBreaks count="1" manualBreakCount="1">
    <brk id="12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Info</vt:lpstr>
      <vt:lpstr>Salaires_bruts</vt:lpstr>
      <vt:lpstr>Gamma</vt:lpstr>
      <vt:lpstr>Calculation_RIS</vt:lpstr>
      <vt:lpstr>gamma</vt:lpstr>
      <vt:lpstr>sst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Svetlana Taboga</cp:lastModifiedBy>
  <cp:lastPrinted>2011-12-23T17:07:19Z</cp:lastPrinted>
  <dcterms:created xsi:type="dcterms:W3CDTF">2006-06-26T16:01:42Z</dcterms:created>
  <dcterms:modified xsi:type="dcterms:W3CDTF">2014-06-25T12:50:49Z</dcterms:modified>
</cp:coreProperties>
</file>