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C4"/>
  <c r="B31" s="1"/>
  <c r="G3"/>
  <c r="B1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C32" i="6" s="1"/>
  <c r="F32" i="2"/>
  <c r="E32" i="4" s="1"/>
  <c r="F32" s="1"/>
  <c r="G31" i="2"/>
  <c r="F31"/>
  <c r="E31" i="4" s="1"/>
  <c r="F31" s="1"/>
  <c r="G30" i="2"/>
  <c r="F30"/>
  <c r="E30" i="4" s="1"/>
  <c r="F30" s="1"/>
  <c r="G29" i="2"/>
  <c r="C28" i="7" s="1"/>
  <c r="F29" i="2"/>
  <c r="E29" i="4" s="1"/>
  <c r="F29" s="1"/>
  <c r="G28" i="2"/>
  <c r="C28" i="6" s="1"/>
  <c r="F28" i="2"/>
  <c r="E28" i="4" s="1"/>
  <c r="F28" s="1"/>
  <c r="G27" i="2"/>
  <c r="F27"/>
  <c r="E27" i="4" s="1"/>
  <c r="F27" s="1"/>
  <c r="G26" i="2"/>
  <c r="F26"/>
  <c r="E26" i="4" s="1"/>
  <c r="F26" s="1"/>
  <c r="G25" i="2"/>
  <c r="C24" i="7" s="1"/>
  <c r="F25" i="2"/>
  <c r="E25" i="4" s="1"/>
  <c r="F25" s="1"/>
  <c r="G24" i="2"/>
  <c r="C24" i="6" s="1"/>
  <c r="F24" i="2"/>
  <c r="E24" i="4" s="1"/>
  <c r="F24" s="1"/>
  <c r="G23" i="2"/>
  <c r="F23"/>
  <c r="E23" i="4" s="1"/>
  <c r="F23" s="1"/>
  <c r="G22" i="2"/>
  <c r="F22"/>
  <c r="E22" i="4" s="1"/>
  <c r="F22" s="1"/>
  <c r="G21" i="2"/>
  <c r="C20" i="7" s="1"/>
  <c r="F21" i="2"/>
  <c r="E21" i="4" s="1"/>
  <c r="F21" s="1"/>
  <c r="G20" i="2"/>
  <c r="C20" i="6" s="1"/>
  <c r="F20" i="2"/>
  <c r="E20" i="4" s="1"/>
  <c r="F20" s="1"/>
  <c r="G19" i="2"/>
  <c r="F19"/>
  <c r="E19" i="4" s="1"/>
  <c r="F19" s="1"/>
  <c r="G18" i="2"/>
  <c r="F18"/>
  <c r="E18" i="4" s="1"/>
  <c r="F18" s="1"/>
  <c r="G17" i="2"/>
  <c r="C16" i="7" s="1"/>
  <c r="F17" i="2"/>
  <c r="E17" i="4" s="1"/>
  <c r="F17" s="1"/>
  <c r="G16" i="2"/>
  <c r="C16" i="6" s="1"/>
  <c r="F16" i="2"/>
  <c r="E16" i="4" s="1"/>
  <c r="F16" s="1"/>
  <c r="G15" i="2"/>
  <c r="F15"/>
  <c r="G14"/>
  <c r="D13" i="8" s="1"/>
  <c r="F14" i="2"/>
  <c r="E14" i="4" s="1"/>
  <c r="F14" s="1"/>
  <c r="G13" i="2"/>
  <c r="D12" i="8" s="1"/>
  <c r="F13" i="2"/>
  <c r="E13" i="4" s="1"/>
  <c r="F13" s="1"/>
  <c r="G12" i="2"/>
  <c r="F12"/>
  <c r="E12" i="4" s="1"/>
  <c r="F12" s="1"/>
  <c r="G11" i="2"/>
  <c r="F11"/>
  <c r="E11" i="4" s="1"/>
  <c r="F11" s="1"/>
  <c r="G10" i="2"/>
  <c r="F10"/>
  <c r="E10" i="4" s="1"/>
  <c r="F10" s="1"/>
  <c r="G9" i="2"/>
  <c r="F9"/>
  <c r="E9" i="4" s="1"/>
  <c r="F9" s="1"/>
  <c r="G8" i="2"/>
  <c r="F8"/>
  <c r="E8" i="4" s="1"/>
  <c r="F8" s="1"/>
  <c r="G7" i="2"/>
  <c r="F7"/>
  <c r="E5"/>
  <c r="D5"/>
  <c r="C5"/>
  <c r="E4"/>
  <c r="D4"/>
  <c r="C4"/>
  <c r="I1"/>
  <c r="B1"/>
  <c r="A5" i="1"/>
  <c r="D6" i="8" l="1"/>
  <c r="C6" i="7"/>
  <c r="C7" i="6"/>
  <c r="G33" i="2"/>
  <c r="C32" i="7" s="1"/>
  <c r="D7" i="8"/>
  <c r="C7" i="7"/>
  <c r="C8" i="6"/>
  <c r="D8" i="8"/>
  <c r="C8" i="7"/>
  <c r="C9" i="6"/>
  <c r="D9" i="8"/>
  <c r="C9" i="7"/>
  <c r="C10" i="6"/>
  <c r="D10" i="8"/>
  <c r="C11" i="6"/>
  <c r="C10" i="7"/>
  <c r="D11" i="8"/>
  <c r="C11" i="7"/>
  <c r="C12" i="6"/>
  <c r="H14" i="2"/>
  <c r="F33"/>
  <c r="H33" s="1"/>
  <c r="E7" i="4"/>
  <c r="E15"/>
  <c r="F15" s="1"/>
  <c r="H15" i="2"/>
  <c r="H7"/>
  <c r="H8"/>
  <c r="H9"/>
  <c r="H10"/>
  <c r="H11"/>
  <c r="H12"/>
  <c r="H13"/>
  <c r="J42" i="8"/>
  <c r="H16" i="2"/>
  <c r="H17"/>
  <c r="H18"/>
  <c r="H19"/>
  <c r="H20"/>
  <c r="H21"/>
  <c r="H22"/>
  <c r="H23"/>
  <c r="H24"/>
  <c r="H25"/>
  <c r="H26"/>
  <c r="H27"/>
  <c r="H28"/>
  <c r="H29"/>
  <c r="H30"/>
  <c r="H31"/>
  <c r="H32"/>
  <c r="C12" i="5"/>
  <c r="B23"/>
  <c r="C14" i="6"/>
  <c r="D14" i="8"/>
  <c r="C15" i="6"/>
  <c r="D15" i="8"/>
  <c r="C15" i="7"/>
  <c r="D16" i="8"/>
  <c r="C17" i="6"/>
  <c r="D17" i="8"/>
  <c r="C17" i="7"/>
  <c r="D18" i="8"/>
  <c r="C19" i="6"/>
  <c r="D19" i="8"/>
  <c r="C19" i="7"/>
  <c r="D20" i="8"/>
  <c r="C21" i="6"/>
  <c r="D21" i="8"/>
  <c r="C21" i="7"/>
  <c r="D22" i="8"/>
  <c r="C23" i="6"/>
  <c r="D23" i="8"/>
  <c r="C23" i="7"/>
  <c r="D24" i="8"/>
  <c r="C25" i="6"/>
  <c r="D25" i="8"/>
  <c r="C25" i="7"/>
  <c r="D26" i="8"/>
  <c r="C27" i="6"/>
  <c r="D27" i="8"/>
  <c r="C27" i="7"/>
  <c r="D28" i="8"/>
  <c r="C29" i="6"/>
  <c r="D29" i="8"/>
  <c r="C29" i="7"/>
  <c r="D30" i="8"/>
  <c r="C31" i="6"/>
  <c r="D31" i="8"/>
  <c r="C31" i="7"/>
  <c r="C13" i="6"/>
  <c r="C18"/>
  <c r="C22"/>
  <c r="C26"/>
  <c r="C30"/>
  <c r="C12" i="7"/>
  <c r="C13"/>
  <c r="C14"/>
  <c r="C18"/>
  <c r="C22"/>
  <c r="C26"/>
  <c r="C30"/>
  <c r="C31" i="8" l="1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2" i="8"/>
  <c r="E12" s="1"/>
  <c r="I13" i="2"/>
  <c r="C10" i="8"/>
  <c r="E10" s="1"/>
  <c r="I11" i="2"/>
  <c r="C8" i="8"/>
  <c r="E8" s="1"/>
  <c r="I9" i="2"/>
  <c r="C6" i="8"/>
  <c r="I7" i="2"/>
  <c r="J43" i="8"/>
  <c r="I33" i="2"/>
  <c r="D32" i="8"/>
  <c r="C30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1" i="8"/>
  <c r="E11" s="1"/>
  <c r="I12" i="2"/>
  <c r="C9" i="8"/>
  <c r="E9" s="1"/>
  <c r="I10" i="2"/>
  <c r="C7" i="8"/>
  <c r="E7" s="1"/>
  <c r="I8" i="2"/>
  <c r="C14" i="8"/>
  <c r="E14" s="1"/>
  <c r="I15" i="2"/>
  <c r="E33" i="4"/>
  <c r="F33" s="1"/>
  <c r="D5" i="5" s="1"/>
  <c r="E5" s="1"/>
  <c r="G5" s="1"/>
  <c r="F7" i="4"/>
  <c r="C13" i="8"/>
  <c r="E13" s="1"/>
  <c r="I14" i="2"/>
  <c r="J44" i="8"/>
  <c r="C33" i="6"/>
  <c r="B13" i="8" l="1"/>
  <c r="B13" i="7"/>
  <c r="B14" i="6"/>
  <c r="C14" i="4"/>
  <c r="B14" i="8"/>
  <c r="B14" i="7"/>
  <c r="B15" i="6"/>
  <c r="C15" i="4"/>
  <c r="B7" i="8"/>
  <c r="B8" i="6"/>
  <c r="C8" i="4"/>
  <c r="B7" i="7"/>
  <c r="B9" i="8"/>
  <c r="B10" i="6"/>
  <c r="C10" i="4"/>
  <c r="B9" i="7"/>
  <c r="B11" i="8"/>
  <c r="B11" i="7"/>
  <c r="B12" i="6"/>
  <c r="C12" i="4"/>
  <c r="B16" i="8"/>
  <c r="B16" i="7"/>
  <c r="C17" i="4"/>
  <c r="B17" i="6"/>
  <c r="B18" i="8"/>
  <c r="B18" i="7"/>
  <c r="B19" i="6"/>
  <c r="C19" i="4"/>
  <c r="B20" i="8"/>
  <c r="B20" i="7"/>
  <c r="C21" i="4"/>
  <c r="B21" i="6"/>
  <c r="B22" i="8"/>
  <c r="B22" i="7"/>
  <c r="B23" i="6"/>
  <c r="C23" i="4"/>
  <c r="B24" i="8"/>
  <c r="B24" i="7"/>
  <c r="C25" i="4"/>
  <c r="B25" i="6"/>
  <c r="B26" i="8"/>
  <c r="B26" i="7"/>
  <c r="B27" i="6"/>
  <c r="C27" i="4"/>
  <c r="B28" i="8"/>
  <c r="B28" i="7"/>
  <c r="C29" i="4"/>
  <c r="B29" i="6"/>
  <c r="B30" i="8"/>
  <c r="B30" i="7"/>
  <c r="B31" i="6"/>
  <c r="C31" i="4"/>
  <c r="C32" i="8"/>
  <c r="E32" s="1"/>
  <c r="E6"/>
  <c r="D24" i="5"/>
  <c r="D15"/>
  <c r="D13"/>
  <c r="J14" i="8"/>
  <c r="J7"/>
  <c r="J9"/>
  <c r="J11"/>
  <c r="J16"/>
  <c r="J18"/>
  <c r="J20"/>
  <c r="J22"/>
  <c r="J24"/>
  <c r="J26"/>
  <c r="J28"/>
  <c r="J30"/>
  <c r="B32"/>
  <c r="B32" i="7"/>
  <c r="C33" i="4"/>
  <c r="B33" i="6"/>
  <c r="B6" i="8"/>
  <c r="C7" i="4"/>
  <c r="B6" i="7"/>
  <c r="B7" i="6"/>
  <c r="B8" i="8"/>
  <c r="C9" i="4"/>
  <c r="B8" i="7"/>
  <c r="B9" i="6"/>
  <c r="B10" i="8"/>
  <c r="B10" i="7"/>
  <c r="C11" i="4"/>
  <c r="B11" i="6"/>
  <c r="B12" i="8"/>
  <c r="B12" i="7"/>
  <c r="C13" i="4"/>
  <c r="B13" i="6"/>
  <c r="B15" i="8"/>
  <c r="B16" i="6"/>
  <c r="C16" i="4"/>
  <c r="B15" i="7"/>
  <c r="B17" i="8"/>
  <c r="B18" i="6"/>
  <c r="B17" i="7"/>
  <c r="C18" i="4"/>
  <c r="B19" i="8"/>
  <c r="B20" i="6"/>
  <c r="C20" i="4"/>
  <c r="B19" i="7"/>
  <c r="B21" i="8"/>
  <c r="B22" i="6"/>
  <c r="B21" i="7"/>
  <c r="C22" i="4"/>
  <c r="B23" i="8"/>
  <c r="B24" i="6"/>
  <c r="C24" i="4"/>
  <c r="B23" i="7"/>
  <c r="B25" i="8"/>
  <c r="B26" i="6"/>
  <c r="B25" i="7"/>
  <c r="C26" i="4"/>
  <c r="B27" i="8"/>
  <c r="B28" i="6"/>
  <c r="C28" i="4"/>
  <c r="B27" i="7"/>
  <c r="B29" i="8"/>
  <c r="B30" i="6"/>
  <c r="B29" i="7"/>
  <c r="C30" i="4"/>
  <c r="B31" i="8"/>
  <c r="B32" i="6"/>
  <c r="C32" i="4"/>
  <c r="B31" i="7"/>
  <c r="D32" i="6" l="1"/>
  <c r="E32"/>
  <c r="F32" s="1"/>
  <c r="D30"/>
  <c r="E30"/>
  <c r="F30" s="1"/>
  <c r="D28"/>
  <c r="D26"/>
  <c r="E26"/>
  <c r="F26" s="1"/>
  <c r="H22" i="4"/>
  <c r="I22"/>
  <c r="G22"/>
  <c r="D19" i="7"/>
  <c r="H18" i="4"/>
  <c r="I18"/>
  <c r="G18"/>
  <c r="D15" i="7"/>
  <c r="D13" i="6"/>
  <c r="D11"/>
  <c r="D10" i="7"/>
  <c r="E10"/>
  <c r="F10" s="1"/>
  <c r="E9" i="6"/>
  <c r="F9" s="1"/>
  <c r="D9"/>
  <c r="H9" i="4"/>
  <c r="I9"/>
  <c r="G9"/>
  <c r="D7" i="6"/>
  <c r="H7" i="4"/>
  <c r="G7"/>
  <c r="I7" s="1"/>
  <c r="C32" i="5"/>
  <c r="J32" i="8"/>
  <c r="K13" i="7"/>
  <c r="D31" i="6"/>
  <c r="H29" i="4"/>
  <c r="I29"/>
  <c r="G29"/>
  <c r="E27" i="6"/>
  <c r="F27" s="1"/>
  <c r="D27"/>
  <c r="H25" i="4"/>
  <c r="I25"/>
  <c r="G25"/>
  <c r="E23" i="6"/>
  <c r="F23" s="1"/>
  <c r="D23"/>
  <c r="H21" i="4"/>
  <c r="I21"/>
  <c r="G21"/>
  <c r="D19" i="6"/>
  <c r="H17" i="4"/>
  <c r="I17"/>
  <c r="G17"/>
  <c r="D12" i="6"/>
  <c r="E12"/>
  <c r="F12" s="1"/>
  <c r="H10" i="4"/>
  <c r="I10"/>
  <c r="G10"/>
  <c r="H8"/>
  <c r="I8"/>
  <c r="G8"/>
  <c r="D15" i="6"/>
  <c r="D14"/>
  <c r="E14"/>
  <c r="F14" s="1"/>
  <c r="D31" i="7"/>
  <c r="H30" i="4"/>
  <c r="I30"/>
  <c r="G30"/>
  <c r="E27" i="7"/>
  <c r="F27" s="1"/>
  <c r="D27"/>
  <c r="H26" i="4"/>
  <c r="I26"/>
  <c r="G26"/>
  <c r="D23" i="7"/>
  <c r="D24" i="6"/>
  <c r="E24"/>
  <c r="F24" s="1"/>
  <c r="D22"/>
  <c r="E22"/>
  <c r="F22" s="1"/>
  <c r="D20"/>
  <c r="E20"/>
  <c r="F20" s="1"/>
  <c r="D18"/>
  <c r="D16"/>
  <c r="E16"/>
  <c r="F16" s="1"/>
  <c r="D12" i="7"/>
  <c r="E12"/>
  <c r="F12" s="1"/>
  <c r="H32" i="4"/>
  <c r="I32"/>
  <c r="G32"/>
  <c r="D29" i="7"/>
  <c r="H28" i="4"/>
  <c r="I28" s="1"/>
  <c r="G28"/>
  <c r="D25" i="7"/>
  <c r="H24" i="4"/>
  <c r="I24"/>
  <c r="G24"/>
  <c r="D21" i="7"/>
  <c r="H20" i="4"/>
  <c r="I20"/>
  <c r="G20"/>
  <c r="E17" i="7"/>
  <c r="F17" s="1"/>
  <c r="D17"/>
  <c r="H16" i="4"/>
  <c r="I16"/>
  <c r="G16"/>
  <c r="H13"/>
  <c r="I13" s="1"/>
  <c r="G13"/>
  <c r="H11"/>
  <c r="I11"/>
  <c r="G11"/>
  <c r="D8" i="7"/>
  <c r="K7"/>
  <c r="E6"/>
  <c r="F6" s="1"/>
  <c r="D6"/>
  <c r="B33" i="8"/>
  <c r="J6"/>
  <c r="H31" i="4"/>
  <c r="I31"/>
  <c r="G31"/>
  <c r="D30" i="7"/>
  <c r="E30"/>
  <c r="F30" s="1"/>
  <c r="E29" i="6"/>
  <c r="F29" s="1"/>
  <c r="D29"/>
  <c r="D28" i="7"/>
  <c r="H27" i="4"/>
  <c r="I27"/>
  <c r="G27"/>
  <c r="D26" i="7"/>
  <c r="E25" i="6"/>
  <c r="F25" s="1"/>
  <c r="D25"/>
  <c r="D24" i="7"/>
  <c r="H23" i="4"/>
  <c r="I23"/>
  <c r="G23"/>
  <c r="D22" i="7"/>
  <c r="E21" i="6"/>
  <c r="F21" s="1"/>
  <c r="D21"/>
  <c r="D20" i="7"/>
  <c r="H19" i="4"/>
  <c r="I19" s="1"/>
  <c r="G19"/>
  <c r="D18" i="7"/>
  <c r="E18"/>
  <c r="F18" s="1"/>
  <c r="E17" i="6"/>
  <c r="F17" s="1"/>
  <c r="D17"/>
  <c r="D16" i="7"/>
  <c r="H12" i="4"/>
  <c r="I12"/>
  <c r="G12"/>
  <c r="D11" i="7"/>
  <c r="D9"/>
  <c r="D10" i="6"/>
  <c r="E10"/>
  <c r="F10" s="1"/>
  <c r="D7" i="7"/>
  <c r="D8" i="6"/>
  <c r="E8"/>
  <c r="F8" s="1"/>
  <c r="H15" i="4"/>
  <c r="I15" s="1"/>
  <c r="G15"/>
  <c r="D14" i="7"/>
  <c r="E14"/>
  <c r="F14" s="1"/>
  <c r="H14" i="4"/>
  <c r="I14"/>
  <c r="G14"/>
  <c r="D13" i="7"/>
  <c r="J31" i="8"/>
  <c r="J29"/>
  <c r="J27"/>
  <c r="J25"/>
  <c r="J23"/>
  <c r="J21"/>
  <c r="J19"/>
  <c r="J17"/>
  <c r="J15"/>
  <c r="J12"/>
  <c r="J10"/>
  <c r="J8"/>
  <c r="J13"/>
  <c r="D32" i="7" l="1"/>
  <c r="D33" i="6"/>
  <c r="G33" i="4"/>
  <c r="H33"/>
  <c r="I33" s="1"/>
  <c r="D6" i="5" s="1"/>
  <c r="E6" s="1"/>
  <c r="G6" s="1"/>
  <c r="D14" l="1"/>
  <c r="D25"/>
  <c r="C33" l="1"/>
  <c r="E28" i="6"/>
  <c r="F28" s="1"/>
  <c r="F27" i="8" s="1"/>
  <c r="G27" s="1"/>
  <c r="H27" s="1"/>
  <c r="E7" i="6"/>
  <c r="F7" s="1"/>
  <c r="D26" i="5"/>
  <c r="E19" i="6"/>
  <c r="F19" s="1"/>
  <c r="F18" i="8" s="1"/>
  <c r="G18" s="1"/>
  <c r="H18" s="1"/>
  <c r="E13" i="6"/>
  <c r="F13" s="1"/>
  <c r="F12" i="8" s="1"/>
  <c r="G12" s="1"/>
  <c r="H12" s="1"/>
  <c r="E11" i="6"/>
  <c r="F11" s="1"/>
  <c r="F10" i="8" s="1"/>
  <c r="G10" s="1"/>
  <c r="H10" s="1"/>
  <c r="E31" i="6"/>
  <c r="F31" s="1"/>
  <c r="F30" i="8" s="1"/>
  <c r="G30" s="1"/>
  <c r="H30" s="1"/>
  <c r="E15" i="6"/>
  <c r="F15" s="1"/>
  <c r="F14" i="8" s="1"/>
  <c r="G14" s="1"/>
  <c r="H14" s="1"/>
  <c r="E18" i="6"/>
  <c r="F18" s="1"/>
  <c r="F17" i="8" s="1"/>
  <c r="G17" s="1"/>
  <c r="H17" s="1"/>
  <c r="F33" i="6" l="1"/>
  <c r="F6" i="8"/>
  <c r="G6" s="1"/>
  <c r="H6" s="1"/>
  <c r="G12" i="7"/>
  <c r="H12" s="1"/>
  <c r="G14"/>
  <c r="H14" s="1"/>
  <c r="G30"/>
  <c r="H30" s="1"/>
  <c r="G27"/>
  <c r="H27" s="1"/>
  <c r="C34" i="5"/>
  <c r="K12" i="7"/>
  <c r="G10"/>
  <c r="H10" s="1"/>
  <c r="G18"/>
  <c r="H18" s="1"/>
  <c r="G6"/>
  <c r="G17"/>
  <c r="H17" s="1"/>
  <c r="E19" l="1"/>
  <c r="F19" s="1"/>
  <c r="E31"/>
  <c r="F31" s="1"/>
  <c r="E23"/>
  <c r="F23" s="1"/>
  <c r="E25"/>
  <c r="F25" s="1"/>
  <c r="E28"/>
  <c r="F28" s="1"/>
  <c r="E22"/>
  <c r="F22" s="1"/>
  <c r="E20"/>
  <c r="F20" s="1"/>
  <c r="E13"/>
  <c r="F13" s="1"/>
  <c r="E15"/>
  <c r="F15" s="1"/>
  <c r="E29"/>
  <c r="F29" s="1"/>
  <c r="E21"/>
  <c r="F21" s="1"/>
  <c r="E8"/>
  <c r="F8" s="1"/>
  <c r="E26"/>
  <c r="F26" s="1"/>
  <c r="E24"/>
  <c r="F24" s="1"/>
  <c r="E16"/>
  <c r="F16" s="1"/>
  <c r="E11"/>
  <c r="F11" s="1"/>
  <c r="E9"/>
  <c r="F9" s="1"/>
  <c r="E7"/>
  <c r="F7" s="1"/>
  <c r="K8"/>
  <c r="K6" s="1"/>
  <c r="H6"/>
  <c r="F7" i="8" l="1"/>
  <c r="G7" s="1"/>
  <c r="H7" s="1"/>
  <c r="F32" i="7"/>
  <c r="G7"/>
  <c r="H7" s="1"/>
  <c r="F11" i="8"/>
  <c r="G11" s="1"/>
  <c r="H11" s="1"/>
  <c r="G11" i="7"/>
  <c r="H11" s="1"/>
  <c r="F24" i="8"/>
  <c r="G24" s="1"/>
  <c r="H24" s="1"/>
  <c r="G24" i="7"/>
  <c r="H24" s="1"/>
  <c r="F8" i="8"/>
  <c r="G8" s="1"/>
  <c r="H8" s="1"/>
  <c r="G8" i="7"/>
  <c r="H8" s="1"/>
  <c r="F29" i="8"/>
  <c r="G29" s="1"/>
  <c r="H29" s="1"/>
  <c r="G29" i="7"/>
  <c r="H29" s="1"/>
  <c r="F13" i="8"/>
  <c r="G13" s="1"/>
  <c r="H13" s="1"/>
  <c r="G13" i="7"/>
  <c r="H13" s="1"/>
  <c r="F22" i="8"/>
  <c r="G22" s="1"/>
  <c r="H22" s="1"/>
  <c r="G22" i="7"/>
  <c r="H22" s="1"/>
  <c r="F25" i="8"/>
  <c r="G25" s="1"/>
  <c r="H25" s="1"/>
  <c r="G25" i="7"/>
  <c r="H25" s="1"/>
  <c r="F31" i="8"/>
  <c r="G31" s="1"/>
  <c r="H31" s="1"/>
  <c r="G31" i="7"/>
  <c r="H31" s="1"/>
  <c r="F9" i="8"/>
  <c r="G9" s="1"/>
  <c r="H9" s="1"/>
  <c r="G9" i="7"/>
  <c r="H9" s="1"/>
  <c r="F16" i="8"/>
  <c r="G16" s="1"/>
  <c r="H16" s="1"/>
  <c r="G16" i="7"/>
  <c r="H16" s="1"/>
  <c r="F26" i="8"/>
  <c r="G26" s="1"/>
  <c r="H26" s="1"/>
  <c r="G26" i="7"/>
  <c r="H26" s="1"/>
  <c r="F21" i="8"/>
  <c r="G21" s="1"/>
  <c r="H21" s="1"/>
  <c r="G21" i="7"/>
  <c r="H21" s="1"/>
  <c r="F15" i="8"/>
  <c r="G15" s="1"/>
  <c r="H15" s="1"/>
  <c r="G15" i="7"/>
  <c r="H15" s="1"/>
  <c r="F20" i="8"/>
  <c r="G20" s="1"/>
  <c r="H20" s="1"/>
  <c r="G20" i="7"/>
  <c r="H20" s="1"/>
  <c r="F28" i="8"/>
  <c r="G28" s="1"/>
  <c r="H28" s="1"/>
  <c r="G28" i="7"/>
  <c r="H28" s="1"/>
  <c r="F23" i="8"/>
  <c r="G23" s="1"/>
  <c r="H23" s="1"/>
  <c r="G23" i="7"/>
  <c r="H23" s="1"/>
  <c r="F19" i="8"/>
  <c r="G19" s="1"/>
  <c r="H19" s="1"/>
  <c r="G19" i="7"/>
  <c r="H19" s="1"/>
  <c r="H32" l="1"/>
  <c r="G32"/>
  <c r="H33" i="8"/>
</calcChain>
</file>

<file path=xl/sharedStrings.xml><?xml version="1.0" encoding="utf-8"?>
<sst xmlns="http://schemas.openxmlformats.org/spreadsheetml/2006/main" count="370" uniqueCount="138">
  <si>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</si>
  <si>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</si>
  <si>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</si>
  <si>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</si>
  <si>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</si>
  <si>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</si>
  <si>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</si>
  <si>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</si>
  <si>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</si>
  <si>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</si>
  <si>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</si>
  <si>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</si>
  <si>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</si>
  <si>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</si>
  <si>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</si>
  <si>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</si>
  <si>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</si>
  <si>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</si>
  <si>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</si>
  <si>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</si>
  <si>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</si>
  <si>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</si>
  <si>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Simulation</t>
  </si>
  <si>
    <t>WS</t>
  </si>
  <si>
    <t>FA_2012_20120430_alpha0.7</t>
  </si>
  <si>
    <t>SWS</t>
  </si>
  <si>
    <t>RA_2012_20120430_alpha0.7_2Versuch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</si>
  <si>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</si>
  <si>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</si>
  <si>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</si>
  <si>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</si>
  <si>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</si>
  <si>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</si>
  <si>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</si>
  <si>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</si>
  <si>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</si>
  <si>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</si>
  <si>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</si>
  <si>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</si>
  <si>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</si>
  <si>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</si>
  <si>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</si>
  <si>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</si>
  <si>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</si>
  <si>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</si>
  <si>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</si>
  <si>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</si>
  <si>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</si>
  <si>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</si>
  <si>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</si>
  <si>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</si>
  <si>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</si>
  <si>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</si>
  <si>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</si>
  <si>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</si>
  <si>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</si>
  <si>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</si>
  <si>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</si>
  <si>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</si>
  <si>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</si>
  <si>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</si>
  <si>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</si>
  <si>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</si>
  <si>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</si>
  <si>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</si>
  <si>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</si>
  <si>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</si>
  <si>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</si>
  <si>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</si>
  <si>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</si>
  <si>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</si>
  <si>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</si>
  <si>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</si>
  <si>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</si>
  <si>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</si>
  <si>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Population moyenne</t>
  </si>
  <si>
    <t>Source des données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</si>
  <si>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</si>
  <si>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</si>
  <si>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</si>
  <si>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</si>
  <si>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</si>
  <si>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</si>
  <si>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</si>
  <si>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</si>
  <si>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</si>
  <si>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</si>
  <si>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</si>
  <si>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</si>
  <si>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</si>
  <si>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</si>
  <si>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</si>
  <si>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</si>
  <si>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</si>
  <si>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</si>
  <si>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</si>
  <si>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</si>
  <si>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</si>
  <si>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</si>
  <si>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</si>
  <si>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</si>
  <si>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</si>
  <si>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</si>
  <si>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</si>
  <si>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</si>
  <si>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</si>
  <si>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</si>
  <si>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</si>
  <si>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</si>
  <si>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</si>
  <si>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</si>
  <si>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</si>
  <si>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</si>
  <si>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</si>
  <si>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</si>
  <si>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</si>
  <si>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</si>
  <si>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</si>
  <si>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</si>
  <si>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 avant la compensation</t>
  </si>
  <si>
    <t>Compensation des ressources par habitant</t>
  </si>
  <si>
    <t>Recette fiscale standardisée par habitant 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</si>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</sst>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6" formatCode="0.0"/>
    <numFmt numFmtId="167" formatCode="_ * #,##0_ ;_ * \-#,##0_ ;_ * &quot;-&quot;??_ ;_ @_ "/>
    <numFmt numFmtId="168" formatCode="0.0%"/>
    <numFmt numFmtId="169" formatCode="#,##0.0"/>
    <numFmt numFmtId="170" formatCode="#,##0.000000000"/>
    <numFmt numFmtId="171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6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6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6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6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6" fontId="2" fillId="0" borderId="9" xfId="0" applyNumberFormat="1" applyFont="1" applyFill="1" applyBorder="1"/>
    <xf numFmtId="167" fontId="5" fillId="0" borderId="24" xfId="0" applyNumberFormat="1" applyFont="1" applyFill="1" applyBorder="1" applyAlignment="1" applyProtection="1">
      <alignment horizontal="right"/>
      <protection locked="0"/>
    </xf>
    <xf numFmtId="167" fontId="0" fillId="0" borderId="9" xfId="0" applyNumberFormat="1" applyFont="1" applyFill="1" applyBorder="1" applyAlignment="1">
      <alignment horizontal="right"/>
    </xf>
    <xf numFmtId="168" fontId="0" fillId="0" borderId="25" xfId="0" applyNumberFormat="1" applyFont="1" applyFill="1" applyBorder="1"/>
    <xf numFmtId="168" fontId="0" fillId="0" borderId="14" xfId="0" applyNumberFormat="1" applyFont="1" applyFill="1" applyBorder="1"/>
    <xf numFmtId="0" fontId="0" fillId="3" borderId="36" xfId="0" applyFont="1" applyFill="1" applyBorder="1"/>
    <xf numFmtId="166" fontId="2" fillId="3" borderId="0" xfId="0" applyNumberFormat="1" applyFont="1" applyFill="1" applyBorder="1"/>
    <xf numFmtId="167" fontId="5" fillId="3" borderId="26" xfId="0" applyNumberFormat="1" applyFont="1" applyFill="1" applyBorder="1" applyAlignment="1" applyProtection="1">
      <alignment horizontal="right"/>
      <protection locked="0"/>
    </xf>
    <xf numFmtId="167" fontId="0" fillId="3" borderId="0" xfId="0" applyNumberFormat="1" applyFont="1" applyFill="1" applyBorder="1" applyAlignment="1">
      <alignment horizontal="right"/>
    </xf>
    <xf numFmtId="168" fontId="0" fillId="3" borderId="27" xfId="0" applyNumberFormat="1" applyFont="1" applyFill="1" applyBorder="1"/>
    <xf numFmtId="168" fontId="0" fillId="3" borderId="16" xfId="0" applyNumberFormat="1" applyFont="1" applyFill="1" applyBorder="1"/>
    <xf numFmtId="0" fontId="0" fillId="0" borderId="36" xfId="0" applyFont="1" applyFill="1" applyBorder="1"/>
    <xf numFmtId="166" fontId="2" fillId="0" borderId="0" xfId="0" applyNumberFormat="1" applyFont="1" applyFill="1" applyBorder="1"/>
    <xf numFmtId="167" fontId="5" fillId="0" borderId="26" xfId="0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Font="1" applyFill="1" applyBorder="1" applyAlignment="1">
      <alignment horizontal="right"/>
    </xf>
    <xf numFmtId="168" fontId="0" fillId="0" borderId="27" xfId="0" applyNumberFormat="1" applyFont="1" applyFill="1" applyBorder="1"/>
    <xf numFmtId="168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6" fontId="2" fillId="3" borderId="19" xfId="0" applyNumberFormat="1" applyFont="1" applyFill="1" applyBorder="1"/>
    <xf numFmtId="167" fontId="5" fillId="3" borderId="18" xfId="0" applyNumberFormat="1" applyFont="1" applyFill="1" applyBorder="1" applyAlignment="1" applyProtection="1">
      <alignment horizontal="right"/>
      <protection locked="0"/>
    </xf>
    <xf numFmtId="167" fontId="0" fillId="3" borderId="19" xfId="0" applyNumberFormat="1" applyFont="1" applyFill="1" applyBorder="1" applyAlignment="1">
      <alignment horizontal="right"/>
    </xf>
    <xf numFmtId="168" fontId="0" fillId="3" borderId="20" xfId="0" applyNumberFormat="1" applyFont="1" applyFill="1" applyBorder="1"/>
    <xf numFmtId="3" fontId="0" fillId="3" borderId="19" xfId="0" applyNumberFormat="1" applyFont="1" applyFill="1" applyBorder="1"/>
    <xf numFmtId="168" fontId="0" fillId="3" borderId="21" xfId="0" applyNumberFormat="1" applyFont="1" applyFill="1" applyBorder="1"/>
    <xf numFmtId="169" fontId="1" fillId="0" borderId="12" xfId="0" applyNumberFormat="1" applyFont="1" applyFill="1" applyBorder="1"/>
    <xf numFmtId="167" fontId="1" fillId="0" borderId="22" xfId="0" applyNumberFormat="1" applyFont="1" applyFill="1" applyBorder="1" applyAlignment="1" applyProtection="1">
      <alignment horizontal="right"/>
      <protection locked="0"/>
    </xf>
    <xf numFmtId="167" fontId="1" fillId="0" borderId="12" xfId="0" applyNumberFormat="1" applyFont="1" applyFill="1" applyBorder="1" applyAlignment="1">
      <alignment horizontal="right"/>
    </xf>
    <xf numFmtId="168" fontId="1" fillId="4" borderId="23" xfId="0" applyNumberFormat="1" applyFont="1" applyFill="1" applyBorder="1"/>
    <xf numFmtId="168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8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8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8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8" fontId="3" fillId="0" borderId="0" xfId="0" applyNumberFormat="1" applyFont="1" applyFill="1" applyBorder="1"/>
    <xf numFmtId="168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8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8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9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9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70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71" fontId="14" fillId="0" borderId="39" xfId="0" applyNumberFormat="1" applyFont="1" applyFill="1" applyBorder="1" applyAlignment="1">
      <alignment vertical="center"/>
    </xf>
    <xf numFmtId="169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6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9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9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9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9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9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9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9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6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6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7.75" customHeight="1">
      <c r="A2" s="299" t="s">
        <v>1</v>
      </c>
      <c r="B2" s="299"/>
      <c r="C2" s="299"/>
      <c r="D2" s="299"/>
      <c r="E2" s="299"/>
    </row>
    <row r="3" spans="1:5" ht="24.75" customHeight="1">
      <c r="A3" s="3"/>
      <c r="B3" s="3"/>
      <c r="C3" s="3"/>
      <c r="D3" s="3"/>
      <c r="E3" s="3"/>
    </row>
    <row r="4" spans="1:5" ht="18" customHeight="1">
      <c r="A4" s="4"/>
      <c r="B4" s="4"/>
      <c r="C4" s="4"/>
      <c r="D4" s="4"/>
      <c r="E4" s="4"/>
    </row>
    <row r="5" spans="1:5" ht="18" customHeight="1">
      <c r="A5" s="300" t="str">
        <f>"Année de référence "&amp;C30</f>
        <v>Année de référence 2012</v>
      </c>
      <c r="B5" s="300"/>
      <c r="C5" s="300"/>
      <c r="D5" s="300"/>
      <c r="E5" s="300"/>
    </row>
    <row r="11" spans="1:5">
      <c r="A11" s="5" t="s">
        <v>2</v>
      </c>
      <c r="B11" s="5" t="s">
        <v>3</v>
      </c>
      <c r="C11" s="6"/>
      <c r="D11" s="6"/>
      <c r="E11" s="7"/>
    </row>
    <row r="12" spans="1:5">
      <c r="A12" s="8" t="s">
        <v>4</v>
      </c>
      <c r="B12" s="8" t="s">
        <v>5</v>
      </c>
      <c r="C12" s="9"/>
      <c r="D12" s="9"/>
      <c r="E12" s="10"/>
    </row>
    <row r="13" spans="1:5">
      <c r="A13" s="8" t="s">
        <v>6</v>
      </c>
      <c r="B13" s="8" t="s">
        <v>7</v>
      </c>
      <c r="C13" s="9"/>
      <c r="D13" s="9"/>
      <c r="E13" s="10"/>
    </row>
    <row r="14" spans="1:5">
      <c r="A14" s="8" t="s">
        <v>8</v>
      </c>
      <c r="B14" s="8" t="s">
        <v>9</v>
      </c>
      <c r="C14" s="9"/>
      <c r="D14" s="9"/>
      <c r="E14" s="10"/>
    </row>
    <row r="15" spans="1:5">
      <c r="A15" s="8" t="s">
        <v>10</v>
      </c>
      <c r="B15" s="8" t="s">
        <v>11</v>
      </c>
      <c r="C15" s="9"/>
      <c r="D15" s="9"/>
      <c r="E15" s="10"/>
    </row>
    <row r="16" spans="1:5">
      <c r="A16" s="8" t="s">
        <v>12</v>
      </c>
      <c r="B16" s="8" t="s">
        <v>13</v>
      </c>
      <c r="C16" s="9"/>
      <c r="D16" s="9"/>
      <c r="E16" s="10"/>
    </row>
    <row r="17" spans="1:5">
      <c r="A17" s="11" t="s">
        <v>14</v>
      </c>
      <c r="B17" s="8" t="s">
        <v>15</v>
      </c>
      <c r="C17" s="9"/>
      <c r="D17" s="9"/>
      <c r="E17" s="10"/>
    </row>
    <row r="18" spans="1:5">
      <c r="A18" s="11" t="s">
        <v>16</v>
      </c>
      <c r="B18" s="9" t="s">
        <v>17</v>
      </c>
      <c r="C18" s="9"/>
      <c r="D18" s="9"/>
      <c r="E18" s="10"/>
    </row>
    <row r="25" spans="1:5">
      <c r="B25" s="12" t="s">
        <v>18</v>
      </c>
      <c r="C25" s="13"/>
    </row>
    <row r="26" spans="1:5">
      <c r="B26" s="14" t="s">
        <v>19</v>
      </c>
      <c r="C26" s="15" t="s">
        <v>20</v>
      </c>
    </row>
    <row r="27" spans="1:5">
      <c r="B27" s="14" t="s">
        <v>21</v>
      </c>
      <c r="C27" s="16" t="s">
        <v>22</v>
      </c>
    </row>
    <row r="28" spans="1:5">
      <c r="B28" s="14" t="s">
        <v>23</v>
      </c>
      <c r="C28" s="16" t="s">
        <v>24</v>
      </c>
    </row>
    <row r="29" spans="1:5">
      <c r="B29" s="14" t="s">
        <v>25</v>
      </c>
      <c r="C29" s="16" t="s">
        <v>26</v>
      </c>
    </row>
    <row r="30" spans="1:5">
      <c r="B30" s="14" t="s">
        <v>27</v>
      </c>
      <c r="C30" s="17">
        <v>2012</v>
      </c>
    </row>
    <row r="31" spans="1:5">
      <c r="B31" s="18"/>
    </row>
  </sheetData>
  <mergeCells count="3">
    <mergeCell ref="A2:E2"/>
    <mergeCell ref="A1:E1"/>
    <mergeCell ref="A5:E5"/>
  </mergeCells>
  <conditionalFormatting sqref="C26:C30">
    <cfRule type="expression" dxfId="1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>
      <c r="B1" s="20" t="str">
        <f>"Potentiel de ressources "&amp;Info!C30</f>
        <v>Potentiel de ressources 2012</v>
      </c>
      <c r="C1" s="20"/>
      <c r="D1" s="20"/>
      <c r="E1" s="21"/>
      <c r="F1" s="21"/>
      <c r="G1" s="21"/>
      <c r="H1" s="22"/>
      <c r="I1" s="23" t="str">
        <f>Info!$C$28</f>
        <v>FA_2012_20120430_alpha0.7</v>
      </c>
    </row>
    <row r="2" spans="1:9" s="2" customFormat="1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>
      <c r="B4" s="33"/>
      <c r="C4" s="34" t="str">
        <f>"AFA "&amp;Info!C30-6</f>
        <v>AFA 2006</v>
      </c>
      <c r="D4" s="34" t="str">
        <f>"AFA "&amp;Info!C30-5</f>
        <v>AFA 2007</v>
      </c>
      <c r="E4" s="34" t="str">
        <f>"AFA "&amp;Info!C30-4</f>
        <v>AFA 2008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>
      <c r="A5" s="19"/>
      <c r="B5" s="37" t="s">
        <v>43</v>
      </c>
      <c r="C5" s="38" t="str">
        <f>"AFA_"&amp;Info!$C$30&amp;"_"&amp;Info!$C$30-6</f>
        <v>AFA_2012_2006</v>
      </c>
      <c r="D5" s="38" t="str">
        <f>"AFA_"&amp;Info!$C$30&amp;"_"&amp;Info!$C$30-5</f>
        <v>AFA_2012_2007</v>
      </c>
      <c r="E5" s="38" t="str">
        <f>"AFA_"&amp;Info!$C$30&amp;"_"&amp;Info!$C$30-4</f>
        <v>AFA_2012_2008</v>
      </c>
      <c r="F5" s="39"/>
      <c r="G5" s="39"/>
      <c r="H5" s="39"/>
      <c r="I5" s="40"/>
    </row>
    <row r="6" spans="1:9" s="36" customFormat="1" ht="11.25" customHeight="1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B7" s="44" t="s">
        <v>48</v>
      </c>
      <c r="C7" s="45">
        <v>48290540.786214001</v>
      </c>
      <c r="D7" s="45">
        <v>50001923.267066702</v>
      </c>
      <c r="E7" s="45">
        <v>46634575.758615501</v>
      </c>
      <c r="F7" s="46">
        <f t="shared" ref="F7:F32" si="0">AVERAGE(C7:E7)</f>
        <v>48309013.270632066</v>
      </c>
      <c r="G7" s="47">
        <f>Population!F7</f>
        <v>1325598.6666666667</v>
      </c>
      <c r="H7" s="47">
        <f t="shared" ref="H7:H33" si="1">F7/G7*1000</f>
        <v>36443.166763368346</v>
      </c>
      <c r="I7" s="48">
        <f t="shared" ref="I7:I33" si="2">ROUND(H7/H$33*100,1)</f>
        <v>123</v>
      </c>
    </row>
    <row r="8" spans="1:9">
      <c r="B8" s="49" t="s">
        <v>49</v>
      </c>
      <c r="C8" s="50">
        <v>21146225.643792801</v>
      </c>
      <c r="D8" s="50">
        <v>22600518.393771101</v>
      </c>
      <c r="E8" s="50">
        <v>20897852.2624752</v>
      </c>
      <c r="F8" s="51">
        <f t="shared" si="0"/>
        <v>21548198.7666797</v>
      </c>
      <c r="G8" s="52">
        <f>Population!F8</f>
        <v>970413.66666666663</v>
      </c>
      <c r="H8" s="52">
        <f t="shared" si="1"/>
        <v>22205.168277047178</v>
      </c>
      <c r="I8" s="53">
        <f t="shared" si="2"/>
        <v>74.900000000000006</v>
      </c>
    </row>
    <row r="9" spans="1:9">
      <c r="B9" s="33" t="s">
        <v>50</v>
      </c>
      <c r="C9" s="54">
        <v>7793716.96060785</v>
      </c>
      <c r="D9" s="54">
        <v>8282473.3093137899</v>
      </c>
      <c r="E9" s="54">
        <v>8406192.9012381192</v>
      </c>
      <c r="F9" s="55">
        <f t="shared" si="0"/>
        <v>8160794.3903865861</v>
      </c>
      <c r="G9" s="56">
        <f>Population!F9</f>
        <v>362202</v>
      </c>
      <c r="H9" s="56">
        <f t="shared" si="1"/>
        <v>22531.058333158253</v>
      </c>
      <c r="I9" s="57">
        <f t="shared" si="2"/>
        <v>76</v>
      </c>
    </row>
    <row r="10" spans="1:9">
      <c r="B10" s="49" t="s">
        <v>51</v>
      </c>
      <c r="C10" s="50">
        <v>563270.80762253504</v>
      </c>
      <c r="D10" s="50">
        <v>630404.854789973</v>
      </c>
      <c r="E10" s="50">
        <v>615410.62478676997</v>
      </c>
      <c r="F10" s="51">
        <f t="shared" si="0"/>
        <v>603028.76239975926</v>
      </c>
      <c r="G10" s="52">
        <f>Population!F10</f>
        <v>34556.666666666664</v>
      </c>
      <c r="H10" s="52">
        <f t="shared" si="1"/>
        <v>17450.432016969979</v>
      </c>
      <c r="I10" s="53">
        <f t="shared" si="2"/>
        <v>58.9</v>
      </c>
    </row>
    <row r="11" spans="1:9">
      <c r="B11" s="33" t="s">
        <v>52</v>
      </c>
      <c r="C11" s="54">
        <v>5512172.0724166902</v>
      </c>
      <c r="D11" s="54">
        <v>6622099.5299791703</v>
      </c>
      <c r="E11" s="54">
        <v>6479897.3914818102</v>
      </c>
      <c r="F11" s="55">
        <f t="shared" si="0"/>
        <v>6204722.9979592236</v>
      </c>
      <c r="G11" s="56">
        <f>Population!F11</f>
        <v>140022.33333333334</v>
      </c>
      <c r="H11" s="56">
        <f t="shared" si="1"/>
        <v>44312.381105579989</v>
      </c>
      <c r="I11" s="57">
        <f t="shared" si="2"/>
        <v>149.5</v>
      </c>
    </row>
    <row r="12" spans="1:9">
      <c r="B12" s="49" t="s">
        <v>53</v>
      </c>
      <c r="C12" s="50">
        <v>779942.28812946402</v>
      </c>
      <c r="D12" s="50">
        <v>827169.98991773103</v>
      </c>
      <c r="E12" s="50">
        <v>826554.83921638702</v>
      </c>
      <c r="F12" s="51">
        <f t="shared" si="0"/>
        <v>811222.37242119398</v>
      </c>
      <c r="G12" s="52">
        <f>Population!F12</f>
        <v>33775.666666666664</v>
      </c>
      <c r="H12" s="52">
        <f t="shared" si="1"/>
        <v>24017.952937159713</v>
      </c>
      <c r="I12" s="53">
        <f t="shared" si="2"/>
        <v>81.099999999999994</v>
      </c>
    </row>
    <row r="13" spans="1:9">
      <c r="B13" s="33" t="s">
        <v>54</v>
      </c>
      <c r="C13" s="54">
        <v>1335845.5723580001</v>
      </c>
      <c r="D13" s="54">
        <v>1488193.89888718</v>
      </c>
      <c r="E13" s="54">
        <v>1514625.0574211101</v>
      </c>
      <c r="F13" s="55">
        <f t="shared" si="0"/>
        <v>1446221.5095554299</v>
      </c>
      <c r="G13" s="56">
        <f>Population!F13</f>
        <v>39617.666666666664</v>
      </c>
      <c r="H13" s="56">
        <f t="shared" si="1"/>
        <v>36504.459531238506</v>
      </c>
      <c r="I13" s="57">
        <f t="shared" si="2"/>
        <v>123.2</v>
      </c>
    </row>
    <row r="14" spans="1:9">
      <c r="B14" s="49" t="s">
        <v>55</v>
      </c>
      <c r="C14" s="50">
        <v>724211.81337835803</v>
      </c>
      <c r="D14" s="50">
        <v>761827.43749927403</v>
      </c>
      <c r="E14" s="50">
        <v>749111.661438282</v>
      </c>
      <c r="F14" s="51">
        <f t="shared" si="0"/>
        <v>745050.30410530465</v>
      </c>
      <c r="G14" s="52">
        <f>Population!F14</f>
        <v>38066.666666666664</v>
      </c>
      <c r="H14" s="52">
        <f t="shared" si="1"/>
        <v>19572.249670016761</v>
      </c>
      <c r="I14" s="53">
        <f t="shared" si="2"/>
        <v>66.099999999999994</v>
      </c>
    </row>
    <row r="15" spans="1:9">
      <c r="B15" s="33" t="s">
        <v>56</v>
      </c>
      <c r="C15" s="54">
        <v>7557245.6638916899</v>
      </c>
      <c r="D15" s="54">
        <v>8379577.23701768</v>
      </c>
      <c r="E15" s="54">
        <v>8268893.1784905596</v>
      </c>
      <c r="F15" s="55">
        <f t="shared" si="0"/>
        <v>8068572.0264666425</v>
      </c>
      <c r="G15" s="56">
        <f>Population!F15</f>
        <v>108856</v>
      </c>
      <c r="H15" s="56">
        <f t="shared" si="1"/>
        <v>74121.518579284952</v>
      </c>
      <c r="I15" s="57">
        <f t="shared" si="2"/>
        <v>250.1</v>
      </c>
    </row>
    <row r="16" spans="1:9">
      <c r="B16" s="49" t="s">
        <v>57</v>
      </c>
      <c r="C16" s="50">
        <v>5286488.4786340296</v>
      </c>
      <c r="D16" s="50">
        <v>5587747.6874112897</v>
      </c>
      <c r="E16" s="50">
        <v>5910221.1989552397</v>
      </c>
      <c r="F16" s="51">
        <f t="shared" si="0"/>
        <v>5594819.1216668533</v>
      </c>
      <c r="G16" s="52">
        <f>Population!F16</f>
        <v>264252</v>
      </c>
      <c r="H16" s="52">
        <f t="shared" si="1"/>
        <v>21172.286762888656</v>
      </c>
      <c r="I16" s="53">
        <f t="shared" si="2"/>
        <v>71.5</v>
      </c>
    </row>
    <row r="17" spans="2:9">
      <c r="B17" s="33" t="s">
        <v>58</v>
      </c>
      <c r="C17" s="54">
        <v>5763137.9337901697</v>
      </c>
      <c r="D17" s="54">
        <v>6015087.3392836601</v>
      </c>
      <c r="E17" s="54">
        <v>5853548.98947406</v>
      </c>
      <c r="F17" s="55">
        <f t="shared" si="0"/>
        <v>5877258.0875159623</v>
      </c>
      <c r="G17" s="56">
        <f>Population!F17</f>
        <v>249052.33333333334</v>
      </c>
      <c r="H17" s="56">
        <f t="shared" si="1"/>
        <v>23598.486345638048</v>
      </c>
      <c r="I17" s="57">
        <f t="shared" si="2"/>
        <v>79.599999999999994</v>
      </c>
    </row>
    <row r="18" spans="2:9">
      <c r="B18" s="49" t="s">
        <v>59</v>
      </c>
      <c r="C18" s="50">
        <v>7701211.7543939501</v>
      </c>
      <c r="D18" s="50">
        <v>9161271.1488387194</v>
      </c>
      <c r="E18" s="50">
        <v>8309582.4748345204</v>
      </c>
      <c r="F18" s="51">
        <f t="shared" si="0"/>
        <v>8390688.4593557306</v>
      </c>
      <c r="G18" s="52">
        <f>Population!F18</f>
        <v>190210.66666666666</v>
      </c>
      <c r="H18" s="52">
        <f t="shared" si="1"/>
        <v>44112.607386314114</v>
      </c>
      <c r="I18" s="53">
        <f t="shared" si="2"/>
        <v>148.9</v>
      </c>
    </row>
    <row r="19" spans="2:9">
      <c r="B19" s="33" t="s">
        <v>60</v>
      </c>
      <c r="C19" s="54">
        <v>7806450.4526962601</v>
      </c>
      <c r="D19" s="54">
        <v>8091643.0449540997</v>
      </c>
      <c r="E19" s="54">
        <v>8234073.9595749602</v>
      </c>
      <c r="F19" s="55">
        <f t="shared" si="0"/>
        <v>8044055.8190751066</v>
      </c>
      <c r="G19" s="56">
        <f>Population!F19</f>
        <v>267441.66666666669</v>
      </c>
      <c r="H19" s="56">
        <f t="shared" si="1"/>
        <v>30077.795727698023</v>
      </c>
      <c r="I19" s="57">
        <f t="shared" si="2"/>
        <v>101.5</v>
      </c>
    </row>
    <row r="20" spans="2:9">
      <c r="B20" s="49" t="s">
        <v>61</v>
      </c>
      <c r="C20" s="50">
        <v>2008599.3505732301</v>
      </c>
      <c r="D20" s="50">
        <v>2231992.2257743902</v>
      </c>
      <c r="E20" s="50">
        <v>2349690.7136106999</v>
      </c>
      <c r="F20" s="51">
        <f t="shared" si="0"/>
        <v>2196760.7633194402</v>
      </c>
      <c r="G20" s="52">
        <f>Population!F20</f>
        <v>74659.333333333328</v>
      </c>
      <c r="H20" s="52">
        <f t="shared" si="1"/>
        <v>29423.792916975421</v>
      </c>
      <c r="I20" s="53">
        <f t="shared" si="2"/>
        <v>99.3</v>
      </c>
    </row>
    <row r="21" spans="2:9">
      <c r="B21" s="33" t="s">
        <v>62</v>
      </c>
      <c r="C21" s="54">
        <v>1142190.89463991</v>
      </c>
      <c r="D21" s="54">
        <v>1210707.3034399201</v>
      </c>
      <c r="E21" s="54">
        <v>1293424.5057866001</v>
      </c>
      <c r="F21" s="55">
        <f t="shared" si="0"/>
        <v>1215440.90128881</v>
      </c>
      <c r="G21" s="56">
        <f>Population!F21</f>
        <v>52380.666666666664</v>
      </c>
      <c r="H21" s="56">
        <f t="shared" si="1"/>
        <v>23203.998319140839</v>
      </c>
      <c r="I21" s="57">
        <f t="shared" si="2"/>
        <v>78.3</v>
      </c>
    </row>
    <row r="22" spans="2:9">
      <c r="B22" s="49" t="s">
        <v>63</v>
      </c>
      <c r="C22" s="50">
        <v>336391.36850527202</v>
      </c>
      <c r="D22" s="50">
        <v>381490.38263122202</v>
      </c>
      <c r="E22" s="50">
        <v>387056.75879842299</v>
      </c>
      <c r="F22" s="51">
        <f t="shared" si="0"/>
        <v>368312.83664497238</v>
      </c>
      <c r="G22" s="52">
        <f>Population!F22</f>
        <v>15105</v>
      </c>
      <c r="H22" s="52">
        <f t="shared" si="1"/>
        <v>24383.504577621476</v>
      </c>
      <c r="I22" s="53">
        <f t="shared" si="2"/>
        <v>82.3</v>
      </c>
    </row>
    <row r="23" spans="2:9">
      <c r="B23" s="33" t="s">
        <v>64</v>
      </c>
      <c r="C23" s="54">
        <v>9653656.6739784591</v>
      </c>
      <c r="D23" s="54">
        <v>10951373.0703442</v>
      </c>
      <c r="E23" s="54">
        <v>11192037.3291112</v>
      </c>
      <c r="F23" s="55">
        <f t="shared" si="0"/>
        <v>10599022.357811285</v>
      </c>
      <c r="G23" s="56">
        <f>Population!F23</f>
        <v>466380</v>
      </c>
      <c r="H23" s="56">
        <f t="shared" si="1"/>
        <v>22726.151116710163</v>
      </c>
      <c r="I23" s="57">
        <f t="shared" si="2"/>
        <v>76.7</v>
      </c>
    </row>
    <row r="24" spans="2:9">
      <c r="B24" s="49" t="s">
        <v>65</v>
      </c>
      <c r="C24" s="50">
        <v>4262242.9685610002</v>
      </c>
      <c r="D24" s="50">
        <v>4454925.71897157</v>
      </c>
      <c r="E24" s="50">
        <v>4986392.95124429</v>
      </c>
      <c r="F24" s="51">
        <f t="shared" si="0"/>
        <v>4567853.8795922874</v>
      </c>
      <c r="G24" s="52">
        <f>Population!F24</f>
        <v>192118</v>
      </c>
      <c r="H24" s="52">
        <f t="shared" si="1"/>
        <v>23776.29310940301</v>
      </c>
      <c r="I24" s="53">
        <f t="shared" si="2"/>
        <v>80.2</v>
      </c>
    </row>
    <row r="25" spans="2:9">
      <c r="B25" s="33" t="s">
        <v>66</v>
      </c>
      <c r="C25" s="54">
        <v>14205229.6598804</v>
      </c>
      <c r="D25" s="54">
        <v>15397855.750136301</v>
      </c>
      <c r="E25" s="54">
        <v>15383211.9171905</v>
      </c>
      <c r="F25" s="55">
        <f t="shared" si="0"/>
        <v>14995432.4424024</v>
      </c>
      <c r="G25" s="56">
        <f>Population!F25</f>
        <v>579660</v>
      </c>
      <c r="H25" s="56">
        <f t="shared" si="1"/>
        <v>25869.358662668459</v>
      </c>
      <c r="I25" s="57">
        <f t="shared" si="2"/>
        <v>87.3</v>
      </c>
    </row>
    <row r="26" spans="2:9">
      <c r="B26" s="49" t="s">
        <v>67</v>
      </c>
      <c r="C26" s="50">
        <v>5031261.7845511902</v>
      </c>
      <c r="D26" s="50">
        <v>5573638.00905596</v>
      </c>
      <c r="E26" s="50">
        <v>5614190.97817457</v>
      </c>
      <c r="F26" s="51">
        <f t="shared" si="0"/>
        <v>5406363.5905939071</v>
      </c>
      <c r="G26" s="52">
        <f>Population!F26</f>
        <v>238239.66666666666</v>
      </c>
      <c r="H26" s="52">
        <f t="shared" si="1"/>
        <v>22692.961530030294</v>
      </c>
      <c r="I26" s="53">
        <f t="shared" si="2"/>
        <v>76.599999999999994</v>
      </c>
    </row>
    <row r="27" spans="2:9">
      <c r="B27" s="33" t="s">
        <v>68</v>
      </c>
      <c r="C27" s="54">
        <v>9058204.1107190996</v>
      </c>
      <c r="D27" s="54">
        <v>9967309.4893794004</v>
      </c>
      <c r="E27" s="54">
        <v>9942885.8719594404</v>
      </c>
      <c r="F27" s="55">
        <f t="shared" si="0"/>
        <v>9656133.1573526468</v>
      </c>
      <c r="G27" s="56">
        <f>Population!F27</f>
        <v>328023</v>
      </c>
      <c r="H27" s="56">
        <f t="shared" si="1"/>
        <v>29437.366152229104</v>
      </c>
      <c r="I27" s="57">
        <f t="shared" si="2"/>
        <v>99.3</v>
      </c>
    </row>
    <row r="28" spans="2:9">
      <c r="B28" s="49" t="s">
        <v>69</v>
      </c>
      <c r="C28" s="50">
        <v>19791282.0483911</v>
      </c>
      <c r="D28" s="50">
        <v>22835465.215492401</v>
      </c>
      <c r="E28" s="50">
        <v>22435827.669923902</v>
      </c>
      <c r="F28" s="51">
        <f t="shared" si="0"/>
        <v>21687524.977935802</v>
      </c>
      <c r="G28" s="52">
        <f>Population!F28</f>
        <v>680148.33333333337</v>
      </c>
      <c r="H28" s="52">
        <f t="shared" si="1"/>
        <v>31886.463459592102</v>
      </c>
      <c r="I28" s="53">
        <f t="shared" si="2"/>
        <v>107.6</v>
      </c>
    </row>
    <row r="29" spans="2:9">
      <c r="B29" s="33" t="s">
        <v>70</v>
      </c>
      <c r="C29" s="54">
        <v>5476864.3587024203</v>
      </c>
      <c r="D29" s="54">
        <v>5976557.9200124796</v>
      </c>
      <c r="E29" s="54">
        <v>6279168.9779540403</v>
      </c>
      <c r="F29" s="55">
        <f t="shared" si="0"/>
        <v>5910863.7522229804</v>
      </c>
      <c r="G29" s="56">
        <f>Population!F29</f>
        <v>297090.66666666669</v>
      </c>
      <c r="H29" s="56">
        <f t="shared" si="1"/>
        <v>19895.824458379644</v>
      </c>
      <c r="I29" s="57">
        <f t="shared" si="2"/>
        <v>67.099999999999994</v>
      </c>
    </row>
    <row r="30" spans="2:9">
      <c r="B30" s="49" t="s">
        <v>71</v>
      </c>
      <c r="C30" s="50">
        <v>4416895.4913000101</v>
      </c>
      <c r="D30" s="50">
        <v>5092405.3644567197</v>
      </c>
      <c r="E30" s="50">
        <v>5015318.7648674697</v>
      </c>
      <c r="F30" s="51">
        <f t="shared" si="0"/>
        <v>4841539.8735413998</v>
      </c>
      <c r="G30" s="52">
        <f>Population!F30</f>
        <v>170132.33333333334</v>
      </c>
      <c r="H30" s="52">
        <f t="shared" si="1"/>
        <v>28457.494108751027</v>
      </c>
      <c r="I30" s="53">
        <f t="shared" si="2"/>
        <v>96</v>
      </c>
    </row>
    <row r="31" spans="2:9">
      <c r="B31" s="33" t="s">
        <v>72</v>
      </c>
      <c r="C31" s="54">
        <v>18636645.2301885</v>
      </c>
      <c r="D31" s="54">
        <v>19944244.656179901</v>
      </c>
      <c r="E31" s="54">
        <v>19988874.4533213</v>
      </c>
      <c r="F31" s="55">
        <f t="shared" si="0"/>
        <v>19523254.779896569</v>
      </c>
      <c r="G31" s="56">
        <f>Population!F31</f>
        <v>442832.66666666669</v>
      </c>
      <c r="H31" s="56">
        <f t="shared" si="1"/>
        <v>44087.205505533093</v>
      </c>
      <c r="I31" s="57">
        <f t="shared" si="2"/>
        <v>148.80000000000001</v>
      </c>
    </row>
    <row r="32" spans="2:9">
      <c r="B32" s="49" t="s">
        <v>73</v>
      </c>
      <c r="C32" s="50">
        <v>1235772.4554399699</v>
      </c>
      <c r="D32" s="50">
        <v>1329600.2753121101</v>
      </c>
      <c r="E32" s="50">
        <v>1304994.01096108</v>
      </c>
      <c r="F32" s="51">
        <f t="shared" si="0"/>
        <v>1290122.2472377198</v>
      </c>
      <c r="G32" s="52">
        <f>Population!F32</f>
        <v>68252.333333333328</v>
      </c>
      <c r="H32" s="52">
        <f t="shared" si="1"/>
        <v>18902.243838858551</v>
      </c>
      <c r="I32" s="53">
        <f t="shared" si="2"/>
        <v>63.8</v>
      </c>
    </row>
    <row r="33" spans="2:9">
      <c r="B33" s="58" t="s">
        <v>74</v>
      </c>
      <c r="C33" s="59">
        <f>SUM(C7:C32)</f>
        <v>215515696.6233564</v>
      </c>
      <c r="D33" s="59">
        <f>SUM(D7:D32)</f>
        <v>233797502.51991695</v>
      </c>
      <c r="E33" s="59">
        <f>SUM(E7:E32)</f>
        <v>228873615.20090604</v>
      </c>
      <c r="F33" s="59">
        <f>SUM(F7:F32)</f>
        <v>226062271.44805977</v>
      </c>
      <c r="G33" s="59">
        <f>SUM(G7:G32)</f>
        <v>7629088</v>
      </c>
      <c r="H33" s="59">
        <f t="shared" si="1"/>
        <v>29631.624572695946</v>
      </c>
      <c r="I33" s="60">
        <f t="shared" si="2"/>
        <v>100</v>
      </c>
    </row>
  </sheetData>
  <conditionalFormatting sqref="C7:F32">
    <cfRule type="expression" dxfId="14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20" t="str">
        <f>"Population déterminante "&amp;Info!C30</f>
        <v>Population déterminante 2012</v>
      </c>
      <c r="C1" s="20"/>
      <c r="D1" s="20"/>
      <c r="E1" s="21"/>
      <c r="F1" s="23" t="str">
        <f>Info!$C$28</f>
        <v>FA_2012_20120430_alpha0.7</v>
      </c>
    </row>
    <row r="2" spans="1:6" s="2" customFormat="1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>
      <c r="A4" s="69"/>
      <c r="B4" s="70"/>
      <c r="C4" s="301" t="s">
        <v>75</v>
      </c>
      <c r="D4" s="302"/>
      <c r="E4" s="303"/>
      <c r="F4" s="71" t="s">
        <v>7</v>
      </c>
    </row>
    <row r="5" spans="1:6" ht="19.5" customHeight="1">
      <c r="A5" s="69"/>
      <c r="B5" s="72"/>
      <c r="C5" s="73">
        <v>2006</v>
      </c>
      <c r="D5" s="74">
        <v>2007</v>
      </c>
      <c r="E5" s="75">
        <v>2008</v>
      </c>
      <c r="F5" s="76">
        <f>Info!C30</f>
        <v>2012</v>
      </c>
    </row>
    <row r="6" spans="1:6">
      <c r="A6" s="69"/>
      <c r="B6" s="77" t="s">
        <v>76</v>
      </c>
      <c r="C6" s="78" t="s">
        <v>77</v>
      </c>
      <c r="D6" s="79" t="s">
        <v>77</v>
      </c>
      <c r="E6" s="80" t="s">
        <v>77</v>
      </c>
      <c r="F6" s="81"/>
    </row>
    <row r="7" spans="1:6">
      <c r="A7" s="69"/>
      <c r="B7" s="44" t="s">
        <v>48</v>
      </c>
      <c r="C7" s="82">
        <v>1306603</v>
      </c>
      <c r="D7" s="45">
        <v>1322842</v>
      </c>
      <c r="E7" s="83">
        <v>1347351</v>
      </c>
      <c r="F7" s="84">
        <f t="shared" ref="F7:F32" si="0">AVERAGE(C7:E7)</f>
        <v>1325598.6666666667</v>
      </c>
    </row>
    <row r="8" spans="1:6">
      <c r="A8" s="69"/>
      <c r="B8" s="49" t="s">
        <v>49</v>
      </c>
      <c r="C8" s="85">
        <v>966743</v>
      </c>
      <c r="D8" s="50">
        <v>969907</v>
      </c>
      <c r="E8" s="86">
        <v>974591</v>
      </c>
      <c r="F8" s="87">
        <f t="shared" si="0"/>
        <v>970413.66666666663</v>
      </c>
    </row>
    <row r="9" spans="1:6">
      <c r="A9" s="69"/>
      <c r="B9" s="33" t="s">
        <v>50</v>
      </c>
      <c r="C9" s="88">
        <v>358257</v>
      </c>
      <c r="D9" s="54">
        <v>361924</v>
      </c>
      <c r="E9" s="89">
        <v>366425</v>
      </c>
      <c r="F9" s="90">
        <f t="shared" si="0"/>
        <v>362202</v>
      </c>
    </row>
    <row r="10" spans="1:6">
      <c r="A10" s="69"/>
      <c r="B10" s="49" t="s">
        <v>51</v>
      </c>
      <c r="C10" s="85">
        <v>34575</v>
      </c>
      <c r="D10" s="50">
        <v>34447</v>
      </c>
      <c r="E10" s="86">
        <v>34648</v>
      </c>
      <c r="F10" s="87">
        <f t="shared" si="0"/>
        <v>34556.666666666664</v>
      </c>
    </row>
    <row r="11" spans="1:6">
      <c r="A11" s="69"/>
      <c r="B11" s="33" t="s">
        <v>52</v>
      </c>
      <c r="C11" s="88">
        <v>138160</v>
      </c>
      <c r="D11" s="54">
        <v>139874</v>
      </c>
      <c r="E11" s="89">
        <v>142033</v>
      </c>
      <c r="F11" s="90">
        <f t="shared" si="0"/>
        <v>140022.33333333334</v>
      </c>
    </row>
    <row r="12" spans="1:6">
      <c r="A12" s="69"/>
      <c r="B12" s="49" t="s">
        <v>53</v>
      </c>
      <c r="C12" s="85">
        <v>33405</v>
      </c>
      <c r="D12" s="50">
        <v>33785</v>
      </c>
      <c r="E12" s="86">
        <v>34137</v>
      </c>
      <c r="F12" s="87">
        <f t="shared" si="0"/>
        <v>33775.666666666664</v>
      </c>
    </row>
    <row r="13" spans="1:6">
      <c r="A13" s="69"/>
      <c r="B13" s="33" t="s">
        <v>54</v>
      </c>
      <c r="C13" s="88">
        <v>39374</v>
      </c>
      <c r="D13" s="54">
        <v>39566</v>
      </c>
      <c r="E13" s="89">
        <v>39913</v>
      </c>
      <c r="F13" s="90">
        <f t="shared" si="0"/>
        <v>39617.666666666664</v>
      </c>
    </row>
    <row r="14" spans="1:6">
      <c r="A14" s="69"/>
      <c r="B14" s="49" t="s">
        <v>55</v>
      </c>
      <c r="C14" s="85">
        <v>38001</v>
      </c>
      <c r="D14" s="50">
        <v>38034</v>
      </c>
      <c r="E14" s="86">
        <v>38165</v>
      </c>
      <c r="F14" s="87">
        <f t="shared" si="0"/>
        <v>38066.666666666664</v>
      </c>
    </row>
    <row r="15" spans="1:6">
      <c r="A15" s="69"/>
      <c r="B15" s="33" t="s">
        <v>56</v>
      </c>
      <c r="C15" s="88">
        <v>107352</v>
      </c>
      <c r="D15" s="54">
        <v>108826</v>
      </c>
      <c r="E15" s="89">
        <v>110390</v>
      </c>
      <c r="F15" s="90">
        <f t="shared" si="0"/>
        <v>108856</v>
      </c>
    </row>
    <row r="16" spans="1:6">
      <c r="A16" s="69"/>
      <c r="B16" s="49" t="s">
        <v>57</v>
      </c>
      <c r="C16" s="85">
        <v>259775</v>
      </c>
      <c r="D16" s="50">
        <v>264151</v>
      </c>
      <c r="E16" s="86">
        <v>268830</v>
      </c>
      <c r="F16" s="87">
        <f t="shared" si="0"/>
        <v>264252</v>
      </c>
    </row>
    <row r="17" spans="1:6">
      <c r="A17" s="69"/>
      <c r="B17" s="33" t="s">
        <v>58</v>
      </c>
      <c r="C17" s="88">
        <v>247562</v>
      </c>
      <c r="D17" s="54">
        <v>249005</v>
      </c>
      <c r="E17" s="89">
        <v>250590</v>
      </c>
      <c r="F17" s="90">
        <f t="shared" si="0"/>
        <v>249052.33333333334</v>
      </c>
    </row>
    <row r="18" spans="1:6">
      <c r="A18" s="69"/>
      <c r="B18" s="49" t="s">
        <v>59</v>
      </c>
      <c r="C18" s="85">
        <v>190324</v>
      </c>
      <c r="D18" s="50">
        <v>189777</v>
      </c>
      <c r="E18" s="86">
        <v>190531</v>
      </c>
      <c r="F18" s="87">
        <f t="shared" si="0"/>
        <v>190210.66666666666</v>
      </c>
    </row>
    <row r="19" spans="1:6">
      <c r="A19" s="69"/>
      <c r="B19" s="33" t="s">
        <v>60</v>
      </c>
      <c r="C19" s="88">
        <v>265829</v>
      </c>
      <c r="D19" s="54">
        <v>267247</v>
      </c>
      <c r="E19" s="89">
        <v>269249</v>
      </c>
      <c r="F19" s="90">
        <f t="shared" si="0"/>
        <v>267441.66666666669</v>
      </c>
    </row>
    <row r="20" spans="1:6">
      <c r="A20" s="69"/>
      <c r="B20" s="49" t="s">
        <v>61</v>
      </c>
      <c r="C20" s="85">
        <v>74335</v>
      </c>
      <c r="D20" s="50">
        <v>74598</v>
      </c>
      <c r="E20" s="86">
        <v>75045</v>
      </c>
      <c r="F20" s="87">
        <f t="shared" si="0"/>
        <v>74659.333333333328</v>
      </c>
    </row>
    <row r="21" spans="1:6">
      <c r="A21" s="69"/>
      <c r="B21" s="33" t="s">
        <v>62</v>
      </c>
      <c r="C21" s="88">
        <v>52280</v>
      </c>
      <c r="D21" s="54">
        <v>52345</v>
      </c>
      <c r="E21" s="89">
        <v>52517</v>
      </c>
      <c r="F21" s="90">
        <f t="shared" si="0"/>
        <v>52380.666666666664</v>
      </c>
    </row>
    <row r="22" spans="1:6">
      <c r="A22" s="69"/>
      <c r="B22" s="49" t="s">
        <v>63</v>
      </c>
      <c r="C22" s="85">
        <v>15140</v>
      </c>
      <c r="D22" s="50">
        <v>15028</v>
      </c>
      <c r="E22" s="86">
        <v>15147</v>
      </c>
      <c r="F22" s="87">
        <f t="shared" si="0"/>
        <v>15105</v>
      </c>
    </row>
    <row r="23" spans="1:6">
      <c r="A23" s="69"/>
      <c r="B23" s="33" t="s">
        <v>64</v>
      </c>
      <c r="C23" s="88">
        <v>463020</v>
      </c>
      <c r="D23" s="54">
        <v>465852</v>
      </c>
      <c r="E23" s="89">
        <v>470268</v>
      </c>
      <c r="F23" s="90">
        <f t="shared" si="0"/>
        <v>466380</v>
      </c>
    </row>
    <row r="24" spans="1:6">
      <c r="A24" s="69"/>
      <c r="B24" s="49" t="s">
        <v>65</v>
      </c>
      <c r="C24" s="85">
        <v>191441</v>
      </c>
      <c r="D24" s="50">
        <v>191878</v>
      </c>
      <c r="E24" s="86">
        <v>193035</v>
      </c>
      <c r="F24" s="87">
        <f t="shared" si="0"/>
        <v>192118</v>
      </c>
    </row>
    <row r="25" spans="1:6">
      <c r="A25" s="69"/>
      <c r="B25" s="33" t="s">
        <v>66</v>
      </c>
      <c r="C25" s="88">
        <v>572719</v>
      </c>
      <c r="D25" s="54">
        <v>578790</v>
      </c>
      <c r="E25" s="89">
        <v>587471</v>
      </c>
      <c r="F25" s="90">
        <f t="shared" si="0"/>
        <v>579660</v>
      </c>
    </row>
    <row r="26" spans="1:6">
      <c r="A26" s="69"/>
      <c r="B26" s="49" t="s">
        <v>67</v>
      </c>
      <c r="C26" s="85">
        <v>235922</v>
      </c>
      <c r="D26" s="50">
        <v>238141</v>
      </c>
      <c r="E26" s="86">
        <v>240656</v>
      </c>
      <c r="F26" s="87">
        <f t="shared" si="0"/>
        <v>238239.66666666666</v>
      </c>
    </row>
    <row r="27" spans="1:6">
      <c r="A27" s="69"/>
      <c r="B27" s="33" t="s">
        <v>68</v>
      </c>
      <c r="C27" s="88">
        <v>324837</v>
      </c>
      <c r="D27" s="54">
        <v>327632</v>
      </c>
      <c r="E27" s="89">
        <v>331600</v>
      </c>
      <c r="F27" s="90">
        <f t="shared" si="0"/>
        <v>328023</v>
      </c>
    </row>
    <row r="28" spans="1:6">
      <c r="A28" s="69"/>
      <c r="B28" s="49" t="s">
        <v>69</v>
      </c>
      <c r="C28" s="85">
        <v>671432</v>
      </c>
      <c r="D28" s="50">
        <v>678143</v>
      </c>
      <c r="E28" s="86">
        <v>690870</v>
      </c>
      <c r="F28" s="87">
        <f t="shared" si="0"/>
        <v>680148.33333333337</v>
      </c>
    </row>
    <row r="29" spans="1:6">
      <c r="A29" s="69"/>
      <c r="B29" s="33" t="s">
        <v>70</v>
      </c>
      <c r="C29" s="88">
        <v>293304</v>
      </c>
      <c r="D29" s="54">
        <v>296923</v>
      </c>
      <c r="E29" s="89">
        <v>301045</v>
      </c>
      <c r="F29" s="90">
        <f t="shared" si="0"/>
        <v>297090.66666666669</v>
      </c>
    </row>
    <row r="30" spans="1:6">
      <c r="A30" s="69"/>
      <c r="B30" s="49" t="s">
        <v>71</v>
      </c>
      <c r="C30" s="85">
        <v>169407</v>
      </c>
      <c r="D30" s="50">
        <v>169895</v>
      </c>
      <c r="E30" s="86">
        <v>171095</v>
      </c>
      <c r="F30" s="87">
        <f t="shared" si="0"/>
        <v>170132.33333333334</v>
      </c>
    </row>
    <row r="31" spans="1:6">
      <c r="A31" s="69"/>
      <c r="B31" s="33" t="s">
        <v>72</v>
      </c>
      <c r="C31" s="88">
        <v>439785</v>
      </c>
      <c r="D31" s="54">
        <v>441756</v>
      </c>
      <c r="E31" s="89">
        <v>446957</v>
      </c>
      <c r="F31" s="90">
        <f t="shared" si="0"/>
        <v>442832.66666666669</v>
      </c>
    </row>
    <row r="32" spans="1:6">
      <c r="A32" s="69"/>
      <c r="B32" s="49" t="s">
        <v>73</v>
      </c>
      <c r="C32" s="85">
        <v>68027</v>
      </c>
      <c r="D32" s="50">
        <v>68233</v>
      </c>
      <c r="E32" s="86">
        <v>68497</v>
      </c>
      <c r="F32" s="87">
        <f t="shared" si="0"/>
        <v>68252.333333333328</v>
      </c>
    </row>
    <row r="33" spans="1:6">
      <c r="A33" s="91"/>
      <c r="B33" s="58" t="s">
        <v>74</v>
      </c>
      <c r="C33" s="92">
        <f>SUM(C7:C32)</f>
        <v>7557609</v>
      </c>
      <c r="D33" s="59">
        <f>SUM(D7:D32)</f>
        <v>7618599</v>
      </c>
      <c r="E33" s="93">
        <f>SUM(E7:E32)</f>
        <v>7711056</v>
      </c>
      <c r="F33" s="94">
        <f>SUM(F7:F32)</f>
        <v>7629088</v>
      </c>
    </row>
  </sheetData>
  <mergeCells count="1">
    <mergeCell ref="C4:E4"/>
  </mergeCells>
  <conditionalFormatting sqref="C7:E32 C5:F5">
    <cfRule type="expression" dxfId="13" priority="1" stopIfTrue="1">
      <formula>ISBLANK(C5)</formula>
    </cfRule>
  </conditionalFormatting>
  <conditionalFormatting sqref="C7:E32 C5:F5">
    <cfRule type="expression" dxfId="12" priority="2" stopIfTrue="1">
      <formula>ISBLANK(C5)</formula>
    </cfRule>
  </conditionalFormatting>
  <conditionalFormatting sqref="C7:E32 C5:F5">
    <cfRule type="expression" dxfId="11" priority="3" stopIfTrue="1">
      <formula>ISBLANK(C5)</formula>
    </cfRule>
  </conditionalFormatting>
  <conditionalFormatting sqref="C5:E5">
    <cfRule type="expression" dxfId="10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5" t="str">
        <f>"Croissance du potentiel de ressources "&amp;Info!C30</f>
        <v>Croissance du potentiel de ressources 2012</v>
      </c>
      <c r="C1" s="95"/>
      <c r="D1" s="95"/>
      <c r="E1" s="95"/>
      <c r="F1" s="95"/>
      <c r="G1" s="95"/>
      <c r="H1" s="22"/>
      <c r="I1" s="1"/>
    </row>
    <row r="2" spans="1:9" ht="18.75" customHeight="1">
      <c r="G2" s="1"/>
      <c r="H2" s="1"/>
      <c r="I2" s="23" t="str">
        <f>Info!$C$28</f>
        <v>FA_2012_20120430_alpha0.7</v>
      </c>
    </row>
    <row r="3" spans="1:9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>
      <c r="A4" s="69"/>
      <c r="B4" s="44"/>
      <c r="C4" s="304" t="str">
        <f>"Indice de ressources "&amp;Info!C30</f>
        <v>Indice de ressources 2012</v>
      </c>
      <c r="D4" s="308" t="s">
        <v>78</v>
      </c>
      <c r="E4" s="309"/>
      <c r="F4" s="310"/>
      <c r="G4" s="306" t="s">
        <v>79</v>
      </c>
      <c r="H4" s="306"/>
      <c r="I4" s="307"/>
    </row>
    <row r="5" spans="1:9" ht="25.5" customHeight="1">
      <c r="A5" s="69"/>
      <c r="B5" s="96"/>
      <c r="C5" s="305"/>
      <c r="D5" s="97">
        <f>Info!C30-1</f>
        <v>2011</v>
      </c>
      <c r="E5" s="98">
        <f>Info!C30</f>
        <v>2012</v>
      </c>
      <c r="F5" s="99" t="s">
        <v>80</v>
      </c>
      <c r="G5" s="98">
        <f>D5</f>
        <v>2011</v>
      </c>
      <c r="H5" s="98">
        <f>E5</f>
        <v>2012</v>
      </c>
      <c r="I5" s="100" t="s">
        <v>80</v>
      </c>
    </row>
    <row r="6" spans="1:9">
      <c r="A6" s="101"/>
      <c r="B6" s="77" t="s">
        <v>44</v>
      </c>
      <c r="C6" s="102" t="s">
        <v>81</v>
      </c>
      <c r="D6" s="103" t="s">
        <v>45</v>
      </c>
      <c r="E6" s="104" t="s">
        <v>45</v>
      </c>
      <c r="F6" s="105" t="s">
        <v>82</v>
      </c>
      <c r="G6" s="104" t="s">
        <v>45</v>
      </c>
      <c r="H6" s="104" t="s">
        <v>45</v>
      </c>
      <c r="I6" s="106" t="s">
        <v>82</v>
      </c>
    </row>
    <row r="7" spans="1:9">
      <c r="A7" s="101"/>
      <c r="B7" s="44" t="s">
        <v>48</v>
      </c>
      <c r="C7" s="107">
        <f>PotR!I7</f>
        <v>123</v>
      </c>
      <c r="D7" s="108">
        <v>51474148.811122604</v>
      </c>
      <c r="E7" s="109">
        <f>PotR!F7</f>
        <v>48309013.270632066</v>
      </c>
      <c r="F7" s="110">
        <f t="shared" ref="F7:F33" si="0">E7/D7-1</f>
        <v>-6.1489808255102418E-2</v>
      </c>
      <c r="G7" s="47">
        <f t="shared" ref="G7:G32" si="1">IF($C7&gt;100,D7,"")</f>
        <v>51474148.811122604</v>
      </c>
      <c r="H7" s="47">
        <f t="shared" ref="H7:H32" si="2">IF($C7&gt;100,E7,"")</f>
        <v>48309013.270632066</v>
      </c>
      <c r="I7" s="111">
        <f t="shared" ref="I7:I32" si="3">IF(C7&gt;=100,H7/G7-1,"")</f>
        <v>-6.1489808255102418E-2</v>
      </c>
    </row>
    <row r="8" spans="1:9">
      <c r="A8" s="101"/>
      <c r="B8" s="112" t="s">
        <v>49</v>
      </c>
      <c r="C8" s="113">
        <f>PotR!I8</f>
        <v>74.900000000000006</v>
      </c>
      <c r="D8" s="114">
        <v>22310601.543687999</v>
      </c>
      <c r="E8" s="115">
        <f>PotR!F8</f>
        <v>21548198.7666797</v>
      </c>
      <c r="F8" s="116">
        <f t="shared" si="0"/>
        <v>-3.4172219673924253E-2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>
      <c r="A9" s="101"/>
      <c r="B9" s="118" t="s">
        <v>50</v>
      </c>
      <c r="C9" s="119">
        <f>PotR!I9</f>
        <v>76</v>
      </c>
      <c r="D9" s="120">
        <v>8183721.6469306396</v>
      </c>
      <c r="E9" s="121">
        <f>PotR!F9</f>
        <v>8160794.3903865861</v>
      </c>
      <c r="F9" s="122">
        <f t="shared" si="0"/>
        <v>-2.8015684713142974E-3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>
      <c r="A10" s="101"/>
      <c r="B10" s="112" t="s">
        <v>51</v>
      </c>
      <c r="C10" s="113">
        <f>PotR!I10</f>
        <v>58.9</v>
      </c>
      <c r="D10" s="114">
        <v>609343.40923056798</v>
      </c>
      <c r="E10" s="115">
        <f>PotR!F10</f>
        <v>603028.76239975926</v>
      </c>
      <c r="F10" s="116">
        <f t="shared" si="0"/>
        <v>-1.0363034596176823E-2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>
      <c r="A11" s="101"/>
      <c r="B11" s="118" t="s">
        <v>52</v>
      </c>
      <c r="C11" s="119">
        <f>PotR!I11</f>
        <v>149.5</v>
      </c>
      <c r="D11" s="120">
        <v>5966372.7713151304</v>
      </c>
      <c r="E11" s="121">
        <f>PotR!F11</f>
        <v>6204722.9979592236</v>
      </c>
      <c r="F11" s="122">
        <f t="shared" si="0"/>
        <v>3.9948933092149863E-2</v>
      </c>
      <c r="G11" s="56">
        <f t="shared" si="1"/>
        <v>5966372.7713151304</v>
      </c>
      <c r="H11" s="56">
        <f t="shared" si="2"/>
        <v>6204722.9979592236</v>
      </c>
      <c r="I11" s="123">
        <f t="shared" si="3"/>
        <v>3.9948933092149863E-2</v>
      </c>
    </row>
    <row r="12" spans="1:9">
      <c r="A12" s="101"/>
      <c r="B12" s="112" t="s">
        <v>53</v>
      </c>
      <c r="C12" s="113">
        <f>PotR!I12</f>
        <v>81.099999999999994</v>
      </c>
      <c r="D12" s="114">
        <v>762004.69133043301</v>
      </c>
      <c r="E12" s="115">
        <f>PotR!F12</f>
        <v>811222.37242119398</v>
      </c>
      <c r="F12" s="116">
        <f t="shared" si="0"/>
        <v>6.4589735011773453E-2</v>
      </c>
      <c r="G12" s="52" t="str">
        <f t="shared" si="1"/>
        <v/>
      </c>
      <c r="H12" s="52" t="str">
        <f t="shared" si="2"/>
        <v/>
      </c>
      <c r="I12" s="117" t="str">
        <f t="shared" si="3"/>
        <v/>
      </c>
    </row>
    <row r="13" spans="1:9">
      <c r="A13" s="101"/>
      <c r="B13" s="118" t="s">
        <v>54</v>
      </c>
      <c r="C13" s="119">
        <f>PotR!I13</f>
        <v>123.2</v>
      </c>
      <c r="D13" s="120">
        <v>1509456.0192956999</v>
      </c>
      <c r="E13" s="121">
        <f>PotR!F13</f>
        <v>1446221.5095554299</v>
      </c>
      <c r="F13" s="122">
        <f t="shared" si="0"/>
        <v>-4.1892250540545573E-2</v>
      </c>
      <c r="G13" s="56">
        <f t="shared" si="1"/>
        <v>1509456.0192956999</v>
      </c>
      <c r="H13" s="56">
        <f t="shared" si="2"/>
        <v>1446221.5095554299</v>
      </c>
      <c r="I13" s="123">
        <f t="shared" si="3"/>
        <v>-4.1892250540545573E-2</v>
      </c>
    </row>
    <row r="14" spans="1:9">
      <c r="A14" s="101"/>
      <c r="B14" s="112" t="s">
        <v>55</v>
      </c>
      <c r="C14" s="113">
        <f>PotR!I14</f>
        <v>66.099999999999994</v>
      </c>
      <c r="D14" s="114">
        <v>766377.70835838304</v>
      </c>
      <c r="E14" s="115">
        <f>PotR!F14</f>
        <v>745050.30410530465</v>
      </c>
      <c r="F14" s="116">
        <f t="shared" si="0"/>
        <v>-2.782884212376513E-2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>
      <c r="A15" s="101"/>
      <c r="B15" s="118" t="s">
        <v>56</v>
      </c>
      <c r="C15" s="119">
        <f>PotR!I15</f>
        <v>250.1</v>
      </c>
      <c r="D15" s="120">
        <v>8152480.6511108298</v>
      </c>
      <c r="E15" s="121">
        <f>PotR!F15</f>
        <v>8068572.0264666425</v>
      </c>
      <c r="F15" s="122">
        <f t="shared" si="0"/>
        <v>-1.0292404022173796E-2</v>
      </c>
      <c r="G15" s="56">
        <f t="shared" si="1"/>
        <v>8152480.6511108298</v>
      </c>
      <c r="H15" s="56">
        <f t="shared" si="2"/>
        <v>8068572.0264666425</v>
      </c>
      <c r="I15" s="123">
        <f t="shared" si="3"/>
        <v>-1.0292404022173796E-2</v>
      </c>
    </row>
    <row r="16" spans="1:9">
      <c r="A16" s="101"/>
      <c r="B16" s="112" t="s">
        <v>57</v>
      </c>
      <c r="C16" s="113">
        <f>PotR!I16</f>
        <v>71.5</v>
      </c>
      <c r="D16" s="114">
        <v>5450592.8750049202</v>
      </c>
      <c r="E16" s="115">
        <f>PotR!F16</f>
        <v>5594819.1216668533</v>
      </c>
      <c r="F16" s="116">
        <f t="shared" si="0"/>
        <v>2.6460652991222133E-2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>
      <c r="A17" s="101"/>
      <c r="B17" s="118" t="s">
        <v>58</v>
      </c>
      <c r="C17" s="119">
        <f>PotR!I17</f>
        <v>79.599999999999994</v>
      </c>
      <c r="D17" s="120">
        <v>5839140.8747039204</v>
      </c>
      <c r="E17" s="121">
        <f>PotR!F17</f>
        <v>5877258.0875159623</v>
      </c>
      <c r="F17" s="122">
        <f t="shared" si="0"/>
        <v>6.5278803217732051E-3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>
      <c r="A18" s="101"/>
      <c r="B18" s="112" t="s">
        <v>59</v>
      </c>
      <c r="C18" s="113">
        <f>PotR!I18</f>
        <v>148.9</v>
      </c>
      <c r="D18" s="114">
        <v>8478594.0438778996</v>
      </c>
      <c r="E18" s="115">
        <f>PotR!F18</f>
        <v>8390688.4593557306</v>
      </c>
      <c r="F18" s="116">
        <f t="shared" si="0"/>
        <v>-1.0367943560836368E-2</v>
      </c>
      <c r="G18" s="52">
        <f t="shared" si="1"/>
        <v>8478594.0438778996</v>
      </c>
      <c r="H18" s="52">
        <f t="shared" si="2"/>
        <v>8390688.4593557306</v>
      </c>
      <c r="I18" s="117">
        <f t="shared" si="3"/>
        <v>-1.0367943560836368E-2</v>
      </c>
    </row>
    <row r="19" spans="1:9">
      <c r="A19" s="101"/>
      <c r="B19" s="118" t="s">
        <v>60</v>
      </c>
      <c r="C19" s="119">
        <f>PotR!I19</f>
        <v>101.5</v>
      </c>
      <c r="D19" s="120">
        <v>8046854.6133473096</v>
      </c>
      <c r="E19" s="121">
        <f>PotR!F19</f>
        <v>8044055.8190751066</v>
      </c>
      <c r="F19" s="122">
        <f t="shared" si="0"/>
        <v>-3.4781220820878644E-4</v>
      </c>
      <c r="G19" s="56">
        <f t="shared" si="1"/>
        <v>8046854.6133473096</v>
      </c>
      <c r="H19" s="56">
        <f t="shared" si="2"/>
        <v>8044055.8190751066</v>
      </c>
      <c r="I19" s="123">
        <f t="shared" si="3"/>
        <v>-3.4781220820878644E-4</v>
      </c>
    </row>
    <row r="20" spans="1:9">
      <c r="A20" s="101"/>
      <c r="B20" s="112" t="s">
        <v>61</v>
      </c>
      <c r="C20" s="113">
        <f>PotR!I20</f>
        <v>99.3</v>
      </c>
      <c r="D20" s="114">
        <v>2197712.07846613</v>
      </c>
      <c r="E20" s="115">
        <f>PotR!F20</f>
        <v>2196760.7633194402</v>
      </c>
      <c r="F20" s="116">
        <f t="shared" si="0"/>
        <v>-4.3286614111603949E-4</v>
      </c>
      <c r="G20" s="52" t="str">
        <f t="shared" si="1"/>
        <v/>
      </c>
      <c r="H20" s="52" t="str">
        <f t="shared" si="2"/>
        <v/>
      </c>
      <c r="I20" s="117" t="str">
        <f t="shared" si="3"/>
        <v/>
      </c>
    </row>
    <row r="21" spans="1:9">
      <c r="A21" s="101"/>
      <c r="B21" s="118" t="s">
        <v>62</v>
      </c>
      <c r="C21" s="119">
        <f>PotR!I21</f>
        <v>78.3</v>
      </c>
      <c r="D21" s="120">
        <v>1194529.6217066799</v>
      </c>
      <c r="E21" s="121">
        <f>PotR!F21</f>
        <v>1215440.90128881</v>
      </c>
      <c r="F21" s="122">
        <f t="shared" si="0"/>
        <v>1.7505869425199494E-2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>
      <c r="A22" s="101"/>
      <c r="B22" s="112" t="s">
        <v>63</v>
      </c>
      <c r="C22" s="113">
        <f>PotR!I22</f>
        <v>82.3</v>
      </c>
      <c r="D22" s="114">
        <v>373214.283099072</v>
      </c>
      <c r="E22" s="115">
        <f>PotR!F22</f>
        <v>368312.83664497238</v>
      </c>
      <c r="F22" s="116">
        <f t="shared" si="0"/>
        <v>-1.3133062361384784E-2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>
      <c r="A23" s="101"/>
      <c r="B23" s="118" t="s">
        <v>64</v>
      </c>
      <c r="C23" s="119">
        <f>PotR!I23</f>
        <v>76.7</v>
      </c>
      <c r="D23" s="120">
        <v>10507578.277677201</v>
      </c>
      <c r="E23" s="121">
        <f>PotR!F23</f>
        <v>10599022.357811285</v>
      </c>
      <c r="F23" s="122">
        <f t="shared" si="0"/>
        <v>8.7026789349125E-3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>
      <c r="A24" s="101"/>
      <c r="B24" s="112" t="s">
        <v>65</v>
      </c>
      <c r="C24" s="113">
        <f>PotR!I24</f>
        <v>80.2</v>
      </c>
      <c r="D24" s="114">
        <v>4535964.4388569603</v>
      </c>
      <c r="E24" s="115">
        <f>PotR!F24</f>
        <v>4567853.8795922874</v>
      </c>
      <c r="F24" s="116">
        <f t="shared" si="0"/>
        <v>7.0303551020260979E-3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>
      <c r="A25" s="101"/>
      <c r="B25" s="118" t="s">
        <v>66</v>
      </c>
      <c r="C25" s="119">
        <f>PotR!I25</f>
        <v>87.3</v>
      </c>
      <c r="D25" s="120">
        <v>14907069.2080746</v>
      </c>
      <c r="E25" s="121">
        <f>PotR!F25</f>
        <v>14995432.4424024</v>
      </c>
      <c r="F25" s="122">
        <f t="shared" si="0"/>
        <v>5.9276060971085176E-3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>
      <c r="A26" s="101"/>
      <c r="B26" s="112" t="s">
        <v>67</v>
      </c>
      <c r="C26" s="113">
        <f>PotR!I26</f>
        <v>76.599999999999994</v>
      </c>
      <c r="D26" s="114">
        <v>5314285.4660299197</v>
      </c>
      <c r="E26" s="115">
        <f>PotR!F26</f>
        <v>5406363.5905939071</v>
      </c>
      <c r="F26" s="116">
        <f t="shared" si="0"/>
        <v>1.7326529625209419E-2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>
      <c r="A27" s="101"/>
      <c r="B27" s="118" t="s">
        <v>68</v>
      </c>
      <c r="C27" s="119">
        <f>PotR!I27</f>
        <v>99.3</v>
      </c>
      <c r="D27" s="120">
        <v>9551705.6033977699</v>
      </c>
      <c r="E27" s="121">
        <f>PotR!F27</f>
        <v>9656133.1573526468</v>
      </c>
      <c r="F27" s="122">
        <f t="shared" si="0"/>
        <v>1.0932869823555791E-2</v>
      </c>
      <c r="G27" s="56" t="str">
        <f t="shared" si="1"/>
        <v/>
      </c>
      <c r="H27" s="56" t="str">
        <f t="shared" si="2"/>
        <v/>
      </c>
      <c r="I27" s="123" t="str">
        <f t="shared" si="3"/>
        <v/>
      </c>
    </row>
    <row r="28" spans="1:9">
      <c r="A28" s="101"/>
      <c r="B28" s="112" t="s">
        <v>69</v>
      </c>
      <c r="C28" s="113">
        <f>PotR!I28</f>
        <v>107.6</v>
      </c>
      <c r="D28" s="114">
        <v>24833704.2175624</v>
      </c>
      <c r="E28" s="115">
        <f>PotR!F28</f>
        <v>21687524.977935802</v>
      </c>
      <c r="F28" s="116">
        <f t="shared" si="0"/>
        <v>-0.12668988935616055</v>
      </c>
      <c r="G28" s="52">
        <f t="shared" si="1"/>
        <v>24833704.2175624</v>
      </c>
      <c r="H28" s="52">
        <f t="shared" si="2"/>
        <v>21687524.977935802</v>
      </c>
      <c r="I28" s="117">
        <f t="shared" si="3"/>
        <v>-0.12668988935616055</v>
      </c>
    </row>
    <row r="29" spans="1:9">
      <c r="A29" s="101"/>
      <c r="B29" s="118" t="s">
        <v>70</v>
      </c>
      <c r="C29" s="119">
        <f>PotR!I29</f>
        <v>67.099999999999994</v>
      </c>
      <c r="D29" s="120">
        <v>5812682.5611539204</v>
      </c>
      <c r="E29" s="121">
        <f>PotR!F29</f>
        <v>5910863.7522229804</v>
      </c>
      <c r="F29" s="122">
        <f t="shared" si="0"/>
        <v>1.6890857196504072E-2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>
      <c r="A30" s="101"/>
      <c r="B30" s="112" t="s">
        <v>71</v>
      </c>
      <c r="C30" s="113">
        <f>PotR!I30</f>
        <v>96</v>
      </c>
      <c r="D30" s="114">
        <v>4915450.1353580197</v>
      </c>
      <c r="E30" s="115">
        <f>PotR!F30</f>
        <v>4841539.8735413998</v>
      </c>
      <c r="F30" s="116">
        <f t="shared" si="0"/>
        <v>-1.503631606085587E-2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>
      <c r="A31" s="101"/>
      <c r="B31" s="118" t="s">
        <v>72</v>
      </c>
      <c r="C31" s="119">
        <f>PotR!I31</f>
        <v>148.80000000000001</v>
      </c>
      <c r="D31" s="120">
        <v>19888924.082031399</v>
      </c>
      <c r="E31" s="121">
        <f>PotR!F31</f>
        <v>19523254.779896569</v>
      </c>
      <c r="F31" s="122">
        <f t="shared" si="0"/>
        <v>-1.8385574836860763E-2</v>
      </c>
      <c r="G31" s="56">
        <f t="shared" si="1"/>
        <v>19888924.082031399</v>
      </c>
      <c r="H31" s="56">
        <f t="shared" si="2"/>
        <v>19523254.779896569</v>
      </c>
      <c r="I31" s="123">
        <f t="shared" si="3"/>
        <v>-1.8385574836860763E-2</v>
      </c>
    </row>
    <row r="32" spans="1:9">
      <c r="A32" s="124"/>
      <c r="B32" s="125" t="s">
        <v>73</v>
      </c>
      <c r="C32" s="126">
        <f>PotR!I32</f>
        <v>63.8</v>
      </c>
      <c r="D32" s="127">
        <v>1306464.4883624599</v>
      </c>
      <c r="E32" s="128">
        <f>PotR!F32</f>
        <v>1290122.2472377198</v>
      </c>
      <c r="F32" s="129">
        <f t="shared" si="0"/>
        <v>-1.2508752645258414E-2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8" t="s">
        <v>74</v>
      </c>
      <c r="C33" s="132">
        <f>PotR!I33</f>
        <v>100</v>
      </c>
      <c r="D33" s="133">
        <f>SUM(D7:D32)</f>
        <v>232888974.12109283</v>
      </c>
      <c r="E33" s="134">
        <f>SUM(E7:E32)</f>
        <v>226062271.44805977</v>
      </c>
      <c r="F33" s="135">
        <f t="shared" si="0"/>
        <v>-2.9313120978769258E-2</v>
      </c>
      <c r="G33" s="59">
        <f>SUM(G7:G32)</f>
        <v>128350535.20966327</v>
      </c>
      <c r="H33" s="59">
        <f>SUM(H7:H32)</f>
        <v>121674053.84087658</v>
      </c>
      <c r="I33" s="136">
        <f>IF(H33&gt;0,H33/G33-1,0)</f>
        <v>-5.2017557682019211E-2</v>
      </c>
    </row>
    <row r="34" spans="1:9">
      <c r="A34" s="137"/>
      <c r="B34" s="69"/>
      <c r="C34" s="69"/>
      <c r="D34" s="69"/>
    </row>
    <row r="35" spans="1:9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9" priority="1" stopIfTrue="1">
      <formula>ISBLANK(C5)</formula>
    </cfRule>
  </conditionalFormatting>
  <conditionalFormatting sqref="G5:H5 D5:E5 C33 D7:E33">
    <cfRule type="expression" dxfId="8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4" t="str">
        <f>"Progression des dotations de la péréquation des ressources "&amp;Info!C30</f>
        <v>Progression des dotations de la péréquation des ressources 2012</v>
      </c>
      <c r="C1" s="1"/>
      <c r="D1" s="1"/>
      <c r="E1" s="1"/>
      <c r="F1" s="1"/>
    </row>
    <row r="2" spans="2:8">
      <c r="B2" s="138" t="s">
        <v>83</v>
      </c>
      <c r="C2" s="1"/>
      <c r="D2" s="1"/>
      <c r="E2" s="1"/>
      <c r="F2" s="1"/>
      <c r="H2" s="69"/>
    </row>
    <row r="3" spans="2:8">
      <c r="B3" s="1"/>
      <c r="C3" s="1"/>
      <c r="D3" s="1"/>
      <c r="E3" s="1"/>
      <c r="F3" s="1"/>
      <c r="G3" s="23" t="str">
        <f>Info!C28</f>
        <v>FA_2012_20120430_alpha0.7</v>
      </c>
      <c r="H3" s="69"/>
    </row>
    <row r="4" spans="2:8" ht="24.75" customHeight="1">
      <c r="B4" s="139" t="s">
        <v>84</v>
      </c>
      <c r="C4" s="140">
        <f>G4-1</f>
        <v>2011</v>
      </c>
      <c r="D4" s="141" t="s">
        <v>85</v>
      </c>
      <c r="E4" s="142" t="s">
        <v>86</v>
      </c>
      <c r="F4" s="142" t="s">
        <v>87</v>
      </c>
      <c r="G4" s="143">
        <f>Info!C30</f>
        <v>2012</v>
      </c>
      <c r="H4" s="69"/>
    </row>
    <row r="5" spans="2:8">
      <c r="B5" s="44" t="s">
        <v>88</v>
      </c>
      <c r="C5" s="45">
        <v>2100592081.37392</v>
      </c>
      <c r="D5" s="144">
        <f>Taux_de_croissance!F33</f>
        <v>-2.9313120978769258E-2</v>
      </c>
      <c r="E5" s="47">
        <f>C5*(1+D5)</f>
        <v>2039017171.5655615</v>
      </c>
      <c r="F5" s="45">
        <v>81200000</v>
      </c>
      <c r="G5" s="145">
        <f>E5+F5</f>
        <v>2120217171.5655615</v>
      </c>
      <c r="H5" s="69"/>
    </row>
    <row r="6" spans="2:8">
      <c r="B6" s="96" t="s">
        <v>89</v>
      </c>
      <c r="C6" s="146">
        <v>1532643174.33551</v>
      </c>
      <c r="D6" s="147">
        <f>Taux_de_croissance!I33</f>
        <v>-5.2017557682019211E-2</v>
      </c>
      <c r="E6" s="148">
        <f>C6*(1+D6)</f>
        <v>1452918819.6085596</v>
      </c>
      <c r="F6" s="146">
        <v>0</v>
      </c>
      <c r="G6" s="149">
        <f>E6+F6</f>
        <v>1452918819.6085596</v>
      </c>
      <c r="H6" s="69"/>
    </row>
    <row r="7" spans="2:8">
      <c r="B7" s="150"/>
      <c r="C7" s="69"/>
      <c r="D7" s="69"/>
      <c r="E7" s="1"/>
      <c r="F7" s="1"/>
      <c r="H7" s="69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1"/>
      <c r="F10" s="1"/>
    </row>
    <row r="11" spans="2:8">
      <c r="B11" s="138"/>
      <c r="C11" s="152"/>
      <c r="D11" s="152"/>
      <c r="E11" s="151"/>
      <c r="F11" s="153"/>
      <c r="G11" s="153"/>
    </row>
    <row r="12" spans="2:8">
      <c r="B12" s="139" t="s">
        <v>90</v>
      </c>
      <c r="C12" s="154">
        <f>C4</f>
        <v>2011</v>
      </c>
      <c r="D12" s="155">
        <f>G4</f>
        <v>2012</v>
      </c>
      <c r="E12" s="151"/>
      <c r="F12" s="153"/>
      <c r="G12" s="153"/>
    </row>
    <row r="13" spans="2:8">
      <c r="B13" s="118" t="s">
        <v>91</v>
      </c>
      <c r="C13" s="56">
        <f>0.8*C$5</f>
        <v>1680473665.0991361</v>
      </c>
      <c r="D13" s="90">
        <f>0.8*G5</f>
        <v>1696173737.2524493</v>
      </c>
      <c r="E13" s="151"/>
      <c r="F13" s="153"/>
      <c r="G13" s="153"/>
    </row>
    <row r="14" spans="2:8">
      <c r="B14" s="156" t="s">
        <v>92</v>
      </c>
      <c r="C14" s="157">
        <f>C6/C5</f>
        <v>0.7296243701599906</v>
      </c>
      <c r="D14" s="158">
        <f>G6/G5</f>
        <v>0.68526886730934689</v>
      </c>
      <c r="E14" s="1"/>
      <c r="F14" s="1"/>
    </row>
    <row r="15" spans="2:8">
      <c r="B15" s="96" t="s">
        <v>93</v>
      </c>
      <c r="C15" s="148">
        <f>(2/3)*C$5</f>
        <v>1400394720.9159465</v>
      </c>
      <c r="D15" s="159">
        <f>(2/3)*G5</f>
        <v>1413478114.3770409</v>
      </c>
      <c r="E15" s="1"/>
      <c r="F15" s="1"/>
    </row>
    <row r="16" spans="2:8">
      <c r="B16" s="160" t="s">
        <v>94</v>
      </c>
      <c r="E16" s="1"/>
      <c r="F16" s="1"/>
    </row>
    <row r="17" spans="2:6">
      <c r="B17" s="161" t="s">
        <v>95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8"/>
      <c r="C22" s="1"/>
      <c r="D22" s="1"/>
      <c r="E22" s="1"/>
      <c r="F22" s="1"/>
    </row>
    <row r="23" spans="2:6" ht="15.75" customHeight="1">
      <c r="B23" s="162" t="str">
        <f>"Dotations "&amp;G4</f>
        <v>Dotations 2012</v>
      </c>
      <c r="C23" s="163"/>
      <c r="D23" s="164"/>
      <c r="E23" s="1"/>
      <c r="F23" s="1"/>
    </row>
    <row r="24" spans="2:6" ht="15.75" customHeight="1">
      <c r="B24" s="165" t="s">
        <v>88</v>
      </c>
      <c r="C24" s="166"/>
      <c r="D24" s="167">
        <f>G5</f>
        <v>2120217171.5655615</v>
      </c>
      <c r="E24" s="1"/>
      <c r="F24" s="1"/>
    </row>
    <row r="25" spans="2:6" ht="15.75" customHeight="1">
      <c r="B25" s="165" t="s">
        <v>89</v>
      </c>
      <c r="C25" s="166"/>
      <c r="D25" s="167">
        <f>IF(G6&gt;D13,D13,IF(G6&lt;D15,D15,G6))</f>
        <v>1452918819.6085596</v>
      </c>
      <c r="E25" s="1"/>
      <c r="F25" s="1"/>
    </row>
    <row r="26" spans="2:6" ht="20.25" customHeight="1">
      <c r="B26" s="168" t="s">
        <v>96</v>
      </c>
      <c r="C26" s="169"/>
      <c r="D26" s="170">
        <f>D24+D25</f>
        <v>3573135991.1741209</v>
      </c>
      <c r="E26" s="1"/>
      <c r="F26" s="1"/>
    </row>
    <row r="27" spans="2:6">
      <c r="B27" s="1"/>
      <c r="C27" s="1"/>
      <c r="D27" s="1"/>
      <c r="E27" s="1"/>
      <c r="F27" s="1"/>
    </row>
    <row r="28" spans="2:6" hidden="1">
      <c r="B28" s="1"/>
      <c r="C28" s="1"/>
      <c r="D28" s="1"/>
      <c r="E28" s="1"/>
      <c r="F28" s="1"/>
    </row>
    <row r="29" spans="2:6" hidden="1">
      <c r="B29" s="1"/>
      <c r="C29" s="1"/>
      <c r="D29" s="1"/>
      <c r="E29" s="1"/>
      <c r="F29" s="1"/>
    </row>
    <row r="30" spans="2:6">
      <c r="B30" s="1"/>
      <c r="C30" s="1"/>
      <c r="D30" s="1"/>
      <c r="E30" s="1"/>
      <c r="F30" s="1"/>
    </row>
    <row r="31" spans="2:6">
      <c r="B31" s="311" t="str">
        <f>"Taux de croissance effectif* "&amp;C4&amp;"-"&amp;G4</f>
        <v>Taux de croissance effectif* 2011-2012</v>
      </c>
      <c r="C31" s="312"/>
      <c r="D31" s="1"/>
      <c r="E31" s="1"/>
      <c r="F31" s="1"/>
    </row>
    <row r="32" spans="2:6">
      <c r="B32" s="171" t="s">
        <v>88</v>
      </c>
      <c r="C32" s="111">
        <f>D24/C5-1</f>
        <v>9.3426469449535698E-3</v>
      </c>
      <c r="D32" s="1"/>
      <c r="E32" s="1"/>
      <c r="F32" s="1"/>
    </row>
    <row r="33" spans="2:6">
      <c r="B33" s="172" t="s">
        <v>89</v>
      </c>
      <c r="C33" s="173">
        <f>D25/C6-1</f>
        <v>-5.2017557682019211E-2</v>
      </c>
      <c r="D33" s="1"/>
      <c r="E33" s="1"/>
      <c r="F33" s="1"/>
    </row>
    <row r="34" spans="2:6" ht="17.25" customHeight="1">
      <c r="B34" s="174" t="s">
        <v>96</v>
      </c>
      <c r="C34" s="175">
        <f>D26/(C5+C6)-1</f>
        <v>-1.6541528501592628E-2</v>
      </c>
      <c r="D34" s="1"/>
      <c r="E34" s="1"/>
      <c r="F34" s="1"/>
    </row>
    <row r="35" spans="2:6">
      <c r="B35" s="36" t="s">
        <v>97</v>
      </c>
      <c r="C35" s="1"/>
      <c r="D35" s="1"/>
      <c r="E35" s="1"/>
      <c r="F35" s="1"/>
    </row>
  </sheetData>
  <mergeCells count="1">
    <mergeCell ref="B31:C31"/>
  </mergeCells>
  <conditionalFormatting sqref="C5:C6 F5:F6">
    <cfRule type="expression" dxfId="7" priority="1" stopIfTrue="1">
      <formula>ISBLANK(C5)</formula>
    </cfRule>
  </conditionalFormatting>
  <conditionalFormatting sqref="C5:C6 F5:F6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>
      <c r="A1" s="95" t="str">
        <f>"Montants versés par les cantons à fort potentiel de ressources "&amp;Info!C30</f>
        <v>Montants versés par les cantons à fort potentiel de ressources 2012</v>
      </c>
      <c r="B1" s="95"/>
      <c r="C1" s="95"/>
      <c r="D1" s="95"/>
      <c r="E1" s="95"/>
      <c r="F1" s="95"/>
    </row>
    <row r="2" spans="1:6" ht="18.75" customHeight="1">
      <c r="F2" s="23" t="str">
        <f>Info!$C$28</f>
        <v>FA_2012_20120430_alpha0.7</v>
      </c>
    </row>
    <row r="3" spans="1:6" s="2" customFormat="1">
      <c r="A3" s="62" t="s">
        <v>28</v>
      </c>
      <c r="B3" s="176" t="s">
        <v>98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>
      <c r="A4" s="177" t="s">
        <v>36</v>
      </c>
      <c r="B4" s="178"/>
      <c r="C4" s="179"/>
      <c r="D4" s="179" t="s">
        <v>99</v>
      </c>
      <c r="E4" s="179" t="s">
        <v>100</v>
      </c>
      <c r="F4" s="180" t="s">
        <v>101</v>
      </c>
    </row>
    <row r="5" spans="1:6" ht="28.5" customHeight="1">
      <c r="A5" s="181"/>
      <c r="B5" s="182" t="s">
        <v>42</v>
      </c>
      <c r="C5" s="182" t="s">
        <v>7</v>
      </c>
      <c r="D5" s="183" t="s">
        <v>102</v>
      </c>
      <c r="E5" s="183" t="s">
        <v>103</v>
      </c>
      <c r="F5" s="184" t="s">
        <v>104</v>
      </c>
    </row>
    <row r="6" spans="1:6">
      <c r="A6" s="77" t="s">
        <v>44</v>
      </c>
      <c r="B6" s="185" t="s">
        <v>81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PotR!I7</f>
        <v>123</v>
      </c>
      <c r="C7" s="190">
        <f>PotR!G7</f>
        <v>1325598.6666666667</v>
      </c>
      <c r="D7" s="191">
        <f t="shared" ref="D7:D32" si="0">IF(B7&gt;100,(B7-100)*C7,0)</f>
        <v>30488769.333333336</v>
      </c>
      <c r="E7" s="191">
        <f t="shared" ref="E7:E32" si="1">IF(B7&gt;100,A/$D$33*(B7-100),0)</f>
        <v>366.57624371467125</v>
      </c>
      <c r="F7" s="192">
        <f t="shared" ref="F7:F32" si="2">E7*C7</f>
        <v>485932979.89984328</v>
      </c>
    </row>
    <row r="8" spans="1:6" s="187" customFormat="1" ht="15" customHeight="1">
      <c r="A8" s="193" t="s">
        <v>49</v>
      </c>
      <c r="B8" s="194">
        <f>PotR!I8</f>
        <v>74.900000000000006</v>
      </c>
      <c r="C8" s="195">
        <f>PotR!G8</f>
        <v>970413.66666666663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PotR!I9</f>
        <v>76</v>
      </c>
      <c r="C9" s="190">
        <f>PotR!G9</f>
        <v>362202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PotR!I10</f>
        <v>58.9</v>
      </c>
      <c r="C10" s="195">
        <f>PotR!G10</f>
        <v>34556.666666666664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PotR!I11</f>
        <v>149.5</v>
      </c>
      <c r="C11" s="190">
        <f>PotR!G11</f>
        <v>140022.33333333334</v>
      </c>
      <c r="D11" s="191">
        <f t="shared" si="0"/>
        <v>6931105.5000000009</v>
      </c>
      <c r="E11" s="191">
        <f t="shared" si="1"/>
        <v>788.9358288641838</v>
      </c>
      <c r="F11" s="192">
        <f t="shared" si="2"/>
        <v>110468635.60783038</v>
      </c>
    </row>
    <row r="12" spans="1:6" s="187" customFormat="1" ht="15" customHeight="1">
      <c r="A12" s="193" t="s">
        <v>53</v>
      </c>
      <c r="B12" s="194">
        <f>PotR!I12</f>
        <v>81.099999999999994</v>
      </c>
      <c r="C12" s="195">
        <f>PotR!G12</f>
        <v>33775.666666666664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PotR!I13</f>
        <v>123.2</v>
      </c>
      <c r="C13" s="190">
        <f>PotR!G13</f>
        <v>39617.666666666664</v>
      </c>
      <c r="D13" s="191">
        <f t="shared" si="0"/>
        <v>919129.8666666667</v>
      </c>
      <c r="E13" s="191">
        <f t="shared" si="1"/>
        <v>369.76386322523365</v>
      </c>
      <c r="F13" s="192">
        <f t="shared" si="2"/>
        <v>14649181.478636231</v>
      </c>
    </row>
    <row r="14" spans="1:6" s="187" customFormat="1" ht="15" customHeight="1">
      <c r="A14" s="193" t="s">
        <v>55</v>
      </c>
      <c r="B14" s="194">
        <f>PotR!I14</f>
        <v>66.099999999999994</v>
      </c>
      <c r="C14" s="195">
        <f>PotR!G14</f>
        <v>38066.666666666664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PotR!I15</f>
        <v>250.1</v>
      </c>
      <c r="C15" s="190">
        <f>PotR!G15</f>
        <v>108856</v>
      </c>
      <c r="D15" s="191">
        <f t="shared" si="0"/>
        <v>16339285.6</v>
      </c>
      <c r="E15" s="191">
        <f t="shared" si="1"/>
        <v>2392.3084426770502</v>
      </c>
      <c r="F15" s="192">
        <f t="shared" si="2"/>
        <v>260417127.83605298</v>
      </c>
    </row>
    <row r="16" spans="1:6" s="187" customFormat="1" ht="15" customHeight="1">
      <c r="A16" s="193" t="s">
        <v>57</v>
      </c>
      <c r="B16" s="194">
        <f>PotR!I16</f>
        <v>71.5</v>
      </c>
      <c r="C16" s="195">
        <f>PotR!G16</f>
        <v>264252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PotR!I17</f>
        <v>79.599999999999994</v>
      </c>
      <c r="C17" s="190">
        <f>PotR!G17</f>
        <v>249052.33333333334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PotR!I18</f>
        <v>148.9</v>
      </c>
      <c r="C18" s="195">
        <f>PotR!G18</f>
        <v>190210.66666666666</v>
      </c>
      <c r="D18" s="196">
        <f t="shared" si="0"/>
        <v>9301301.6000000015</v>
      </c>
      <c r="E18" s="196">
        <f t="shared" si="1"/>
        <v>779.37297033249683</v>
      </c>
      <c r="F18" s="197">
        <f t="shared" si="2"/>
        <v>148245052.26892444</v>
      </c>
    </row>
    <row r="19" spans="1:6" s="187" customFormat="1" ht="15" customHeight="1">
      <c r="A19" s="188" t="s">
        <v>60</v>
      </c>
      <c r="B19" s="189">
        <f>PotR!I19</f>
        <v>101.5</v>
      </c>
      <c r="C19" s="190">
        <f>PotR!G19</f>
        <v>267441.66666666669</v>
      </c>
      <c r="D19" s="191">
        <f t="shared" si="0"/>
        <v>401162.5</v>
      </c>
      <c r="E19" s="191">
        <f t="shared" si="1"/>
        <v>23.907146329217689</v>
      </c>
      <c r="F19" s="192">
        <f t="shared" si="2"/>
        <v>6393767.0595298614</v>
      </c>
    </row>
    <row r="20" spans="1:6" s="187" customFormat="1" ht="15" customHeight="1">
      <c r="A20" s="193" t="s">
        <v>61</v>
      </c>
      <c r="B20" s="194">
        <f>PotR!I20</f>
        <v>99.3</v>
      </c>
      <c r="C20" s="195">
        <f>PotR!G20</f>
        <v>74659.333333333328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>
      <c r="A21" s="188" t="s">
        <v>62</v>
      </c>
      <c r="B21" s="189">
        <f>PotR!I21</f>
        <v>78.3</v>
      </c>
      <c r="C21" s="190">
        <f>PotR!G21</f>
        <v>52380.666666666664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PotR!I22</f>
        <v>82.3</v>
      </c>
      <c r="C22" s="195">
        <f>PotR!G22</f>
        <v>15105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PotR!I23</f>
        <v>76.7</v>
      </c>
      <c r="C23" s="190">
        <f>PotR!G23</f>
        <v>466380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PotR!I24</f>
        <v>80.2</v>
      </c>
      <c r="C24" s="195">
        <f>PotR!G24</f>
        <v>192118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PotR!I25</f>
        <v>87.3</v>
      </c>
      <c r="C25" s="190">
        <f>PotR!G25</f>
        <v>579660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PotR!I26</f>
        <v>76.599999999999994</v>
      </c>
      <c r="C26" s="195">
        <f>PotR!G26</f>
        <v>238239.66666666666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PotR!I27</f>
        <v>99.3</v>
      </c>
      <c r="C27" s="190">
        <f>PotR!G27</f>
        <v>328023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>
      <c r="A28" s="193" t="s">
        <v>69</v>
      </c>
      <c r="B28" s="194">
        <f>PotR!I28</f>
        <v>107.6</v>
      </c>
      <c r="C28" s="195">
        <f>PotR!G28</f>
        <v>680148.33333333337</v>
      </c>
      <c r="D28" s="196">
        <f t="shared" si="0"/>
        <v>5169127.3333333293</v>
      </c>
      <c r="E28" s="196">
        <f t="shared" si="1"/>
        <v>121.12954140136954</v>
      </c>
      <c r="F28" s="197">
        <f t="shared" si="2"/>
        <v>82386055.701572493</v>
      </c>
    </row>
    <row r="29" spans="1:6" s="187" customFormat="1" ht="15" customHeight="1">
      <c r="A29" s="188" t="s">
        <v>70</v>
      </c>
      <c r="B29" s="189">
        <f>PotR!I29</f>
        <v>67.099999999999994</v>
      </c>
      <c r="C29" s="190">
        <f>PotR!G29</f>
        <v>297090.66666666669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PotR!I30</f>
        <v>96</v>
      </c>
      <c r="C30" s="195">
        <f>PotR!G30</f>
        <v>170132.33333333334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PotR!I31</f>
        <v>148.80000000000001</v>
      </c>
      <c r="C31" s="190">
        <f>PotR!G31</f>
        <v>442832.66666666669</v>
      </c>
      <c r="D31" s="191">
        <f t="shared" si="0"/>
        <v>21610234.13333334</v>
      </c>
      <c r="E31" s="191">
        <f t="shared" si="1"/>
        <v>777.77916057721575</v>
      </c>
      <c r="F31" s="192">
        <f t="shared" si="2"/>
        <v>344426019.75616997</v>
      </c>
    </row>
    <row r="32" spans="1:6" s="187" customFormat="1" ht="15" customHeight="1">
      <c r="A32" s="193" t="s">
        <v>73</v>
      </c>
      <c r="B32" s="194">
        <f>PotR!I32</f>
        <v>63.8</v>
      </c>
      <c r="C32" s="195">
        <f>PotR!G32</f>
        <v>68252.333333333328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74</v>
      </c>
      <c r="B33" s="199">
        <f>PotR!I33</f>
        <v>100</v>
      </c>
      <c r="C33" s="200">
        <f>SUM(BEV)</f>
        <v>7629088</v>
      </c>
      <c r="D33" s="200">
        <f>SUM(D7:D32)</f>
        <v>91160115.866666675</v>
      </c>
      <c r="E33" s="200"/>
      <c r="F33" s="201">
        <f>SUM(F7:F32)</f>
        <v>1452918819.6085598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5" t="str">
        <f>"Montants reçus par les cantons à faible potentiel de ressources "&amp;Info!C30</f>
        <v>Montants reçus par les cantons à faible potentiel de ressources 2012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>
      <c r="G2" s="1"/>
      <c r="H2" s="23" t="str">
        <f>Info!$C$28</f>
        <v>FA_2012_20120430_alpha0.7</v>
      </c>
      <c r="I2" s="2"/>
      <c r="J2" s="1"/>
      <c r="K2" s="1"/>
    </row>
    <row r="3" spans="1:12" s="2" customFormat="1">
      <c r="A3" s="62" t="s">
        <v>28</v>
      </c>
      <c r="B3" s="176" t="s">
        <v>98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>
      <c r="A4" s="181"/>
      <c r="B4" s="183" t="s">
        <v>42</v>
      </c>
      <c r="C4" s="183" t="s">
        <v>7</v>
      </c>
      <c r="D4" s="183" t="s">
        <v>102</v>
      </c>
      <c r="E4" s="183" t="s">
        <v>103</v>
      </c>
      <c r="F4" s="202" t="s">
        <v>104</v>
      </c>
      <c r="G4" s="203" t="s">
        <v>105</v>
      </c>
      <c r="H4" s="204" t="s">
        <v>106</v>
      </c>
      <c r="J4" s="313" t="s">
        <v>107</v>
      </c>
      <c r="K4" s="314"/>
    </row>
    <row r="5" spans="1:12" s="187" customFormat="1">
      <c r="A5" s="77" t="s">
        <v>44</v>
      </c>
      <c r="B5" s="185" t="s">
        <v>81</v>
      </c>
      <c r="C5" s="104" t="s">
        <v>108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109</v>
      </c>
      <c r="K5" s="206">
        <v>0.56800208019717702</v>
      </c>
      <c r="L5" s="207"/>
    </row>
    <row r="6" spans="1:12" s="187" customFormat="1" ht="15" customHeight="1">
      <c r="A6" s="208" t="s">
        <v>48</v>
      </c>
      <c r="B6" s="209">
        <f>PotR!I7</f>
        <v>123</v>
      </c>
      <c r="C6" s="191">
        <f>PotR!G7</f>
        <v>1325598.6666666667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110</v>
      </c>
      <c r="K6" s="213">
        <f>(RI_26/RI_MIN)*p</f>
        <v>0.56800208019717602</v>
      </c>
    </row>
    <row r="7" spans="1:12" s="187" customFormat="1" ht="15" customHeight="1">
      <c r="A7" s="193" t="s">
        <v>49</v>
      </c>
      <c r="B7" s="214">
        <f>PotR!I8</f>
        <v>74.900000000000006</v>
      </c>
      <c r="C7" s="196">
        <f>PotR!G8</f>
        <v>970413.66666666663</v>
      </c>
      <c r="D7" s="196">
        <f>IF(B7&lt;100,(100-B7)^(1+p)*BEV,0)</f>
        <v>151931634.86323819</v>
      </c>
      <c r="E7" s="196">
        <f t="shared" si="0"/>
        <v>1002.3361337771037</v>
      </c>
      <c r="F7" s="215">
        <f t="shared" si="1"/>
        <v>972680682.81112969</v>
      </c>
      <c r="G7" s="216">
        <f>Dotation_PR!$D$25/Dotation_PR!$D$26*F7</f>
        <v>395514213.0097357</v>
      </c>
      <c r="H7" s="217">
        <f t="shared" si="2"/>
        <v>577166469.80139399</v>
      </c>
      <c r="J7" s="205" t="s">
        <v>111</v>
      </c>
      <c r="K7" s="218">
        <f>MIN(B6:B31)</f>
        <v>58.9</v>
      </c>
    </row>
    <row r="8" spans="1:12" s="187" customFormat="1" ht="15" customHeight="1">
      <c r="A8" s="188" t="s">
        <v>50</v>
      </c>
      <c r="B8" s="209">
        <f>PotR!I9</f>
        <v>76</v>
      </c>
      <c r="C8" s="191">
        <f>PotR!G9</f>
        <v>362202</v>
      </c>
      <c r="D8" s="191">
        <f t="shared" ref="D8:D31" si="3">IF(B8&lt;100,(100-RI)^(1+p)*BEV,0)</f>
        <v>52859730.205951065</v>
      </c>
      <c r="E8" s="191">
        <f t="shared" si="0"/>
        <v>934.32114574838204</v>
      </c>
      <c r="F8" s="210">
        <f t="shared" si="1"/>
        <v>338412987.63235545</v>
      </c>
      <c r="G8" s="211">
        <f>Dotation_PR!$D$25/Dotation_PR!$D$26*F8</f>
        <v>137606461.03185156</v>
      </c>
      <c r="H8" s="212">
        <f t="shared" si="2"/>
        <v>200806526.60050389</v>
      </c>
      <c r="J8" s="205" t="s">
        <v>112</v>
      </c>
      <c r="K8" s="218">
        <f>100-((sse*SUM)/((1+p)*B*100))^(1/p)</f>
        <v>58.900000000000098</v>
      </c>
    </row>
    <row r="9" spans="1:12" s="187" customFormat="1" ht="15" customHeight="1">
      <c r="A9" s="193" t="s">
        <v>51</v>
      </c>
      <c r="B9" s="214">
        <f>PotR!I10</f>
        <v>58.9</v>
      </c>
      <c r="C9" s="196">
        <f>PotR!G10</f>
        <v>34556.666666666664</v>
      </c>
      <c r="D9" s="196">
        <f t="shared" si="3"/>
        <v>11723011.138497917</v>
      </c>
      <c r="E9" s="196">
        <f t="shared" si="0"/>
        <v>2171.8479322826288</v>
      </c>
      <c r="F9" s="215">
        <f t="shared" si="1"/>
        <v>75051825.046580032</v>
      </c>
      <c r="G9" s="216">
        <f>Dotation_PR!$D$25/Dotation_PR!$D$26*F9</f>
        <v>30517788.666731831</v>
      </c>
      <c r="H9" s="217">
        <f t="shared" si="2"/>
        <v>44534036.379848197</v>
      </c>
      <c r="J9" s="219"/>
      <c r="K9" s="220"/>
    </row>
    <row r="10" spans="1:12" s="187" customFormat="1" ht="15" customHeight="1">
      <c r="A10" s="188" t="s">
        <v>52</v>
      </c>
      <c r="B10" s="209">
        <f>PotR!I11</f>
        <v>149.5</v>
      </c>
      <c r="C10" s="191">
        <f>PotR!G11</f>
        <v>140022.33333333334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PotR!I12</f>
        <v>81.099999999999994</v>
      </c>
      <c r="C11" s="196">
        <f>PotR!G12</f>
        <v>33775.666666666664</v>
      </c>
      <c r="D11" s="196">
        <f t="shared" si="3"/>
        <v>3389211.6779414387</v>
      </c>
      <c r="E11" s="196">
        <f t="shared" si="0"/>
        <v>642.41673248899508</v>
      </c>
      <c r="F11" s="215">
        <f t="shared" si="1"/>
        <v>21698053.417637467</v>
      </c>
      <c r="G11" s="216">
        <f>Dotation_PR!$D$25/Dotation_PR!$D$26*F11</f>
        <v>8822924.802534068</v>
      </c>
      <c r="H11" s="217">
        <f t="shared" si="2"/>
        <v>12875128.615103399</v>
      </c>
      <c r="J11" s="219"/>
      <c r="K11" s="220"/>
    </row>
    <row r="12" spans="1:12" s="187" customFormat="1" ht="15" customHeight="1">
      <c r="A12" s="188" t="s">
        <v>54</v>
      </c>
      <c r="B12" s="209">
        <f>PotR!I13</f>
        <v>123.2</v>
      </c>
      <c r="C12" s="191">
        <f>PotR!G13</f>
        <v>39617.666666666664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98</v>
      </c>
      <c r="K12" s="221">
        <f>Dotation_PR!D26</f>
        <v>3573135991.1741209</v>
      </c>
    </row>
    <row r="13" spans="1:12" s="187" customFormat="1" ht="15" customHeight="1">
      <c r="A13" s="193" t="s">
        <v>55</v>
      </c>
      <c r="B13" s="214">
        <f>PotR!I14</f>
        <v>66.099999999999994</v>
      </c>
      <c r="C13" s="196">
        <f>PotR!G14</f>
        <v>38066.666666666664</v>
      </c>
      <c r="D13" s="196">
        <f t="shared" si="3"/>
        <v>9547752.6436544005</v>
      </c>
      <c r="E13" s="196">
        <f t="shared" si="0"/>
        <v>1605.7516974625175</v>
      </c>
      <c r="F13" s="215">
        <f t="shared" si="1"/>
        <v>61125614.616739832</v>
      </c>
      <c r="G13" s="216">
        <f>Dotation_PR!$D$25/Dotation_PR!$D$26*F13</f>
        <v>24855072.982435938</v>
      </c>
      <c r="H13" s="217">
        <f t="shared" si="2"/>
        <v>36270541.634303898</v>
      </c>
      <c r="J13" s="205" t="s">
        <v>16</v>
      </c>
      <c r="K13" s="221">
        <f>RFS!E32</f>
        <v>8285.7958046011972</v>
      </c>
    </row>
    <row r="14" spans="1:12" s="187" customFormat="1" ht="15" customHeight="1">
      <c r="A14" s="188" t="s">
        <v>56</v>
      </c>
      <c r="B14" s="209">
        <f>PotR!I15</f>
        <v>250.1</v>
      </c>
      <c r="C14" s="191">
        <f>PotR!G15</f>
        <v>108856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PotR!I16</f>
        <v>71.5</v>
      </c>
      <c r="C15" s="196">
        <f>PotR!G16</f>
        <v>264252</v>
      </c>
      <c r="D15" s="196">
        <f t="shared" si="3"/>
        <v>50491474.065288082</v>
      </c>
      <c r="E15" s="196">
        <f t="shared" si="0"/>
        <v>1223.2686527902451</v>
      </c>
      <c r="F15" s="215">
        <f t="shared" si="1"/>
        <v>323251188.03712785</v>
      </c>
      <c r="G15" s="216">
        <f>Dotation_PR!$D$25/Dotation_PR!$D$26*F15</f>
        <v>131441326.53222649</v>
      </c>
      <c r="H15" s="217">
        <f t="shared" si="2"/>
        <v>191809861.50490135</v>
      </c>
    </row>
    <row r="16" spans="1:12" s="187" customFormat="1" ht="15" customHeight="1">
      <c r="A16" s="188" t="s">
        <v>58</v>
      </c>
      <c r="B16" s="209">
        <f>PotR!I17</f>
        <v>79.599999999999994</v>
      </c>
      <c r="C16" s="191">
        <f>PotR!G17</f>
        <v>249052.33333333334</v>
      </c>
      <c r="D16" s="191">
        <f t="shared" si="3"/>
        <v>28170427.764149293</v>
      </c>
      <c r="E16" s="191">
        <f t="shared" si="0"/>
        <v>724.14395010681983</v>
      </c>
      <c r="F16" s="210">
        <f t="shared" si="1"/>
        <v>180349740.44332039</v>
      </c>
      <c r="G16" s="211">
        <f>Dotation_PR!$D$25/Dotation_PR!$D$26*F16</f>
        <v>73334329.465449706</v>
      </c>
      <c r="H16" s="212">
        <f t="shared" si="2"/>
        <v>107015410.97787069</v>
      </c>
    </row>
    <row r="17" spans="1:8" s="187" customFormat="1" ht="15" customHeight="1">
      <c r="A17" s="193" t="s">
        <v>59</v>
      </c>
      <c r="B17" s="214">
        <f>PotR!I18</f>
        <v>148.9</v>
      </c>
      <c r="C17" s="196">
        <f>PotR!G18</f>
        <v>190210.66666666666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PotR!I19</f>
        <v>101.5</v>
      </c>
      <c r="C18" s="191">
        <f>PotR!G19</f>
        <v>267441.66666666669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Dotation_PR!$D$25/Dotation_PR!$D$26*F18</f>
        <v>0</v>
      </c>
      <c r="H18" s="212">
        <f t="shared" si="2"/>
        <v>0</v>
      </c>
    </row>
    <row r="19" spans="1:8" s="187" customFormat="1" ht="15" customHeight="1">
      <c r="A19" s="193" t="s">
        <v>61</v>
      </c>
      <c r="B19" s="214">
        <f>PotR!I20</f>
        <v>99.3</v>
      </c>
      <c r="C19" s="196">
        <f>PotR!G20</f>
        <v>74659.333333333328</v>
      </c>
      <c r="D19" s="196">
        <f t="shared" si="3"/>
        <v>42677.356636060977</v>
      </c>
      <c r="E19" s="196">
        <f t="shared" si="0"/>
        <v>3.6596157195644299</v>
      </c>
      <c r="F19" s="215">
        <f t="shared" si="1"/>
        <v>273224.46987886727</v>
      </c>
      <c r="G19" s="216">
        <f>Dotation_PR!$D$25/Dotation_PR!$D$26*F19</f>
        <v>111099.31870634855</v>
      </c>
      <c r="H19" s="217">
        <f t="shared" si="2"/>
        <v>162125.15117251873</v>
      </c>
    </row>
    <row r="20" spans="1:8" s="187" customFormat="1" ht="15" customHeight="1">
      <c r="A20" s="188" t="s">
        <v>62</v>
      </c>
      <c r="B20" s="209">
        <f>PotR!I21</f>
        <v>78.3</v>
      </c>
      <c r="C20" s="191">
        <f>PotR!G21</f>
        <v>52380.666666666664</v>
      </c>
      <c r="D20" s="191">
        <f t="shared" si="3"/>
        <v>6527436.630570475</v>
      </c>
      <c r="E20" s="191">
        <f t="shared" si="0"/>
        <v>797.79943178973633</v>
      </c>
      <c r="F20" s="210">
        <f t="shared" si="1"/>
        <v>41789266.10343425</v>
      </c>
      <c r="G20" s="211">
        <f>Dotation_PR!$D$25/Dotation_PR!$D$26*F20</f>
        <v>16992471.411466897</v>
      </c>
      <c r="H20" s="212">
        <f t="shared" si="2"/>
        <v>24796794.691967353</v>
      </c>
    </row>
    <row r="21" spans="1:8" s="187" customFormat="1" ht="15" customHeight="1">
      <c r="A21" s="193" t="s">
        <v>63</v>
      </c>
      <c r="B21" s="214">
        <f>PotR!I22</f>
        <v>82.3</v>
      </c>
      <c r="C21" s="196">
        <f>PotR!G22</f>
        <v>15105</v>
      </c>
      <c r="D21" s="196">
        <f t="shared" si="3"/>
        <v>1367556.9069405368</v>
      </c>
      <c r="E21" s="196">
        <f t="shared" si="0"/>
        <v>579.62453109926571</v>
      </c>
      <c r="F21" s="215">
        <f t="shared" si="1"/>
        <v>8755228.5422544088</v>
      </c>
      <c r="G21" s="216">
        <f>Dotation_PR!$D$25/Dotation_PR!$D$26*F21</f>
        <v>3560076.1769034956</v>
      </c>
      <c r="H21" s="217">
        <f t="shared" si="2"/>
        <v>5195152.3653509133</v>
      </c>
    </row>
    <row r="22" spans="1:8" s="187" customFormat="1" ht="15" customHeight="1">
      <c r="A22" s="188" t="s">
        <v>64</v>
      </c>
      <c r="B22" s="209">
        <f>PotR!I23</f>
        <v>76.7</v>
      </c>
      <c r="C22" s="191">
        <f>PotR!G23</f>
        <v>466380</v>
      </c>
      <c r="D22" s="191">
        <f t="shared" si="3"/>
        <v>64976579.674550295</v>
      </c>
      <c r="E22" s="191">
        <f t="shared" si="0"/>
        <v>891.94691642663872</v>
      </c>
      <c r="F22" s="210">
        <f t="shared" si="1"/>
        <v>415986202.88305575</v>
      </c>
      <c r="G22" s="211">
        <f>Dotation_PR!$D$25/Dotation_PR!$D$26*F22</f>
        <v>169149504.62540168</v>
      </c>
      <c r="H22" s="212">
        <f t="shared" si="2"/>
        <v>246836698.25765407</v>
      </c>
    </row>
    <row r="23" spans="1:8" s="187" customFormat="1" ht="15" customHeight="1">
      <c r="A23" s="193" t="s">
        <v>65</v>
      </c>
      <c r="B23" s="214">
        <f>PotR!I24</f>
        <v>80.2</v>
      </c>
      <c r="C23" s="196">
        <f>PotR!G24</f>
        <v>192118</v>
      </c>
      <c r="D23" s="196">
        <f t="shared" si="3"/>
        <v>20736801.597747903</v>
      </c>
      <c r="E23" s="196">
        <f t="shared" si="0"/>
        <v>691.02823943244516</v>
      </c>
      <c r="F23" s="215">
        <f t="shared" si="1"/>
        <v>132758963.3032825</v>
      </c>
      <c r="G23" s="216">
        <f>Dotation_PR!$D$25/Dotation_PR!$D$26*F23</f>
        <v>53982830.972990461</v>
      </c>
      <c r="H23" s="217">
        <f t="shared" si="2"/>
        <v>78776132.330292046</v>
      </c>
    </row>
    <row r="24" spans="1:8" s="187" customFormat="1" ht="15" customHeight="1">
      <c r="A24" s="188" t="s">
        <v>66</v>
      </c>
      <c r="B24" s="209">
        <f>PotR!I25</f>
        <v>87.3</v>
      </c>
      <c r="C24" s="191">
        <f>PotR!G25</f>
        <v>579660</v>
      </c>
      <c r="D24" s="191">
        <f t="shared" si="3"/>
        <v>31184577.401922695</v>
      </c>
      <c r="E24" s="191">
        <f t="shared" si="0"/>
        <v>344.42019673465671</v>
      </c>
      <c r="F24" s="210">
        <f t="shared" si="1"/>
        <v>199646611.23921111</v>
      </c>
      <c r="G24" s="211">
        <f>Dotation_PR!$D$25/Dotation_PR!$D$26*F24</f>
        <v>81180878.493574336</v>
      </c>
      <c r="H24" s="212">
        <f t="shared" si="2"/>
        <v>118465732.74563678</v>
      </c>
    </row>
    <row r="25" spans="1:8" s="187" customFormat="1" ht="15" customHeight="1">
      <c r="A25" s="193" t="s">
        <v>67</v>
      </c>
      <c r="B25" s="214">
        <f>PotR!I26</f>
        <v>76.599999999999994</v>
      </c>
      <c r="C25" s="196">
        <f>PotR!G26</f>
        <v>238239.66666666666</v>
      </c>
      <c r="D25" s="196">
        <f t="shared" si="3"/>
        <v>33415455.490287937</v>
      </c>
      <c r="E25" s="196">
        <f t="shared" si="0"/>
        <v>897.95669443131339</v>
      </c>
      <c r="F25" s="215">
        <f t="shared" si="1"/>
        <v>213928903.56241795</v>
      </c>
      <c r="G25" s="216">
        <f>Dotation_PR!$D$25/Dotation_PR!$D$26*F25</f>
        <v>86988385.220100954</v>
      </c>
      <c r="H25" s="217">
        <f t="shared" si="2"/>
        <v>126940518.342317</v>
      </c>
    </row>
    <row r="26" spans="1:8" s="187" customFormat="1" ht="15" customHeight="1">
      <c r="A26" s="188" t="s">
        <v>68</v>
      </c>
      <c r="B26" s="209">
        <f>PotR!I27</f>
        <v>99.3</v>
      </c>
      <c r="C26" s="191">
        <f>PotR!G27</f>
        <v>328023</v>
      </c>
      <c r="D26" s="191">
        <f t="shared" si="3"/>
        <v>187507.092962219</v>
      </c>
      <c r="E26" s="191">
        <f t="shared" si="0"/>
        <v>3.6596157195644299</v>
      </c>
      <c r="F26" s="210">
        <f t="shared" si="1"/>
        <v>1200438.1271786829</v>
      </c>
      <c r="G26" s="211">
        <f>Dotation_PR!$D$25/Dotation_PR!$D$26*F26</f>
        <v>488125.59921080514</v>
      </c>
      <c r="H26" s="212">
        <f t="shared" si="2"/>
        <v>712312.5279678778</v>
      </c>
    </row>
    <row r="27" spans="1:8" s="187" customFormat="1" ht="15" customHeight="1">
      <c r="A27" s="193" t="s">
        <v>69</v>
      </c>
      <c r="B27" s="214">
        <f>PotR!I28</f>
        <v>107.6</v>
      </c>
      <c r="C27" s="196">
        <f>PotR!G28</f>
        <v>680148.33333333337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PotR!I29</f>
        <v>67.099999999999994</v>
      </c>
      <c r="C28" s="191">
        <f>PotR!G29</f>
        <v>297090.66666666669</v>
      </c>
      <c r="D28" s="191">
        <f t="shared" si="3"/>
        <v>71097664.111420199</v>
      </c>
      <c r="E28" s="191">
        <f t="shared" si="0"/>
        <v>1532.1045556636122</v>
      </c>
      <c r="F28" s="210">
        <f t="shared" si="1"/>
        <v>455173963.84513968</v>
      </c>
      <c r="G28" s="211">
        <f>Dotation_PR!$D$25/Dotation_PR!$D$26*F28</f>
        <v>185084144.54416507</v>
      </c>
      <c r="H28" s="212">
        <f t="shared" si="2"/>
        <v>270089819.30097461</v>
      </c>
    </row>
    <row r="29" spans="1:8" s="187" customFormat="1" ht="15" customHeight="1">
      <c r="A29" s="193" t="s">
        <v>71</v>
      </c>
      <c r="B29" s="214">
        <f>PotR!I30</f>
        <v>96</v>
      </c>
      <c r="C29" s="196">
        <f>PotR!G30</f>
        <v>170132.33333333334</v>
      </c>
      <c r="D29" s="196">
        <f t="shared" si="3"/>
        <v>1495609.3692168866</v>
      </c>
      <c r="E29" s="196">
        <f t="shared" si="0"/>
        <v>56.279910574076304</v>
      </c>
      <c r="F29" s="215">
        <f t="shared" si="1"/>
        <v>9575032.5057589412</v>
      </c>
      <c r="G29" s="216">
        <f>Dotation_PR!$D$25/Dotation_PR!$D$26*F29</f>
        <v>3893427.2192112999</v>
      </c>
      <c r="H29" s="217">
        <f t="shared" si="2"/>
        <v>5681605.2865476413</v>
      </c>
    </row>
    <row r="30" spans="1:8" s="187" customFormat="1" ht="15" customHeight="1">
      <c r="A30" s="188" t="s">
        <v>72</v>
      </c>
      <c r="B30" s="209">
        <f>PotR!I31</f>
        <v>148.80000000000001</v>
      </c>
      <c r="C30" s="191">
        <f>PotR!G31</f>
        <v>442832.66666666669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PotR!I32</f>
        <v>63.8</v>
      </c>
      <c r="C31" s="196">
        <f>PotR!G32</f>
        <v>68252.333333333328</v>
      </c>
      <c r="D31" s="196">
        <f t="shared" si="3"/>
        <v>18974737.834289473</v>
      </c>
      <c r="E31" s="196">
        <f t="shared" si="0"/>
        <v>1779.8375330897322</v>
      </c>
      <c r="F31" s="215">
        <f t="shared" si="1"/>
        <v>121478064.5876181</v>
      </c>
      <c r="G31" s="216">
        <f>Dotation_PR!$D$25/Dotation_PR!$D$26*F31</f>
        <v>49395759.53586302</v>
      </c>
      <c r="H31" s="217">
        <f t="shared" si="2"/>
        <v>72082305.051755071</v>
      </c>
    </row>
    <row r="32" spans="1:8">
      <c r="A32" s="198" t="s">
        <v>74</v>
      </c>
      <c r="B32" s="222">
        <f>PotR!I33</f>
        <v>100</v>
      </c>
      <c r="C32" s="200">
        <f>PotR!G33</f>
        <v>7629088</v>
      </c>
      <c r="D32" s="200">
        <f>SUM(D6:D31)</f>
        <v>558119845.82526505</v>
      </c>
      <c r="E32" s="200"/>
      <c r="F32" s="200">
        <f>SUM(F6:F31)</f>
        <v>3573135991.1741209</v>
      </c>
      <c r="G32" s="223">
        <f>SUM(G6:G31)</f>
        <v>1452918819.6085596</v>
      </c>
      <c r="H32" s="224">
        <f>SUM(H6:H31)</f>
        <v>2120217171.5655618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20" t="str">
        <f>"Recette fiscale standardisée (RFS) "&amp;Info!C30</f>
        <v>Recette fiscale standardisée (RFS) 2012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FA_2012_20120430_alpha0.7</v>
      </c>
    </row>
    <row r="2" spans="1:10" s="2" customFormat="1">
      <c r="A2" s="62" t="s">
        <v>28</v>
      </c>
      <c r="B2" s="176" t="s">
        <v>98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113</v>
      </c>
    </row>
    <row r="3" spans="1:10" s="27" customFormat="1" ht="11.25" customHeight="1">
      <c r="A3" s="66" t="s">
        <v>36</v>
      </c>
      <c r="B3" s="226"/>
      <c r="C3" s="67"/>
      <c r="D3" s="67"/>
      <c r="E3" s="67" t="s">
        <v>114</v>
      </c>
      <c r="F3" s="67"/>
      <c r="G3" s="67" t="s">
        <v>115</v>
      </c>
      <c r="H3" s="227" t="s">
        <v>116</v>
      </c>
      <c r="J3" s="228" t="s">
        <v>117</v>
      </c>
    </row>
    <row r="4" spans="1:10" ht="69" customHeight="1">
      <c r="A4" s="181"/>
      <c r="B4" s="229" t="s">
        <v>42</v>
      </c>
      <c r="C4" s="229" t="s">
        <v>118</v>
      </c>
      <c r="D4" s="202" t="s">
        <v>7</v>
      </c>
      <c r="E4" s="229" t="s">
        <v>119</v>
      </c>
      <c r="F4" s="202" t="s">
        <v>120</v>
      </c>
      <c r="G4" s="229" t="s">
        <v>121</v>
      </c>
      <c r="H4" s="184" t="s">
        <v>122</v>
      </c>
      <c r="I4" s="230"/>
      <c r="J4" s="231" t="s">
        <v>123</v>
      </c>
    </row>
    <row r="5" spans="1:10" s="36" customFormat="1" ht="11.25" customHeight="1">
      <c r="A5" s="77" t="s">
        <v>44</v>
      </c>
      <c r="B5" s="185" t="s">
        <v>81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>
      <c r="A6" s="237" t="s">
        <v>48</v>
      </c>
      <c r="B6" s="238">
        <f>PotR!I7</f>
        <v>123</v>
      </c>
      <c r="C6" s="47">
        <f>PotR!H7/PotR!$H$33*sse*D6</f>
        <v>13508493889.702671</v>
      </c>
      <c r="D6" s="239">
        <f>PotR!G7</f>
        <v>1325598.6666666667</v>
      </c>
      <c r="E6" s="47">
        <f t="shared" ref="E6:E32" si="0">C6/D6</f>
        <v>10190.485423217086</v>
      </c>
      <c r="F6" s="47">
        <f>IF(B6&gt;100,-Montants_versés!F7,Montants_reçus!F6)/D6</f>
        <v>-366.57624371467125</v>
      </c>
      <c r="G6" s="47">
        <f t="shared" ref="G6:G31" si="1">E6+F6</f>
        <v>9823.9091795024142</v>
      </c>
      <c r="H6" s="48">
        <f t="shared" ref="H6:H31" si="2">ROUND(G6/E$32*100,1)</f>
        <v>118.6</v>
      </c>
      <c r="J6" s="240">
        <f t="shared" ref="J6:J32" si="3">E6-E$32</f>
        <v>1904.6896186158883</v>
      </c>
    </row>
    <row r="7" spans="1:10">
      <c r="A7" s="241" t="s">
        <v>49</v>
      </c>
      <c r="B7" s="242">
        <f>PotR!I8</f>
        <v>74.900000000000006</v>
      </c>
      <c r="C7" s="52">
        <f>PotR!H8/PotR!$H$33*sse*D7</f>
        <v>6025453464.410677</v>
      </c>
      <c r="D7" s="243">
        <f>PotR!G8</f>
        <v>970413.66666666663</v>
      </c>
      <c r="E7" s="52">
        <f t="shared" si="0"/>
        <v>6209.1597340213439</v>
      </c>
      <c r="F7" s="52">
        <f>IF(B7&gt;100,-Montants_versés!F8,Montants_reçus!F7)/D7</f>
        <v>1002.3361337771037</v>
      </c>
      <c r="G7" s="52">
        <f t="shared" si="1"/>
        <v>7211.4958677984478</v>
      </c>
      <c r="H7" s="53">
        <f t="shared" si="2"/>
        <v>87</v>
      </c>
      <c r="J7" s="244">
        <f t="shared" si="3"/>
        <v>-2076.6360705798534</v>
      </c>
    </row>
    <row r="8" spans="1:10">
      <c r="A8" s="245" t="s">
        <v>50</v>
      </c>
      <c r="B8" s="246">
        <f>PotR!I9</f>
        <v>76</v>
      </c>
      <c r="C8" s="56">
        <f>PotR!H9/PotR!$H$33*sse*D8</f>
        <v>2281976668.4134278</v>
      </c>
      <c r="D8" s="247">
        <f>PotR!G9</f>
        <v>362202</v>
      </c>
      <c r="E8" s="56">
        <f t="shared" si="0"/>
        <v>6300.2873214764904</v>
      </c>
      <c r="F8" s="56">
        <f>IF(B8&gt;100,-Montants_versés!F9,Montants_reçus!F8)/D8</f>
        <v>934.32114574838204</v>
      </c>
      <c r="G8" s="56">
        <f t="shared" si="1"/>
        <v>7234.6084672248726</v>
      </c>
      <c r="H8" s="57">
        <f t="shared" si="2"/>
        <v>87.3</v>
      </c>
      <c r="J8" s="248">
        <f t="shared" si="3"/>
        <v>-1985.5084831247068</v>
      </c>
    </row>
    <row r="9" spans="1:10">
      <c r="A9" s="241" t="s">
        <v>51</v>
      </c>
      <c r="B9" s="242">
        <f>PotR!I10</f>
        <v>58.9</v>
      </c>
      <c r="C9" s="52">
        <f>PotR!H10/PotR!$H$33*sse*D9</f>
        <v>168622991.87435937</v>
      </c>
      <c r="D9" s="243">
        <f>PotR!G10</f>
        <v>34556.666666666664</v>
      </c>
      <c r="E9" s="52">
        <f t="shared" si="0"/>
        <v>4879.6081375815393</v>
      </c>
      <c r="F9" s="52">
        <f>IF(B9&gt;100,-Montants_versés!F10,Montants_reçus!F9)/D9</f>
        <v>2171.8479322826288</v>
      </c>
      <c r="G9" s="52">
        <f t="shared" si="1"/>
        <v>7051.4560698641681</v>
      </c>
      <c r="H9" s="53">
        <f t="shared" si="2"/>
        <v>85.1</v>
      </c>
      <c r="J9" s="244">
        <f t="shared" si="3"/>
        <v>-3406.187667019658</v>
      </c>
    </row>
    <row r="10" spans="1:10">
      <c r="A10" s="245" t="s">
        <v>52</v>
      </c>
      <c r="B10" s="246">
        <f>PotR!I11</f>
        <v>149.5</v>
      </c>
      <c r="C10" s="56">
        <f>PotR!H11/PotR!$H$33*sse*D10</f>
        <v>1735006720.9131629</v>
      </c>
      <c r="D10" s="247">
        <f>PotR!G11</f>
        <v>140022.33333333334</v>
      </c>
      <c r="E10" s="56">
        <f t="shared" si="0"/>
        <v>12390.928501261677</v>
      </c>
      <c r="F10" s="56">
        <f>IF(B10&gt;100,-Montants_versés!F11,Montants_reçus!F10)/D10</f>
        <v>-788.9358288641838</v>
      </c>
      <c r="G10" s="56">
        <f t="shared" si="1"/>
        <v>11601.992672397493</v>
      </c>
      <c r="H10" s="57">
        <f t="shared" si="2"/>
        <v>140</v>
      </c>
      <c r="J10" s="248">
        <f t="shared" si="3"/>
        <v>4105.1326966604793</v>
      </c>
    </row>
    <row r="11" spans="1:10">
      <c r="A11" s="241" t="s">
        <v>53</v>
      </c>
      <c r="B11" s="242">
        <f>PotR!I12</f>
        <v>81.099999999999994</v>
      </c>
      <c r="C11" s="52">
        <f>PotR!H12/PotR!$H$33*sse*D11</f>
        <v>226839500.93643522</v>
      </c>
      <c r="D11" s="243">
        <f>PotR!G12</f>
        <v>33775.666666666664</v>
      </c>
      <c r="E11" s="52">
        <f t="shared" si="0"/>
        <v>6716.0628737582847</v>
      </c>
      <c r="F11" s="52">
        <f>IF(B11&gt;100,-Montants_versés!F12,Montants_reçus!F11)/D11</f>
        <v>642.41673248899508</v>
      </c>
      <c r="G11" s="52">
        <f t="shared" si="1"/>
        <v>7358.4796062472797</v>
      </c>
      <c r="H11" s="53">
        <f t="shared" si="2"/>
        <v>88.8</v>
      </c>
      <c r="J11" s="244">
        <f t="shared" si="3"/>
        <v>-1569.7329308429125</v>
      </c>
    </row>
    <row r="12" spans="1:10">
      <c r="A12" s="245" t="s">
        <v>54</v>
      </c>
      <c r="B12" s="246">
        <f>PotR!I13</f>
        <v>123.2</v>
      </c>
      <c r="C12" s="56">
        <f>PotR!H13/PotR!$H$33*sse*D12</f>
        <v>404402265.79545063</v>
      </c>
      <c r="D12" s="247">
        <f>PotR!G13</f>
        <v>39617.666666666664</v>
      </c>
      <c r="E12" s="56">
        <f t="shared" si="0"/>
        <v>10207.624522614928</v>
      </c>
      <c r="F12" s="56">
        <f>IF(B12&gt;100,-Montants_versés!F13,Montants_reçus!F12)/D12</f>
        <v>-369.76386322523365</v>
      </c>
      <c r="G12" s="56">
        <f t="shared" si="1"/>
        <v>9837.8606593896948</v>
      </c>
      <c r="H12" s="57">
        <f t="shared" si="2"/>
        <v>118.7</v>
      </c>
      <c r="J12" s="248">
        <f t="shared" si="3"/>
        <v>1921.8287180137304</v>
      </c>
    </row>
    <row r="13" spans="1:10">
      <c r="A13" s="241" t="s">
        <v>55</v>
      </c>
      <c r="B13" s="242">
        <f>PotR!I14</f>
        <v>66.099999999999994</v>
      </c>
      <c r="C13" s="52">
        <f>PotR!H14/PotR!$H$33*sse*D13</f>
        <v>208336018.45985174</v>
      </c>
      <c r="D13" s="243">
        <f>PotR!G14</f>
        <v>38066.666666666664</v>
      </c>
      <c r="E13" s="52">
        <f t="shared" si="0"/>
        <v>5472.9251784549497</v>
      </c>
      <c r="F13" s="52">
        <f>IF(B13&gt;100,-Montants_versés!F14,Montants_reçus!F13)/D13</f>
        <v>1605.7516974625175</v>
      </c>
      <c r="G13" s="52">
        <f t="shared" si="1"/>
        <v>7078.6768759174674</v>
      </c>
      <c r="H13" s="53">
        <f t="shared" si="2"/>
        <v>85.4</v>
      </c>
      <c r="J13" s="244">
        <f t="shared" si="3"/>
        <v>-2812.8706261462476</v>
      </c>
    </row>
    <row r="14" spans="1:10">
      <c r="A14" s="245" t="s">
        <v>56</v>
      </c>
      <c r="B14" s="246">
        <f>PotR!I15</f>
        <v>250.1</v>
      </c>
      <c r="C14" s="56">
        <f>PotR!H15/PotR!$H$33*sse*D14</f>
        <v>2256188825.6245995</v>
      </c>
      <c r="D14" s="247">
        <f>PotR!G15</f>
        <v>108856</v>
      </c>
      <c r="E14" s="56">
        <f t="shared" si="0"/>
        <v>20726.361667015135</v>
      </c>
      <c r="F14" s="56">
        <f>IF(B14&gt;100,-Montants_versés!F15,Montants_reçus!F14)/D14</f>
        <v>-2392.3084426770502</v>
      </c>
      <c r="G14" s="56">
        <f t="shared" si="1"/>
        <v>18334.053224338084</v>
      </c>
      <c r="H14" s="57">
        <f t="shared" si="2"/>
        <v>221.3</v>
      </c>
      <c r="J14" s="248">
        <f t="shared" si="3"/>
        <v>12440.565862413938</v>
      </c>
    </row>
    <row r="15" spans="1:10">
      <c r="A15" s="241" t="s">
        <v>57</v>
      </c>
      <c r="B15" s="242">
        <f>PotR!I16</f>
        <v>71.5</v>
      </c>
      <c r="C15" s="52">
        <f>PotR!H16/PotR!$H$33*sse*D15</f>
        <v>1564461263.0697916</v>
      </c>
      <c r="D15" s="243">
        <f>PotR!G16</f>
        <v>264252</v>
      </c>
      <c r="E15" s="52">
        <f t="shared" si="0"/>
        <v>5920.3384007303312</v>
      </c>
      <c r="F15" s="52">
        <f>IF(B15&gt;100,-Montants_versés!F16,Montants_reçus!F15)/D15</f>
        <v>1223.2686527902451</v>
      </c>
      <c r="G15" s="52">
        <f t="shared" si="1"/>
        <v>7143.6070535205763</v>
      </c>
      <c r="H15" s="53">
        <f t="shared" si="2"/>
        <v>86.2</v>
      </c>
      <c r="J15" s="244">
        <f t="shared" si="3"/>
        <v>-2365.4574038708661</v>
      </c>
    </row>
    <row r="16" spans="1:10">
      <c r="A16" s="245" t="s">
        <v>58</v>
      </c>
      <c r="B16" s="246">
        <f>PotR!I17</f>
        <v>79.599999999999994</v>
      </c>
      <c r="C16" s="56">
        <f>PotR!H17/PotR!$H$33*sse*D16</f>
        <v>1643438762.0100574</v>
      </c>
      <c r="D16" s="247">
        <f>PotR!G17</f>
        <v>249052.33333333334</v>
      </c>
      <c r="E16" s="56">
        <f t="shared" si="0"/>
        <v>6598.768780899024</v>
      </c>
      <c r="F16" s="56">
        <f>IF(B16&gt;100,-Montants_versés!F17,Montants_reçus!F16)/D16</f>
        <v>724.14395010681983</v>
      </c>
      <c r="G16" s="56">
        <f t="shared" si="1"/>
        <v>7322.9127310058439</v>
      </c>
      <c r="H16" s="57">
        <f t="shared" si="2"/>
        <v>88.4</v>
      </c>
      <c r="J16" s="248">
        <f t="shared" si="3"/>
        <v>-1687.0270237021732</v>
      </c>
    </row>
    <row r="17" spans="1:10">
      <c r="A17" s="241" t="s">
        <v>59</v>
      </c>
      <c r="B17" s="242">
        <f>PotR!I18</f>
        <v>148.9</v>
      </c>
      <c r="C17" s="52">
        <f>PotR!H18/PotR!$H$33*sse*D17</f>
        <v>2346261206.9642596</v>
      </c>
      <c r="D17" s="243">
        <f>PotR!G18</f>
        <v>190210.66666666666</v>
      </c>
      <c r="E17" s="52">
        <f t="shared" si="0"/>
        <v>12335.06641915066</v>
      </c>
      <c r="F17" s="52">
        <f>IF(B17&gt;100,-Montants_versés!F18,Montants_reçus!F17)/D17</f>
        <v>-779.37297033249683</v>
      </c>
      <c r="G17" s="52">
        <f t="shared" si="1"/>
        <v>11555.693448818163</v>
      </c>
      <c r="H17" s="53">
        <f t="shared" si="2"/>
        <v>139.5</v>
      </c>
      <c r="J17" s="244">
        <f t="shared" si="3"/>
        <v>4049.2706145494631</v>
      </c>
    </row>
    <row r="18" spans="1:10">
      <c r="A18" s="245" t="s">
        <v>60</v>
      </c>
      <c r="B18" s="246">
        <f>PotR!I19</f>
        <v>101.5</v>
      </c>
      <c r="C18" s="56">
        <f>PotR!H19/PotR!$H$33*sse*D18</f>
        <v>2249333437.4614844</v>
      </c>
      <c r="D18" s="247">
        <f>PotR!G19</f>
        <v>267441.66666666669</v>
      </c>
      <c r="E18" s="56">
        <f t="shared" si="0"/>
        <v>8410.5572085930926</v>
      </c>
      <c r="F18" s="56">
        <f>IF(B18&gt;100,-Montants_versés!F19,Montants_reçus!F18)/D18</f>
        <v>-23.907146329217689</v>
      </c>
      <c r="G18" s="56">
        <f t="shared" si="1"/>
        <v>8386.6500622638741</v>
      </c>
      <c r="H18" s="57">
        <f t="shared" si="2"/>
        <v>101.2</v>
      </c>
      <c r="J18" s="248">
        <f t="shared" si="3"/>
        <v>124.76140399189535</v>
      </c>
    </row>
    <row r="19" spans="1:10">
      <c r="A19" s="241" t="s">
        <v>61</v>
      </c>
      <c r="B19" s="242">
        <f>PotR!I20</f>
        <v>99.3</v>
      </c>
      <c r="C19" s="52">
        <f>PotR!H20/PotR!$H$33*sse*D19</f>
        <v>614273141.58120394</v>
      </c>
      <c r="D19" s="243">
        <f>PotR!G20</f>
        <v>74659.333333333328</v>
      </c>
      <c r="E19" s="52">
        <f t="shared" si="0"/>
        <v>8227.68050765527</v>
      </c>
      <c r="F19" s="52">
        <f>IF(B19&gt;100,-Montants_versés!F20,Montants_reçus!F19)/D19</f>
        <v>3.6596157195644299</v>
      </c>
      <c r="G19" s="52">
        <f t="shared" si="1"/>
        <v>8231.3401233748336</v>
      </c>
      <c r="H19" s="53">
        <f t="shared" si="2"/>
        <v>99.3</v>
      </c>
      <c r="J19" s="244">
        <f t="shared" si="3"/>
        <v>-58.115296945927184</v>
      </c>
    </row>
    <row r="20" spans="1:10">
      <c r="A20" s="245" t="s">
        <v>62</v>
      </c>
      <c r="B20" s="246">
        <f>PotR!I21</f>
        <v>78.3</v>
      </c>
      <c r="C20" s="56">
        <f>PotR!H21/PotR!$H$33*sse*D20</f>
        <v>339869827.11435074</v>
      </c>
      <c r="D20" s="247">
        <f>PotR!G21</f>
        <v>52380.666666666664</v>
      </c>
      <c r="E20" s="56">
        <f t="shared" si="0"/>
        <v>6488.4593637795897</v>
      </c>
      <c r="F20" s="56">
        <f>IF(B20&gt;100,-Montants_versés!F21,Montants_reçus!F20)/D20</f>
        <v>797.79943178973633</v>
      </c>
      <c r="G20" s="56">
        <f t="shared" si="1"/>
        <v>7286.2587955693261</v>
      </c>
      <c r="H20" s="57">
        <f t="shared" si="2"/>
        <v>87.9</v>
      </c>
      <c r="J20" s="248">
        <f t="shared" si="3"/>
        <v>-1797.3364408216075</v>
      </c>
    </row>
    <row r="21" spans="1:10">
      <c r="A21" s="241" t="s">
        <v>63</v>
      </c>
      <c r="B21" s="242">
        <f>PotR!I22</f>
        <v>82.3</v>
      </c>
      <c r="C21" s="52">
        <f>PotR!H22/PotR!$H$33*sse*D21</f>
        <v>102990133.03056379</v>
      </c>
      <c r="D21" s="243">
        <f>PotR!G22</f>
        <v>15105</v>
      </c>
      <c r="E21" s="52">
        <f t="shared" si="0"/>
        <v>6818.2809023875398</v>
      </c>
      <c r="F21" s="52">
        <f>IF(B21&gt;100,-Montants_versés!F22,Montants_reçus!F21)/D21</f>
        <v>579.62453109926571</v>
      </c>
      <c r="G21" s="52">
        <f t="shared" si="1"/>
        <v>7397.9054334868051</v>
      </c>
      <c r="H21" s="53">
        <f t="shared" si="2"/>
        <v>89.3</v>
      </c>
      <c r="J21" s="244">
        <f t="shared" si="3"/>
        <v>-1467.5149022136575</v>
      </c>
    </row>
    <row r="22" spans="1:10">
      <c r="A22" s="245" t="s">
        <v>64</v>
      </c>
      <c r="B22" s="246">
        <f>PotR!I23</f>
        <v>76.7</v>
      </c>
      <c r="C22" s="56">
        <f>PotR!H23/PotR!$H$33*sse*D22</f>
        <v>2963770507.0733786</v>
      </c>
      <c r="D22" s="247">
        <f>PotR!G23</f>
        <v>466380</v>
      </c>
      <c r="E22" s="56">
        <f t="shared" si="0"/>
        <v>6354.8404886002372</v>
      </c>
      <c r="F22" s="56">
        <f>IF(B22&gt;100,-Montants_versés!F23,Montants_reçus!F22)/D22</f>
        <v>891.94691642663872</v>
      </c>
      <c r="G22" s="56">
        <f t="shared" si="1"/>
        <v>7246.7874050268756</v>
      </c>
      <c r="H22" s="57">
        <f t="shared" si="2"/>
        <v>87.5</v>
      </c>
      <c r="J22" s="248">
        <f t="shared" si="3"/>
        <v>-1930.95531600096</v>
      </c>
    </row>
    <row r="23" spans="1:10">
      <c r="A23" s="241" t="s">
        <v>65</v>
      </c>
      <c r="B23" s="242">
        <f>PotR!I24</f>
        <v>80.2</v>
      </c>
      <c r="C23" s="52">
        <f>PotR!H24/PotR!$H$33*sse*D23</f>
        <v>1277294277.8990388</v>
      </c>
      <c r="D23" s="243">
        <f>PotR!G24</f>
        <v>192118</v>
      </c>
      <c r="E23" s="52">
        <f t="shared" si="0"/>
        <v>6648.4883139478798</v>
      </c>
      <c r="F23" s="52">
        <f>IF(B23&gt;100,-Montants_versés!F24,Montants_reçus!F23)/D23</f>
        <v>691.02823943244516</v>
      </c>
      <c r="G23" s="52">
        <f t="shared" si="1"/>
        <v>7339.5165533803247</v>
      </c>
      <c r="H23" s="53">
        <f t="shared" si="2"/>
        <v>88.6</v>
      </c>
      <c r="J23" s="244">
        <f t="shared" si="3"/>
        <v>-1637.3074906533175</v>
      </c>
    </row>
    <row r="24" spans="1:10">
      <c r="A24" s="245" t="s">
        <v>66</v>
      </c>
      <c r="B24" s="246">
        <f>PotR!I25</f>
        <v>87.3</v>
      </c>
      <c r="C24" s="56">
        <f>PotR!H25/PotR!$H$33*sse*D24</f>
        <v>4193124508.3986311</v>
      </c>
      <c r="D24" s="247">
        <f>PotR!G25</f>
        <v>579660</v>
      </c>
      <c r="E24" s="56">
        <f t="shared" si="0"/>
        <v>7233.7654977031898</v>
      </c>
      <c r="F24" s="56">
        <f>IF(B24&gt;100,-Montants_versés!F25,Montants_reçus!F24)/D24</f>
        <v>344.42019673465671</v>
      </c>
      <c r="G24" s="56">
        <f t="shared" si="1"/>
        <v>7578.1856944378469</v>
      </c>
      <c r="H24" s="57">
        <f t="shared" si="2"/>
        <v>91.5</v>
      </c>
      <c r="J24" s="248">
        <f t="shared" si="3"/>
        <v>-1052.0303068980074</v>
      </c>
    </row>
    <row r="25" spans="1:10">
      <c r="A25" s="241" t="s">
        <v>67</v>
      </c>
      <c r="B25" s="242">
        <f>PotR!I26</f>
        <v>76.599999999999994</v>
      </c>
      <c r="C25" s="52">
        <f>PotR!H26/PotR!$H$33*sse*D25</f>
        <v>1511764049.4935586</v>
      </c>
      <c r="D25" s="243">
        <f>PotR!G26</f>
        <v>238239.66666666666</v>
      </c>
      <c r="E25" s="52">
        <f t="shared" si="0"/>
        <v>6345.5597913035417</v>
      </c>
      <c r="F25" s="52">
        <f>IF(B25&gt;100,-Montants_versés!F26,Montants_reçus!F25)/D25</f>
        <v>897.95669443131339</v>
      </c>
      <c r="G25" s="52">
        <f t="shared" si="1"/>
        <v>7243.5164857348555</v>
      </c>
      <c r="H25" s="53">
        <f t="shared" si="2"/>
        <v>87.4</v>
      </c>
      <c r="J25" s="244">
        <f t="shared" si="3"/>
        <v>-1940.2360132976555</v>
      </c>
    </row>
    <row r="26" spans="1:10">
      <c r="A26" s="245" t="s">
        <v>68</v>
      </c>
      <c r="B26" s="246">
        <f>PotR!I27</f>
        <v>99.3</v>
      </c>
      <c r="C26" s="56">
        <f>PotR!H27/PotR!$H$33*sse*D26</f>
        <v>2700113434.8059716</v>
      </c>
      <c r="D26" s="247">
        <f>PotR!G27</f>
        <v>328023</v>
      </c>
      <c r="E26" s="56">
        <f t="shared" si="0"/>
        <v>8231.4759477413827</v>
      </c>
      <c r="F26" s="56">
        <f>IF(B26&gt;100,-Montants_versés!F27,Montants_reçus!F26)/D26</f>
        <v>3.6596157195644299</v>
      </c>
      <c r="G26" s="56">
        <f t="shared" si="1"/>
        <v>8235.1355634609463</v>
      </c>
      <c r="H26" s="57">
        <f t="shared" si="2"/>
        <v>99.4</v>
      </c>
      <c r="J26" s="248">
        <f t="shared" si="3"/>
        <v>-54.319856859814536</v>
      </c>
    </row>
    <row r="27" spans="1:10">
      <c r="A27" s="241" t="s">
        <v>69</v>
      </c>
      <c r="B27" s="242">
        <f>PotR!I28</f>
        <v>107.6</v>
      </c>
      <c r="C27" s="52">
        <f>PotR!H28/PotR!$H$33*sse*D27</f>
        <v>6064412804.4179935</v>
      </c>
      <c r="D27" s="243">
        <f>PotR!G28</f>
        <v>680148.33333333337</v>
      </c>
      <c r="E27" s="52">
        <f t="shared" si="0"/>
        <v>8916.3091449433723</v>
      </c>
      <c r="F27" s="52">
        <f>IF(B27&gt;100,-Montants_versés!F28,Montants_reçus!F27)/D27</f>
        <v>-121.12954140136954</v>
      </c>
      <c r="G27" s="52">
        <f t="shared" si="1"/>
        <v>8795.179603542003</v>
      </c>
      <c r="H27" s="53">
        <f t="shared" si="2"/>
        <v>106.1</v>
      </c>
      <c r="J27" s="244">
        <f t="shared" si="3"/>
        <v>630.51334034217507</v>
      </c>
    </row>
    <row r="28" spans="1:10">
      <c r="A28" s="245" t="s">
        <v>70</v>
      </c>
      <c r="B28" s="246">
        <f>PotR!I29</f>
        <v>67.099999999999994</v>
      </c>
      <c r="C28" s="56">
        <f>PotR!H29/PotR!$H$33*sse*D28</f>
        <v>1652835805.8662629</v>
      </c>
      <c r="D28" s="247">
        <f>PotR!G29</f>
        <v>297090.66666666669</v>
      </c>
      <c r="E28" s="56">
        <f t="shared" si="0"/>
        <v>5563.4053550417702</v>
      </c>
      <c r="F28" s="56">
        <f>IF(B28&gt;100,-Montants_versés!F29,Montants_reçus!F28)/D28</f>
        <v>1532.1045556636122</v>
      </c>
      <c r="G28" s="56">
        <f t="shared" si="1"/>
        <v>7095.5099107053829</v>
      </c>
      <c r="H28" s="57">
        <f t="shared" si="2"/>
        <v>85.6</v>
      </c>
      <c r="J28" s="248">
        <f t="shared" si="3"/>
        <v>-2722.390449559427</v>
      </c>
    </row>
    <row r="29" spans="1:10">
      <c r="A29" s="241" t="s">
        <v>71</v>
      </c>
      <c r="B29" s="242">
        <f>PotR!I30</f>
        <v>96</v>
      </c>
      <c r="C29" s="52">
        <f>PotR!H30/PotR!$H$33*sse*D29</f>
        <v>1353824211.4799075</v>
      </c>
      <c r="D29" s="243">
        <f>PotR!G30</f>
        <v>170132.33333333334</v>
      </c>
      <c r="E29" s="52">
        <f t="shared" si="0"/>
        <v>7957.4774821163182</v>
      </c>
      <c r="F29" s="52">
        <f>IF(B29&gt;100,-Montants_versés!F30,Montants_reçus!F29)/D29</f>
        <v>56.279910574076304</v>
      </c>
      <c r="G29" s="52">
        <f t="shared" si="1"/>
        <v>8013.7573926903942</v>
      </c>
      <c r="H29" s="53">
        <f t="shared" si="2"/>
        <v>96.7</v>
      </c>
      <c r="J29" s="244">
        <f t="shared" si="3"/>
        <v>-328.31832248487899</v>
      </c>
    </row>
    <row r="30" spans="1:10">
      <c r="A30" s="245" t="s">
        <v>72</v>
      </c>
      <c r="B30" s="246">
        <f>PotR!I31</f>
        <v>148.80000000000001</v>
      </c>
      <c r="C30" s="56">
        <f>PotR!H31/PotR!$H$33*sse*D30</f>
        <v>5459224895.0294218</v>
      </c>
      <c r="D30" s="247">
        <f>PotR!G31</f>
        <v>442832.66666666669</v>
      </c>
      <c r="E30" s="56">
        <f t="shared" si="0"/>
        <v>12327.963372988341</v>
      </c>
      <c r="F30" s="56">
        <f>IF(B30&gt;100,-Montants_versés!F31,Montants_reçus!F30)/D30</f>
        <v>-777.77916057721563</v>
      </c>
      <c r="G30" s="56">
        <f t="shared" si="1"/>
        <v>11550.184212411124</v>
      </c>
      <c r="H30" s="57">
        <f t="shared" si="2"/>
        <v>139.4</v>
      </c>
      <c r="J30" s="248">
        <f t="shared" si="3"/>
        <v>4042.1675683871435</v>
      </c>
    </row>
    <row r="31" spans="1:10">
      <c r="A31" s="241" t="s">
        <v>73</v>
      </c>
      <c r="B31" s="249">
        <f>PotR!I32</f>
        <v>63.8</v>
      </c>
      <c r="C31" s="130">
        <f>PotR!H32/PotR!$H$33*sse*D31</f>
        <v>360752731.50683004</v>
      </c>
      <c r="D31" s="250">
        <f>PotR!G32</f>
        <v>68252.333333333328</v>
      </c>
      <c r="E31" s="130">
        <f t="shared" si="0"/>
        <v>5285.5736044212908</v>
      </c>
      <c r="F31" s="130">
        <f>IF(B31&gt;100,-Montants_versés!F32,Montants_reçus!F31)/D31</f>
        <v>1779.8375330897322</v>
      </c>
      <c r="G31" s="130">
        <f t="shared" si="1"/>
        <v>7065.4111375110233</v>
      </c>
      <c r="H31" s="251">
        <f t="shared" si="2"/>
        <v>85.3</v>
      </c>
      <c r="J31" s="252">
        <f t="shared" si="3"/>
        <v>-3000.2222001799064</v>
      </c>
    </row>
    <row r="32" spans="1:10" s="187" customFormat="1" ht="15" customHeight="1">
      <c r="A32" s="198" t="s">
        <v>124</v>
      </c>
      <c r="B32" s="222">
        <f>PotR!I33</f>
        <v>100</v>
      </c>
      <c r="C32" s="200">
        <f>SUM(C6:C31)</f>
        <v>63213065343.333336</v>
      </c>
      <c r="D32" s="253">
        <f>SUM(D6:D31)</f>
        <v>7629088</v>
      </c>
      <c r="E32" s="200">
        <f t="shared" si="0"/>
        <v>8285.7958046011972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125</v>
      </c>
      <c r="B33" s="258">
        <f>MIN(B6:B31)</f>
        <v>58.9</v>
      </c>
      <c r="C33" s="258"/>
      <c r="D33" s="259"/>
      <c r="E33" s="260"/>
      <c r="F33" s="260"/>
      <c r="G33" s="260"/>
      <c r="H33" s="261">
        <f>MIN(H6:H31)</f>
        <v>85.1</v>
      </c>
    </row>
    <row r="34" spans="1:10" s="2" customFormat="1" ht="14.25" customHeight="1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>
      <c r="A35" s="315" t="str">
        <f>"Taux fiscal standardisé "&amp;Info!C30</f>
        <v>Taux fiscal standardisé 2012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5" t="s">
        <v>44</v>
      </c>
      <c r="E36" s="66" t="s">
        <v>36</v>
      </c>
      <c r="F36" s="266">
        <v>2006</v>
      </c>
      <c r="G36" s="267">
        <v>2007</v>
      </c>
      <c r="H36" s="268">
        <v>2008</v>
      </c>
      <c r="I36" s="269"/>
      <c r="J36" s="270" t="str">
        <f>F36&amp;" - "&amp;H36</f>
        <v>2006 - 2008</v>
      </c>
    </row>
    <row r="37" spans="1:10" ht="15" customHeight="1">
      <c r="A37" s="271" t="s">
        <v>126</v>
      </c>
      <c r="B37" s="264"/>
      <c r="C37" s="264"/>
      <c r="D37" s="272" t="s">
        <v>45</v>
      </c>
      <c r="E37" s="273"/>
      <c r="F37" s="274">
        <v>57459985</v>
      </c>
      <c r="G37" s="275">
        <v>61406438</v>
      </c>
      <c r="H37" s="276">
        <v>62760340</v>
      </c>
      <c r="I37" s="277"/>
      <c r="J37" s="278"/>
    </row>
    <row r="38" spans="1:10" ht="15" customHeight="1">
      <c r="A38" s="271" t="s">
        <v>127</v>
      </c>
      <c r="B38" s="264"/>
      <c r="C38" s="264"/>
      <c r="D38" s="272" t="s">
        <v>45</v>
      </c>
      <c r="E38" s="273"/>
      <c r="F38" s="274">
        <v>14230498</v>
      </c>
      <c r="G38" s="275">
        <v>15388901</v>
      </c>
      <c r="H38" s="276">
        <v>17512560</v>
      </c>
      <c r="I38" s="279"/>
      <c r="J38" s="280"/>
    </row>
    <row r="39" spans="1:10" ht="15" customHeight="1">
      <c r="A39" s="271" t="s">
        <v>128</v>
      </c>
      <c r="B39" s="264"/>
      <c r="C39" s="264"/>
      <c r="D39" s="272" t="s">
        <v>45</v>
      </c>
      <c r="E39" s="273" t="s">
        <v>129</v>
      </c>
      <c r="F39" s="281">
        <f>0.17*F38</f>
        <v>2419184.66</v>
      </c>
      <c r="G39" s="282">
        <f>0.17*G38</f>
        <v>2616113.1700000004</v>
      </c>
      <c r="H39" s="283">
        <f>0.17*H38</f>
        <v>2977135.2</v>
      </c>
      <c r="I39" s="284"/>
      <c r="J39" s="285"/>
    </row>
    <row r="40" spans="1:10" ht="15.75" customHeight="1">
      <c r="A40" s="286" t="s">
        <v>130</v>
      </c>
      <c r="B40" s="287"/>
      <c r="C40" s="287"/>
      <c r="D40" s="288" t="s">
        <v>45</v>
      </c>
      <c r="E40" s="289" t="s">
        <v>131</v>
      </c>
      <c r="F40" s="290">
        <f>F37+F39</f>
        <v>59879169.659999996</v>
      </c>
      <c r="G40" s="291">
        <f>G37+G39</f>
        <v>64022551.170000002</v>
      </c>
      <c r="H40" s="291">
        <f>H37+H39</f>
        <v>65737475.200000003</v>
      </c>
      <c r="I40" s="141"/>
      <c r="J40" s="292">
        <f>AVERAGE(F40:H40)</f>
        <v>63213065.343333334</v>
      </c>
    </row>
    <row r="41" spans="1:10" ht="15" customHeight="1">
      <c r="A41" s="271" t="s">
        <v>132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7629088</v>
      </c>
    </row>
    <row r="42" spans="1:10" ht="15.75" customHeight="1">
      <c r="A42" s="286" t="s">
        <v>133</v>
      </c>
      <c r="B42" s="287"/>
      <c r="C42" s="287"/>
      <c r="D42" s="288" t="s">
        <v>47</v>
      </c>
      <c r="E42" s="289" t="s">
        <v>134</v>
      </c>
      <c r="F42" s="295"/>
      <c r="G42" s="141"/>
      <c r="H42" s="141"/>
      <c r="I42" s="141"/>
      <c r="J42" s="296">
        <f>J40/J41*1000</f>
        <v>8285.7958046011972</v>
      </c>
    </row>
    <row r="43" spans="1:10" ht="15" customHeight="1">
      <c r="A43" s="271" t="s">
        <v>135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29631.624572695946</v>
      </c>
    </row>
    <row r="44" spans="1:10" ht="15.75" customHeight="1">
      <c r="A44" s="286" t="s">
        <v>136</v>
      </c>
      <c r="B44" s="287"/>
      <c r="C44" s="287"/>
      <c r="D44" s="288" t="s">
        <v>82</v>
      </c>
      <c r="E44" s="289" t="s">
        <v>137</v>
      </c>
      <c r="F44" s="295"/>
      <c r="G44" s="141"/>
      <c r="H44" s="141"/>
      <c r="I44" s="141"/>
      <c r="J44" s="297">
        <f>sse/J43</f>
        <v>0.27962678132187668</v>
      </c>
    </row>
    <row r="48" spans="1:10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2011-12-23T16:40:47Z</cp:lastPrinted>
  <dcterms:created xsi:type="dcterms:W3CDTF">2010-11-03T16:06:04Z</dcterms:created>
  <dcterms:modified xsi:type="dcterms:W3CDTF">2012-05-15T11:47:26Z</dcterms:modified>
</cp:coreProperties>
</file>