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45" windowWidth="18780" windowHeight="11760"/>
  </bookViews>
  <sheets>
    <sheet name="Info" sheetId="1" r:id="rId1"/>
    <sheet name="PP" sheetId="2" r:id="rId2"/>
    <sheet name="RIS" sheetId="3" r:id="rId3"/>
    <sheet name="Fortunes" sheetId="4" r:id="rId4"/>
    <sheet name="PM" sheetId="5" r:id="rId5"/>
    <sheet name="REPART" sheetId="6" r:id="rId6"/>
    <sheet name="AFA_totale" sheetId="7" r:id="rId7"/>
    <sheet name="AFA_par_habitant" sheetId="8" r:id="rId8"/>
    <sheet name="AFA_pou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G5"/>
  <c r="F5"/>
  <c r="E5"/>
  <c r="D5"/>
  <c r="C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C9"/>
  <c r="D8"/>
  <c r="D8" i="8" s="1"/>
  <c r="D7" i="7"/>
  <c r="C7"/>
  <c r="H5"/>
  <c r="G5"/>
  <c r="F5"/>
  <c r="E5"/>
  <c r="D5"/>
  <c r="C5"/>
  <c r="H1"/>
  <c r="D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I9" s="1"/>
  <c r="G9" i="7" s="1"/>
  <c r="E8" i="6"/>
  <c r="E7"/>
  <c r="E33" s="1"/>
  <c r="I1"/>
  <c r="E1"/>
  <c r="B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A2"/>
  <c r="A1"/>
  <c r="B35" i="4"/>
  <c r="D34"/>
  <c r="E32" i="7" s="1"/>
  <c r="C34" i="4"/>
  <c r="D33"/>
  <c r="E31" i="7" s="1"/>
  <c r="C33" i="4"/>
  <c r="D32"/>
  <c r="E30" i="7" s="1"/>
  <c r="C32" i="4"/>
  <c r="D31"/>
  <c r="E29" i="7" s="1"/>
  <c r="C31" i="4"/>
  <c r="D30"/>
  <c r="E28" i="7" s="1"/>
  <c r="C30" i="4"/>
  <c r="D29"/>
  <c r="E27" i="7" s="1"/>
  <c r="C29" i="4"/>
  <c r="D28"/>
  <c r="E26" i="7" s="1"/>
  <c r="C28" i="4"/>
  <c r="D27"/>
  <c r="E25" i="7" s="1"/>
  <c r="C27" i="4"/>
  <c r="D26"/>
  <c r="E24" i="7" s="1"/>
  <c r="C26" i="4"/>
  <c r="D25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E7" i="7" s="1"/>
  <c r="C9" i="4"/>
  <c r="D3"/>
  <c r="A1"/>
  <c r="C33" i="3"/>
  <c r="C5"/>
  <c r="C3"/>
  <c r="B2"/>
  <c r="B1"/>
  <c r="I33" i="2"/>
  <c r="H33"/>
  <c r="G33"/>
  <c r="F33"/>
  <c r="E33"/>
  <c r="D33"/>
  <c r="C33"/>
  <c r="J32"/>
  <c r="C32" i="7" s="1"/>
  <c r="J31" i="2"/>
  <c r="C31" i="7" s="1"/>
  <c r="J30" i="2"/>
  <c r="C30" i="7" s="1"/>
  <c r="J29" i="2"/>
  <c r="C29" i="7" s="1"/>
  <c r="J28" i="2"/>
  <c r="C28" i="7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G10" i="6" s="1"/>
  <c r="H10" s="1"/>
  <c r="J9" i="2"/>
  <c r="G9" i="6" s="1"/>
  <c r="H9" s="1"/>
  <c r="J8" i="2"/>
  <c r="G8" i="6" s="1"/>
  <c r="H8" s="1"/>
  <c r="J7" i="2"/>
  <c r="G7" i="6" s="1"/>
  <c r="J1" i="2"/>
  <c r="B1"/>
  <c r="A4" i="1"/>
  <c r="A3"/>
  <c r="E33" i="7" l="1"/>
  <c r="E7" i="8"/>
  <c r="E8"/>
  <c r="E9"/>
  <c r="E10"/>
  <c r="G9"/>
  <c r="H7" i="6"/>
  <c r="I13"/>
  <c r="G13" i="7" s="1"/>
  <c r="I17" i="6"/>
  <c r="G17" i="7" s="1"/>
  <c r="I21" i="6"/>
  <c r="G21" i="7" s="1"/>
  <c r="I25" i="6"/>
  <c r="G25" i="7" s="1"/>
  <c r="I29" i="6"/>
  <c r="G29" i="7" s="1"/>
  <c r="I8" i="6"/>
  <c r="G8" i="7" s="1"/>
  <c r="I10" i="6"/>
  <c r="G10" i="7" s="1"/>
  <c r="C12" i="8"/>
  <c r="C14"/>
  <c r="C16"/>
  <c r="C18"/>
  <c r="C20"/>
  <c r="C22"/>
  <c r="C24"/>
  <c r="C26"/>
  <c r="C28"/>
  <c r="C30"/>
  <c r="C32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7"/>
  <c r="F33" i="7"/>
  <c r="F33" i="8" s="1"/>
  <c r="C7"/>
  <c r="C9"/>
  <c r="H9" i="7"/>
  <c r="A2" i="9"/>
  <c r="E1" i="8"/>
  <c r="C11"/>
  <c r="C13"/>
  <c r="C15"/>
  <c r="C17"/>
  <c r="C19"/>
  <c r="C21"/>
  <c r="C23"/>
  <c r="C25"/>
  <c r="C27"/>
  <c r="C29"/>
  <c r="C31"/>
  <c r="J33" i="2"/>
  <c r="D35" i="4"/>
  <c r="D35" i="5"/>
  <c r="C8" i="7"/>
  <c r="C10"/>
  <c r="G1" i="2"/>
  <c r="A2" i="4"/>
  <c r="I7" i="6"/>
  <c r="G11"/>
  <c r="H11" s="1"/>
  <c r="I11" s="1"/>
  <c r="G11" i="7" s="1"/>
  <c r="G12" i="6"/>
  <c r="H12" s="1"/>
  <c r="I12" s="1"/>
  <c r="G12" i="7" s="1"/>
  <c r="G13" i="6"/>
  <c r="H13" s="1"/>
  <c r="G14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G18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G22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G2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G30"/>
  <c r="H30" s="1"/>
  <c r="I30" s="1"/>
  <c r="G30" i="7" s="1"/>
  <c r="G31" i="6"/>
  <c r="H31" s="1"/>
  <c r="I31" s="1"/>
  <c r="G31" i="7" s="1"/>
  <c r="G32" i="6"/>
  <c r="H32" s="1"/>
  <c r="I32" s="1"/>
  <c r="G32" i="7" s="1"/>
  <c r="C8" i="9"/>
  <c r="D33" i="7"/>
  <c r="D7" i="8"/>
  <c r="D9"/>
  <c r="D11"/>
  <c r="D13"/>
  <c r="D15"/>
  <c r="D17"/>
  <c r="D19"/>
  <c r="D21"/>
  <c r="D23"/>
  <c r="D25"/>
  <c r="D27"/>
  <c r="D29"/>
  <c r="D31"/>
  <c r="G32" l="1"/>
  <c r="H32" i="7"/>
  <c r="G30" i="8"/>
  <c r="H30" i="7"/>
  <c r="G28" i="8"/>
  <c r="H28" i="7"/>
  <c r="G26" i="8"/>
  <c r="H26" i="7"/>
  <c r="G24" i="8"/>
  <c r="H24" i="7"/>
  <c r="G22" i="8"/>
  <c r="H22" i="7"/>
  <c r="G20" i="8"/>
  <c r="H20" i="7"/>
  <c r="G18" i="8"/>
  <c r="H18" i="7"/>
  <c r="G16" i="8"/>
  <c r="H16" i="7"/>
  <c r="G14" i="8"/>
  <c r="H14" i="7"/>
  <c r="G12" i="8"/>
  <c r="H12" i="7"/>
  <c r="G31" i="8"/>
  <c r="H31" i="7"/>
  <c r="G27" i="8"/>
  <c r="H27" i="7"/>
  <c r="G23" i="8"/>
  <c r="H23" i="7"/>
  <c r="G19" i="8"/>
  <c r="H19" i="7"/>
  <c r="G15" i="8"/>
  <c r="H15" i="7"/>
  <c r="G11" i="8"/>
  <c r="H11" i="7"/>
  <c r="G7"/>
  <c r="I33" i="6"/>
  <c r="C8" i="8"/>
  <c r="H8" i="7"/>
  <c r="G7" i="9" s="1"/>
  <c r="G8" i="8"/>
  <c r="G29"/>
  <c r="G25"/>
  <c r="G21"/>
  <c r="G17"/>
  <c r="G13"/>
  <c r="E33"/>
  <c r="D33"/>
  <c r="C10"/>
  <c r="H10" i="7"/>
  <c r="E8" i="9"/>
  <c r="H9" i="8"/>
  <c r="F8" i="9"/>
  <c r="G9"/>
  <c r="G10" i="8"/>
  <c r="H29" i="7"/>
  <c r="H25"/>
  <c r="G24" i="9" s="1"/>
  <c r="H21" i="7"/>
  <c r="H17"/>
  <c r="G16" i="9" s="1"/>
  <c r="H13" i="7"/>
  <c r="B8" i="9"/>
  <c r="C33" i="7"/>
  <c r="G33" i="6"/>
  <c r="H33" s="1"/>
  <c r="G8" i="9"/>
  <c r="D8"/>
  <c r="C33" i="8" l="1"/>
  <c r="E12" i="9"/>
  <c r="H13" i="8"/>
  <c r="F12" i="9"/>
  <c r="D12"/>
  <c r="B12"/>
  <c r="C12"/>
  <c r="E20"/>
  <c r="H21" i="8"/>
  <c r="F20" i="9"/>
  <c r="D20"/>
  <c r="B20"/>
  <c r="C20"/>
  <c r="E28"/>
  <c r="H29" i="8"/>
  <c r="F28" i="9"/>
  <c r="D28"/>
  <c r="B28"/>
  <c r="C28"/>
  <c r="F9"/>
  <c r="H10" i="8"/>
  <c r="E9" i="9"/>
  <c r="D9"/>
  <c r="C9"/>
  <c r="E10"/>
  <c r="H11" i="8"/>
  <c r="F10" i="9"/>
  <c r="D10"/>
  <c r="B10"/>
  <c r="C10"/>
  <c r="E18"/>
  <c r="H19" i="8"/>
  <c r="F18" i="9"/>
  <c r="D18"/>
  <c r="B18"/>
  <c r="C18"/>
  <c r="E26"/>
  <c r="H27" i="8"/>
  <c r="F26" i="9"/>
  <c r="D26"/>
  <c r="C26"/>
  <c r="B26"/>
  <c r="F11"/>
  <c r="H12" i="8"/>
  <c r="E11" i="9"/>
  <c r="D11"/>
  <c r="B11"/>
  <c r="C11"/>
  <c r="F15"/>
  <c r="H16" i="8"/>
  <c r="E15" i="9"/>
  <c r="D15"/>
  <c r="B15"/>
  <c r="C15"/>
  <c r="F19"/>
  <c r="H20" i="8"/>
  <c r="E19" i="9"/>
  <c r="D19"/>
  <c r="B19"/>
  <c r="C19"/>
  <c r="F23"/>
  <c r="H24" i="8"/>
  <c r="E23" i="9"/>
  <c r="D23"/>
  <c r="B23"/>
  <c r="C23"/>
  <c r="F27"/>
  <c r="H28" i="8"/>
  <c r="E27" i="9"/>
  <c r="D27"/>
  <c r="B27"/>
  <c r="C27"/>
  <c r="F31"/>
  <c r="H32" i="8"/>
  <c r="E31" i="9"/>
  <c r="D31"/>
  <c r="B31"/>
  <c r="C31"/>
  <c r="B9"/>
  <c r="H9" s="1"/>
  <c r="G12"/>
  <c r="G20"/>
  <c r="G28"/>
  <c r="G10"/>
  <c r="G18"/>
  <c r="G26"/>
  <c r="G11"/>
  <c r="G15"/>
  <c r="G19"/>
  <c r="G23"/>
  <c r="G27"/>
  <c r="G31"/>
  <c r="E16"/>
  <c r="H17" i="8"/>
  <c r="F16" i="9"/>
  <c r="D16"/>
  <c r="B16"/>
  <c r="C16"/>
  <c r="E24"/>
  <c r="H25" i="8"/>
  <c r="F24" i="9"/>
  <c r="D24"/>
  <c r="B24"/>
  <c r="C24"/>
  <c r="F7"/>
  <c r="H8" i="8"/>
  <c r="E7" i="9"/>
  <c r="D7"/>
  <c r="C7"/>
  <c r="G6"/>
  <c r="G33" i="7"/>
  <c r="G7" i="8"/>
  <c r="H7" i="7"/>
  <c r="E14" i="9"/>
  <c r="H15" i="8"/>
  <c r="F14" i="9"/>
  <c r="D14"/>
  <c r="B14"/>
  <c r="C14"/>
  <c r="E22"/>
  <c r="H23" i="8"/>
  <c r="F22" i="9"/>
  <c r="D22"/>
  <c r="B22"/>
  <c r="C22"/>
  <c r="E30"/>
  <c r="H31" i="8"/>
  <c r="F30" i="9"/>
  <c r="D30"/>
  <c r="B30"/>
  <c r="C30"/>
  <c r="F13"/>
  <c r="H14" i="8"/>
  <c r="E13" i="9"/>
  <c r="B13"/>
  <c r="D13"/>
  <c r="C13"/>
  <c r="F17"/>
  <c r="H18" i="8"/>
  <c r="E17" i="9"/>
  <c r="B17"/>
  <c r="D17"/>
  <c r="C17"/>
  <c r="F21"/>
  <c r="H22" i="8"/>
  <c r="E21" i="9"/>
  <c r="B21"/>
  <c r="D21"/>
  <c r="C21"/>
  <c r="F25"/>
  <c r="H26" i="8"/>
  <c r="E25" i="9"/>
  <c r="B25"/>
  <c r="D25"/>
  <c r="C25"/>
  <c r="F29"/>
  <c r="H30" i="8"/>
  <c r="E29" i="9"/>
  <c r="B29"/>
  <c r="D29"/>
  <c r="C29"/>
  <c r="H8"/>
  <c r="B7"/>
  <c r="H7" s="1"/>
  <c r="G14"/>
  <c r="G22"/>
  <c r="G30"/>
  <c r="G13"/>
  <c r="G17"/>
  <c r="G21"/>
  <c r="G25"/>
  <c r="G29"/>
  <c r="E6" l="1"/>
  <c r="H7" i="8"/>
  <c r="F6" i="9"/>
  <c r="H33" i="7"/>
  <c r="D6" i="9"/>
  <c r="C6"/>
  <c r="B6"/>
  <c r="G32"/>
  <c r="G33" i="8"/>
  <c r="H29" i="9"/>
  <c r="H25"/>
  <c r="H21"/>
  <c r="H17"/>
  <c r="H13"/>
  <c r="H24"/>
  <c r="H16"/>
  <c r="H26"/>
  <c r="H28"/>
  <c r="H20"/>
  <c r="H12"/>
  <c r="G37"/>
  <c r="G38" s="1"/>
  <c r="G34"/>
  <c r="G35" s="1"/>
  <c r="H30"/>
  <c r="H22"/>
  <c r="H14"/>
  <c r="H31"/>
  <c r="H27"/>
  <c r="H23"/>
  <c r="H19"/>
  <c r="H15"/>
  <c r="H11"/>
  <c r="H18"/>
  <c r="H10"/>
  <c r="B37" l="1"/>
  <c r="B38" s="1"/>
  <c r="H6"/>
  <c r="D37"/>
  <c r="D38" s="1"/>
  <c r="F37"/>
  <c r="F38" s="1"/>
  <c r="E37"/>
  <c r="E38" s="1"/>
  <c r="C37"/>
  <c r="C38" s="1"/>
  <c r="H33" i="8"/>
  <c r="E32" i="9"/>
  <c r="E34" s="1"/>
  <c r="E35" s="1"/>
  <c r="F32"/>
  <c r="F34" s="1"/>
  <c r="F35" s="1"/>
  <c r="D32"/>
  <c r="D34" s="1"/>
  <c r="D35" s="1"/>
  <c r="C32"/>
  <c r="C34" s="1"/>
  <c r="C35" s="1"/>
  <c r="B32"/>
  <c r="H32" l="1"/>
  <c r="B34"/>
  <c r="B35" s="1"/>
</calcChain>
</file>

<file path=xl/sharedStrings.xml><?xml version="1.0" encoding="utf-8"?>
<sst xmlns="http://schemas.openxmlformats.org/spreadsheetml/2006/main" count="446" uniqueCount="122">
  <si>
    <t>Assiette fiscale agrégée (AFA)</t>
  </si>
  <si>
    <t>Feuille d'excel</t>
  </si>
  <si>
    <t>Contenu</t>
  </si>
  <si>
    <t>PP</t>
  </si>
  <si>
    <t>Revenu des personnes physiques</t>
  </si>
  <si>
    <t>RIS</t>
  </si>
  <si>
    <t>Revenu pour l’imposition à la source</t>
  </si>
  <si>
    <t>Fortunes</t>
  </si>
  <si>
    <t>Fortune des personnes physiques</t>
  </si>
  <si>
    <t>PM</t>
  </si>
  <si>
    <t>Bénéfices des personnes morales</t>
  </si>
  <si>
    <t>REPART</t>
  </si>
  <si>
    <t>Répartitions fiscales</t>
  </si>
  <si>
    <t>Informations</t>
  </si>
  <si>
    <t>Environnement</t>
  </si>
  <si>
    <t>Produktion</t>
  </si>
  <si>
    <t>Type</t>
  </si>
  <si>
    <t>Simulation</t>
  </si>
  <si>
    <t>WS</t>
  </si>
  <si>
    <t>FA_2012_20120430_alpha0.7</t>
  </si>
  <si>
    <t>SWS</t>
  </si>
  <si>
    <t>RA_2012_20120430_alpha0.7_2Versuch</t>
  </si>
  <si>
    <t>AnRef</t>
  </si>
  <si>
    <t>AnCal</t>
  </si>
  <si>
    <t>Colonne</t>
  </si>
  <si>
    <t>C</t>
  </si>
  <si>
    <t>D</t>
  </si>
  <si>
    <t>E</t>
  </si>
  <si>
    <t>F</t>
  </si>
  <si>
    <t>G</t>
  </si>
  <si>
    <t>H</t>
  </si>
  <si>
    <t>I</t>
  </si>
  <si>
    <t>J</t>
  </si>
  <si>
    <t>Formule</t>
  </si>
  <si>
    <t>J = I - (E / 1000 * H)</t>
  </si>
  <si>
    <t>Nombre total de contribuables</t>
  </si>
  <si>
    <t>Revenu imposable total</t>
  </si>
  <si>
    <t>Revenu minimal déterminant par contribuable</t>
  </si>
  <si>
    <t>Nombre de contribuables avec revenu imposable plus bas que le revenu minimal déterminant</t>
  </si>
  <si>
    <t>Revenu imposable des contribuables avec revenu imposable plus bas que le revenu minimal déterminant</t>
  </si>
  <si>
    <t>Nombre de contribuables avec revenu imposable plus élevé que le revenu minimal déterminant</t>
  </si>
  <si>
    <t>Revenu imposable des contribuables avec revenu imposable plus grand ou égal au revenu minimal déterminant</t>
  </si>
  <si>
    <t>Revenu déterminant des personnes physiques</t>
  </si>
  <si>
    <t>Source de données</t>
  </si>
  <si>
    <t>AFC</t>
  </si>
  <si>
    <t>LIFD art. 214
al. 2 et 3</t>
  </si>
  <si>
    <t>Unité</t>
  </si>
  <si>
    <t>CHF 1'000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</si>
  <si>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</si>
  <si>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</si>
  <si>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</si>
  <si>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</si>
  <si>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</si>
  <si>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</si>
  <si>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</si>
  <si>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</si>
  <si>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</si>
  <si>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</si>
  <si>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</si>
  <si>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</si>
  <si>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</si>
  <si>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</si>
  <si>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</si>
  <si>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</si>
  <si>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</si>
  <si>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</si>
  <si>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</si>
  <si>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</si>
  <si>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</si>
  <si>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</si>
  <si>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</si>
  <si>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</si>
  <si>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</si>
  <si>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</si>
  <si>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</si>
  <si>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Total</t>
  </si>
  <si>
    <t>Revenu déterminant imposé à la source</t>
  </si>
  <si>
    <t>Source des données</t>
  </si>
  <si>
    <t>B</t>
  </si>
  <si>
    <t>D = B * C</t>
  </si>
  <si>
    <t>Fortune nette</t>
  </si>
  <si>
    <t>Facteur alpha</t>
  </si>
  <si>
    <t>Fortune déterminante</t>
  </si>
  <si>
    <t>Art. 13 OPFCC</t>
  </si>
  <si>
    <t>D = B + C</t>
  </si>
  <si>
    <t>Bénéfice déterminant des sociétés à statut fiscal ordinaire</t>
  </si>
  <si>
    <t>Bénéfice déterminant des sociétés à statut fiscal spécial</t>
  </si>
  <si>
    <t>Bénéfice déterminant des personnes morales</t>
  </si>
  <si>
    <t>Facteurs</t>
  </si>
  <si>
    <t>Beta (Holding)</t>
  </si>
  <si>
    <t>Beta (Domicile)</t>
  </si>
  <si>
    <t>Beta (Mixtes)</t>
  </si>
  <si>
    <t>Epsilon</t>
  </si>
  <si>
    <t>E = D - C</t>
  </si>
  <si>
    <t>H = G / F</t>
  </si>
  <si>
    <t>I = H * E</t>
  </si>
  <si>
    <t>Au profit
d'autres
cantons</t>
  </si>
  <si>
    <t>Reçu 
d'autres
cantons</t>
  </si>
  <si>
    <t>Solde</t>
  </si>
  <si>
    <t>Entrées fiscales IFD
(= fournies à l'AFC)</t>
  </si>
  <si>
    <t>Assiette fiscale déterminante
pour l'IFD</t>
  </si>
  <si>
    <t>Facteur de pondération</t>
  </si>
  <si>
    <t>Répartitions fiscales déterminantes</t>
  </si>
  <si>
    <t>Feuille "PP"; "RIS"; "PM"</t>
  </si>
  <si>
    <t>H = C + D + E + F + G</t>
  </si>
  <si>
    <t>Revenu déterminant pour l'imposition à la source</t>
  </si>
  <si>
    <t>AFA totale</t>
  </si>
  <si>
    <t>Année de calcul</t>
  </si>
  <si>
    <t>AFA</t>
  </si>
  <si>
    <t>Population
domiciliée moyenne</t>
  </si>
  <si>
    <t>CHF par habitant</t>
  </si>
  <si>
    <t>Habitants</t>
  </si>
  <si>
    <t>Bénéfice déterminant des personnes morales sans statut fiscal spécial</t>
  </si>
  <si>
    <t>Bénéfice déterminant des personnes morales avec statut fiscal spécial</t>
  </si>
  <si>
    <t>AFA par habitant</t>
  </si>
  <si>
    <t>%</t>
  </si>
  <si>
    <t>Minimum</t>
  </si>
  <si>
    <t>Maximum</t>
  </si>
  <si>
    <t>Grisons*</t>
  </si>
  <si>
    <t>Jura**</t>
  </si>
  <si>
    <t xml:space="preserve">* Estimation </t>
  </si>
  <si>
    <t xml:space="preserve">** Correction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</si>
</sst>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6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2" fillId="0" borderId="3" xfId="0" applyFont="1" applyFill="1" applyBorder="1"/>
    <xf numFmtId="1" fontId="21" fillId="0" borderId="4" xfId="0" applyNumberFormat="1" applyFont="1" applyFill="1" applyBorder="1" applyAlignment="1" applyProtection="1">
      <alignment horizontal="left" vertical="top"/>
      <protection locked="0"/>
    </xf>
    <xf numFmtId="1" fontId="21" fillId="0" borderId="5" xfId="0" applyNumberFormat="1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/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1" fontId="14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Border="1"/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/>
    <xf numFmtId="0" fontId="17" fillId="0" borderId="1" xfId="0" applyFont="1" applyFill="1" applyBorder="1" applyAlignment="1" applyProtection="1">
      <alignment vertical="top" wrapText="1"/>
      <protection locked="0"/>
    </xf>
    <xf numFmtId="0" fontId="1" fillId="0" borderId="9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5" fillId="0" borderId="0" xfId="0" applyFont="1" applyFill="1"/>
    <xf numFmtId="0" fontId="5" fillId="0" borderId="0" xfId="0" applyFont="1" applyFill="1" applyBorder="1"/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0" fillId="0" borderId="12" xfId="0" applyFont="1" applyFill="1" applyBorder="1"/>
    <xf numFmtId="164" fontId="6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3" xfId="0" applyFont="1" applyFill="1" applyBorder="1"/>
    <xf numFmtId="164" fontId="6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3" xfId="0" applyFont="1" applyFill="1" applyBorder="1"/>
    <xf numFmtId="164" fontId="6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8" xfId="0" applyFont="1" applyFill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1" fontId="1" fillId="0" borderId="0" xfId="0" applyNumberFormat="1" applyFont="1" applyFill="1"/>
    <xf numFmtId="0" fontId="20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1" fontId="14" fillId="0" borderId="0" xfId="0" applyNumberFormat="1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/>
    <xf numFmtId="0" fontId="0" fillId="0" borderId="8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2" fillId="0" borderId="0" xfId="0" applyFont="1" applyFill="1"/>
    <xf numFmtId="0" fontId="2" fillId="0" borderId="5" xfId="0" applyFont="1" applyFill="1" applyBorder="1"/>
    <xf numFmtId="0" fontId="4" fillId="0" borderId="11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13" fillId="0" borderId="15" xfId="0" applyFont="1" applyFill="1" applyBorder="1"/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>
      <alignment vertical="center"/>
    </xf>
    <xf numFmtId="164" fontId="7" fillId="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64" fontId="7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top"/>
    </xf>
    <xf numFmtId="1" fontId="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13" fillId="0" borderId="8" xfId="0" applyFont="1" applyFill="1" applyBorder="1" applyAlignment="1">
      <alignment horizontal="right"/>
    </xf>
    <xf numFmtId="164" fontId="6" fillId="0" borderId="13" xfId="0" applyNumberFormat="1" applyFont="1" applyFill="1" applyBorder="1" applyAlignment="1" applyProtection="1">
      <alignment vertical="center"/>
      <protection locked="0"/>
    </xf>
    <xf numFmtId="165" fontId="9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6" fillId="3" borderId="0" xfId="0" applyNumberFormat="1" applyFont="1" applyFill="1" applyBorder="1" applyAlignment="1" applyProtection="1">
      <alignment vertical="center"/>
      <protection locked="0"/>
    </xf>
    <xf numFmtId="165" fontId="9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165" fontId="10" fillId="0" borderId="9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/>
    <xf numFmtId="0" fontId="19" fillId="0" borderId="0" xfId="0" applyFont="1" applyFill="1"/>
    <xf numFmtId="0" fontId="18" fillId="0" borderId="0" xfId="0" applyFont="1" applyFill="1" applyBorder="1" applyAlignment="1">
      <alignment horizontal="right" vertical="top"/>
    </xf>
    <xf numFmtId="1" fontId="14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4" borderId="8" xfId="0" applyFont="1" applyFill="1" applyBorder="1"/>
    <xf numFmtId="0" fontId="5" fillId="4" borderId="10" xfId="0" applyFont="1" applyFill="1" applyBorder="1"/>
    <xf numFmtId="3" fontId="15" fillId="0" borderId="14" xfId="0" applyNumberFormat="1" applyFont="1" applyFill="1" applyBorder="1"/>
    <xf numFmtId="0" fontId="0" fillId="0" borderId="17" xfId="0" applyFont="1" applyFill="1" applyBorder="1"/>
    <xf numFmtId="165" fontId="6" fillId="0" borderId="5" xfId="0" applyNumberFormat="1" applyFont="1" applyFill="1" applyBorder="1" applyProtection="1">
      <protection locked="0"/>
    </xf>
    <xf numFmtId="3" fontId="15" fillId="3" borderId="15" xfId="0" applyNumberFormat="1" applyFont="1" applyFill="1" applyBorder="1"/>
    <xf numFmtId="3" fontId="15" fillId="0" borderId="15" xfId="0" applyNumberFormat="1" applyFont="1" applyFill="1" applyBorder="1"/>
    <xf numFmtId="0" fontId="0" fillId="0" borderId="18" xfId="0" applyFont="1" applyFill="1" applyBorder="1"/>
    <xf numFmtId="9" fontId="6" fillId="0" borderId="7" xfId="0" applyNumberFormat="1" applyFont="1" applyFill="1" applyBorder="1" applyProtection="1">
      <protection locked="0"/>
    </xf>
    <xf numFmtId="0" fontId="0" fillId="3" borderId="18" xfId="0" applyFont="1" applyFill="1" applyBorder="1"/>
    <xf numFmtId="3" fontId="16" fillId="0" borderId="9" xfId="0" applyNumberFormat="1" applyFont="1" applyFill="1" applyBorder="1"/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9" fillId="0" borderId="5" xfId="0" applyFont="1" applyFill="1" applyBorder="1"/>
    <xf numFmtId="0" fontId="9" fillId="0" borderId="9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9" xfId="0" applyFont="1" applyFill="1" applyBorder="1" applyAlignment="1">
      <alignment horizontal="right"/>
    </xf>
    <xf numFmtId="0" fontId="0" fillId="0" borderId="5" xfId="0" applyFont="1" applyFill="1" applyBorder="1"/>
    <xf numFmtId="0" fontId="17" fillId="0" borderId="9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/>
    <xf numFmtId="0" fontId="13" fillId="0" borderId="9" xfId="0" applyFont="1" applyFill="1" applyBorder="1" applyAlignment="1">
      <alignment horizontal="right"/>
    </xf>
    <xf numFmtId="0" fontId="0" fillId="0" borderId="13" xfId="0" applyFont="1" applyFill="1" applyBorder="1"/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0" fontId="0" fillId="3" borderId="0" xfId="0" applyFont="1" applyFill="1" applyBorder="1"/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0" fontId="1" fillId="0" borderId="5" xfId="0" applyFont="1" applyFill="1" applyBorder="1"/>
    <xf numFmtId="0" fontId="1" fillId="0" borderId="9" xfId="0" applyFont="1" applyFill="1" applyBorder="1"/>
    <xf numFmtId="166" fontId="1" fillId="0" borderId="9" xfId="0" applyNumberFormat="1" applyFont="1" applyFill="1" applyBorder="1"/>
    <xf numFmtId="0" fontId="20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1" fontId="4" fillId="0" borderId="9" xfId="0" applyNumberFormat="1" applyFont="1" applyFill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4" fillId="0" borderId="10" xfId="0" applyFont="1" applyFill="1" applyBorder="1" applyAlignment="1">
      <alignment horizontal="center"/>
    </xf>
    <xf numFmtId="3" fontId="1" fillId="0" borderId="13" xfId="0" applyNumberFormat="1" applyFont="1" applyFill="1" applyBorder="1" applyProtection="1">
      <protection locked="0"/>
    </xf>
    <xf numFmtId="164" fontId="6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6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6" fillId="0" borderId="15" xfId="0" applyNumberFormat="1" applyFont="1" applyFill="1" applyBorder="1" applyProtection="1"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>
      <alignment vertical="top"/>
    </xf>
    <xf numFmtId="0" fontId="17" fillId="0" borderId="8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165" fontId="0" fillId="3" borderId="0" xfId="0" applyNumberFormat="1" applyFont="1" applyFill="1" applyBorder="1" applyProtection="1">
      <protection locked="0"/>
    </xf>
    <xf numFmtId="165" fontId="0" fillId="3" borderId="5" xfId="0" applyNumberFormat="1" applyFont="1" applyFill="1" applyBorder="1" applyProtection="1">
      <protection locked="0"/>
    </xf>
    <xf numFmtId="165" fontId="0" fillId="0" borderId="0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165" fontId="1" fillId="0" borderId="9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0" fontId="1" fillId="0" borderId="0" xfId="0" applyNumberFormat="1" applyFont="1" applyFill="1" applyBorder="1"/>
    <xf numFmtId="165" fontId="0" fillId="3" borderId="9" xfId="0" applyNumberFormat="1" applyFont="1" applyFill="1" applyBorder="1"/>
    <xf numFmtId="165" fontId="0" fillId="3" borderId="2" xfId="0" applyNumberFormat="1" applyFont="1" applyFill="1" applyBorder="1"/>
    <xf numFmtId="0" fontId="0" fillId="3" borderId="11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11" fillId="0" borderId="0" xfId="0" applyFont="1" applyFill="1"/>
    <xf numFmtId="165" fontId="0" fillId="0" borderId="0" xfId="0" applyNumberFormat="1" applyFont="1" applyFill="1"/>
    <xf numFmtId="0" fontId="24" fillId="3" borderId="0" xfId="0" applyFont="1" applyFill="1" applyBorder="1" applyAlignment="1">
      <alignment vertical="center"/>
    </xf>
    <xf numFmtId="164" fontId="25" fillId="3" borderId="15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1" fillId="3" borderId="19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</cellXfs>
  <cellStyles count="1">
    <cellStyle name="Standard" xfId="0" builtinId="0"/>
  </cellStyles>
  <dxfs count="15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2" customWidth="1"/>
    <col min="2" max="2" width="14.85546875" style="2" customWidth="1"/>
    <col min="3" max="3" width="22.85546875" style="2" customWidth="1"/>
    <col min="4" max="4" width="12.85546875" style="2" customWidth="1"/>
    <col min="5" max="5" width="10.140625" style="2" customWidth="1"/>
    <col min="6" max="6" width="11.42578125" style="2" customWidth="1"/>
    <col min="7" max="16384" width="11.42578125" style="2"/>
  </cols>
  <sheetData>
    <row r="1" spans="1:5" ht="27.75" customHeight="1">
      <c r="A1" s="186" t="s">
        <v>0</v>
      </c>
      <c r="B1" s="186"/>
      <c r="C1" s="186"/>
      <c r="D1" s="186"/>
      <c r="E1" s="186"/>
    </row>
    <row r="2" spans="1:5" ht="24.75" customHeight="1">
      <c r="A2" s="185"/>
      <c r="B2" s="185"/>
      <c r="C2" s="185"/>
      <c r="D2" s="185"/>
      <c r="E2" s="185"/>
    </row>
    <row r="3" spans="1:5" ht="18" customHeight="1">
      <c r="A3" s="184" t="str">
        <f>"Année de calcul "&amp;C31</f>
        <v>Année de calcul 2006</v>
      </c>
      <c r="B3" s="184"/>
      <c r="C3" s="184"/>
      <c r="D3" s="184"/>
      <c r="E3" s="184"/>
    </row>
    <row r="4" spans="1:5" ht="18" customHeight="1">
      <c r="A4" s="184" t="str">
        <f>"Année de référence "&amp;C30</f>
        <v>Année de référence 2012</v>
      </c>
      <c r="B4" s="184"/>
      <c r="C4" s="184"/>
      <c r="D4" s="184"/>
      <c r="E4" s="184"/>
    </row>
    <row r="12" spans="1:5">
      <c r="B12" s="3" t="s">
        <v>1</v>
      </c>
      <c r="C12" s="3" t="s">
        <v>2</v>
      </c>
      <c r="D12" s="4"/>
    </row>
    <row r="13" spans="1:5">
      <c r="B13" s="5" t="s">
        <v>3</v>
      </c>
      <c r="C13" s="5" t="s">
        <v>4</v>
      </c>
      <c r="D13" s="6"/>
    </row>
    <row r="14" spans="1:5">
      <c r="B14" s="5" t="s">
        <v>5</v>
      </c>
      <c r="C14" s="5" t="s">
        <v>6</v>
      </c>
      <c r="D14" s="6"/>
    </row>
    <row r="15" spans="1:5">
      <c r="B15" s="5" t="s">
        <v>7</v>
      </c>
      <c r="C15" s="5" t="s">
        <v>8</v>
      </c>
      <c r="D15" s="6"/>
    </row>
    <row r="16" spans="1:5">
      <c r="B16" s="5" t="s">
        <v>9</v>
      </c>
      <c r="C16" s="5" t="s">
        <v>10</v>
      </c>
      <c r="D16" s="6"/>
    </row>
    <row r="17" spans="2:4">
      <c r="B17" s="5" t="s">
        <v>11</v>
      </c>
      <c r="C17" s="5" t="s">
        <v>12</v>
      </c>
      <c r="D17" s="6"/>
    </row>
    <row r="25" spans="2:4">
      <c r="B25" s="7" t="s">
        <v>13</v>
      </c>
      <c r="C25" s="8"/>
    </row>
    <row r="26" spans="2:4">
      <c r="B26" s="9" t="s">
        <v>14</v>
      </c>
      <c r="C26" s="10" t="s">
        <v>15</v>
      </c>
    </row>
    <row r="27" spans="2:4">
      <c r="B27" s="9" t="s">
        <v>16</v>
      </c>
      <c r="C27" s="11" t="s">
        <v>17</v>
      </c>
    </row>
    <row r="28" spans="2:4">
      <c r="B28" s="9" t="s">
        <v>18</v>
      </c>
      <c r="C28" s="11" t="s">
        <v>19</v>
      </c>
    </row>
    <row r="29" spans="2:4">
      <c r="B29" s="9" t="s">
        <v>20</v>
      </c>
      <c r="C29" s="11" t="s">
        <v>21</v>
      </c>
    </row>
    <row r="30" spans="2:4">
      <c r="B30" s="9" t="s">
        <v>22</v>
      </c>
      <c r="C30" s="11">
        <v>2012</v>
      </c>
    </row>
    <row r="31" spans="2:4">
      <c r="B31" s="12" t="s">
        <v>23</v>
      </c>
      <c r="C31" s="13">
        <v>2006</v>
      </c>
    </row>
  </sheetData>
  <mergeCells count="4">
    <mergeCell ref="A4:E4"/>
    <mergeCell ref="A3:E3"/>
    <mergeCell ref="A2:E2"/>
    <mergeCell ref="A1:E1"/>
  </mergeCells>
  <conditionalFormatting sqref="C26:C31">
    <cfRule type="expression" dxfId="14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2" customWidth="1"/>
    <col min="2" max="2" width="16.7109375" style="2" customWidth="1"/>
    <col min="3" max="5" width="17.140625" style="2" customWidth="1"/>
    <col min="6" max="8" width="20.42578125" style="2" customWidth="1"/>
    <col min="9" max="9" width="21.42578125" style="2" customWidth="1"/>
    <col min="10" max="10" width="20.42578125" style="2" customWidth="1"/>
  </cols>
  <sheetData>
    <row r="1" spans="1:12" ht="32.25" customHeight="1">
      <c r="A1" s="14"/>
      <c r="B1" s="15" t="str">
        <f>"Revenu des personnes physiques "&amp;Info!C31</f>
        <v>Revenu des personnes physiques 2006</v>
      </c>
      <c r="D1" s="16"/>
      <c r="E1" s="17"/>
      <c r="G1" s="18" t="str">
        <f>Info!A4</f>
        <v>Année de référence 2012</v>
      </c>
      <c r="J1" s="19" t="str">
        <f>Info!$C$28</f>
        <v>FA_2012_20120430_alpha0.7</v>
      </c>
    </row>
    <row r="2" spans="1:12" s="20" customFormat="1">
      <c r="A2" s="21"/>
      <c r="B2" s="22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3" t="s">
        <v>31</v>
      </c>
      <c r="J2" s="24" t="s">
        <v>32</v>
      </c>
    </row>
    <row r="3" spans="1:12" s="25" customFormat="1" ht="11.25" customHeight="1">
      <c r="A3" s="26"/>
      <c r="B3" s="27" t="s">
        <v>33</v>
      </c>
      <c r="C3" s="28"/>
      <c r="D3" s="28"/>
      <c r="E3" s="28"/>
      <c r="F3" s="28"/>
      <c r="G3" s="29"/>
      <c r="H3" s="29"/>
      <c r="I3" s="28"/>
      <c r="J3" s="30" t="s">
        <v>34</v>
      </c>
    </row>
    <row r="4" spans="1:12" ht="79.5" customHeight="1">
      <c r="A4" s="31"/>
      <c r="B4" s="32"/>
      <c r="C4" s="33" t="s">
        <v>35</v>
      </c>
      <c r="D4" s="33" t="s">
        <v>36</v>
      </c>
      <c r="E4" s="34" t="s">
        <v>37</v>
      </c>
      <c r="F4" s="33" t="s">
        <v>38</v>
      </c>
      <c r="G4" s="33" t="s">
        <v>39</v>
      </c>
      <c r="H4" s="33" t="s">
        <v>40</v>
      </c>
      <c r="I4" s="33" t="s">
        <v>41</v>
      </c>
      <c r="J4" s="35" t="s">
        <v>42</v>
      </c>
    </row>
    <row r="5" spans="1:12" s="36" customFormat="1" ht="22.5" customHeight="1">
      <c r="A5" s="37"/>
      <c r="B5" s="38" t="s">
        <v>43</v>
      </c>
      <c r="C5" s="39" t="s">
        <v>44</v>
      </c>
      <c r="D5" s="39" t="s">
        <v>44</v>
      </c>
      <c r="E5" s="39" t="s">
        <v>45</v>
      </c>
      <c r="F5" s="39" t="s">
        <v>44</v>
      </c>
      <c r="G5" s="39" t="s">
        <v>44</v>
      </c>
      <c r="H5" s="39" t="s">
        <v>44</v>
      </c>
      <c r="I5" s="39" t="s">
        <v>44</v>
      </c>
      <c r="J5" s="40"/>
    </row>
    <row r="6" spans="1:12" s="36" customFormat="1" ht="11.25" customHeight="1">
      <c r="A6" s="37"/>
      <c r="B6" s="38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0" t="s">
        <v>47</v>
      </c>
    </row>
    <row r="7" spans="1:12">
      <c r="A7" s="31"/>
      <c r="B7" s="42" t="s">
        <v>49</v>
      </c>
      <c r="C7" s="43">
        <v>782640</v>
      </c>
      <c r="D7" s="43">
        <v>49229466.799999997</v>
      </c>
      <c r="E7" s="43">
        <v>29200</v>
      </c>
      <c r="F7" s="43">
        <v>225573</v>
      </c>
      <c r="G7" s="43">
        <v>2703631.5</v>
      </c>
      <c r="H7" s="43">
        <v>557067</v>
      </c>
      <c r="I7" s="43">
        <v>46525835.299999997</v>
      </c>
      <c r="J7" s="44">
        <f t="shared" ref="J7:J32" si="0">I7-(E7/1000*H7)</f>
        <v>30259478.899999999</v>
      </c>
      <c r="K7" s="2"/>
      <c r="L7" s="45"/>
    </row>
    <row r="8" spans="1:12">
      <c r="A8" s="31"/>
      <c r="B8" s="46" t="s">
        <v>50</v>
      </c>
      <c r="C8" s="47">
        <v>598808</v>
      </c>
      <c r="D8" s="47">
        <v>27740208.100000001</v>
      </c>
      <c r="E8" s="47">
        <v>29200</v>
      </c>
      <c r="F8" s="47">
        <v>217642</v>
      </c>
      <c r="G8" s="47">
        <v>2333848.1</v>
      </c>
      <c r="H8" s="47">
        <v>381166</v>
      </c>
      <c r="I8" s="47">
        <v>25406360</v>
      </c>
      <c r="J8" s="48">
        <f t="shared" si="0"/>
        <v>14276312.800000001</v>
      </c>
      <c r="K8" s="2"/>
      <c r="L8" s="45"/>
    </row>
    <row r="9" spans="1:12">
      <c r="A9" s="31"/>
      <c r="B9" s="49" t="s">
        <v>51</v>
      </c>
      <c r="C9" s="50">
        <v>206874</v>
      </c>
      <c r="D9" s="50">
        <v>10603000.9</v>
      </c>
      <c r="E9" s="50">
        <v>29200</v>
      </c>
      <c r="F9" s="50">
        <v>66108</v>
      </c>
      <c r="G9" s="50">
        <v>849155.1</v>
      </c>
      <c r="H9" s="50">
        <v>140766</v>
      </c>
      <c r="I9" s="50">
        <v>9753845.8000000007</v>
      </c>
      <c r="J9" s="51">
        <f t="shared" si="0"/>
        <v>5643478.6000000015</v>
      </c>
      <c r="K9" s="2"/>
      <c r="L9" s="45"/>
    </row>
    <row r="10" spans="1:12">
      <c r="A10" s="31"/>
      <c r="B10" s="46" t="s">
        <v>52</v>
      </c>
      <c r="C10" s="47">
        <v>19931</v>
      </c>
      <c r="D10" s="47">
        <v>881964.9</v>
      </c>
      <c r="E10" s="47">
        <v>29200</v>
      </c>
      <c r="F10" s="47">
        <v>6640</v>
      </c>
      <c r="G10" s="47">
        <v>88268.9</v>
      </c>
      <c r="H10" s="47">
        <v>13291</v>
      </c>
      <c r="I10" s="47">
        <v>793696</v>
      </c>
      <c r="J10" s="48">
        <f t="shared" si="0"/>
        <v>405598.8</v>
      </c>
      <c r="K10" s="2"/>
      <c r="L10" s="45"/>
    </row>
    <row r="11" spans="1:12">
      <c r="A11" s="31"/>
      <c r="B11" s="49" t="s">
        <v>53</v>
      </c>
      <c r="C11" s="50">
        <v>80475</v>
      </c>
      <c r="D11" s="50">
        <v>6047884.2000000002</v>
      </c>
      <c r="E11" s="50">
        <v>29200</v>
      </c>
      <c r="F11" s="50">
        <v>24058</v>
      </c>
      <c r="G11" s="50">
        <v>308316.59999999998</v>
      </c>
      <c r="H11" s="50">
        <v>56417</v>
      </c>
      <c r="I11" s="50">
        <v>5739567.5999999996</v>
      </c>
      <c r="J11" s="51">
        <f t="shared" si="0"/>
        <v>4092191.1999999997</v>
      </c>
      <c r="K11" s="2"/>
      <c r="L11" s="45"/>
    </row>
    <row r="12" spans="1:12">
      <c r="A12" s="31"/>
      <c r="B12" s="46" t="s">
        <v>54</v>
      </c>
      <c r="C12" s="47">
        <v>20143</v>
      </c>
      <c r="D12" s="47">
        <v>1011954.5</v>
      </c>
      <c r="E12" s="47">
        <v>29200</v>
      </c>
      <c r="F12" s="47">
        <v>7147</v>
      </c>
      <c r="G12" s="47">
        <v>91043.6</v>
      </c>
      <c r="H12" s="47">
        <v>12996</v>
      </c>
      <c r="I12" s="47">
        <v>920910.9</v>
      </c>
      <c r="J12" s="48">
        <f t="shared" si="0"/>
        <v>541427.69999999995</v>
      </c>
      <c r="K12" s="2"/>
      <c r="L12" s="45"/>
    </row>
    <row r="13" spans="1:12">
      <c r="A13" s="31"/>
      <c r="B13" s="49" t="s">
        <v>55</v>
      </c>
      <c r="C13" s="50">
        <v>23775</v>
      </c>
      <c r="D13" s="50">
        <v>1591980.2</v>
      </c>
      <c r="E13" s="50">
        <v>29200</v>
      </c>
      <c r="F13" s="50">
        <v>6418</v>
      </c>
      <c r="G13" s="50">
        <v>86961</v>
      </c>
      <c r="H13" s="50">
        <v>17357</v>
      </c>
      <c r="I13" s="50">
        <v>1505019.2</v>
      </c>
      <c r="J13" s="51">
        <f t="shared" si="0"/>
        <v>998194.8</v>
      </c>
      <c r="K13" s="2"/>
      <c r="L13" s="45"/>
    </row>
    <row r="14" spans="1:12">
      <c r="A14" s="31"/>
      <c r="B14" s="46" t="s">
        <v>56</v>
      </c>
      <c r="C14" s="47">
        <v>22101</v>
      </c>
      <c r="D14" s="47">
        <v>1030516.3</v>
      </c>
      <c r="E14" s="47">
        <v>29200</v>
      </c>
      <c r="F14" s="47">
        <v>7241</v>
      </c>
      <c r="G14" s="47">
        <v>101757.1</v>
      </c>
      <c r="H14" s="47">
        <v>14860</v>
      </c>
      <c r="I14" s="47">
        <v>928759.2</v>
      </c>
      <c r="J14" s="48">
        <f t="shared" si="0"/>
        <v>494847.19999999995</v>
      </c>
      <c r="K14" s="2"/>
      <c r="L14" s="45"/>
    </row>
    <row r="15" spans="1:12">
      <c r="A15" s="31"/>
      <c r="B15" s="49" t="s">
        <v>57</v>
      </c>
      <c r="C15" s="50">
        <v>62903</v>
      </c>
      <c r="D15" s="50">
        <v>5338743.7</v>
      </c>
      <c r="E15" s="50">
        <v>29200</v>
      </c>
      <c r="F15" s="50">
        <v>15714</v>
      </c>
      <c r="G15" s="50">
        <v>186078</v>
      </c>
      <c r="H15" s="50">
        <v>47189</v>
      </c>
      <c r="I15" s="50">
        <v>5152665.7</v>
      </c>
      <c r="J15" s="51">
        <f t="shared" si="0"/>
        <v>3774746.9000000004</v>
      </c>
      <c r="K15" s="2"/>
      <c r="L15" s="45"/>
    </row>
    <row r="16" spans="1:12">
      <c r="A16" s="31"/>
      <c r="B16" s="46" t="s">
        <v>58</v>
      </c>
      <c r="C16" s="47">
        <v>140566</v>
      </c>
      <c r="D16" s="47">
        <v>7318102.2999999998</v>
      </c>
      <c r="E16" s="47">
        <v>29200</v>
      </c>
      <c r="F16" s="47">
        <v>42686</v>
      </c>
      <c r="G16" s="47">
        <v>583095.30000000005</v>
      </c>
      <c r="H16" s="47">
        <v>97880</v>
      </c>
      <c r="I16" s="47">
        <v>6735007</v>
      </c>
      <c r="J16" s="48">
        <f t="shared" si="0"/>
        <v>3876911</v>
      </c>
      <c r="K16" s="2"/>
      <c r="L16" s="45"/>
    </row>
    <row r="17" spans="1:12">
      <c r="A17" s="31"/>
      <c r="B17" s="49" t="s">
        <v>59</v>
      </c>
      <c r="C17" s="50">
        <v>152680</v>
      </c>
      <c r="D17" s="50">
        <v>7632196.2999999998</v>
      </c>
      <c r="E17" s="50">
        <v>29200</v>
      </c>
      <c r="F17" s="50">
        <v>49244</v>
      </c>
      <c r="G17" s="50">
        <v>551953.4</v>
      </c>
      <c r="H17" s="50">
        <v>103436</v>
      </c>
      <c r="I17" s="50">
        <v>7080242.9000000004</v>
      </c>
      <c r="J17" s="51">
        <f t="shared" si="0"/>
        <v>4059911.7000000007</v>
      </c>
      <c r="K17" s="2"/>
      <c r="L17" s="45"/>
    </row>
    <row r="18" spans="1:12">
      <c r="A18" s="31"/>
      <c r="B18" s="46" t="s">
        <v>60</v>
      </c>
      <c r="C18" s="47">
        <v>122670</v>
      </c>
      <c r="D18" s="47">
        <v>6698636.9000000004</v>
      </c>
      <c r="E18" s="47">
        <v>29200</v>
      </c>
      <c r="F18" s="47">
        <v>45470</v>
      </c>
      <c r="G18" s="47">
        <v>490421</v>
      </c>
      <c r="H18" s="47">
        <v>77200</v>
      </c>
      <c r="I18" s="47">
        <v>6208215.9000000004</v>
      </c>
      <c r="J18" s="48">
        <f t="shared" si="0"/>
        <v>3953975.9000000004</v>
      </c>
      <c r="K18" s="2"/>
      <c r="L18" s="45"/>
    </row>
    <row r="19" spans="1:12">
      <c r="A19" s="31"/>
      <c r="B19" s="49" t="s">
        <v>61</v>
      </c>
      <c r="C19" s="50">
        <v>158048</v>
      </c>
      <c r="D19" s="50">
        <v>9849856</v>
      </c>
      <c r="E19" s="50">
        <v>29200</v>
      </c>
      <c r="F19" s="50">
        <v>41459</v>
      </c>
      <c r="G19" s="50">
        <v>464987.7</v>
      </c>
      <c r="H19" s="50">
        <v>116589</v>
      </c>
      <c r="I19" s="50">
        <v>9384868.3000000007</v>
      </c>
      <c r="J19" s="51">
        <f t="shared" si="0"/>
        <v>5980469.5000000009</v>
      </c>
      <c r="K19" s="2"/>
      <c r="L19" s="45"/>
    </row>
    <row r="20" spans="1:12">
      <c r="A20" s="31"/>
      <c r="B20" s="46" t="s">
        <v>62</v>
      </c>
      <c r="C20" s="47">
        <v>43624</v>
      </c>
      <c r="D20" s="47">
        <v>2211481.5</v>
      </c>
      <c r="E20" s="47">
        <v>29200</v>
      </c>
      <c r="F20" s="47">
        <v>13685</v>
      </c>
      <c r="G20" s="47">
        <v>180475.8</v>
      </c>
      <c r="H20" s="47">
        <v>29939</v>
      </c>
      <c r="I20" s="47">
        <v>2031005.7</v>
      </c>
      <c r="J20" s="48">
        <f t="shared" si="0"/>
        <v>1156786.8999999999</v>
      </c>
      <c r="K20" s="2"/>
      <c r="L20" s="45"/>
    </row>
    <row r="21" spans="1:12">
      <c r="A21" s="31"/>
      <c r="B21" s="49" t="s">
        <v>63</v>
      </c>
      <c r="C21" s="50">
        <v>30580</v>
      </c>
      <c r="D21" s="50">
        <v>1557071.8</v>
      </c>
      <c r="E21" s="50">
        <v>29200</v>
      </c>
      <c r="F21" s="50">
        <v>10217</v>
      </c>
      <c r="G21" s="50">
        <v>131311.5</v>
      </c>
      <c r="H21" s="50">
        <v>20363</v>
      </c>
      <c r="I21" s="50">
        <v>1425760.3</v>
      </c>
      <c r="J21" s="51">
        <f t="shared" si="0"/>
        <v>831160.70000000007</v>
      </c>
      <c r="K21" s="2"/>
      <c r="L21" s="45"/>
    </row>
    <row r="22" spans="1:12">
      <c r="A22" s="31"/>
      <c r="B22" s="46" t="s">
        <v>64</v>
      </c>
      <c r="C22" s="47">
        <v>8612</v>
      </c>
      <c r="D22" s="47">
        <v>449841.5</v>
      </c>
      <c r="E22" s="47">
        <v>29200</v>
      </c>
      <c r="F22" s="47">
        <v>2924</v>
      </c>
      <c r="G22" s="47">
        <v>40123.599999999999</v>
      </c>
      <c r="H22" s="47">
        <v>5688</v>
      </c>
      <c r="I22" s="47">
        <v>409717.9</v>
      </c>
      <c r="J22" s="48">
        <f t="shared" si="0"/>
        <v>243628.30000000002</v>
      </c>
      <c r="K22" s="2"/>
      <c r="L22" s="45"/>
    </row>
    <row r="23" spans="1:12">
      <c r="A23" s="31"/>
      <c r="B23" s="49" t="s">
        <v>65</v>
      </c>
      <c r="C23" s="50">
        <v>265677</v>
      </c>
      <c r="D23" s="50">
        <v>12966836.4</v>
      </c>
      <c r="E23" s="50">
        <v>29200</v>
      </c>
      <c r="F23" s="50">
        <v>88979</v>
      </c>
      <c r="G23" s="50">
        <v>1132404.8</v>
      </c>
      <c r="H23" s="50">
        <v>176698</v>
      </c>
      <c r="I23" s="50">
        <v>11834431.6</v>
      </c>
      <c r="J23" s="51">
        <f t="shared" si="0"/>
        <v>6674850</v>
      </c>
      <c r="K23" s="2"/>
      <c r="L23" s="45"/>
    </row>
    <row r="24" spans="1:12">
      <c r="A24" s="31"/>
      <c r="B24" s="46" t="s">
        <v>66</v>
      </c>
      <c r="C24" s="47">
        <v>129128</v>
      </c>
      <c r="D24" s="47">
        <v>5577691.2000000002</v>
      </c>
      <c r="E24" s="47">
        <v>29200</v>
      </c>
      <c r="F24" s="47">
        <v>55896</v>
      </c>
      <c r="G24" s="47">
        <v>527108</v>
      </c>
      <c r="H24" s="47">
        <v>73232</v>
      </c>
      <c r="I24" s="47">
        <v>5050583.2</v>
      </c>
      <c r="J24" s="48">
        <f t="shared" si="0"/>
        <v>2912208.8000000003</v>
      </c>
      <c r="K24" s="2"/>
      <c r="L24" s="45"/>
    </row>
    <row r="25" spans="1:12">
      <c r="A25" s="31"/>
      <c r="B25" s="49" t="s">
        <v>67</v>
      </c>
      <c r="C25" s="50">
        <v>330005</v>
      </c>
      <c r="D25" s="50">
        <v>18498474.100000001</v>
      </c>
      <c r="E25" s="50">
        <v>29200</v>
      </c>
      <c r="F25" s="50">
        <v>86339</v>
      </c>
      <c r="G25" s="50">
        <v>1083925.5</v>
      </c>
      <c r="H25" s="50">
        <v>243666</v>
      </c>
      <c r="I25" s="50">
        <v>17414548.600000001</v>
      </c>
      <c r="J25" s="51">
        <f t="shared" si="0"/>
        <v>10299501.400000002</v>
      </c>
      <c r="K25" s="2"/>
      <c r="L25" s="45"/>
    </row>
    <row r="26" spans="1:12">
      <c r="A26" s="31"/>
      <c r="B26" s="46" t="s">
        <v>68</v>
      </c>
      <c r="C26" s="47">
        <v>134568</v>
      </c>
      <c r="D26" s="47">
        <v>6818145.2000000002</v>
      </c>
      <c r="E26" s="47">
        <v>29200</v>
      </c>
      <c r="F26" s="47">
        <v>41798</v>
      </c>
      <c r="G26" s="47">
        <v>564138.1</v>
      </c>
      <c r="H26" s="47">
        <v>92770</v>
      </c>
      <c r="I26" s="47">
        <v>6254007.0999999996</v>
      </c>
      <c r="J26" s="48">
        <f t="shared" si="0"/>
        <v>3545123.0999999996</v>
      </c>
      <c r="K26" s="2"/>
      <c r="L26" s="45"/>
    </row>
    <row r="27" spans="1:12">
      <c r="A27" s="31"/>
      <c r="B27" s="49" t="s">
        <v>69</v>
      </c>
      <c r="C27" s="50">
        <v>196264</v>
      </c>
      <c r="D27" s="50">
        <v>10041740.4</v>
      </c>
      <c r="E27" s="50">
        <v>29200</v>
      </c>
      <c r="F27" s="50">
        <v>72954</v>
      </c>
      <c r="G27" s="50">
        <v>917986.7</v>
      </c>
      <c r="H27" s="50">
        <v>123310</v>
      </c>
      <c r="I27" s="50">
        <v>9123753.6999999993</v>
      </c>
      <c r="J27" s="51">
        <f t="shared" si="0"/>
        <v>5523101.6999999993</v>
      </c>
      <c r="K27" s="2"/>
      <c r="L27" s="45"/>
    </row>
    <row r="28" spans="1:12">
      <c r="A28" s="31"/>
      <c r="B28" s="46" t="s">
        <v>70</v>
      </c>
      <c r="C28" s="47">
        <v>377382</v>
      </c>
      <c r="D28" s="47">
        <v>22170202.100000001</v>
      </c>
      <c r="E28" s="47">
        <v>29200</v>
      </c>
      <c r="F28" s="47">
        <v>127864</v>
      </c>
      <c r="G28" s="47">
        <v>1448435.9</v>
      </c>
      <c r="H28" s="47">
        <v>249518</v>
      </c>
      <c r="I28" s="47">
        <v>20721766.199999999</v>
      </c>
      <c r="J28" s="48">
        <f t="shared" si="0"/>
        <v>13435840.6</v>
      </c>
      <c r="K28" s="2"/>
      <c r="L28" s="45"/>
    </row>
    <row r="29" spans="1:12">
      <c r="A29" s="31"/>
      <c r="B29" s="49" t="s">
        <v>71</v>
      </c>
      <c r="C29" s="50">
        <v>204886</v>
      </c>
      <c r="D29" s="50">
        <v>8307352.5999999996</v>
      </c>
      <c r="E29" s="50">
        <v>29200</v>
      </c>
      <c r="F29" s="50">
        <v>92443</v>
      </c>
      <c r="G29" s="50">
        <v>838261.8</v>
      </c>
      <c r="H29" s="50">
        <v>112443</v>
      </c>
      <c r="I29" s="50">
        <v>7469090.7999999998</v>
      </c>
      <c r="J29" s="51">
        <f t="shared" si="0"/>
        <v>4185755.1999999997</v>
      </c>
      <c r="K29" s="2"/>
      <c r="L29" s="45"/>
    </row>
    <row r="30" spans="1:12">
      <c r="A30" s="31"/>
      <c r="B30" s="46" t="s">
        <v>72</v>
      </c>
      <c r="C30" s="47">
        <v>99872</v>
      </c>
      <c r="D30" s="47">
        <v>4928369.4000000004</v>
      </c>
      <c r="E30" s="47">
        <v>29200</v>
      </c>
      <c r="F30" s="47">
        <v>35278</v>
      </c>
      <c r="G30" s="47">
        <v>413685.6</v>
      </c>
      <c r="H30" s="47">
        <v>64594</v>
      </c>
      <c r="I30" s="47">
        <v>4514683.8</v>
      </c>
      <c r="J30" s="48">
        <f t="shared" si="0"/>
        <v>2628539</v>
      </c>
      <c r="K30" s="2"/>
      <c r="L30" s="45"/>
    </row>
    <row r="31" spans="1:12">
      <c r="A31" s="31"/>
      <c r="B31" s="49" t="s">
        <v>73</v>
      </c>
      <c r="C31" s="50">
        <v>240330</v>
      </c>
      <c r="D31" s="50">
        <v>16274630.199999999</v>
      </c>
      <c r="E31" s="50">
        <v>29200</v>
      </c>
      <c r="F31" s="50">
        <v>79371</v>
      </c>
      <c r="G31" s="50">
        <v>917035</v>
      </c>
      <c r="H31" s="50">
        <v>160959</v>
      </c>
      <c r="I31" s="50">
        <v>15357595.199999999</v>
      </c>
      <c r="J31" s="51">
        <f t="shared" si="0"/>
        <v>10657592.399999999</v>
      </c>
      <c r="K31" s="2"/>
      <c r="L31" s="45"/>
    </row>
    <row r="32" spans="1:12">
      <c r="A32" s="31"/>
      <c r="B32" s="46" t="s">
        <v>74</v>
      </c>
      <c r="C32" s="47">
        <v>41560</v>
      </c>
      <c r="D32" s="47">
        <v>1779765.6</v>
      </c>
      <c r="E32" s="47">
        <v>29200</v>
      </c>
      <c r="F32" s="47">
        <v>16093</v>
      </c>
      <c r="G32" s="47">
        <v>196071.6</v>
      </c>
      <c r="H32" s="47">
        <v>25467</v>
      </c>
      <c r="I32" s="47">
        <v>1583694</v>
      </c>
      <c r="J32" s="48">
        <f t="shared" si="0"/>
        <v>840057.6</v>
      </c>
      <c r="K32" s="2"/>
      <c r="L32" s="45"/>
    </row>
    <row r="33" spans="1:12" s="52" customFormat="1">
      <c r="A33" s="53"/>
      <c r="B33" s="54" t="s">
        <v>75</v>
      </c>
      <c r="C33" s="55">
        <f>SUM(C7:C32)</f>
        <v>4494102</v>
      </c>
      <c r="D33" s="55">
        <f>SUM(D7:D32)</f>
        <v>246556113.09999999</v>
      </c>
      <c r="E33" s="55">
        <f>AVERAGE(E7:E32)</f>
        <v>29200</v>
      </c>
      <c r="F33" s="55">
        <f>SUM(F7:F32)</f>
        <v>1479241</v>
      </c>
      <c r="G33" s="55">
        <f>SUM(G7:G32)</f>
        <v>17230481.200000003</v>
      </c>
      <c r="H33" s="55">
        <f>SUM(H7:H32)</f>
        <v>3014861</v>
      </c>
      <c r="I33" s="55">
        <f>SUM(I7:I32)</f>
        <v>229325631.89999998</v>
      </c>
      <c r="J33" s="56">
        <f>SUM(J7:J32)</f>
        <v>141291690.70000002</v>
      </c>
      <c r="L33" s="57"/>
    </row>
    <row r="34" spans="1:12">
      <c r="B34" s="53"/>
      <c r="K34" s="2"/>
    </row>
    <row r="35" spans="1:12">
      <c r="K35" s="2"/>
    </row>
    <row r="36" spans="1:12">
      <c r="K36" s="2"/>
    </row>
  </sheetData>
  <conditionalFormatting sqref="C7:I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5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8.42578125" style="2" customWidth="1"/>
    <col min="3" max="3" width="24.28515625" style="2" customWidth="1"/>
    <col min="4" max="4" width="13.42578125" style="1" customWidth="1"/>
  </cols>
  <sheetData>
    <row r="1" spans="1:4" ht="28.5" customHeight="1">
      <c r="B1" s="58" t="str">
        <f>"Revenu pour l’imposition à la source "&amp;Info!C31</f>
        <v>Revenu pour l’imposition à la source 2006</v>
      </c>
      <c r="C1" s="59"/>
      <c r="D1" s="60"/>
    </row>
    <row r="2" spans="1:4" ht="15" customHeight="1">
      <c r="B2" s="61" t="str">
        <f>Info!A4</f>
        <v>Année de référence 2012</v>
      </c>
    </row>
    <row r="3" spans="1:4" ht="24" customHeight="1">
      <c r="A3" s="62"/>
      <c r="B3" s="62"/>
      <c r="C3" s="19" t="str">
        <f>Info!$C$28</f>
        <v>FA_2012_20120430_alpha0.7</v>
      </c>
    </row>
    <row r="4" spans="1:4" ht="31.5" customHeight="1">
      <c r="B4" s="63"/>
      <c r="C4" s="64" t="s">
        <v>76</v>
      </c>
    </row>
    <row r="5" spans="1:4" s="65" customFormat="1">
      <c r="A5" s="66"/>
      <c r="B5" s="67" t="s">
        <v>77</v>
      </c>
      <c r="C5" s="68" t="str">
        <f>"RIS_"&amp;Info!C30&amp;"_"&amp;Info!C31&amp;".xlsx"</f>
        <v>RIS_2012_2006.xlsx</v>
      </c>
    </row>
    <row r="6" spans="1:4" s="65" customFormat="1">
      <c r="A6" s="69"/>
      <c r="B6" s="41" t="s">
        <v>46</v>
      </c>
      <c r="C6" s="40" t="s">
        <v>47</v>
      </c>
    </row>
    <row r="7" spans="1:4" ht="15" customHeight="1">
      <c r="A7" s="70"/>
      <c r="B7" s="71" t="s">
        <v>49</v>
      </c>
      <c r="C7" s="72">
        <v>1365444.0820255999</v>
      </c>
    </row>
    <row r="8" spans="1:4" ht="15" customHeight="1">
      <c r="A8" s="70"/>
      <c r="B8" s="73" t="s">
        <v>50</v>
      </c>
      <c r="C8" s="74">
        <v>461355.15141173999</v>
      </c>
    </row>
    <row r="9" spans="1:4" ht="15" customHeight="1">
      <c r="A9" s="70"/>
      <c r="B9" s="75" t="s">
        <v>51</v>
      </c>
      <c r="C9" s="76">
        <v>197343.56401947199</v>
      </c>
    </row>
    <row r="10" spans="1:4" ht="15" customHeight="1">
      <c r="A10" s="70"/>
      <c r="B10" s="73" t="s">
        <v>52</v>
      </c>
      <c r="C10" s="74">
        <v>20493.695276343798</v>
      </c>
    </row>
    <row r="11" spans="1:4" ht="15" customHeight="1">
      <c r="A11" s="70"/>
      <c r="B11" s="75" t="s">
        <v>53</v>
      </c>
      <c r="C11" s="76">
        <v>87505.017877476406</v>
      </c>
    </row>
    <row r="12" spans="1:4" ht="15" customHeight="1">
      <c r="A12" s="70"/>
      <c r="B12" s="73" t="s">
        <v>54</v>
      </c>
      <c r="C12" s="74">
        <v>23008.47321955</v>
      </c>
    </row>
    <row r="13" spans="1:4" ht="15" customHeight="1">
      <c r="A13" s="70"/>
      <c r="B13" s="75" t="s">
        <v>55</v>
      </c>
      <c r="C13" s="76">
        <v>22054.3531188868</v>
      </c>
    </row>
    <row r="14" spans="1:4" ht="15" customHeight="1">
      <c r="A14" s="70"/>
      <c r="B14" s="73" t="s">
        <v>56</v>
      </c>
      <c r="C14" s="74">
        <v>16089.49663025</v>
      </c>
    </row>
    <row r="15" spans="1:4" ht="15" customHeight="1">
      <c r="A15" s="70"/>
      <c r="B15" s="75" t="s">
        <v>57</v>
      </c>
      <c r="C15" s="76">
        <v>133979.23297824099</v>
      </c>
    </row>
    <row r="16" spans="1:4" ht="15" customHeight="1">
      <c r="A16" s="70"/>
      <c r="B16" s="73" t="s">
        <v>58</v>
      </c>
      <c r="C16" s="74">
        <v>153668.74965499999</v>
      </c>
    </row>
    <row r="17" spans="1:3" ht="15" customHeight="1">
      <c r="A17" s="70"/>
      <c r="B17" s="75" t="s">
        <v>59</v>
      </c>
      <c r="C17" s="76">
        <v>110697.81392896301</v>
      </c>
    </row>
    <row r="18" spans="1:3" ht="15" customHeight="1">
      <c r="A18" s="70"/>
      <c r="B18" s="73" t="s">
        <v>60</v>
      </c>
      <c r="C18" s="74">
        <v>580461.456781468</v>
      </c>
    </row>
    <row r="19" spans="1:3" ht="15" customHeight="1">
      <c r="A19" s="70"/>
      <c r="B19" s="75" t="s">
        <v>61</v>
      </c>
      <c r="C19" s="76">
        <v>294441.73171316</v>
      </c>
    </row>
    <row r="20" spans="1:3" ht="15" customHeight="1">
      <c r="A20" s="70"/>
      <c r="B20" s="73" t="s">
        <v>62</v>
      </c>
      <c r="C20" s="74">
        <v>108911.282240167</v>
      </c>
    </row>
    <row r="21" spans="1:3" ht="15" customHeight="1">
      <c r="A21" s="70"/>
      <c r="B21" s="75" t="s">
        <v>63</v>
      </c>
      <c r="C21" s="76">
        <v>28528.288391272599</v>
      </c>
    </row>
    <row r="22" spans="1:3" ht="15" customHeight="1">
      <c r="A22" s="70"/>
      <c r="B22" s="73" t="s">
        <v>64</v>
      </c>
      <c r="C22" s="74">
        <v>6772.0620187250597</v>
      </c>
    </row>
    <row r="23" spans="1:3" ht="15" customHeight="1">
      <c r="A23" s="70"/>
      <c r="B23" s="75" t="s">
        <v>65</v>
      </c>
      <c r="C23" s="76">
        <v>364181.92102001503</v>
      </c>
    </row>
    <row r="24" spans="1:3" ht="15" customHeight="1">
      <c r="A24" s="70"/>
      <c r="B24" s="182" t="s">
        <v>118</v>
      </c>
      <c r="C24" s="183">
        <v>291281.87840177101</v>
      </c>
    </row>
    <row r="25" spans="1:3" ht="15" customHeight="1">
      <c r="A25" s="70"/>
      <c r="B25" s="75" t="s">
        <v>67</v>
      </c>
      <c r="C25" s="76">
        <v>407812.88946233998</v>
      </c>
    </row>
    <row r="26" spans="1:3" ht="15" customHeight="1">
      <c r="A26" s="70"/>
      <c r="B26" s="73" t="s">
        <v>68</v>
      </c>
      <c r="C26" s="74">
        <v>161601.44765235801</v>
      </c>
    </row>
    <row r="27" spans="1:3" ht="15" customHeight="1">
      <c r="A27" s="70"/>
      <c r="B27" s="75" t="s">
        <v>69</v>
      </c>
      <c r="C27" s="76">
        <v>680241.22972459998</v>
      </c>
    </row>
    <row r="28" spans="1:3" ht="15" customHeight="1">
      <c r="A28" s="70"/>
      <c r="B28" s="73" t="s">
        <v>70</v>
      </c>
      <c r="C28" s="74">
        <v>780726.84831247805</v>
      </c>
    </row>
    <row r="29" spans="1:3" ht="15" customHeight="1">
      <c r="A29" s="70"/>
      <c r="B29" s="75" t="s">
        <v>71</v>
      </c>
      <c r="C29" s="76">
        <v>280849.314341032</v>
      </c>
    </row>
    <row r="30" spans="1:3" ht="15" customHeight="1">
      <c r="A30" s="70"/>
      <c r="B30" s="73" t="s">
        <v>72</v>
      </c>
      <c r="C30" s="74">
        <v>193770.82405901799</v>
      </c>
    </row>
    <row r="31" spans="1:3" ht="15" customHeight="1">
      <c r="A31" s="70"/>
      <c r="B31" s="75" t="s">
        <v>73</v>
      </c>
      <c r="C31" s="76">
        <v>1602222.16396312</v>
      </c>
    </row>
    <row r="32" spans="1:3" ht="15" customHeight="1">
      <c r="A32" s="70"/>
      <c r="B32" s="182" t="s">
        <v>119</v>
      </c>
      <c r="C32" s="183">
        <v>62112.492931825604</v>
      </c>
    </row>
    <row r="33" spans="1:3" s="52" customFormat="1" ht="18.75" customHeight="1">
      <c r="A33" s="77"/>
      <c r="B33" s="78" t="s">
        <v>75</v>
      </c>
      <c r="C33" s="79">
        <f>SUM(C7:C32)</f>
        <v>8435555.4611548726</v>
      </c>
    </row>
    <row r="34" spans="1:3">
      <c r="B34" s="65" t="s">
        <v>120</v>
      </c>
    </row>
    <row r="35" spans="1:3">
      <c r="B35" s="65" t="s">
        <v>121</v>
      </c>
    </row>
  </sheetData>
  <conditionalFormatting sqref="C7:C32">
    <cfRule type="expression" dxfId="1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8" style="2" customWidth="1"/>
    <col min="2" max="2" width="18.5703125" style="2" customWidth="1"/>
    <col min="3" max="3" width="17.140625" style="2" customWidth="1"/>
    <col min="4" max="4" width="19.7109375" style="2" customWidth="1"/>
  </cols>
  <sheetData>
    <row r="1" spans="1:5" s="31" customFormat="1" ht="28.5" customHeight="1">
      <c r="A1" s="58" t="str">
        <f>"Fortune des personnes physiques "&amp;Info!C31</f>
        <v>Fortune des personnes physiques 2006</v>
      </c>
      <c r="B1" s="58"/>
      <c r="C1" s="58"/>
      <c r="D1" s="58"/>
    </row>
    <row r="2" spans="1:5" ht="15.75" customHeight="1">
      <c r="A2" s="80" t="str">
        <f>Info!A4</f>
        <v>Année de référence 2012</v>
      </c>
      <c r="B2" s="14"/>
      <c r="C2" s="81"/>
    </row>
    <row r="3" spans="1:5" ht="15.75" customHeight="1">
      <c r="A3" s="82"/>
      <c r="B3" s="81"/>
      <c r="C3" s="16"/>
      <c r="D3" s="19" t="str">
        <f>Info!$C$28</f>
        <v>FA_2012_20120430_alpha0.7</v>
      </c>
    </row>
    <row r="4" spans="1:5" s="2" customFormat="1">
      <c r="A4" s="83" t="s">
        <v>24</v>
      </c>
      <c r="B4" s="23" t="s">
        <v>78</v>
      </c>
      <c r="C4" s="23" t="s">
        <v>25</v>
      </c>
      <c r="D4" s="84" t="s">
        <v>26</v>
      </c>
    </row>
    <row r="5" spans="1:5">
      <c r="A5" s="27" t="s">
        <v>33</v>
      </c>
      <c r="B5" s="28"/>
      <c r="C5" s="28"/>
      <c r="D5" s="30" t="s">
        <v>79</v>
      </c>
    </row>
    <row r="6" spans="1:5" ht="25.5" customHeight="1">
      <c r="A6" s="32"/>
      <c r="B6" s="33" t="s">
        <v>80</v>
      </c>
      <c r="C6" s="33" t="s">
        <v>81</v>
      </c>
      <c r="D6" s="35" t="s">
        <v>82</v>
      </c>
      <c r="E6" s="52"/>
    </row>
    <row r="7" spans="1:5">
      <c r="A7" s="38" t="s">
        <v>77</v>
      </c>
      <c r="B7" s="39" t="s">
        <v>44</v>
      </c>
      <c r="C7" s="39" t="s">
        <v>83</v>
      </c>
      <c r="D7" s="85"/>
    </row>
    <row r="8" spans="1:5" s="36" customFormat="1" ht="11.25" customHeight="1">
      <c r="A8" s="86" t="s">
        <v>46</v>
      </c>
      <c r="B8" s="41" t="s">
        <v>47</v>
      </c>
      <c r="C8" s="41"/>
      <c r="D8" s="40" t="s">
        <v>47</v>
      </c>
    </row>
    <row r="9" spans="1:5" ht="15" customHeight="1">
      <c r="A9" s="42" t="s">
        <v>49</v>
      </c>
      <c r="B9" s="87">
        <v>307634480</v>
      </c>
      <c r="C9" s="88">
        <f t="shared" ref="C9:C34" si="0">C$35</f>
        <v>7.0000000000000001E-3</v>
      </c>
      <c r="D9" s="89">
        <f t="shared" ref="D9:D34" si="1">B9*C9</f>
        <v>2153441.36</v>
      </c>
    </row>
    <row r="10" spans="1:5" ht="15" customHeight="1">
      <c r="A10" s="46" t="s">
        <v>50</v>
      </c>
      <c r="B10" s="90">
        <v>136671088.241</v>
      </c>
      <c r="C10" s="91">
        <f t="shared" si="0"/>
        <v>7.0000000000000001E-3</v>
      </c>
      <c r="D10" s="92">
        <f t="shared" si="1"/>
        <v>956697.61768699996</v>
      </c>
    </row>
    <row r="11" spans="1:5" ht="15" customHeight="1">
      <c r="A11" s="49" t="s">
        <v>51</v>
      </c>
      <c r="B11" s="93">
        <v>49254180.669019997</v>
      </c>
      <c r="C11" s="94">
        <f t="shared" si="0"/>
        <v>7.0000000000000001E-3</v>
      </c>
      <c r="D11" s="95">
        <f t="shared" si="1"/>
        <v>344779.26468313998</v>
      </c>
    </row>
    <row r="12" spans="1:5" ht="15" customHeight="1">
      <c r="A12" s="46" t="s">
        <v>52</v>
      </c>
      <c r="B12" s="90">
        <v>3888871.0010000002</v>
      </c>
      <c r="C12" s="91">
        <f t="shared" si="0"/>
        <v>7.0000000000000001E-3</v>
      </c>
      <c r="D12" s="92">
        <f t="shared" si="1"/>
        <v>27222.097007</v>
      </c>
    </row>
    <row r="13" spans="1:5" ht="15" customHeight="1">
      <c r="A13" s="49" t="s">
        <v>53</v>
      </c>
      <c r="B13" s="93">
        <v>47636575.226999998</v>
      </c>
      <c r="C13" s="94">
        <f t="shared" si="0"/>
        <v>7.0000000000000001E-3</v>
      </c>
      <c r="D13" s="95">
        <f t="shared" si="1"/>
        <v>333456.02658900002</v>
      </c>
    </row>
    <row r="14" spans="1:5" ht="15" customHeight="1">
      <c r="A14" s="46" t="s">
        <v>54</v>
      </c>
      <c r="B14" s="90">
        <v>5495464.0590000004</v>
      </c>
      <c r="C14" s="91">
        <f t="shared" si="0"/>
        <v>7.0000000000000001E-3</v>
      </c>
      <c r="D14" s="92">
        <f t="shared" si="1"/>
        <v>38468.248413000001</v>
      </c>
    </row>
    <row r="15" spans="1:5" ht="15" customHeight="1">
      <c r="A15" s="49" t="s">
        <v>55</v>
      </c>
      <c r="B15" s="93">
        <v>19090502.315000001</v>
      </c>
      <c r="C15" s="94">
        <f t="shared" si="0"/>
        <v>7.0000000000000001E-3</v>
      </c>
      <c r="D15" s="95">
        <f t="shared" si="1"/>
        <v>133633.51620500002</v>
      </c>
    </row>
    <row r="16" spans="1:5" ht="15" customHeight="1">
      <c r="A16" s="46" t="s">
        <v>56</v>
      </c>
      <c r="B16" s="90">
        <v>6027673.5329999998</v>
      </c>
      <c r="C16" s="91">
        <f t="shared" si="0"/>
        <v>7.0000000000000001E-3</v>
      </c>
      <c r="D16" s="92">
        <f t="shared" si="1"/>
        <v>42193.714731</v>
      </c>
    </row>
    <row r="17" spans="1:4" ht="15" customHeight="1">
      <c r="A17" s="49" t="s">
        <v>57</v>
      </c>
      <c r="B17" s="93">
        <v>39089554.581</v>
      </c>
      <c r="C17" s="94">
        <f t="shared" si="0"/>
        <v>7.0000000000000001E-3</v>
      </c>
      <c r="D17" s="95">
        <f t="shared" si="1"/>
        <v>273626.88206700003</v>
      </c>
    </row>
    <row r="18" spans="1:4" ht="15" customHeight="1">
      <c r="A18" s="46" t="s">
        <v>58</v>
      </c>
      <c r="B18" s="90">
        <v>22801116.907000002</v>
      </c>
      <c r="C18" s="91">
        <f t="shared" si="0"/>
        <v>7.0000000000000001E-3</v>
      </c>
      <c r="D18" s="92">
        <f t="shared" si="1"/>
        <v>159607.81834900001</v>
      </c>
    </row>
    <row r="19" spans="1:4" ht="15" customHeight="1">
      <c r="A19" s="49" t="s">
        <v>59</v>
      </c>
      <c r="B19" s="93">
        <v>20539267.662999999</v>
      </c>
      <c r="C19" s="94">
        <f t="shared" si="0"/>
        <v>7.0000000000000001E-3</v>
      </c>
      <c r="D19" s="95">
        <f t="shared" si="1"/>
        <v>143774.87364099998</v>
      </c>
    </row>
    <row r="20" spans="1:4" ht="15" customHeight="1">
      <c r="A20" s="46" t="s">
        <v>60</v>
      </c>
      <c r="B20" s="90">
        <v>45730064.327</v>
      </c>
      <c r="C20" s="91">
        <f t="shared" si="0"/>
        <v>7.0000000000000001E-3</v>
      </c>
      <c r="D20" s="92">
        <f t="shared" si="1"/>
        <v>320110.450289</v>
      </c>
    </row>
    <row r="21" spans="1:4" ht="15" customHeight="1">
      <c r="A21" s="49" t="s">
        <v>61</v>
      </c>
      <c r="B21" s="93">
        <v>35739259.636</v>
      </c>
      <c r="C21" s="94">
        <f t="shared" si="0"/>
        <v>7.0000000000000001E-3</v>
      </c>
      <c r="D21" s="95">
        <f t="shared" si="1"/>
        <v>250174.81745200002</v>
      </c>
    </row>
    <row r="22" spans="1:4" ht="15" customHeight="1">
      <c r="A22" s="46" t="s">
        <v>62</v>
      </c>
      <c r="B22" s="90">
        <v>10134334.483999999</v>
      </c>
      <c r="C22" s="91">
        <f t="shared" si="0"/>
        <v>7.0000000000000001E-3</v>
      </c>
      <c r="D22" s="92">
        <f t="shared" si="1"/>
        <v>70940.341388000001</v>
      </c>
    </row>
    <row r="23" spans="1:4" ht="15" customHeight="1">
      <c r="A23" s="49" t="s">
        <v>63</v>
      </c>
      <c r="B23" s="93">
        <v>10393798.257999999</v>
      </c>
      <c r="C23" s="94">
        <f t="shared" si="0"/>
        <v>7.0000000000000001E-3</v>
      </c>
      <c r="D23" s="95">
        <f t="shared" si="1"/>
        <v>72756.587805999996</v>
      </c>
    </row>
    <row r="24" spans="1:4" ht="15" customHeight="1">
      <c r="A24" s="46" t="s">
        <v>64</v>
      </c>
      <c r="B24" s="90">
        <v>3288632.07</v>
      </c>
      <c r="C24" s="91">
        <f t="shared" si="0"/>
        <v>7.0000000000000001E-3</v>
      </c>
      <c r="D24" s="92">
        <f t="shared" si="1"/>
        <v>23020.424489999998</v>
      </c>
    </row>
    <row r="25" spans="1:4" ht="15" customHeight="1">
      <c r="A25" s="49" t="s">
        <v>65</v>
      </c>
      <c r="B25" s="93">
        <v>75044144.209000006</v>
      </c>
      <c r="C25" s="94">
        <f t="shared" si="0"/>
        <v>7.0000000000000001E-3</v>
      </c>
      <c r="D25" s="95">
        <f t="shared" si="1"/>
        <v>525309.00946300011</v>
      </c>
    </row>
    <row r="26" spans="1:4" ht="15" customHeight="1">
      <c r="A26" s="46" t="s">
        <v>66</v>
      </c>
      <c r="B26" s="90">
        <v>37879477.873000003</v>
      </c>
      <c r="C26" s="91">
        <f t="shared" si="0"/>
        <v>7.0000000000000001E-3</v>
      </c>
      <c r="D26" s="92">
        <f t="shared" si="1"/>
        <v>265156.345111</v>
      </c>
    </row>
    <row r="27" spans="1:4" ht="15" customHeight="1">
      <c r="A27" s="49" t="s">
        <v>67</v>
      </c>
      <c r="B27" s="93">
        <v>82176926.425999999</v>
      </c>
      <c r="C27" s="94">
        <f t="shared" si="0"/>
        <v>7.0000000000000001E-3</v>
      </c>
      <c r="D27" s="95">
        <f t="shared" si="1"/>
        <v>575238.48498199997</v>
      </c>
    </row>
    <row r="28" spans="1:4" ht="15" customHeight="1">
      <c r="A28" s="46" t="s">
        <v>68</v>
      </c>
      <c r="B28" s="90">
        <v>34656253</v>
      </c>
      <c r="C28" s="91">
        <f t="shared" si="0"/>
        <v>7.0000000000000001E-3</v>
      </c>
      <c r="D28" s="92">
        <f t="shared" si="1"/>
        <v>242593.77100000001</v>
      </c>
    </row>
    <row r="29" spans="1:4" ht="15" customHeight="1">
      <c r="A29" s="49" t="s">
        <v>69</v>
      </c>
      <c r="B29" s="93">
        <v>38835620.310999997</v>
      </c>
      <c r="C29" s="94">
        <f t="shared" si="0"/>
        <v>7.0000000000000001E-3</v>
      </c>
      <c r="D29" s="95">
        <f t="shared" si="1"/>
        <v>271849.34217700001</v>
      </c>
    </row>
    <row r="30" spans="1:4" ht="15" customHeight="1">
      <c r="A30" s="46" t="s">
        <v>70</v>
      </c>
      <c r="B30" s="90">
        <v>93228034</v>
      </c>
      <c r="C30" s="91">
        <f t="shared" si="0"/>
        <v>7.0000000000000001E-3</v>
      </c>
      <c r="D30" s="92">
        <f t="shared" si="1"/>
        <v>652596.23800000001</v>
      </c>
    </row>
    <row r="31" spans="1:4" ht="15" customHeight="1">
      <c r="A31" s="49" t="s">
        <v>71</v>
      </c>
      <c r="B31" s="93">
        <v>35442154.016999997</v>
      </c>
      <c r="C31" s="94">
        <f t="shared" si="0"/>
        <v>7.0000000000000001E-3</v>
      </c>
      <c r="D31" s="95">
        <f t="shared" si="1"/>
        <v>248095.07811899998</v>
      </c>
    </row>
    <row r="32" spans="1:4" ht="15" customHeight="1">
      <c r="A32" s="46" t="s">
        <v>72</v>
      </c>
      <c r="B32" s="90">
        <v>16035508.267000001</v>
      </c>
      <c r="C32" s="91">
        <f t="shared" si="0"/>
        <v>7.0000000000000001E-3</v>
      </c>
      <c r="D32" s="92">
        <f t="shared" si="1"/>
        <v>112248.55786900001</v>
      </c>
    </row>
    <row r="33" spans="1:4" ht="15" customHeight="1">
      <c r="A33" s="49" t="s">
        <v>73</v>
      </c>
      <c r="B33" s="93">
        <v>66352639.381999999</v>
      </c>
      <c r="C33" s="94">
        <f t="shared" si="0"/>
        <v>7.0000000000000001E-3</v>
      </c>
      <c r="D33" s="95">
        <f t="shared" si="1"/>
        <v>464468.47567399999</v>
      </c>
    </row>
    <row r="34" spans="1:4" ht="15" customHeight="1">
      <c r="A34" s="46" t="s">
        <v>74</v>
      </c>
      <c r="B34" s="90">
        <v>5035115</v>
      </c>
      <c r="C34" s="91">
        <f t="shared" si="0"/>
        <v>7.0000000000000001E-3</v>
      </c>
      <c r="D34" s="92">
        <f t="shared" si="1"/>
        <v>35245.805</v>
      </c>
    </row>
    <row r="35" spans="1:4" s="52" customFormat="1" ht="18.75" customHeight="1">
      <c r="A35" s="96" t="s">
        <v>75</v>
      </c>
      <c r="B35" s="97">
        <f>SUM(B9:B34)</f>
        <v>1248100735.4560199</v>
      </c>
      <c r="C35" s="98">
        <v>7.0000000000000001E-3</v>
      </c>
      <c r="D35" s="79">
        <f>SUM(D9:D34)</f>
        <v>8736705.1481921412</v>
      </c>
    </row>
    <row r="37" spans="1:4">
      <c r="B37" s="99"/>
    </row>
  </sheetData>
  <conditionalFormatting sqref="D9:D34">
    <cfRule type="expression" dxfId="11" priority="1" stopIfTrue="1">
      <formula>ISBLANK(D9)</formula>
    </cfRule>
  </conditionalFormatting>
  <conditionalFormatting sqref="B9:C34 C35">
    <cfRule type="expression" dxfId="10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2" customWidth="1"/>
    <col min="2" max="2" width="20.85546875" style="2" customWidth="1"/>
    <col min="3" max="3" width="22.85546875" style="2" customWidth="1"/>
    <col min="4" max="4" width="21.85546875" style="2" customWidth="1"/>
    <col min="5" max="5" width="6.85546875" style="2" customWidth="1"/>
    <col min="6" max="6" width="16.85546875" style="2" customWidth="1"/>
    <col min="7" max="7" width="9.140625" style="2" customWidth="1"/>
    <col min="8" max="16384" width="9.140625" style="2"/>
  </cols>
  <sheetData>
    <row r="1" spans="1:7" ht="27.75" customHeight="1">
      <c r="A1" s="58" t="str">
        <f>"Bénéfices des personnes morales "&amp;Info!C31</f>
        <v>Bénéfices des personnes morales 2006</v>
      </c>
      <c r="B1" s="58"/>
      <c r="C1" s="58"/>
      <c r="D1" s="58"/>
      <c r="E1" s="59"/>
    </row>
    <row r="2" spans="1:7" ht="15.75" customHeight="1">
      <c r="A2" s="100" t="str">
        <f>Info!A4</f>
        <v>Année de référence 2012</v>
      </c>
      <c r="B2" s="101"/>
      <c r="C2" s="81"/>
      <c r="D2" s="31"/>
      <c r="E2" s="31"/>
    </row>
    <row r="3" spans="1:7" ht="18.75" customHeight="1">
      <c r="D3" s="19" t="str">
        <f>Info!$C$28</f>
        <v>FA_2012_20120430_alpha0.7</v>
      </c>
      <c r="G3" s="19"/>
    </row>
    <row r="4" spans="1:7" s="20" customFormat="1">
      <c r="A4" s="83" t="s">
        <v>24</v>
      </c>
      <c r="B4" s="23" t="s">
        <v>78</v>
      </c>
      <c r="C4" s="23" t="s">
        <v>25</v>
      </c>
      <c r="D4" s="84" t="s">
        <v>26</v>
      </c>
    </row>
    <row r="5" spans="1:7" s="25" customFormat="1" ht="11.25" customHeight="1">
      <c r="A5" s="27" t="s">
        <v>33</v>
      </c>
      <c r="B5" s="28"/>
      <c r="C5" s="28"/>
      <c r="D5" s="30" t="s">
        <v>84</v>
      </c>
    </row>
    <row r="6" spans="1:7" ht="42.75" customHeight="1">
      <c r="A6" s="102"/>
      <c r="B6" s="103" t="s">
        <v>85</v>
      </c>
      <c r="C6" s="103" t="s">
        <v>86</v>
      </c>
      <c r="D6" s="104" t="s">
        <v>87</v>
      </c>
    </row>
    <row r="7" spans="1:7" s="36" customFormat="1" ht="11.25" customHeight="1">
      <c r="A7" s="38" t="s">
        <v>77</v>
      </c>
      <c r="B7" s="39" t="s">
        <v>44</v>
      </c>
      <c r="C7" s="39" t="s">
        <v>44</v>
      </c>
      <c r="D7" s="105"/>
    </row>
    <row r="8" spans="1:7" s="106" customFormat="1">
      <c r="A8" s="86" t="s">
        <v>46</v>
      </c>
      <c r="B8" s="41" t="s">
        <v>47</v>
      </c>
      <c r="C8" s="41" t="s">
        <v>47</v>
      </c>
      <c r="D8" s="40" t="s">
        <v>47</v>
      </c>
      <c r="F8" s="107" t="s">
        <v>88</v>
      </c>
      <c r="G8" s="108"/>
    </row>
    <row r="9" spans="1:7">
      <c r="A9" s="42" t="s">
        <v>49</v>
      </c>
      <c r="B9" s="43">
        <v>14132218.1</v>
      </c>
      <c r="C9" s="43">
        <v>527412.43999999994</v>
      </c>
      <c r="D9" s="109">
        <f t="shared" ref="D9:D34" si="0">B9+C9</f>
        <v>14659630.539999999</v>
      </c>
      <c r="F9" s="110" t="s">
        <v>89</v>
      </c>
      <c r="G9" s="111">
        <v>2.7E-2</v>
      </c>
    </row>
    <row r="10" spans="1:7">
      <c r="A10" s="46" t="s">
        <v>50</v>
      </c>
      <c r="B10" s="47">
        <v>5408198.9000000004</v>
      </c>
      <c r="C10" s="47">
        <v>139507.23759999999</v>
      </c>
      <c r="D10" s="112">
        <f t="shared" si="0"/>
        <v>5547706.1376</v>
      </c>
      <c r="F10" s="110" t="s">
        <v>90</v>
      </c>
      <c r="G10" s="111">
        <v>8.7999999999999995E-2</v>
      </c>
    </row>
    <row r="11" spans="1:7">
      <c r="A11" s="49" t="s">
        <v>51</v>
      </c>
      <c r="B11" s="50">
        <v>1458399</v>
      </c>
      <c r="C11" s="50">
        <v>169473.69459999999</v>
      </c>
      <c r="D11" s="113">
        <f t="shared" si="0"/>
        <v>1627872.6946</v>
      </c>
      <c r="F11" s="110" t="s">
        <v>91</v>
      </c>
      <c r="G11" s="111">
        <v>0.125</v>
      </c>
    </row>
    <row r="12" spans="1:7">
      <c r="A12" s="46" t="s">
        <v>52</v>
      </c>
      <c r="B12" s="47">
        <v>105429.2</v>
      </c>
      <c r="C12" s="47">
        <v>1832.8842999999999</v>
      </c>
      <c r="D12" s="112">
        <f t="shared" si="0"/>
        <v>107262.0843</v>
      </c>
      <c r="F12" s="114" t="s">
        <v>92</v>
      </c>
      <c r="G12" s="115">
        <v>1</v>
      </c>
    </row>
    <row r="13" spans="1:7">
      <c r="A13" s="49" t="s">
        <v>53</v>
      </c>
      <c r="B13" s="50">
        <v>774962.6</v>
      </c>
      <c r="C13" s="50">
        <v>231116.0981</v>
      </c>
      <c r="D13" s="113">
        <f t="shared" si="0"/>
        <v>1006078.6980999999</v>
      </c>
    </row>
    <row r="14" spans="1:7">
      <c r="A14" s="46" t="s">
        <v>54</v>
      </c>
      <c r="B14" s="47">
        <v>172644.6</v>
      </c>
      <c r="C14" s="47">
        <v>2361.0284999999999</v>
      </c>
      <c r="D14" s="112">
        <f t="shared" si="0"/>
        <v>175005.62849999999</v>
      </c>
    </row>
    <row r="15" spans="1:7">
      <c r="A15" s="49" t="s">
        <v>55</v>
      </c>
      <c r="B15" s="50">
        <v>155777.70000000001</v>
      </c>
      <c r="C15" s="50">
        <v>22333.995299999999</v>
      </c>
      <c r="D15" s="113">
        <f t="shared" si="0"/>
        <v>178111.69530000002</v>
      </c>
    </row>
    <row r="16" spans="1:7">
      <c r="A16" s="46" t="s">
        <v>56</v>
      </c>
      <c r="B16" s="47">
        <v>103348.1</v>
      </c>
      <c r="C16" s="47">
        <v>51306.752399999998</v>
      </c>
      <c r="D16" s="112">
        <f t="shared" si="0"/>
        <v>154654.8524</v>
      </c>
    </row>
    <row r="17" spans="1:4">
      <c r="A17" s="49" t="s">
        <v>57</v>
      </c>
      <c r="B17" s="50">
        <v>1665200.9</v>
      </c>
      <c r="C17" s="50">
        <v>1704248.9335</v>
      </c>
      <c r="D17" s="113">
        <f t="shared" si="0"/>
        <v>3369449.8334999997</v>
      </c>
    </row>
    <row r="18" spans="1:4">
      <c r="A18" s="46" t="s">
        <v>58</v>
      </c>
      <c r="B18" s="47">
        <v>974284.1</v>
      </c>
      <c r="C18" s="47">
        <v>124144.04029999999</v>
      </c>
      <c r="D18" s="112">
        <f t="shared" si="0"/>
        <v>1098428.1403000001</v>
      </c>
    </row>
    <row r="19" spans="1:4">
      <c r="A19" s="49" t="s">
        <v>59</v>
      </c>
      <c r="B19" s="50">
        <v>1386176.1</v>
      </c>
      <c r="C19" s="50">
        <v>20584.084800000001</v>
      </c>
      <c r="D19" s="113">
        <f t="shared" si="0"/>
        <v>1406760.1848000002</v>
      </c>
    </row>
    <row r="20" spans="1:4">
      <c r="A20" s="46" t="s">
        <v>60</v>
      </c>
      <c r="B20" s="47">
        <v>1391637</v>
      </c>
      <c r="C20" s="47">
        <v>1534008.8385000001</v>
      </c>
      <c r="D20" s="112">
        <f t="shared" si="0"/>
        <v>2925645.8385000001</v>
      </c>
    </row>
    <row r="21" spans="1:4">
      <c r="A21" s="49" t="s">
        <v>61</v>
      </c>
      <c r="B21" s="50">
        <v>1199726.6000000001</v>
      </c>
      <c r="C21" s="50">
        <v>84966.412200000006</v>
      </c>
      <c r="D21" s="113">
        <f t="shared" si="0"/>
        <v>1284693.0122</v>
      </c>
    </row>
    <row r="22" spans="1:4">
      <c r="A22" s="46" t="s">
        <v>62</v>
      </c>
      <c r="B22" s="47">
        <v>463679.9</v>
      </c>
      <c r="C22" s="47">
        <v>203176.8173</v>
      </c>
      <c r="D22" s="112">
        <f t="shared" si="0"/>
        <v>666856.71730000002</v>
      </c>
    </row>
    <row r="23" spans="1:4">
      <c r="A23" s="49" t="s">
        <v>63</v>
      </c>
      <c r="B23" s="50">
        <v>206002.7</v>
      </c>
      <c r="C23" s="50">
        <v>4363.9083000000001</v>
      </c>
      <c r="D23" s="113">
        <f t="shared" si="0"/>
        <v>210366.60830000002</v>
      </c>
    </row>
    <row r="24" spans="1:4">
      <c r="A24" s="46" t="s">
        <v>64</v>
      </c>
      <c r="B24" s="47">
        <v>58470.1</v>
      </c>
      <c r="C24" s="47">
        <v>5417.6682000000001</v>
      </c>
      <c r="D24" s="112">
        <f t="shared" si="0"/>
        <v>63887.768199999999</v>
      </c>
    </row>
    <row r="25" spans="1:4">
      <c r="A25" s="49" t="s">
        <v>65</v>
      </c>
      <c r="B25" s="50">
        <v>1882241.8</v>
      </c>
      <c r="C25" s="50">
        <v>174688.3744</v>
      </c>
      <c r="D25" s="113">
        <f t="shared" si="0"/>
        <v>2056930.1744000001</v>
      </c>
    </row>
    <row r="26" spans="1:4">
      <c r="A26" s="46" t="s">
        <v>66</v>
      </c>
      <c r="B26" s="47">
        <v>713523.4</v>
      </c>
      <c r="C26" s="47">
        <v>65344.029600000002</v>
      </c>
      <c r="D26" s="112">
        <f t="shared" si="0"/>
        <v>778867.42960000003</v>
      </c>
    </row>
    <row r="27" spans="1:4">
      <c r="A27" s="49" t="s">
        <v>67</v>
      </c>
      <c r="B27" s="50">
        <v>2895301.9</v>
      </c>
      <c r="C27" s="50">
        <v>37919.008699999998</v>
      </c>
      <c r="D27" s="113">
        <f t="shared" si="0"/>
        <v>2933220.9087</v>
      </c>
    </row>
    <row r="28" spans="1:4">
      <c r="A28" s="46" t="s">
        <v>68</v>
      </c>
      <c r="B28" s="47">
        <v>1052593.2</v>
      </c>
      <c r="C28" s="47">
        <v>15174.448200000001</v>
      </c>
      <c r="D28" s="112">
        <f t="shared" si="0"/>
        <v>1067767.6481999999</v>
      </c>
    </row>
    <row r="29" spans="1:4">
      <c r="A29" s="49" t="s">
        <v>69</v>
      </c>
      <c r="B29" s="50">
        <v>2217627.2000000002</v>
      </c>
      <c r="C29" s="50">
        <v>290888.96529999998</v>
      </c>
      <c r="D29" s="113">
        <f t="shared" si="0"/>
        <v>2508516.1653</v>
      </c>
    </row>
    <row r="30" spans="1:4">
      <c r="A30" s="46" t="s">
        <v>70</v>
      </c>
      <c r="B30" s="47">
        <v>3204567.8</v>
      </c>
      <c r="C30" s="47">
        <v>1297700.07517587</v>
      </c>
      <c r="D30" s="112">
        <f t="shared" si="0"/>
        <v>4502267.87517587</v>
      </c>
    </row>
    <row r="31" spans="1:4">
      <c r="A31" s="49" t="s">
        <v>71</v>
      </c>
      <c r="B31" s="50">
        <v>741511.7</v>
      </c>
      <c r="C31" s="50">
        <v>3150.2073999999998</v>
      </c>
      <c r="D31" s="113">
        <f t="shared" si="0"/>
        <v>744661.90739999991</v>
      </c>
    </row>
    <row r="32" spans="1:4">
      <c r="A32" s="46" t="s">
        <v>72</v>
      </c>
      <c r="B32" s="47">
        <v>1441396.2</v>
      </c>
      <c r="C32" s="47">
        <v>355427.79930000001</v>
      </c>
      <c r="D32" s="112">
        <f t="shared" si="0"/>
        <v>1796823.9993</v>
      </c>
    </row>
    <row r="33" spans="1:6">
      <c r="A33" s="49" t="s">
        <v>73</v>
      </c>
      <c r="B33" s="50">
        <v>5225471.0999999996</v>
      </c>
      <c r="C33" s="50">
        <v>624002.28540000005</v>
      </c>
      <c r="D33" s="113">
        <f t="shared" si="0"/>
        <v>5849473.3854</v>
      </c>
    </row>
    <row r="34" spans="1:6">
      <c r="A34" s="116" t="s">
        <v>74</v>
      </c>
      <c r="B34" s="47">
        <v>277410.5</v>
      </c>
      <c r="C34" s="47">
        <v>17568.6132</v>
      </c>
      <c r="D34" s="112">
        <f t="shared" si="0"/>
        <v>294979.11320000002</v>
      </c>
    </row>
    <row r="35" spans="1:6" s="52" customFormat="1">
      <c r="A35" s="54" t="s">
        <v>75</v>
      </c>
      <c r="B35" s="117">
        <f>SUM(B9:B34)</f>
        <v>49307800.400000013</v>
      </c>
      <c r="C35" s="117">
        <f>SUM(C9:C34)</f>
        <v>7708118.6405758709</v>
      </c>
      <c r="D35" s="56">
        <f>SUM(D9:D34)</f>
        <v>57015919.040575869</v>
      </c>
      <c r="F35" s="2"/>
    </row>
  </sheetData>
  <conditionalFormatting sqref="G9:G12 B6:C34 A6">
    <cfRule type="expression" dxfId="9" priority="1" stopIfTrue="1">
      <formula>ISBLANK(A1073741823)</formula>
    </cfRule>
  </conditionalFormatting>
  <conditionalFormatting sqref="G9:G12">
    <cfRule type="expression" dxfId="8" priority="2" stopIfTrue="1">
      <formula>ISBLANK(G9)</formula>
    </cfRule>
  </conditionalFormatting>
  <conditionalFormatting sqref="B9:C34">
    <cfRule type="expression" dxfId="7" priority="3" stopIfTrue="1">
      <formula>ISBLANK(A1073741823)</formula>
    </cfRule>
  </conditionalFormatting>
  <conditionalFormatting sqref="B9:C34">
    <cfRule type="expression" dxfId="6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6.7109375" style="2" customWidth="1"/>
    <col min="3" max="5" width="14.28515625" style="2" customWidth="1"/>
    <col min="6" max="6" width="18.7109375" style="2" customWidth="1"/>
    <col min="7" max="7" width="19.7109375" style="2" customWidth="1"/>
    <col min="8" max="8" width="14" style="2" customWidth="1"/>
    <col min="9" max="9" width="15.7109375" style="2" customWidth="1"/>
  </cols>
  <sheetData>
    <row r="1" spans="1:9" ht="28.5" customHeight="1">
      <c r="A1" s="14"/>
      <c r="B1" s="15" t="str">
        <f>"Répartitions fiscale "&amp;Info!C31</f>
        <v>Répartitions fiscale 2006</v>
      </c>
      <c r="C1" s="118"/>
      <c r="D1" s="119"/>
      <c r="E1" s="18" t="str">
        <f>Info!A4</f>
        <v>Année de référence 2012</v>
      </c>
      <c r="I1" s="19" t="str">
        <f>Info!$C$28</f>
        <v>FA_2012_20120430_alpha0.7</v>
      </c>
    </row>
    <row r="2" spans="1:9" s="2" customFormat="1">
      <c r="A2" s="120"/>
      <c r="B2" s="121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4" t="s">
        <v>31</v>
      </c>
    </row>
    <row r="3" spans="1:9" s="2" customFormat="1">
      <c r="A3" s="122"/>
      <c r="B3" s="123" t="s">
        <v>33</v>
      </c>
      <c r="C3" s="28"/>
      <c r="D3" s="28"/>
      <c r="E3" s="28" t="s">
        <v>93</v>
      </c>
      <c r="F3" s="28"/>
      <c r="G3" s="28"/>
      <c r="H3" s="28" t="s">
        <v>94</v>
      </c>
      <c r="I3" s="30" t="s">
        <v>95</v>
      </c>
    </row>
    <row r="4" spans="1:9" ht="40.5" customHeight="1">
      <c r="A4" s="124"/>
      <c r="B4" s="125"/>
      <c r="C4" s="33" t="s">
        <v>96</v>
      </c>
      <c r="D4" s="33" t="s">
        <v>97</v>
      </c>
      <c r="E4" s="33" t="s">
        <v>98</v>
      </c>
      <c r="F4" s="33" t="s">
        <v>99</v>
      </c>
      <c r="G4" s="33" t="s">
        <v>100</v>
      </c>
      <c r="H4" s="33" t="s">
        <v>101</v>
      </c>
      <c r="I4" s="35" t="s">
        <v>102</v>
      </c>
    </row>
    <row r="5" spans="1:9">
      <c r="A5" s="124"/>
      <c r="B5" s="41" t="s">
        <v>77</v>
      </c>
      <c r="C5" s="39" t="s">
        <v>44</v>
      </c>
      <c r="D5" s="39" t="s">
        <v>44</v>
      </c>
      <c r="E5" s="39"/>
      <c r="F5" s="39" t="s">
        <v>44</v>
      </c>
      <c r="G5" s="39" t="s">
        <v>103</v>
      </c>
      <c r="H5" s="39"/>
      <c r="I5" s="85"/>
    </row>
    <row r="6" spans="1:9" s="36" customFormat="1" ht="11.25" customHeight="1">
      <c r="A6" s="126"/>
      <c r="B6" s="127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0" t="s">
        <v>47</v>
      </c>
    </row>
    <row r="7" spans="1:9">
      <c r="A7" s="124"/>
      <c r="B7" s="128" t="s">
        <v>49</v>
      </c>
      <c r="C7" s="43">
        <v>22619.902999999998</v>
      </c>
      <c r="D7" s="43">
        <v>12272.594800000001</v>
      </c>
      <c r="E7" s="129">
        <f t="shared" ref="E7:E32" si="0">D7-C7</f>
        <v>-10347.308199999998</v>
      </c>
      <c r="F7" s="43">
        <v>3247929.7204714301</v>
      </c>
      <c r="G7" s="129">
        <f>PP!J7+RIS!C7+PM!D9</f>
        <v>46284553.5220256</v>
      </c>
      <c r="H7" s="130">
        <f t="shared" ref="H7:H33" si="1">G7/F7</f>
        <v>14.250478768151268</v>
      </c>
      <c r="I7" s="131">
        <f t="shared" ref="I7:I32" si="2">E7*H7</f>
        <v>-147454.09581161747</v>
      </c>
    </row>
    <row r="8" spans="1:9">
      <c r="A8" s="124"/>
      <c r="B8" s="132" t="s">
        <v>50</v>
      </c>
      <c r="C8" s="47">
        <v>12490.434999999999</v>
      </c>
      <c r="D8" s="47">
        <v>7076.6692000000003</v>
      </c>
      <c r="E8" s="133">
        <f t="shared" si="0"/>
        <v>-5413.7657999999992</v>
      </c>
      <c r="F8" s="47">
        <v>1145798.38914286</v>
      </c>
      <c r="G8" s="133">
        <f>PP!J8+RIS!C8+PM!D10</f>
        <v>20285374.08901174</v>
      </c>
      <c r="H8" s="134">
        <f t="shared" si="1"/>
        <v>17.704139123625986</v>
      </c>
      <c r="I8" s="135">
        <f t="shared" si="2"/>
        <v>-95846.062905928324</v>
      </c>
    </row>
    <row r="9" spans="1:9">
      <c r="A9" s="124"/>
      <c r="B9" s="31" t="s">
        <v>51</v>
      </c>
      <c r="C9" s="50">
        <v>4134.6379999999999</v>
      </c>
      <c r="D9" s="50">
        <v>2903.65265</v>
      </c>
      <c r="E9" s="136">
        <f t="shared" si="0"/>
        <v>-1230.9853499999999</v>
      </c>
      <c r="F9" s="50">
        <v>465342.82764285698</v>
      </c>
      <c r="G9" s="136">
        <f>PP!J9+RIS!C9+PM!D11</f>
        <v>7468694.8586194739</v>
      </c>
      <c r="H9" s="137">
        <f t="shared" si="1"/>
        <v>16.049876381358079</v>
      </c>
      <c r="I9" s="138">
        <f t="shared" si="2"/>
        <v>-19757.162694762806</v>
      </c>
    </row>
    <row r="10" spans="1:9">
      <c r="A10" s="124"/>
      <c r="B10" s="132" t="s">
        <v>52</v>
      </c>
      <c r="C10" s="47">
        <v>9.7881</v>
      </c>
      <c r="D10" s="47">
        <v>136.6566</v>
      </c>
      <c r="E10" s="133">
        <f t="shared" si="0"/>
        <v>126.8685</v>
      </c>
      <c r="F10" s="47">
        <v>25116.0372285714</v>
      </c>
      <c r="G10" s="133">
        <f>PP!J10+RIS!C10+PM!D12</f>
        <v>533354.57957634376</v>
      </c>
      <c r="H10" s="134">
        <f t="shared" si="1"/>
        <v>21.23561829131279</v>
      </c>
      <c r="I10" s="135">
        <f t="shared" si="2"/>
        <v>2694.1310391914167</v>
      </c>
    </row>
    <row r="11" spans="1:9">
      <c r="A11" s="124"/>
      <c r="B11" s="31" t="s">
        <v>53</v>
      </c>
      <c r="C11" s="50">
        <v>1331.625</v>
      </c>
      <c r="D11" s="50">
        <v>767.01864999999998</v>
      </c>
      <c r="E11" s="136">
        <f t="shared" si="0"/>
        <v>-564.60635000000002</v>
      </c>
      <c r="F11" s="50">
        <v>414786.13221428602</v>
      </c>
      <c r="G11" s="136">
        <f>PP!J11+RIS!C11+PM!D13</f>
        <v>5185774.9159774762</v>
      </c>
      <c r="H11" s="137">
        <f t="shared" si="1"/>
        <v>12.502286149958387</v>
      </c>
      <c r="I11" s="138">
        <f t="shared" si="2"/>
        <v>-7058.8701497835573</v>
      </c>
    </row>
    <row r="12" spans="1:9">
      <c r="A12" s="124"/>
      <c r="B12" s="132" t="s">
        <v>54</v>
      </c>
      <c r="C12" s="47">
        <v>161.73025000000001</v>
      </c>
      <c r="D12" s="47">
        <v>243.113</v>
      </c>
      <c r="E12" s="133">
        <f t="shared" si="0"/>
        <v>81.382749999999987</v>
      </c>
      <c r="F12" s="47">
        <v>29611.594400000002</v>
      </c>
      <c r="G12" s="133">
        <f>PP!J12+RIS!C12+PM!D14</f>
        <v>739441.80171954993</v>
      </c>
      <c r="H12" s="134">
        <f t="shared" si="1"/>
        <v>24.971360600547396</v>
      </c>
      <c r="I12" s="135">
        <f t="shared" si="2"/>
        <v>2032.2379969141982</v>
      </c>
    </row>
    <row r="13" spans="1:9">
      <c r="A13" s="124"/>
      <c r="B13" s="31" t="s">
        <v>55</v>
      </c>
      <c r="C13" s="50">
        <v>218.46700000000001</v>
      </c>
      <c r="D13" s="50">
        <v>610.37059999999997</v>
      </c>
      <c r="E13" s="136">
        <f t="shared" si="0"/>
        <v>391.90359999999998</v>
      </c>
      <c r="F13" s="50">
        <v>121946.66271428599</v>
      </c>
      <c r="G13" s="136">
        <f>PP!J13+RIS!C13+PM!D15</f>
        <v>1198360.8484188868</v>
      </c>
      <c r="H13" s="137">
        <f t="shared" si="1"/>
        <v>9.8269261474303509</v>
      </c>
      <c r="I13" s="138">
        <f t="shared" si="2"/>
        <v>3851.2077341120853</v>
      </c>
    </row>
    <row r="14" spans="1:9">
      <c r="A14" s="124"/>
      <c r="B14" s="132" t="s">
        <v>56</v>
      </c>
      <c r="C14" s="47">
        <v>73.897000000000006</v>
      </c>
      <c r="D14" s="47">
        <v>1488.3300999999999</v>
      </c>
      <c r="E14" s="133">
        <f t="shared" si="0"/>
        <v>1414.4331</v>
      </c>
      <c r="F14" s="47">
        <v>57311.775142857201</v>
      </c>
      <c r="G14" s="133">
        <f>PP!J14+RIS!C14+PM!D16</f>
        <v>665591.54903024994</v>
      </c>
      <c r="H14" s="134">
        <f t="shared" si="1"/>
        <v>11.613521782760605</v>
      </c>
      <c r="I14" s="135">
        <f t="shared" si="2"/>
        <v>16426.549617107608</v>
      </c>
    </row>
    <row r="15" spans="1:9">
      <c r="A15" s="124"/>
      <c r="B15" s="31" t="s">
        <v>57</v>
      </c>
      <c r="C15" s="50">
        <v>754.08199999999999</v>
      </c>
      <c r="D15" s="50">
        <v>1661.18155</v>
      </c>
      <c r="E15" s="136">
        <f t="shared" si="0"/>
        <v>907.09955000000002</v>
      </c>
      <c r="F15" s="50">
        <v>1212980.73217143</v>
      </c>
      <c r="G15" s="136">
        <f>PP!J15+RIS!C15+PM!D17</f>
        <v>7278175.9664782416</v>
      </c>
      <c r="H15" s="137">
        <f t="shared" si="1"/>
        <v>6.0002403776432125</v>
      </c>
      <c r="I15" s="138">
        <f t="shared" si="2"/>
        <v>5442.8153464519883</v>
      </c>
    </row>
    <row r="16" spans="1:9">
      <c r="A16" s="124"/>
      <c r="B16" s="132" t="s">
        <v>58</v>
      </c>
      <c r="C16" s="47">
        <v>1718.7706000000001</v>
      </c>
      <c r="D16" s="47">
        <v>1586.2723000000001</v>
      </c>
      <c r="E16" s="133">
        <f t="shared" si="0"/>
        <v>-132.49829999999997</v>
      </c>
      <c r="F16" s="47">
        <v>319469.41869999998</v>
      </c>
      <c r="G16" s="133">
        <f>PP!J16+RIS!C16+PM!D18</f>
        <v>5129007.889955</v>
      </c>
      <c r="H16" s="134">
        <f t="shared" si="1"/>
        <v>16.054769532640091</v>
      </c>
      <c r="I16" s="135">
        <f t="shared" si="2"/>
        <v>-2127.2296699666063</v>
      </c>
    </row>
    <row r="17" spans="1:9">
      <c r="A17" s="124"/>
      <c r="B17" s="31" t="s">
        <v>59</v>
      </c>
      <c r="C17" s="50">
        <v>100.965</v>
      </c>
      <c r="D17" s="50">
        <v>2166.07555</v>
      </c>
      <c r="E17" s="136">
        <f t="shared" si="0"/>
        <v>2065.1105499999999</v>
      </c>
      <c r="F17" s="50">
        <v>274278.71017142897</v>
      </c>
      <c r="G17" s="136">
        <f>PP!J17+RIS!C17+PM!D19</f>
        <v>5577369.6987289637</v>
      </c>
      <c r="H17" s="137">
        <f t="shared" si="1"/>
        <v>20.334679622939056</v>
      </c>
      <c r="I17" s="138">
        <f t="shared" si="2"/>
        <v>41993.361420201465</v>
      </c>
    </row>
    <row r="18" spans="1:9">
      <c r="A18" s="124"/>
      <c r="B18" s="132" t="s">
        <v>60</v>
      </c>
      <c r="C18" s="47">
        <v>12969.048500000001</v>
      </c>
      <c r="D18" s="47">
        <v>5196.0741500000004</v>
      </c>
      <c r="E18" s="133">
        <f t="shared" si="0"/>
        <v>-7772.9743500000004</v>
      </c>
      <c r="F18" s="47">
        <v>734181.39857142896</v>
      </c>
      <c r="G18" s="133">
        <f>PP!J18+RIS!C18+PM!D20</f>
        <v>7460083.1952814683</v>
      </c>
      <c r="H18" s="134">
        <f t="shared" si="1"/>
        <v>10.161089902028719</v>
      </c>
      <c r="I18" s="135">
        <f t="shared" si="2"/>
        <v>-78981.891176513251</v>
      </c>
    </row>
    <row r="19" spans="1:9">
      <c r="A19" s="124"/>
      <c r="B19" s="31" t="s">
        <v>61</v>
      </c>
      <c r="C19" s="50">
        <v>2754.8163500000001</v>
      </c>
      <c r="D19" s="50">
        <v>2507.7492000000002</v>
      </c>
      <c r="E19" s="136">
        <f t="shared" si="0"/>
        <v>-247.06714999999986</v>
      </c>
      <c r="F19" s="50">
        <v>561114.28571428603</v>
      </c>
      <c r="G19" s="136">
        <f>PP!J19+RIS!C19+PM!D21</f>
        <v>7559604.2439131606</v>
      </c>
      <c r="H19" s="137">
        <f t="shared" si="1"/>
        <v>13.472485795456004</v>
      </c>
      <c r="I19" s="138">
        <f t="shared" si="2"/>
        <v>-3328.6086688987957</v>
      </c>
    </row>
    <row r="20" spans="1:9">
      <c r="A20" s="124"/>
      <c r="B20" s="132" t="s">
        <v>62</v>
      </c>
      <c r="C20" s="47">
        <v>161.80600000000001</v>
      </c>
      <c r="D20" s="47">
        <v>637.33794999999998</v>
      </c>
      <c r="E20" s="133">
        <f t="shared" si="0"/>
        <v>475.53194999999994</v>
      </c>
      <c r="F20" s="47">
        <v>180049.34528571399</v>
      </c>
      <c r="G20" s="133">
        <f>PP!J20+RIS!C20+PM!D22</f>
        <v>1932554.8995401668</v>
      </c>
      <c r="H20" s="134">
        <f t="shared" si="1"/>
        <v>10.733473628984672</v>
      </c>
      <c r="I20" s="135">
        <f t="shared" si="2"/>
        <v>5104.1096450646573</v>
      </c>
    </row>
    <row r="21" spans="1:9">
      <c r="A21" s="124"/>
      <c r="B21" s="31" t="s">
        <v>63</v>
      </c>
      <c r="C21" s="50">
        <v>400.03100000000001</v>
      </c>
      <c r="D21" s="50">
        <v>366.17005</v>
      </c>
      <c r="E21" s="136">
        <f t="shared" si="0"/>
        <v>-33.860950000000003</v>
      </c>
      <c r="F21" s="50">
        <v>58319.154300000002</v>
      </c>
      <c r="G21" s="136">
        <f>PP!J21+RIS!C21+PM!D23</f>
        <v>1070055.5966912727</v>
      </c>
      <c r="H21" s="137">
        <f t="shared" si="1"/>
        <v>18.348270127285996</v>
      </c>
      <c r="I21" s="138">
        <f t="shared" si="2"/>
        <v>-621.28985736652476</v>
      </c>
    </row>
    <row r="22" spans="1:9">
      <c r="A22" s="124"/>
      <c r="B22" s="132" t="s">
        <v>64</v>
      </c>
      <c r="C22" s="47">
        <v>126.22215</v>
      </c>
      <c r="D22" s="47">
        <v>69.01885</v>
      </c>
      <c r="E22" s="133">
        <f t="shared" si="0"/>
        <v>-57.203299999999999</v>
      </c>
      <c r="F22" s="47">
        <v>19601.6012142857</v>
      </c>
      <c r="G22" s="133">
        <f>PP!J22+RIS!C22+PM!D24</f>
        <v>314288.13021872507</v>
      </c>
      <c r="H22" s="134">
        <f t="shared" si="1"/>
        <v>16.033798809745758</v>
      </c>
      <c r="I22" s="135">
        <f t="shared" si="2"/>
        <v>-917.18620345352952</v>
      </c>
    </row>
    <row r="23" spans="1:9">
      <c r="A23" s="124"/>
      <c r="B23" s="31" t="s">
        <v>65</v>
      </c>
      <c r="C23" s="50">
        <v>1817.64825</v>
      </c>
      <c r="D23" s="50">
        <v>3697.8618499999998</v>
      </c>
      <c r="E23" s="136">
        <f t="shared" si="0"/>
        <v>1880.2135999999998</v>
      </c>
      <c r="F23" s="50">
        <v>528085.56757142895</v>
      </c>
      <c r="G23" s="136">
        <f>PP!J23+RIS!C23+PM!D25</f>
        <v>9095962.095420016</v>
      </c>
      <c r="H23" s="137">
        <f t="shared" si="1"/>
        <v>17.224409554024962</v>
      </c>
      <c r="I23" s="138">
        <f t="shared" si="2"/>
        <v>32385.569095447667</v>
      </c>
    </row>
    <row r="24" spans="1:9">
      <c r="A24" s="124"/>
      <c r="B24" s="132" t="s">
        <v>66</v>
      </c>
      <c r="C24" s="47">
        <v>1298.0260000000001</v>
      </c>
      <c r="D24" s="47">
        <v>2159.7732500000002</v>
      </c>
      <c r="E24" s="133">
        <f t="shared" si="0"/>
        <v>861.74725000000012</v>
      </c>
      <c r="F24" s="47">
        <v>233002.854914286</v>
      </c>
      <c r="G24" s="133">
        <f>PP!J24+RIS!C24+PM!D26</f>
        <v>3982358.1080017714</v>
      </c>
      <c r="H24" s="134">
        <f t="shared" si="1"/>
        <v>17.091456280511022</v>
      </c>
      <c r="I24" s="135">
        <f t="shared" si="2"/>
        <v>14728.515448225604</v>
      </c>
    </row>
    <row r="25" spans="1:9">
      <c r="A25" s="124"/>
      <c r="B25" s="31" t="s">
        <v>67</v>
      </c>
      <c r="C25" s="50">
        <v>4820.3812500000004</v>
      </c>
      <c r="D25" s="50">
        <v>4236.9273999999996</v>
      </c>
      <c r="E25" s="136">
        <f t="shared" si="0"/>
        <v>-583.45385000000078</v>
      </c>
      <c r="F25" s="50">
        <v>754799.43264285696</v>
      </c>
      <c r="G25" s="136">
        <f>PP!J25+RIS!C25+PM!D27</f>
        <v>13640535.198162343</v>
      </c>
      <c r="H25" s="137">
        <f t="shared" si="1"/>
        <v>18.071734832127966</v>
      </c>
      <c r="I25" s="138">
        <f t="shared" si="2"/>
        <v>-10544.02326398418</v>
      </c>
    </row>
    <row r="26" spans="1:9">
      <c r="A26" s="124"/>
      <c r="B26" s="132" t="s">
        <v>68</v>
      </c>
      <c r="C26" s="47">
        <v>666.54300000000001</v>
      </c>
      <c r="D26" s="47">
        <v>1444.24335</v>
      </c>
      <c r="E26" s="133">
        <f t="shared" si="0"/>
        <v>777.70034999999996</v>
      </c>
      <c r="F26" s="47">
        <v>261933.69092857101</v>
      </c>
      <c r="G26" s="133">
        <f>PP!J26+RIS!C26+PM!D28</f>
        <v>4774492.1958523579</v>
      </c>
      <c r="H26" s="134">
        <f t="shared" si="1"/>
        <v>18.22786591112617</v>
      </c>
      <c r="I26" s="135">
        <f t="shared" si="2"/>
        <v>14175.81769883589</v>
      </c>
    </row>
    <row r="27" spans="1:9">
      <c r="A27" s="124"/>
      <c r="B27" s="31" t="s">
        <v>69</v>
      </c>
      <c r="C27" s="50">
        <v>403.22899999999998</v>
      </c>
      <c r="D27" s="50">
        <v>4696.72145</v>
      </c>
      <c r="E27" s="136">
        <f t="shared" si="0"/>
        <v>4293.4924499999997</v>
      </c>
      <c r="F27" s="50">
        <v>502100.31648571399</v>
      </c>
      <c r="G27" s="136">
        <f>PP!J27+RIS!C27+PM!D29</f>
        <v>8711859.0950245988</v>
      </c>
      <c r="H27" s="137">
        <f t="shared" si="1"/>
        <v>17.350833705902421</v>
      </c>
      <c r="I27" s="138">
        <f t="shared" si="2"/>
        <v>74495.673517497562</v>
      </c>
    </row>
    <row r="28" spans="1:9">
      <c r="A28" s="124"/>
      <c r="B28" s="132" t="s">
        <v>70</v>
      </c>
      <c r="C28" s="47">
        <v>447.19141999999999</v>
      </c>
      <c r="D28" s="47">
        <v>25304.921979999999</v>
      </c>
      <c r="E28" s="133">
        <f t="shared" si="0"/>
        <v>24857.73056</v>
      </c>
      <c r="F28" s="47">
        <v>1108270.1566000001</v>
      </c>
      <c r="G28" s="133">
        <f>PP!J28+RIS!C28+PM!D30</f>
        <v>18718835.323488347</v>
      </c>
      <c r="H28" s="134">
        <f t="shared" si="1"/>
        <v>16.890137492211117</v>
      </c>
      <c r="I28" s="135">
        <f t="shared" si="2"/>
        <v>419850.48690273805</v>
      </c>
    </row>
    <row r="29" spans="1:9">
      <c r="A29" s="124"/>
      <c r="B29" s="31" t="s">
        <v>71</v>
      </c>
      <c r="C29" s="50">
        <v>1023.297</v>
      </c>
      <c r="D29" s="50">
        <v>1866.2363499999999</v>
      </c>
      <c r="E29" s="136">
        <f t="shared" si="0"/>
        <v>842.93934999999988</v>
      </c>
      <c r="F29" s="50">
        <v>250975.08754285701</v>
      </c>
      <c r="G29" s="136">
        <f>PP!J29+RIS!C29+PM!D31</f>
        <v>5211266.421741032</v>
      </c>
      <c r="H29" s="137">
        <f t="shared" si="1"/>
        <v>20.764078509788927</v>
      </c>
      <c r="I29" s="138">
        <f t="shared" si="2"/>
        <v>17502.858842390444</v>
      </c>
    </row>
    <row r="30" spans="1:9">
      <c r="A30" s="124"/>
      <c r="B30" s="132" t="s">
        <v>72</v>
      </c>
      <c r="C30" s="47">
        <v>19457.746999999999</v>
      </c>
      <c r="D30" s="47">
        <v>1314.27385</v>
      </c>
      <c r="E30" s="133">
        <f t="shared" si="0"/>
        <v>-18143.473149999998</v>
      </c>
      <c r="F30" s="47">
        <v>266488.47117142897</v>
      </c>
      <c r="G30" s="133">
        <f>PP!J30+RIS!C30+PM!D32</f>
        <v>4619133.8233590182</v>
      </c>
      <c r="H30" s="134">
        <f t="shared" si="1"/>
        <v>17.333334545596841</v>
      </c>
      <c r="I30" s="135">
        <f t="shared" si="2"/>
        <v>-314486.88992800371</v>
      </c>
    </row>
    <row r="31" spans="1:9">
      <c r="A31" s="124"/>
      <c r="B31" s="31" t="s">
        <v>73</v>
      </c>
      <c r="C31" s="50">
        <v>2501.6656800000001</v>
      </c>
      <c r="D31" s="50">
        <v>7870.4372700000004</v>
      </c>
      <c r="E31" s="136">
        <f t="shared" si="0"/>
        <v>5368.7715900000003</v>
      </c>
      <c r="F31" s="50">
        <v>1545976.7509285701</v>
      </c>
      <c r="G31" s="136">
        <f>PP!J31+RIS!C31+PM!D33</f>
        <v>18109287.94936312</v>
      </c>
      <c r="H31" s="137">
        <f t="shared" si="1"/>
        <v>11.713816484294489</v>
      </c>
      <c r="I31" s="138">
        <f t="shared" si="2"/>
        <v>62888.805151353932</v>
      </c>
    </row>
    <row r="32" spans="1:9">
      <c r="A32" s="124"/>
      <c r="B32" s="132" t="s">
        <v>74</v>
      </c>
      <c r="C32" s="47">
        <v>213.31344999999999</v>
      </c>
      <c r="D32" s="47">
        <v>395.58505000000002</v>
      </c>
      <c r="E32" s="133">
        <f t="shared" si="0"/>
        <v>182.27160000000003</v>
      </c>
      <c r="F32" s="47">
        <v>64606.928</v>
      </c>
      <c r="G32" s="133">
        <f>PP!J32+RIS!C32+PM!D34</f>
        <v>1197149.2061318257</v>
      </c>
      <c r="H32" s="134">
        <f t="shared" si="1"/>
        <v>18.529734243544681</v>
      </c>
      <c r="I32" s="135">
        <f t="shared" si="2"/>
        <v>3377.4443081456793</v>
      </c>
    </row>
    <row r="33" spans="1:9" s="52" customFormat="1">
      <c r="A33" s="139"/>
      <c r="B33" s="140" t="s">
        <v>75</v>
      </c>
      <c r="C33" s="55">
        <f>SUM(C7:C32)</f>
        <v>92675.267000000022</v>
      </c>
      <c r="D33" s="55">
        <f>SUM(D7:D32)</f>
        <v>92675.266999999978</v>
      </c>
      <c r="E33" s="55">
        <f>SUM(E7:E32)</f>
        <v>1.2732925824820995E-11</v>
      </c>
      <c r="F33" s="55">
        <f>SUM(F7:F32)</f>
        <v>14384077.041871434</v>
      </c>
      <c r="G33" s="55">
        <f>SUM(G7:G32)</f>
        <v>206743165.20173073</v>
      </c>
      <c r="H33" s="141">
        <f t="shared" si="1"/>
        <v>14.373057416190848</v>
      </c>
      <c r="I33" s="56">
        <f>SUM(I7:I32)</f>
        <v>35826.273433399445</v>
      </c>
    </row>
  </sheetData>
  <conditionalFormatting sqref="G7:I32 E7:E32">
    <cfRule type="expression" dxfId="5" priority="1" stopIfTrue="1">
      <formula>ISBLANK(E7)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5.28515625" style="2" customWidth="1"/>
    <col min="3" max="3" width="18.42578125" style="2" customWidth="1"/>
    <col min="4" max="4" width="20" style="2" customWidth="1"/>
    <col min="5" max="5" width="17.28515625" style="2" customWidth="1"/>
    <col min="6" max="7" width="18.5703125" style="2" customWidth="1"/>
    <col min="8" max="8" width="19.42578125" style="2" customWidth="1"/>
  </cols>
  <sheetData>
    <row r="1" spans="1:10" s="2" customFormat="1" ht="30" customHeight="1">
      <c r="B1" s="142" t="str">
        <f>"AFA totale "&amp;Info!C31</f>
        <v>AFA totale 2006</v>
      </c>
      <c r="C1" s="143"/>
      <c r="D1" s="144" t="str">
        <f>Info!A4</f>
        <v>Année de référence 2012</v>
      </c>
      <c r="E1" s="145"/>
      <c r="F1" s="145"/>
      <c r="H1" s="19" t="str">
        <f>Info!$C$28</f>
        <v>FA_2012_20120430_alpha0.7</v>
      </c>
    </row>
    <row r="2" spans="1:10" s="2" customFormat="1">
      <c r="A2" s="120"/>
      <c r="B2" s="121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4" t="s">
        <v>30</v>
      </c>
    </row>
    <row r="3" spans="1:10">
      <c r="A3" s="122"/>
      <c r="B3" s="123" t="s">
        <v>33</v>
      </c>
      <c r="C3" s="28"/>
      <c r="D3" s="28"/>
      <c r="E3" s="28"/>
      <c r="F3" s="28"/>
      <c r="G3" s="28"/>
      <c r="H3" s="30" t="s">
        <v>104</v>
      </c>
    </row>
    <row r="4" spans="1:10" ht="51" customHeight="1">
      <c r="A4" s="124"/>
      <c r="C4" s="33" t="s">
        <v>42</v>
      </c>
      <c r="D4" s="33" t="s">
        <v>105</v>
      </c>
      <c r="E4" s="33" t="s">
        <v>82</v>
      </c>
      <c r="F4" s="33" t="s">
        <v>87</v>
      </c>
      <c r="G4" s="33" t="s">
        <v>102</v>
      </c>
      <c r="H4" s="35" t="s">
        <v>106</v>
      </c>
    </row>
    <row r="5" spans="1:10" s="36" customFormat="1" ht="11.25" customHeight="1">
      <c r="A5" s="126"/>
      <c r="B5" s="41" t="s">
        <v>107</v>
      </c>
      <c r="C5" s="146">
        <f>Info!$C$31</f>
        <v>2006</v>
      </c>
      <c r="D5" s="146">
        <f>Info!$C$31</f>
        <v>2006</v>
      </c>
      <c r="E5" s="146">
        <f>Info!$C$31</f>
        <v>2006</v>
      </c>
      <c r="F5" s="146">
        <f>Info!$C$31</f>
        <v>2006</v>
      </c>
      <c r="G5" s="146">
        <f>Info!$C$31</f>
        <v>2006</v>
      </c>
      <c r="H5" s="147">
        <f>Info!$C$31</f>
        <v>2006</v>
      </c>
    </row>
    <row r="6" spans="1:10" s="36" customFormat="1" ht="11.25" customHeight="1">
      <c r="A6" s="126"/>
      <c r="B6" s="127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0" t="s">
        <v>47</v>
      </c>
    </row>
    <row r="7" spans="1:10">
      <c r="A7" s="124"/>
      <c r="B7" s="128" t="s">
        <v>49</v>
      </c>
      <c r="C7" s="129">
        <f>PP!J7</f>
        <v>30259478.899999999</v>
      </c>
      <c r="D7" s="129">
        <f>RIS!C7</f>
        <v>1365444.0820255999</v>
      </c>
      <c r="E7" s="129">
        <f>Fortunes!D9</f>
        <v>2153441.36</v>
      </c>
      <c r="F7" s="148">
        <f>PM!D9</f>
        <v>14659630.539999999</v>
      </c>
      <c r="G7" s="129">
        <f>REPART!I7</f>
        <v>-147454.09581161747</v>
      </c>
      <c r="H7" s="131">
        <f t="shared" ref="H7:H32" si="0">SUM(C7:G7)</f>
        <v>48290540.786213979</v>
      </c>
      <c r="J7" s="149"/>
    </row>
    <row r="8" spans="1:10">
      <c r="A8" s="124"/>
      <c r="B8" s="132" t="s">
        <v>50</v>
      </c>
      <c r="C8" s="133">
        <f>PP!J8</f>
        <v>14276312.800000001</v>
      </c>
      <c r="D8" s="133">
        <f>RIS!C8</f>
        <v>461355.15141173999</v>
      </c>
      <c r="E8" s="133">
        <f>Fortunes!D10</f>
        <v>956697.61768699996</v>
      </c>
      <c r="F8" s="150">
        <f>PM!D10</f>
        <v>5547706.1376</v>
      </c>
      <c r="G8" s="133">
        <f>REPART!I8</f>
        <v>-95846.062905928324</v>
      </c>
      <c r="H8" s="135">
        <f t="shared" si="0"/>
        <v>21146225.643792812</v>
      </c>
      <c r="J8" s="149"/>
    </row>
    <row r="9" spans="1:10">
      <c r="A9" s="124"/>
      <c r="B9" s="31" t="s">
        <v>51</v>
      </c>
      <c r="C9" s="136">
        <f>PP!J9</f>
        <v>5643478.6000000015</v>
      </c>
      <c r="D9" s="136">
        <f>RIS!C9</f>
        <v>197343.56401947199</v>
      </c>
      <c r="E9" s="136">
        <f>Fortunes!D11</f>
        <v>344779.26468313998</v>
      </c>
      <c r="F9" s="151">
        <f>PM!D11</f>
        <v>1627872.6946</v>
      </c>
      <c r="G9" s="136">
        <f>REPART!I9</f>
        <v>-19757.162694762806</v>
      </c>
      <c r="H9" s="138">
        <f t="shared" si="0"/>
        <v>7793716.9606078509</v>
      </c>
      <c r="J9" s="149"/>
    </row>
    <row r="10" spans="1:10">
      <c r="A10" s="124"/>
      <c r="B10" s="132" t="s">
        <v>52</v>
      </c>
      <c r="C10" s="133">
        <f>PP!J10</f>
        <v>405598.8</v>
      </c>
      <c r="D10" s="133">
        <f>RIS!C10</f>
        <v>20493.695276343798</v>
      </c>
      <c r="E10" s="133">
        <f>Fortunes!D12</f>
        <v>27222.097007</v>
      </c>
      <c r="F10" s="150">
        <f>PM!D12</f>
        <v>107262.0843</v>
      </c>
      <c r="G10" s="133">
        <f>REPART!I10</f>
        <v>2694.1310391914167</v>
      </c>
      <c r="H10" s="135">
        <f t="shared" si="0"/>
        <v>563270.80762253515</v>
      </c>
      <c r="J10" s="149"/>
    </row>
    <row r="11" spans="1:10">
      <c r="A11" s="124"/>
      <c r="B11" s="31" t="s">
        <v>53</v>
      </c>
      <c r="C11" s="136">
        <f>PP!J11</f>
        <v>4092191.1999999997</v>
      </c>
      <c r="D11" s="136">
        <f>RIS!C11</f>
        <v>87505.017877476406</v>
      </c>
      <c r="E11" s="136">
        <f>Fortunes!D13</f>
        <v>333456.02658900002</v>
      </c>
      <c r="F11" s="151">
        <f>PM!D13</f>
        <v>1006078.6980999999</v>
      </c>
      <c r="G11" s="136">
        <f>REPART!I11</f>
        <v>-7058.8701497835573</v>
      </c>
      <c r="H11" s="138">
        <f t="shared" si="0"/>
        <v>5512172.072416692</v>
      </c>
      <c r="J11" s="149"/>
    </row>
    <row r="12" spans="1:10">
      <c r="A12" s="124"/>
      <c r="B12" s="132" t="s">
        <v>54</v>
      </c>
      <c r="C12" s="133">
        <f>PP!J12</f>
        <v>541427.69999999995</v>
      </c>
      <c r="D12" s="133">
        <f>RIS!C12</f>
        <v>23008.47321955</v>
      </c>
      <c r="E12" s="133">
        <f>Fortunes!D14</f>
        <v>38468.248413000001</v>
      </c>
      <c r="F12" s="150">
        <f>PM!D14</f>
        <v>175005.62849999999</v>
      </c>
      <c r="G12" s="133">
        <f>REPART!I12</f>
        <v>2032.2379969141982</v>
      </c>
      <c r="H12" s="135">
        <f t="shared" si="0"/>
        <v>779942.28812946414</v>
      </c>
      <c r="J12" s="149"/>
    </row>
    <row r="13" spans="1:10">
      <c r="A13" s="124"/>
      <c r="B13" s="31" t="s">
        <v>55</v>
      </c>
      <c r="C13" s="136">
        <f>PP!J13</f>
        <v>998194.8</v>
      </c>
      <c r="D13" s="136">
        <f>RIS!C13</f>
        <v>22054.3531188868</v>
      </c>
      <c r="E13" s="136">
        <f>Fortunes!D15</f>
        <v>133633.51620500002</v>
      </c>
      <c r="F13" s="151">
        <f>PM!D15</f>
        <v>178111.69530000002</v>
      </c>
      <c r="G13" s="136">
        <f>REPART!I13</f>
        <v>3851.2077341120853</v>
      </c>
      <c r="H13" s="138">
        <f t="shared" si="0"/>
        <v>1335845.5723579992</v>
      </c>
      <c r="J13" s="149"/>
    </row>
    <row r="14" spans="1:10">
      <c r="A14" s="124"/>
      <c r="B14" s="132" t="s">
        <v>56</v>
      </c>
      <c r="C14" s="133">
        <f>PP!J14</f>
        <v>494847.19999999995</v>
      </c>
      <c r="D14" s="133">
        <f>RIS!C14</f>
        <v>16089.49663025</v>
      </c>
      <c r="E14" s="133">
        <f>Fortunes!D16</f>
        <v>42193.714731</v>
      </c>
      <c r="F14" s="150">
        <f>PM!D16</f>
        <v>154654.8524</v>
      </c>
      <c r="G14" s="133">
        <f>REPART!I14</f>
        <v>16426.549617107608</v>
      </c>
      <c r="H14" s="135">
        <f t="shared" si="0"/>
        <v>724211.81337835756</v>
      </c>
      <c r="J14" s="149"/>
    </row>
    <row r="15" spans="1:10">
      <c r="A15" s="124"/>
      <c r="B15" s="31" t="s">
        <v>57</v>
      </c>
      <c r="C15" s="136">
        <f>PP!J15</f>
        <v>3774746.9000000004</v>
      </c>
      <c r="D15" s="136">
        <f>RIS!C15</f>
        <v>133979.23297824099</v>
      </c>
      <c r="E15" s="136">
        <f>Fortunes!D17</f>
        <v>273626.88206700003</v>
      </c>
      <c r="F15" s="151">
        <f>PM!D17</f>
        <v>3369449.8334999997</v>
      </c>
      <c r="G15" s="136">
        <f>REPART!I15</f>
        <v>5442.8153464519883</v>
      </c>
      <c r="H15" s="138">
        <f t="shared" si="0"/>
        <v>7557245.6638916936</v>
      </c>
      <c r="J15" s="149"/>
    </row>
    <row r="16" spans="1:10">
      <c r="A16" s="124"/>
      <c r="B16" s="132" t="s">
        <v>58</v>
      </c>
      <c r="C16" s="133">
        <f>PP!J16</f>
        <v>3876911</v>
      </c>
      <c r="D16" s="133">
        <f>RIS!C16</f>
        <v>153668.74965499999</v>
      </c>
      <c r="E16" s="133">
        <f>Fortunes!D18</f>
        <v>159607.81834900001</v>
      </c>
      <c r="F16" s="150">
        <f>PM!D18</f>
        <v>1098428.1403000001</v>
      </c>
      <c r="G16" s="133">
        <f>REPART!I16</f>
        <v>-2127.2296699666063</v>
      </c>
      <c r="H16" s="135">
        <f t="shared" si="0"/>
        <v>5286488.4786340334</v>
      </c>
      <c r="J16" s="149"/>
    </row>
    <row r="17" spans="1:10">
      <c r="A17" s="124"/>
      <c r="B17" s="31" t="s">
        <v>59</v>
      </c>
      <c r="C17" s="136">
        <f>PP!J17</f>
        <v>4059911.7000000007</v>
      </c>
      <c r="D17" s="136">
        <f>RIS!C17</f>
        <v>110697.81392896301</v>
      </c>
      <c r="E17" s="136">
        <f>Fortunes!D19</f>
        <v>143774.87364099998</v>
      </c>
      <c r="F17" s="151">
        <f>PM!D19</f>
        <v>1406760.1848000002</v>
      </c>
      <c r="G17" s="136">
        <f>REPART!I17</f>
        <v>41993.361420201465</v>
      </c>
      <c r="H17" s="138">
        <f t="shared" si="0"/>
        <v>5763137.933790165</v>
      </c>
      <c r="J17" s="149"/>
    </row>
    <row r="18" spans="1:10">
      <c r="A18" s="124"/>
      <c r="B18" s="132" t="s">
        <v>60</v>
      </c>
      <c r="C18" s="133">
        <f>PP!J18</f>
        <v>3953975.9000000004</v>
      </c>
      <c r="D18" s="133">
        <f>RIS!C18</f>
        <v>580461.456781468</v>
      </c>
      <c r="E18" s="133">
        <f>Fortunes!D20</f>
        <v>320110.450289</v>
      </c>
      <c r="F18" s="150">
        <f>PM!D20</f>
        <v>2925645.8385000001</v>
      </c>
      <c r="G18" s="133">
        <f>REPART!I18</f>
        <v>-78981.891176513251</v>
      </c>
      <c r="H18" s="135">
        <f t="shared" si="0"/>
        <v>7701211.7543939548</v>
      </c>
      <c r="J18" s="149"/>
    </row>
    <row r="19" spans="1:10">
      <c r="A19" s="124"/>
      <c r="B19" s="31" t="s">
        <v>61</v>
      </c>
      <c r="C19" s="136">
        <f>PP!J19</f>
        <v>5980469.5000000009</v>
      </c>
      <c r="D19" s="136">
        <f>RIS!C19</f>
        <v>294441.73171316</v>
      </c>
      <c r="E19" s="136">
        <f>Fortunes!D21</f>
        <v>250174.81745200002</v>
      </c>
      <c r="F19" s="151">
        <f>PM!D21</f>
        <v>1284693.0122</v>
      </c>
      <c r="G19" s="136">
        <f>REPART!I19</f>
        <v>-3328.6086688987957</v>
      </c>
      <c r="H19" s="138">
        <f t="shared" si="0"/>
        <v>7806450.4526962619</v>
      </c>
      <c r="J19" s="149"/>
    </row>
    <row r="20" spans="1:10">
      <c r="A20" s="124"/>
      <c r="B20" s="132" t="s">
        <v>62</v>
      </c>
      <c r="C20" s="133">
        <f>PP!J20</f>
        <v>1156786.8999999999</v>
      </c>
      <c r="D20" s="133">
        <f>RIS!C20</f>
        <v>108911.282240167</v>
      </c>
      <c r="E20" s="133">
        <f>Fortunes!D22</f>
        <v>70940.341388000001</v>
      </c>
      <c r="F20" s="150">
        <f>PM!D22</f>
        <v>666856.71730000002</v>
      </c>
      <c r="G20" s="133">
        <f>REPART!I20</f>
        <v>5104.1096450646573</v>
      </c>
      <c r="H20" s="135">
        <f t="shared" si="0"/>
        <v>2008599.3505732317</v>
      </c>
      <c r="J20" s="149"/>
    </row>
    <row r="21" spans="1:10">
      <c r="A21" s="124"/>
      <c r="B21" s="31" t="s">
        <v>63</v>
      </c>
      <c r="C21" s="136">
        <f>PP!J21</f>
        <v>831160.70000000007</v>
      </c>
      <c r="D21" s="136">
        <f>RIS!C21</f>
        <v>28528.288391272599</v>
      </c>
      <c r="E21" s="136">
        <f>Fortunes!D23</f>
        <v>72756.587805999996</v>
      </c>
      <c r="F21" s="151">
        <f>PM!D23</f>
        <v>210366.60830000002</v>
      </c>
      <c r="G21" s="136">
        <f>REPART!I21</f>
        <v>-621.28985736652476</v>
      </c>
      <c r="H21" s="138">
        <f t="shared" si="0"/>
        <v>1142190.8946399062</v>
      </c>
      <c r="J21" s="149"/>
    </row>
    <row r="22" spans="1:10">
      <c r="A22" s="124"/>
      <c r="B22" s="132" t="s">
        <v>64</v>
      </c>
      <c r="C22" s="133">
        <f>PP!J22</f>
        <v>243628.30000000002</v>
      </c>
      <c r="D22" s="133">
        <f>RIS!C22</f>
        <v>6772.0620187250597</v>
      </c>
      <c r="E22" s="133">
        <f>Fortunes!D24</f>
        <v>23020.424489999998</v>
      </c>
      <c r="F22" s="150">
        <f>PM!D24</f>
        <v>63887.768199999999</v>
      </c>
      <c r="G22" s="133">
        <f>REPART!I22</f>
        <v>-917.18620345352952</v>
      </c>
      <c r="H22" s="135">
        <f t="shared" si="0"/>
        <v>336391.36850527156</v>
      </c>
      <c r="J22" s="149"/>
    </row>
    <row r="23" spans="1:10">
      <c r="A23" s="124"/>
      <c r="B23" s="31" t="s">
        <v>65</v>
      </c>
      <c r="C23" s="136">
        <f>PP!J23</f>
        <v>6674850</v>
      </c>
      <c r="D23" s="136">
        <f>RIS!C23</f>
        <v>364181.92102001503</v>
      </c>
      <c r="E23" s="136">
        <f>Fortunes!D25</f>
        <v>525309.00946300011</v>
      </c>
      <c r="F23" s="151">
        <f>PM!D25</f>
        <v>2056930.1744000001</v>
      </c>
      <c r="G23" s="136">
        <f>REPART!I23</f>
        <v>32385.569095447667</v>
      </c>
      <c r="H23" s="138">
        <f t="shared" si="0"/>
        <v>9653656.6739784628</v>
      </c>
      <c r="J23" s="149"/>
    </row>
    <row r="24" spans="1:10">
      <c r="A24" s="124"/>
      <c r="B24" s="132" t="s">
        <v>66</v>
      </c>
      <c r="C24" s="133">
        <f>PP!J24</f>
        <v>2912208.8000000003</v>
      </c>
      <c r="D24" s="133">
        <f>RIS!C24</f>
        <v>291281.87840177101</v>
      </c>
      <c r="E24" s="133">
        <f>Fortunes!D26</f>
        <v>265156.345111</v>
      </c>
      <c r="F24" s="150">
        <f>PM!D26</f>
        <v>778867.42960000003</v>
      </c>
      <c r="G24" s="133">
        <f>REPART!I24</f>
        <v>14728.515448225604</v>
      </c>
      <c r="H24" s="135">
        <f t="shared" si="0"/>
        <v>4262242.9685609974</v>
      </c>
      <c r="J24" s="149"/>
    </row>
    <row r="25" spans="1:10">
      <c r="A25" s="124"/>
      <c r="B25" s="31" t="s">
        <v>67</v>
      </c>
      <c r="C25" s="136">
        <f>PP!J25</f>
        <v>10299501.400000002</v>
      </c>
      <c r="D25" s="136">
        <f>RIS!C25</f>
        <v>407812.88946233998</v>
      </c>
      <c r="E25" s="136">
        <f>Fortunes!D27</f>
        <v>575238.48498199997</v>
      </c>
      <c r="F25" s="151">
        <f>PM!D27</f>
        <v>2933220.9087</v>
      </c>
      <c r="G25" s="136">
        <f>REPART!I25</f>
        <v>-10544.02326398418</v>
      </c>
      <c r="H25" s="138">
        <f t="shared" si="0"/>
        <v>14205229.659880361</v>
      </c>
      <c r="J25" s="149"/>
    </row>
    <row r="26" spans="1:10">
      <c r="A26" s="124"/>
      <c r="B26" s="132" t="s">
        <v>68</v>
      </c>
      <c r="C26" s="133">
        <f>PP!J26</f>
        <v>3545123.0999999996</v>
      </c>
      <c r="D26" s="133">
        <f>RIS!C26</f>
        <v>161601.44765235801</v>
      </c>
      <c r="E26" s="133">
        <f>Fortunes!D28</f>
        <v>242593.77100000001</v>
      </c>
      <c r="F26" s="150">
        <f>PM!D28</f>
        <v>1067767.6481999999</v>
      </c>
      <c r="G26" s="133">
        <f>REPART!I26</f>
        <v>14175.81769883589</v>
      </c>
      <c r="H26" s="135">
        <f t="shared" si="0"/>
        <v>5031261.7845511939</v>
      </c>
      <c r="J26" s="149"/>
    </row>
    <row r="27" spans="1:10">
      <c r="A27" s="124"/>
      <c r="B27" s="31" t="s">
        <v>69</v>
      </c>
      <c r="C27" s="136">
        <f>PP!J27</f>
        <v>5523101.6999999993</v>
      </c>
      <c r="D27" s="136">
        <f>RIS!C27</f>
        <v>680241.22972459998</v>
      </c>
      <c r="E27" s="136">
        <f>Fortunes!D29</f>
        <v>271849.34217700001</v>
      </c>
      <c r="F27" s="151">
        <f>PM!D29</f>
        <v>2508516.1653</v>
      </c>
      <c r="G27" s="136">
        <f>REPART!I27</f>
        <v>74495.673517497562</v>
      </c>
      <c r="H27" s="138">
        <f t="shared" si="0"/>
        <v>9058204.1107190959</v>
      </c>
      <c r="J27" s="149"/>
    </row>
    <row r="28" spans="1:10">
      <c r="A28" s="124"/>
      <c r="B28" s="132" t="s">
        <v>70</v>
      </c>
      <c r="C28" s="133">
        <f>PP!J28</f>
        <v>13435840.6</v>
      </c>
      <c r="D28" s="133">
        <f>RIS!C28</f>
        <v>780726.84831247805</v>
      </c>
      <c r="E28" s="133">
        <f>Fortunes!D30</f>
        <v>652596.23800000001</v>
      </c>
      <c r="F28" s="150">
        <f>PM!D30</f>
        <v>4502267.87517587</v>
      </c>
      <c r="G28" s="133">
        <f>REPART!I28</f>
        <v>419850.48690273805</v>
      </c>
      <c r="H28" s="135">
        <f t="shared" si="0"/>
        <v>19791282.048391089</v>
      </c>
      <c r="J28" s="149"/>
    </row>
    <row r="29" spans="1:10">
      <c r="A29" s="124"/>
      <c r="B29" s="31" t="s">
        <v>71</v>
      </c>
      <c r="C29" s="136">
        <f>PP!J29</f>
        <v>4185755.1999999997</v>
      </c>
      <c r="D29" s="136">
        <f>RIS!C29</f>
        <v>280849.314341032</v>
      </c>
      <c r="E29" s="136">
        <f>Fortunes!D31</f>
        <v>248095.07811899998</v>
      </c>
      <c r="F29" s="151">
        <f>PM!D31</f>
        <v>744661.90739999991</v>
      </c>
      <c r="G29" s="136">
        <f>REPART!I29</f>
        <v>17502.858842390444</v>
      </c>
      <c r="H29" s="138">
        <f t="shared" si="0"/>
        <v>5476864.3587024231</v>
      </c>
      <c r="J29" s="149"/>
    </row>
    <row r="30" spans="1:10">
      <c r="A30" s="124"/>
      <c r="B30" s="132" t="s">
        <v>72</v>
      </c>
      <c r="C30" s="133">
        <f>PP!J30</f>
        <v>2628539</v>
      </c>
      <c r="D30" s="133">
        <f>RIS!C30</f>
        <v>193770.82405901799</v>
      </c>
      <c r="E30" s="133">
        <f>Fortunes!D32</f>
        <v>112248.55786900001</v>
      </c>
      <c r="F30" s="150">
        <f>PM!D32</f>
        <v>1796823.9993</v>
      </c>
      <c r="G30" s="133">
        <f>REPART!I30</f>
        <v>-314486.88992800371</v>
      </c>
      <c r="H30" s="135">
        <f t="shared" si="0"/>
        <v>4416895.4913000138</v>
      </c>
      <c r="J30" s="149"/>
    </row>
    <row r="31" spans="1:10">
      <c r="A31" s="124"/>
      <c r="B31" s="31" t="s">
        <v>73</v>
      </c>
      <c r="C31" s="136">
        <f>PP!J31</f>
        <v>10657592.399999999</v>
      </c>
      <c r="D31" s="136">
        <f>RIS!C31</f>
        <v>1602222.16396312</v>
      </c>
      <c r="E31" s="136">
        <f>Fortunes!D33</f>
        <v>464468.47567399999</v>
      </c>
      <c r="F31" s="151">
        <f>PM!D33</f>
        <v>5849473.3854</v>
      </c>
      <c r="G31" s="136">
        <f>REPART!I31</f>
        <v>62888.805151353932</v>
      </c>
      <c r="H31" s="138">
        <f t="shared" si="0"/>
        <v>18636645.230188474</v>
      </c>
      <c r="J31" s="149"/>
    </row>
    <row r="32" spans="1:10">
      <c r="A32" s="124"/>
      <c r="B32" s="132" t="s">
        <v>74</v>
      </c>
      <c r="C32" s="133">
        <f>PP!J32</f>
        <v>840057.6</v>
      </c>
      <c r="D32" s="133">
        <f>RIS!C32</f>
        <v>62112.492931825604</v>
      </c>
      <c r="E32" s="133">
        <f>Fortunes!D34</f>
        <v>35245.805</v>
      </c>
      <c r="F32" s="150">
        <f>PM!D34</f>
        <v>294979.11320000002</v>
      </c>
      <c r="G32" s="133">
        <f>REPART!I32</f>
        <v>3377.4443081456793</v>
      </c>
      <c r="H32" s="135">
        <f t="shared" si="0"/>
        <v>1235772.4554399713</v>
      </c>
      <c r="J32" s="149"/>
    </row>
    <row r="33" spans="1:10">
      <c r="A33" s="139"/>
      <c r="B33" s="140" t="s">
        <v>75</v>
      </c>
      <c r="C33" s="55">
        <f t="shared" ref="C33:H33" si="1">SUM(C7:C32)</f>
        <v>141291690.70000002</v>
      </c>
      <c r="D33" s="55">
        <f t="shared" si="1"/>
        <v>8435555.4611548726</v>
      </c>
      <c r="E33" s="55">
        <f t="shared" si="1"/>
        <v>8736705.1481921412</v>
      </c>
      <c r="F33" s="55">
        <f t="shared" si="1"/>
        <v>57015919.040575869</v>
      </c>
      <c r="G33" s="55">
        <f t="shared" si="1"/>
        <v>35826.273433399445</v>
      </c>
      <c r="H33" s="56">
        <f t="shared" si="1"/>
        <v>215515696.62335628</v>
      </c>
      <c r="J33" s="149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7" style="2" customWidth="1"/>
    <col min="3" max="3" width="17.28515625" style="2" customWidth="1"/>
    <col min="4" max="4" width="18" style="2" customWidth="1"/>
    <col min="5" max="6" width="17.140625" style="2" customWidth="1"/>
    <col min="7" max="7" width="19.140625" style="2" customWidth="1"/>
    <col min="8" max="9" width="15.7109375" style="2" customWidth="1"/>
  </cols>
  <sheetData>
    <row r="1" spans="1:10" ht="30" customHeight="1">
      <c r="B1" s="142" t="str">
        <f>"AFA par habitant "&amp;Info!C31</f>
        <v>AFA par habitant 2006</v>
      </c>
      <c r="C1" s="143"/>
      <c r="D1" s="143"/>
      <c r="E1" s="144" t="str">
        <f>Info!A4</f>
        <v>Année de référence 2012</v>
      </c>
      <c r="F1" s="145"/>
      <c r="G1" s="145"/>
      <c r="I1" s="19" t="str">
        <f>Info!$C$28</f>
        <v>FA_2012_20120430_alpha0.7</v>
      </c>
    </row>
    <row r="2" spans="1:10" s="2" customFormat="1">
      <c r="A2" s="120"/>
      <c r="B2" s="121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4" t="s">
        <v>31</v>
      </c>
    </row>
    <row r="3" spans="1:10" s="2" customFormat="1">
      <c r="A3" s="122"/>
      <c r="B3" s="123" t="s">
        <v>33</v>
      </c>
      <c r="C3" s="28"/>
      <c r="D3" s="28"/>
      <c r="E3" s="28"/>
      <c r="F3" s="28"/>
      <c r="G3" s="28"/>
      <c r="H3" s="28"/>
      <c r="I3" s="152"/>
    </row>
    <row r="4" spans="1:10" ht="53.25" customHeight="1">
      <c r="A4" s="124"/>
      <c r="C4" s="33" t="s">
        <v>42</v>
      </c>
      <c r="D4" s="33" t="s">
        <v>105</v>
      </c>
      <c r="E4" s="33" t="s">
        <v>82</v>
      </c>
      <c r="F4" s="33" t="s">
        <v>87</v>
      </c>
      <c r="G4" s="33" t="s">
        <v>102</v>
      </c>
      <c r="H4" s="33" t="s">
        <v>108</v>
      </c>
      <c r="I4" s="35" t="s">
        <v>109</v>
      </c>
    </row>
    <row r="5" spans="1:10" s="36" customFormat="1" ht="11.25" customHeight="1">
      <c r="A5" s="126"/>
      <c r="B5" s="41" t="s">
        <v>107</v>
      </c>
      <c r="C5" s="146">
        <f>Info!$C$31</f>
        <v>2006</v>
      </c>
      <c r="D5" s="146">
        <f>Info!$C$31</f>
        <v>2006</v>
      </c>
      <c r="E5" s="146">
        <f>Info!$C$31</f>
        <v>2006</v>
      </c>
      <c r="F5" s="146">
        <f>Info!$C$31</f>
        <v>2006</v>
      </c>
      <c r="G5" s="146">
        <f>Info!$C$31</f>
        <v>2006</v>
      </c>
      <c r="H5" s="146">
        <f>Info!$C$31</f>
        <v>2006</v>
      </c>
      <c r="I5" s="85"/>
    </row>
    <row r="6" spans="1:10" s="36" customFormat="1" ht="11.25" customHeight="1">
      <c r="A6" s="126"/>
      <c r="B6" s="127" t="s">
        <v>46</v>
      </c>
      <c r="C6" s="39" t="s">
        <v>110</v>
      </c>
      <c r="D6" s="39" t="s">
        <v>110</v>
      </c>
      <c r="E6" s="39" t="s">
        <v>110</v>
      </c>
      <c r="F6" s="39" t="s">
        <v>110</v>
      </c>
      <c r="G6" s="39" t="s">
        <v>110</v>
      </c>
      <c r="H6" s="39" t="s">
        <v>110</v>
      </c>
      <c r="I6" s="40" t="s">
        <v>111</v>
      </c>
    </row>
    <row r="7" spans="1:10">
      <c r="A7" s="124"/>
      <c r="B7" s="128" t="s">
        <v>49</v>
      </c>
      <c r="C7" s="129">
        <f>AFA_totale!C7/AFA_par_habitant!$I7*1000</f>
        <v>23158.892869525018</v>
      </c>
      <c r="D7" s="129">
        <f>AFA_totale!D7/AFA_par_habitant!$I7*1000</f>
        <v>1045.0336345665821</v>
      </c>
      <c r="E7" s="129">
        <f>AFA_totale!E7/AFA_par_habitant!$I7*1000</f>
        <v>1648.1221610542757</v>
      </c>
      <c r="F7" s="129">
        <f>AFA_totale!F7/AFA_par_habitant!$I7*1000</f>
        <v>11219.651676905685</v>
      </c>
      <c r="G7" s="129">
        <f>AFA_totale!G7/AFA_par_habitant!$I7*1000</f>
        <v>-112.85302101067997</v>
      </c>
      <c r="H7" s="153">
        <f>AFA_totale!H7/AFA_par_habitant!$I7*1000</f>
        <v>36958.847321040885</v>
      </c>
      <c r="I7" s="154">
        <v>1306603</v>
      </c>
      <c r="J7" s="149"/>
    </row>
    <row r="8" spans="1:10">
      <c r="A8" s="124"/>
      <c r="B8" s="132" t="s">
        <v>50</v>
      </c>
      <c r="C8" s="133">
        <f>AFA_totale!C8/AFA_par_habitant!$I8*1000</f>
        <v>14767.43333026461</v>
      </c>
      <c r="D8" s="133">
        <f>AFA_totale!D8/AFA_par_habitant!$I8*1000</f>
        <v>477.22626531740082</v>
      </c>
      <c r="E8" s="133">
        <f>AFA_totale!E8/AFA_par_habitant!$I8*1000</f>
        <v>989.60904572052755</v>
      </c>
      <c r="F8" s="133">
        <f>AFA_totale!F8/AFA_par_habitant!$I8*1000</f>
        <v>5738.5532014196124</v>
      </c>
      <c r="G8" s="133">
        <f>AFA_totale!G8/AFA_par_habitant!$I8*1000</f>
        <v>-99.143270658208351</v>
      </c>
      <c r="H8" s="155">
        <f>AFA_totale!H8/AFA_par_habitant!$I8*1000</f>
        <v>21873.678572063942</v>
      </c>
      <c r="I8" s="156">
        <v>966743</v>
      </c>
      <c r="J8" s="149"/>
    </row>
    <row r="9" spans="1:10">
      <c r="A9" s="124"/>
      <c r="B9" s="31" t="s">
        <v>51</v>
      </c>
      <c r="C9" s="136">
        <f>AFA_totale!C9/AFA_par_habitant!$I9*1000</f>
        <v>15752.598274423115</v>
      </c>
      <c r="D9" s="136">
        <f>AFA_totale!D9/AFA_par_habitant!$I9*1000</f>
        <v>550.8435676608467</v>
      </c>
      <c r="E9" s="136">
        <f>AFA_totale!E9/AFA_par_habitant!$I9*1000</f>
        <v>962.37970139631602</v>
      </c>
      <c r="F9" s="136">
        <f>AFA_totale!F9/AFA_par_habitant!$I9*1000</f>
        <v>4543.8684927300792</v>
      </c>
      <c r="G9" s="136">
        <f>AFA_totale!G9/AFA_par_habitant!$I9*1000</f>
        <v>-55.14801579526096</v>
      </c>
      <c r="H9" s="157">
        <f>AFA_totale!H9/AFA_par_habitant!$I9*1000</f>
        <v>21754.542020415094</v>
      </c>
      <c r="I9" s="158">
        <v>358257</v>
      </c>
      <c r="J9" s="149"/>
    </row>
    <row r="10" spans="1:10">
      <c r="A10" s="124"/>
      <c r="B10" s="132" t="s">
        <v>52</v>
      </c>
      <c r="C10" s="133">
        <f>AFA_totale!C10/AFA_par_habitant!$I10*1000</f>
        <v>11730.984815618222</v>
      </c>
      <c r="D10" s="133">
        <f>AFA_totale!D10/AFA_par_habitant!$I10*1000</f>
        <v>592.73160596800574</v>
      </c>
      <c r="E10" s="133">
        <f>AFA_totale!E10/AFA_par_habitant!$I10*1000</f>
        <v>787.33469289949392</v>
      </c>
      <c r="F10" s="133">
        <f>AFA_totale!F10/AFA_par_habitant!$I10*1000</f>
        <v>3102.3017874186553</v>
      </c>
      <c r="G10" s="133">
        <f>AFA_totale!G10/AFA_par_habitant!$I10*1000</f>
        <v>77.921360497221016</v>
      </c>
      <c r="H10" s="155">
        <f>AFA_totale!H10/AFA_par_habitant!$I10*1000</f>
        <v>16291.274262401597</v>
      </c>
      <c r="I10" s="156">
        <v>34575</v>
      </c>
      <c r="J10" s="149"/>
    </row>
    <row r="11" spans="1:10">
      <c r="A11" s="124"/>
      <c r="B11" s="31" t="s">
        <v>53</v>
      </c>
      <c r="C11" s="136">
        <f>AFA_totale!C11/AFA_par_habitant!$I11*1000</f>
        <v>29619.218297625939</v>
      </c>
      <c r="D11" s="136">
        <f>AFA_totale!D11/AFA_par_habitant!$I11*1000</f>
        <v>633.36000200837009</v>
      </c>
      <c r="E11" s="136">
        <f>AFA_totale!E11/AFA_par_habitant!$I11*1000</f>
        <v>2413.5497002678057</v>
      </c>
      <c r="F11" s="136">
        <f>AFA_totale!F11/AFA_par_habitant!$I11*1000</f>
        <v>7281.9824703242612</v>
      </c>
      <c r="G11" s="136">
        <f>AFA_totale!G11/AFA_par_habitant!$I11*1000</f>
        <v>-51.091995872781972</v>
      </c>
      <c r="H11" s="157">
        <f>AFA_totale!H11/AFA_par_habitant!$I11*1000</f>
        <v>39897.018474353594</v>
      </c>
      <c r="I11" s="158">
        <v>138160</v>
      </c>
      <c r="J11" s="149"/>
    </row>
    <row r="12" spans="1:10">
      <c r="A12" s="124"/>
      <c r="B12" s="132" t="s">
        <v>54</v>
      </c>
      <c r="C12" s="133">
        <f>AFA_totale!C12/AFA_par_habitant!$I12*1000</f>
        <v>16207.983834755276</v>
      </c>
      <c r="D12" s="133">
        <f>AFA_totale!D12/AFA_par_habitant!$I12*1000</f>
        <v>688.77333391857508</v>
      </c>
      <c r="E12" s="133">
        <f>AFA_totale!E12/AFA_par_habitant!$I12*1000</f>
        <v>1151.57157350696</v>
      </c>
      <c r="F12" s="133">
        <f>AFA_totale!F12/AFA_par_habitant!$I12*1000</f>
        <v>5238.9052088010776</v>
      </c>
      <c r="G12" s="133">
        <f>AFA_totale!G12/AFA_par_habitant!$I12*1000</f>
        <v>60.836341772614823</v>
      </c>
      <c r="H12" s="155">
        <f>AFA_totale!H12/AFA_par_habitant!$I12*1000</f>
        <v>23348.070292754503</v>
      </c>
      <c r="I12" s="156">
        <v>33405</v>
      </c>
      <c r="J12" s="149"/>
    </row>
    <row r="13" spans="1:10">
      <c r="A13" s="124"/>
      <c r="B13" s="31" t="s">
        <v>55</v>
      </c>
      <c r="C13" s="136">
        <f>AFA_totale!C13/AFA_par_habitant!$I13*1000</f>
        <v>25351.622898359325</v>
      </c>
      <c r="D13" s="136">
        <f>AFA_totale!D13/AFA_par_habitant!$I13*1000</f>
        <v>560.1247807915579</v>
      </c>
      <c r="E13" s="136">
        <f>AFA_totale!E13/AFA_par_habitant!$I13*1000</f>
        <v>3393.9532738609241</v>
      </c>
      <c r="F13" s="136">
        <f>AFA_totale!F13/AFA_par_habitant!$I13*1000</f>
        <v>4523.5865114034641</v>
      </c>
      <c r="G13" s="136">
        <f>AFA_totale!G13/AFA_par_habitant!$I13*1000</f>
        <v>97.810934477373024</v>
      </c>
      <c r="H13" s="157">
        <f>AFA_totale!H13/AFA_par_habitant!$I13*1000</f>
        <v>33927.098398892645</v>
      </c>
      <c r="I13" s="158">
        <v>39374</v>
      </c>
      <c r="J13" s="149"/>
    </row>
    <row r="14" spans="1:10">
      <c r="A14" s="124"/>
      <c r="B14" s="132" t="s">
        <v>56</v>
      </c>
      <c r="C14" s="133">
        <f>AFA_totale!C14/AFA_par_habitant!$I14*1000</f>
        <v>13021.952053893317</v>
      </c>
      <c r="D14" s="133">
        <f>AFA_totale!D14/AFA_par_habitant!$I14*1000</f>
        <v>423.39666404173573</v>
      </c>
      <c r="E14" s="133">
        <f>AFA_totale!E14/AFA_par_habitant!$I14*1000</f>
        <v>1110.3316947185599</v>
      </c>
      <c r="F14" s="133">
        <f>AFA_totale!F14/AFA_par_habitant!$I14*1000</f>
        <v>4069.7574379621592</v>
      </c>
      <c r="G14" s="133">
        <f>AFA_totale!G14/AFA_par_habitant!$I14*1000</f>
        <v>432.26624607530351</v>
      </c>
      <c r="H14" s="155">
        <f>AFA_totale!H14/AFA_par_habitant!$I14*1000</f>
        <v>19057.704096691075</v>
      </c>
      <c r="I14" s="156">
        <v>38001</v>
      </c>
      <c r="J14" s="149"/>
    </row>
    <row r="15" spans="1:10">
      <c r="A15" s="124"/>
      <c r="B15" s="31" t="s">
        <v>57</v>
      </c>
      <c r="C15" s="136">
        <f>AFA_totale!C15/AFA_par_habitant!$I15*1000</f>
        <v>35162.33419032715</v>
      </c>
      <c r="D15" s="136">
        <f>AFA_totale!D15/AFA_par_habitant!$I15*1000</f>
        <v>1248.0366735434925</v>
      </c>
      <c r="E15" s="136">
        <f>AFA_totale!E15/AFA_par_habitant!$I15*1000</f>
        <v>2548.8754943270737</v>
      </c>
      <c r="F15" s="136">
        <f>AFA_totale!F15/AFA_par_habitant!$I15*1000</f>
        <v>31386.931156382736</v>
      </c>
      <c r="G15" s="136">
        <f>AFA_totale!G15/AFA_par_habitant!$I15*1000</f>
        <v>50.700642246553279</v>
      </c>
      <c r="H15" s="157">
        <f>AFA_totale!H15/AFA_par_habitant!$I15*1000</f>
        <v>70396.878156827021</v>
      </c>
      <c r="I15" s="158">
        <v>107352</v>
      </c>
      <c r="J15" s="149"/>
    </row>
    <row r="16" spans="1:10">
      <c r="A16" s="124"/>
      <c r="B16" s="132" t="s">
        <v>58</v>
      </c>
      <c r="C16" s="133">
        <f>AFA_totale!C16/AFA_par_habitant!$I16*1000</f>
        <v>14924.111250120295</v>
      </c>
      <c r="D16" s="133">
        <f>AFA_totale!D16/AFA_par_habitant!$I16*1000</f>
        <v>591.54556695217013</v>
      </c>
      <c r="E16" s="133">
        <f>AFA_totale!E16/AFA_par_habitant!$I16*1000</f>
        <v>614.40792358387068</v>
      </c>
      <c r="F16" s="133">
        <f>AFA_totale!F16/AFA_par_habitant!$I16*1000</f>
        <v>4228.3827939563089</v>
      </c>
      <c r="G16" s="133">
        <f>AFA_totale!G16/AFA_par_habitant!$I16*1000</f>
        <v>-8.1887389855321189</v>
      </c>
      <c r="H16" s="155">
        <f>AFA_totale!H16/AFA_par_habitant!$I16*1000</f>
        <v>20350.258795627113</v>
      </c>
      <c r="I16" s="156">
        <v>259775</v>
      </c>
      <c r="J16" s="149"/>
    </row>
    <row r="17" spans="1:10">
      <c r="A17" s="124"/>
      <c r="B17" s="31" t="s">
        <v>59</v>
      </c>
      <c r="C17" s="136">
        <f>AFA_totale!C17/AFA_par_habitant!$I17*1000</f>
        <v>16399.5754598848</v>
      </c>
      <c r="D17" s="136">
        <f>AFA_totale!D17/AFA_par_habitant!$I17*1000</f>
        <v>447.15188085797899</v>
      </c>
      <c r="E17" s="136">
        <f>AFA_totale!E17/AFA_par_habitant!$I17*1000</f>
        <v>580.76309627891192</v>
      </c>
      <c r="F17" s="136">
        <f>AFA_totale!F17/AFA_par_habitant!$I17*1000</f>
        <v>5682.4560506055059</v>
      </c>
      <c r="G17" s="136">
        <f>AFA_totale!G17/AFA_par_habitant!$I17*1000</f>
        <v>169.62765456815453</v>
      </c>
      <c r="H17" s="157">
        <f>AFA_totale!H17/AFA_par_habitant!$I17*1000</f>
        <v>23279.57414219535</v>
      </c>
      <c r="I17" s="158">
        <v>247562</v>
      </c>
      <c r="J17" s="149"/>
    </row>
    <row r="18" spans="1:10">
      <c r="A18" s="124"/>
      <c r="B18" s="132" t="s">
        <v>60</v>
      </c>
      <c r="C18" s="133">
        <f>AFA_totale!C18/AFA_par_habitant!$I18*1000</f>
        <v>20774.972678169859</v>
      </c>
      <c r="D18" s="133">
        <f>AFA_totale!D18/AFA_par_habitant!$I18*1000</f>
        <v>3049.859485831887</v>
      </c>
      <c r="E18" s="133">
        <f>AFA_totale!E18/AFA_par_habitant!$I18*1000</f>
        <v>1681.9237210703852</v>
      </c>
      <c r="F18" s="133">
        <f>AFA_totale!F18/AFA_par_habitant!$I18*1000</f>
        <v>15371.922818456947</v>
      </c>
      <c r="G18" s="133">
        <f>AFA_totale!G18/AFA_par_habitant!$I18*1000</f>
        <v>-414.98650289250565</v>
      </c>
      <c r="H18" s="155">
        <f>AFA_totale!H18/AFA_par_habitant!$I18*1000</f>
        <v>40463.692200636571</v>
      </c>
      <c r="I18" s="156">
        <v>190324</v>
      </c>
      <c r="J18" s="149"/>
    </row>
    <row r="19" spans="1:10">
      <c r="A19" s="124"/>
      <c r="B19" s="31" t="s">
        <v>61</v>
      </c>
      <c r="C19" s="136">
        <f>AFA_totale!C19/AFA_par_habitant!$I19*1000</f>
        <v>22497.430679120793</v>
      </c>
      <c r="D19" s="136">
        <f>AFA_totale!D19/AFA_par_habitant!$I19*1000</f>
        <v>1107.6358550540383</v>
      </c>
      <c r="E19" s="136">
        <f>AFA_totale!E19/AFA_par_habitant!$I19*1000</f>
        <v>941.11183299038112</v>
      </c>
      <c r="F19" s="136">
        <f>AFA_totale!F19/AFA_par_habitant!$I19*1000</f>
        <v>4832.7797651873943</v>
      </c>
      <c r="G19" s="136">
        <f>AFA_totale!G19/AFA_par_habitant!$I19*1000</f>
        <v>-12.52161603473961</v>
      </c>
      <c r="H19" s="157">
        <f>AFA_totale!H19/AFA_par_habitant!$I19*1000</f>
        <v>29366.436516317866</v>
      </c>
      <c r="I19" s="158">
        <v>265829</v>
      </c>
      <c r="J19" s="149"/>
    </row>
    <row r="20" spans="1:10">
      <c r="A20" s="124"/>
      <c r="B20" s="132" t="s">
        <v>62</v>
      </c>
      <c r="C20" s="133">
        <f>AFA_totale!C20/AFA_par_habitant!$I20*1000</f>
        <v>15561.806685948744</v>
      </c>
      <c r="D20" s="133">
        <f>AFA_totale!D20/AFA_par_habitant!$I20*1000</f>
        <v>1465.1413498374523</v>
      </c>
      <c r="E20" s="133">
        <f>AFA_totale!E20/AFA_par_habitant!$I20*1000</f>
        <v>954.3329708481873</v>
      </c>
      <c r="F20" s="133">
        <f>AFA_totale!F20/AFA_par_habitant!$I20*1000</f>
        <v>8970.965457725164</v>
      </c>
      <c r="G20" s="133">
        <f>AFA_totale!G20/AFA_par_habitant!$I20*1000</f>
        <v>68.663612632873566</v>
      </c>
      <c r="H20" s="155">
        <f>AFA_totale!H20/AFA_par_habitant!$I20*1000</f>
        <v>27020.910076992423</v>
      </c>
      <c r="I20" s="156">
        <v>74335</v>
      </c>
      <c r="J20" s="149"/>
    </row>
    <row r="21" spans="1:10">
      <c r="A21" s="124"/>
      <c r="B21" s="31" t="s">
        <v>63</v>
      </c>
      <c r="C21" s="136">
        <f>AFA_totale!C21/AFA_par_habitant!$I21*1000</f>
        <v>15898.253634276971</v>
      </c>
      <c r="D21" s="136">
        <f>AFA_totale!D21/AFA_par_habitant!$I21*1000</f>
        <v>545.68263946581101</v>
      </c>
      <c r="E21" s="136">
        <f>AFA_totale!E21/AFA_par_habitant!$I21*1000</f>
        <v>1391.6715341622034</v>
      </c>
      <c r="F21" s="136">
        <f>AFA_totale!F21/AFA_par_habitant!$I21*1000</f>
        <v>4023.84484123948</v>
      </c>
      <c r="G21" s="136">
        <f>AFA_totale!G21/AFA_par_habitant!$I21*1000</f>
        <v>-11.883891686429319</v>
      </c>
      <c r="H21" s="157">
        <f>AFA_totale!H21/AFA_par_habitant!$I21*1000</f>
        <v>21847.568757458037</v>
      </c>
      <c r="I21" s="158">
        <v>52280</v>
      </c>
      <c r="J21" s="149"/>
    </row>
    <row r="22" spans="1:10">
      <c r="A22" s="124"/>
      <c r="B22" s="132" t="s">
        <v>64</v>
      </c>
      <c r="C22" s="133">
        <f>AFA_totale!C22/AFA_par_habitant!$I22*1000</f>
        <v>16091.697490092471</v>
      </c>
      <c r="D22" s="133">
        <f>AFA_totale!D22/AFA_par_habitant!$I22*1000</f>
        <v>447.29603822490486</v>
      </c>
      <c r="E22" s="133">
        <f>AFA_totale!E22/AFA_par_habitant!$I22*1000</f>
        <v>1520.5035990752972</v>
      </c>
      <c r="F22" s="133">
        <f>AFA_totale!F22/AFA_par_habitant!$I22*1000</f>
        <v>4219.7997490092466</v>
      </c>
      <c r="G22" s="133">
        <f>AFA_totale!G22/AFA_par_habitant!$I22*1000</f>
        <v>-60.580330479097064</v>
      </c>
      <c r="H22" s="155">
        <f>AFA_totale!H22/AFA_par_habitant!$I22*1000</f>
        <v>22218.716545922824</v>
      </c>
      <c r="I22" s="156">
        <v>15140</v>
      </c>
      <c r="J22" s="149"/>
    </row>
    <row r="23" spans="1:10">
      <c r="A23" s="124"/>
      <c r="B23" s="31" t="s">
        <v>65</v>
      </c>
      <c r="C23" s="136">
        <f>AFA_totale!C23/AFA_par_habitant!$I23*1000</f>
        <v>14415.899961124789</v>
      </c>
      <c r="D23" s="136">
        <f>AFA_totale!D23/AFA_par_habitant!$I23*1000</f>
        <v>786.53604816209884</v>
      </c>
      <c r="E23" s="136">
        <f>AFA_totale!E23/AFA_par_habitant!$I23*1000</f>
        <v>1134.5276866290874</v>
      </c>
      <c r="F23" s="136">
        <f>AFA_totale!F23/AFA_par_habitant!$I23*1000</f>
        <v>4442.4218703295755</v>
      </c>
      <c r="G23" s="136">
        <f>AFA_totale!G23/AFA_par_habitant!$I23*1000</f>
        <v>69.944212119233867</v>
      </c>
      <c r="H23" s="157">
        <f>AFA_totale!H23/AFA_par_habitant!$I23*1000</f>
        <v>20849.329778364787</v>
      </c>
      <c r="I23" s="158">
        <v>463020</v>
      </c>
      <c r="J23" s="149"/>
    </row>
    <row r="24" spans="1:10">
      <c r="A24" s="124"/>
      <c r="B24" s="132" t="s">
        <v>66</v>
      </c>
      <c r="C24" s="133">
        <f>AFA_totale!C24/AFA_par_habitant!$I24*1000</f>
        <v>15212.043397182424</v>
      </c>
      <c r="D24" s="133">
        <f>AFA_totale!D24/AFA_par_habitant!$I24*1000</f>
        <v>1521.5229673986817</v>
      </c>
      <c r="E24" s="133">
        <f>AFA_totale!E24/AFA_par_habitant!$I24*1000</f>
        <v>1385.0551611775952</v>
      </c>
      <c r="F24" s="133">
        <f>AFA_totale!F24/AFA_par_habitant!$I24*1000</f>
        <v>4068.4463077397213</v>
      </c>
      <c r="G24" s="133">
        <f>AFA_totale!G24/AFA_par_habitant!$I24*1000</f>
        <v>76.935011038521552</v>
      </c>
      <c r="H24" s="155">
        <f>AFA_totale!H24/AFA_par_habitant!$I24*1000</f>
        <v>22264.002844536946</v>
      </c>
      <c r="I24" s="156">
        <v>191441</v>
      </c>
      <c r="J24" s="149"/>
    </row>
    <row r="25" spans="1:10">
      <c r="A25" s="124"/>
      <c r="B25" s="31" t="s">
        <v>67</v>
      </c>
      <c r="C25" s="136">
        <f>AFA_totale!C25/AFA_par_habitant!$I25*1000</f>
        <v>17983.516174598717</v>
      </c>
      <c r="D25" s="136">
        <f>AFA_totale!D25/AFA_par_habitant!$I25*1000</f>
        <v>712.06453681882385</v>
      </c>
      <c r="E25" s="136">
        <f>AFA_totale!E25/AFA_par_habitant!$I25*1000</f>
        <v>1004.3991643057067</v>
      </c>
      <c r="F25" s="136">
        <f>AFA_totale!F25/AFA_par_habitant!$I25*1000</f>
        <v>5121.5708029592179</v>
      </c>
      <c r="G25" s="136">
        <f>AFA_totale!G25/AFA_par_habitant!$I25*1000</f>
        <v>-18.410465278756565</v>
      </c>
      <c r="H25" s="157">
        <f>AFA_totale!H25/AFA_par_habitant!$I25*1000</f>
        <v>24803.140213403713</v>
      </c>
      <c r="I25" s="158">
        <v>572719</v>
      </c>
      <c r="J25" s="149"/>
    </row>
    <row r="26" spans="1:10">
      <c r="A26" s="124"/>
      <c r="B26" s="132" t="s">
        <v>68</v>
      </c>
      <c r="C26" s="133">
        <f>AFA_totale!C26/AFA_par_habitant!$I26*1000</f>
        <v>15026.67449411246</v>
      </c>
      <c r="D26" s="133">
        <f>AFA_totale!D26/AFA_par_habitant!$I26*1000</f>
        <v>684.97828796109741</v>
      </c>
      <c r="E26" s="133">
        <f>AFA_totale!E26/AFA_par_habitant!$I26*1000</f>
        <v>1028.2795627368369</v>
      </c>
      <c r="F26" s="133">
        <f>AFA_totale!F26/AFA_par_habitant!$I26*1000</f>
        <v>4525.9350471766093</v>
      </c>
      <c r="G26" s="133">
        <f>AFA_totale!G26/AFA_par_habitant!$I26*1000</f>
        <v>60.086883371774952</v>
      </c>
      <c r="H26" s="155">
        <f>AFA_totale!H26/AFA_par_habitant!$I26*1000</f>
        <v>21325.954275358778</v>
      </c>
      <c r="I26" s="156">
        <v>235922</v>
      </c>
      <c r="J26" s="149"/>
    </row>
    <row r="27" spans="1:10">
      <c r="A27" s="124"/>
      <c r="B27" s="31" t="s">
        <v>69</v>
      </c>
      <c r="C27" s="136">
        <f>AFA_totale!C27/AFA_par_habitant!$I27*1000</f>
        <v>17002.686578191522</v>
      </c>
      <c r="D27" s="136">
        <f>AFA_totale!D27/AFA_par_habitant!$I27*1000</f>
        <v>2094.1002094114897</v>
      </c>
      <c r="E27" s="136">
        <f>AFA_totale!E27/AFA_par_habitant!$I27*1000</f>
        <v>836.87924151805373</v>
      </c>
      <c r="F27" s="136">
        <f>AFA_totale!F27/AFA_par_habitant!$I27*1000</f>
        <v>7722.3843506127687</v>
      </c>
      <c r="G27" s="136">
        <f>AFA_totale!G27/AFA_par_habitant!$I27*1000</f>
        <v>229.33247603412653</v>
      </c>
      <c r="H27" s="157">
        <f>AFA_totale!H27/AFA_par_habitant!$I27*1000</f>
        <v>27885.382855767959</v>
      </c>
      <c r="I27" s="158">
        <v>324837</v>
      </c>
      <c r="J27" s="149"/>
    </row>
    <row r="28" spans="1:10">
      <c r="A28" s="124"/>
      <c r="B28" s="132" t="s">
        <v>70</v>
      </c>
      <c r="C28" s="133">
        <f>AFA_totale!C28/AFA_par_habitant!$I28*1000</f>
        <v>20010.724243110246</v>
      </c>
      <c r="D28" s="133">
        <f>AFA_totale!D28/AFA_par_habitant!$I28*1000</f>
        <v>1162.77873010592</v>
      </c>
      <c r="E28" s="133">
        <f>AFA_totale!E28/AFA_par_habitant!$I28*1000</f>
        <v>971.94688069677943</v>
      </c>
      <c r="F28" s="133">
        <f>AFA_totale!F28/AFA_par_habitant!$I28*1000</f>
        <v>6705.4711053030987</v>
      </c>
      <c r="G28" s="133">
        <f>AFA_totale!G28/AFA_par_habitant!$I28*1000</f>
        <v>625.30604276045528</v>
      </c>
      <c r="H28" s="155">
        <f>AFA_totale!H28/AFA_par_habitant!$I28*1000</f>
        <v>29476.227001976506</v>
      </c>
      <c r="I28" s="156">
        <v>671432</v>
      </c>
      <c r="J28" s="149"/>
    </row>
    <row r="29" spans="1:10">
      <c r="A29" s="124"/>
      <c r="B29" s="31" t="s">
        <v>71</v>
      </c>
      <c r="C29" s="136">
        <f>AFA_totale!C29/AFA_par_habitant!$I29*1000</f>
        <v>14271.047104710471</v>
      </c>
      <c r="D29" s="136">
        <f>AFA_totale!D29/AFA_par_habitant!$I29*1000</f>
        <v>957.5365980042277</v>
      </c>
      <c r="E29" s="136">
        <f>AFA_totale!E29/AFA_par_habitant!$I29*1000</f>
        <v>845.863261731855</v>
      </c>
      <c r="F29" s="136">
        <f>AFA_totale!F29/AFA_par_habitant!$I29*1000</f>
        <v>2538.8740262662627</v>
      </c>
      <c r="G29" s="136">
        <f>AFA_totale!G29/AFA_par_habitant!$I29*1000</f>
        <v>59.67480444313901</v>
      </c>
      <c r="H29" s="157">
        <f>AFA_totale!H29/AFA_par_habitant!$I29*1000</f>
        <v>18672.995795155959</v>
      </c>
      <c r="I29" s="158">
        <v>293304</v>
      </c>
      <c r="J29" s="149"/>
    </row>
    <row r="30" spans="1:10">
      <c r="A30" s="124"/>
      <c r="B30" s="132" t="s">
        <v>72</v>
      </c>
      <c r="C30" s="133">
        <f>AFA_totale!C30/AFA_par_habitant!$I30*1000</f>
        <v>15516.117988040636</v>
      </c>
      <c r="D30" s="133">
        <f>AFA_totale!D30/AFA_par_habitant!$I30*1000</f>
        <v>1143.8182841265002</v>
      </c>
      <c r="E30" s="133">
        <f>AFA_totale!E30/AFA_par_habitant!$I30*1000</f>
        <v>662.59692851535067</v>
      </c>
      <c r="F30" s="133">
        <f>AFA_totale!F30/AFA_par_habitant!$I30*1000</f>
        <v>10606.551082895039</v>
      </c>
      <c r="G30" s="133">
        <f>AFA_totale!G30/AFA_par_habitant!$I30*1000</f>
        <v>-1856.3984364754922</v>
      </c>
      <c r="H30" s="155">
        <f>AFA_totale!H30/AFA_par_habitant!$I30*1000</f>
        <v>26072.685847102031</v>
      </c>
      <c r="I30" s="156">
        <v>169407</v>
      </c>
      <c r="J30" s="149"/>
    </row>
    <row r="31" spans="1:10">
      <c r="A31" s="124"/>
      <c r="B31" s="31" t="s">
        <v>73</v>
      </c>
      <c r="C31" s="136">
        <f>AFA_totale!C31/AFA_par_habitant!$I31*1000</f>
        <v>24233.642347965477</v>
      </c>
      <c r="D31" s="136">
        <f>AFA_totale!D31/AFA_par_habitant!$I31*1000</f>
        <v>3643.1942061760178</v>
      </c>
      <c r="E31" s="136">
        <f>AFA_totale!E31/AFA_par_habitant!$I31*1000</f>
        <v>1056.1262336687246</v>
      </c>
      <c r="F31" s="136">
        <f>AFA_totale!F31/AFA_par_habitant!$I31*1000</f>
        <v>13300.756927589617</v>
      </c>
      <c r="G31" s="136">
        <f>AFA_totale!G31/AFA_par_habitant!$I31*1000</f>
        <v>142.99897711689562</v>
      </c>
      <c r="H31" s="157">
        <f>AFA_totale!H31/AFA_par_habitant!$I31*1000</f>
        <v>42376.718692516741</v>
      </c>
      <c r="I31" s="158">
        <v>439785</v>
      </c>
      <c r="J31" s="149"/>
    </row>
    <row r="32" spans="1:10">
      <c r="A32" s="124"/>
      <c r="B32" s="132" t="s">
        <v>74</v>
      </c>
      <c r="C32" s="133">
        <f>AFA_totale!C32/AFA_par_habitant!$I32*1000</f>
        <v>12348.885001543504</v>
      </c>
      <c r="D32" s="133">
        <f>AFA_totale!D32/AFA_par_habitant!$I32*1000</f>
        <v>913.05647657291377</v>
      </c>
      <c r="E32" s="133">
        <f>AFA_totale!E32/AFA_par_habitant!$I32*1000</f>
        <v>518.11493965631291</v>
      </c>
      <c r="F32" s="133">
        <f>AFA_totale!F32/AFA_par_habitant!$I32*1000</f>
        <v>4336.2064062798599</v>
      </c>
      <c r="G32" s="133">
        <f>AFA_totale!G32/AFA_par_habitant!$I32*1000</f>
        <v>49.648585240355729</v>
      </c>
      <c r="H32" s="155">
        <f>AFA_totale!H32/AFA_par_habitant!$I32*1000</f>
        <v>18165.911409292945</v>
      </c>
      <c r="I32" s="156">
        <v>68027</v>
      </c>
      <c r="J32" s="149"/>
    </row>
    <row r="33" spans="1:10">
      <c r="A33" s="139"/>
      <c r="B33" s="140" t="s">
        <v>75</v>
      </c>
      <c r="C33" s="55">
        <f>AFA_totale!C33/AFA_par_habitant!$I33*1000</f>
        <v>18695.289833067578</v>
      </c>
      <c r="D33" s="55">
        <f>AFA_totale!D33/AFA_par_habitant!$I33*1000</f>
        <v>1116.1672244693887</v>
      </c>
      <c r="E33" s="55">
        <f>AFA_totale!E33/AFA_par_habitant!$I33*1000</f>
        <v>1156.0144416299045</v>
      </c>
      <c r="F33" s="55">
        <f>AFA_totale!F33/AFA_par_habitant!$I33*1000</f>
        <v>7544.1742276659024</v>
      </c>
      <c r="G33" s="55">
        <f>AFA_totale!G33/AFA_par_habitant!$I33*1000</f>
        <v>4.7404243105722248</v>
      </c>
      <c r="H33" s="55">
        <f>AFA_totale!H33/AFA_par_habitant!$I33*1000</f>
        <v>28516.386151143342</v>
      </c>
      <c r="I33" s="56">
        <f>SUM(I7:I32)</f>
        <v>7557609</v>
      </c>
      <c r="J33" s="149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2" customWidth="1"/>
    <col min="2" max="3" width="18.42578125" style="2" customWidth="1"/>
    <col min="4" max="4" width="17.28515625" style="2" customWidth="1"/>
    <col min="5" max="6" width="18.5703125" style="2" customWidth="1"/>
    <col min="7" max="7" width="14" style="2" customWidth="1"/>
    <col min="8" max="8" width="13.140625" style="2" customWidth="1"/>
    <col min="9" max="9" width="15.28515625" style="2" hidden="1" customWidth="1"/>
  </cols>
  <sheetData>
    <row r="1" spans="1:10" ht="23.25" customHeight="1">
      <c r="A1" s="159" t="str">
        <f>"AFA en pourcentage "&amp;Info!C31</f>
        <v>AFA en pourcentage 2006</v>
      </c>
      <c r="B1" s="160"/>
      <c r="C1" s="160"/>
      <c r="E1" s="161"/>
      <c r="F1" s="162"/>
      <c r="G1" s="162"/>
      <c r="H1" s="162"/>
      <c r="I1" s="1"/>
    </row>
    <row r="2" spans="1:10" ht="21.75" customHeight="1">
      <c r="A2" s="163" t="str">
        <f>Info!A4</f>
        <v>Année de référence 2012</v>
      </c>
      <c r="H2" s="19" t="str">
        <f>Info!C28</f>
        <v>FA_2012_20120430_alpha0.7</v>
      </c>
    </row>
    <row r="3" spans="1:10" s="2" customFormat="1">
      <c r="A3" s="22" t="s">
        <v>24</v>
      </c>
      <c r="B3" s="23" t="s">
        <v>78</v>
      </c>
      <c r="C3" s="23" t="s">
        <v>25</v>
      </c>
      <c r="D3" s="23" t="s">
        <v>26</v>
      </c>
      <c r="E3" s="23" t="s">
        <v>27</v>
      </c>
      <c r="F3" s="23" t="s">
        <v>28</v>
      </c>
      <c r="G3" s="23" t="s">
        <v>29</v>
      </c>
      <c r="H3" s="84" t="s">
        <v>30</v>
      </c>
      <c r="I3" s="6"/>
    </row>
    <row r="4" spans="1:10" ht="68.25" customHeight="1">
      <c r="A4" s="164"/>
      <c r="B4" s="33" t="s">
        <v>42</v>
      </c>
      <c r="C4" s="33" t="s">
        <v>105</v>
      </c>
      <c r="D4" s="33" t="s">
        <v>82</v>
      </c>
      <c r="E4" s="33" t="s">
        <v>112</v>
      </c>
      <c r="F4" s="33" t="s">
        <v>113</v>
      </c>
      <c r="G4" s="33" t="s">
        <v>102</v>
      </c>
      <c r="H4" s="64" t="s">
        <v>114</v>
      </c>
      <c r="I4" s="6"/>
    </row>
    <row r="5" spans="1:10" s="36" customFormat="1" ht="11.25" customHeight="1">
      <c r="A5" s="86" t="s">
        <v>46</v>
      </c>
      <c r="B5" s="39" t="s">
        <v>115</v>
      </c>
      <c r="C5" s="39" t="s">
        <v>115</v>
      </c>
      <c r="D5" s="39" t="s">
        <v>115</v>
      </c>
      <c r="E5" s="39" t="s">
        <v>115</v>
      </c>
      <c r="F5" s="39" t="s">
        <v>115</v>
      </c>
      <c r="G5" s="39" t="s">
        <v>115</v>
      </c>
      <c r="H5" s="40" t="s">
        <v>115</v>
      </c>
      <c r="I5" s="165"/>
    </row>
    <row r="6" spans="1:10">
      <c r="A6" s="42" t="s">
        <v>49</v>
      </c>
      <c r="B6" s="166">
        <f>AFA_totale!C7/AFA_totale!$H7</f>
        <v>0.62661296409914091</v>
      </c>
      <c r="C6" s="166">
        <f>AFA_totale!D7/AFA_totale!$H7</f>
        <v>2.8275601386833257E-2</v>
      </c>
      <c r="D6" s="166">
        <f>AFA_totale!E7/AFA_totale!$H7</f>
        <v>4.4593440556680741E-2</v>
      </c>
      <c r="E6" s="166">
        <f>PM!B9/AFA_totale!$H7</f>
        <v>0.29264982064633405</v>
      </c>
      <c r="F6" s="166">
        <f>PM!C9/AFA_totale!$H7</f>
        <v>1.0921651143541678E-2</v>
      </c>
      <c r="G6" s="166">
        <f>AFA_totale!G7/AFA_totale!$H7</f>
        <v>-3.0534778325305642E-3</v>
      </c>
      <c r="H6" s="167">
        <f t="shared" ref="H6:H32" si="0">SUM(B6:G6)</f>
        <v>1</v>
      </c>
      <c r="I6" s="128" t="s">
        <v>49</v>
      </c>
      <c r="J6" s="149"/>
    </row>
    <row r="7" spans="1:10">
      <c r="A7" s="46" t="s">
        <v>50</v>
      </c>
      <c r="B7" s="168">
        <f>AFA_totale!C8/AFA_totale!$H8</f>
        <v>0.675123449474333</v>
      </c>
      <c r="C7" s="168">
        <f>AFA_totale!D8/AFA_totale!$H8</f>
        <v>2.1817375790046226E-2</v>
      </c>
      <c r="D7" s="168">
        <f>AFA_totale!E8/AFA_totale!$H8</f>
        <v>4.5242003646538485E-2</v>
      </c>
      <c r="E7" s="168">
        <f>PM!B10/AFA_totale!$H8</f>
        <v>0.25575244448351492</v>
      </c>
      <c r="F7" s="168">
        <f>PM!C10/AFA_totale!$H8</f>
        <v>6.5972642092254627E-3</v>
      </c>
      <c r="G7" s="168">
        <f>AFA_totale!G8/AFA_totale!$H8</f>
        <v>-4.5325376036580147E-3</v>
      </c>
      <c r="H7" s="169">
        <f t="shared" si="0"/>
        <v>1.0000000000000002</v>
      </c>
      <c r="I7" s="132" t="s">
        <v>50</v>
      </c>
      <c r="J7" s="149"/>
    </row>
    <row r="8" spans="1:10">
      <c r="A8" s="49" t="s">
        <v>51</v>
      </c>
      <c r="B8" s="170">
        <f>AFA_totale!C9/AFA_totale!$H9</f>
        <v>0.72410617790254639</v>
      </c>
      <c r="C8" s="170">
        <f>AFA_totale!D9/AFA_totale!$H9</f>
        <v>2.5320853325430576E-2</v>
      </c>
      <c r="D8" s="170">
        <f>AFA_totale!E9/AFA_totale!$H9</f>
        <v>4.4238104414847754E-2</v>
      </c>
      <c r="E8" s="170">
        <f>PM!B11/AFA_totale!$H9</f>
        <v>0.18712496327121636</v>
      </c>
      <c r="F8" s="170">
        <f>PM!C11/AFA_totale!$H9</f>
        <v>2.1744912659335567E-2</v>
      </c>
      <c r="G8" s="170">
        <f>AFA_totale!G9/AFA_totale!$H9</f>
        <v>-2.5350115733766519E-3</v>
      </c>
      <c r="H8" s="171">
        <f t="shared" si="0"/>
        <v>1</v>
      </c>
      <c r="I8" s="31" t="s">
        <v>51</v>
      </c>
      <c r="J8" s="149"/>
    </row>
    <row r="9" spans="1:10">
      <c r="A9" s="46" t="s">
        <v>52</v>
      </c>
      <c r="B9" s="168">
        <f>AFA_totale!C10/AFA_totale!$H10</f>
        <v>0.7200777929748563</v>
      </c>
      <c r="C9" s="168">
        <f>AFA_totale!D10/AFA_totale!$H10</f>
        <v>3.6383379005285224E-2</v>
      </c>
      <c r="D9" s="168">
        <f>AFA_totale!E10/AFA_totale!$H10</f>
        <v>4.8328613232948424E-2</v>
      </c>
      <c r="E9" s="168">
        <f>PM!B12/AFA_totale!$H10</f>
        <v>0.18717320083566499</v>
      </c>
      <c r="F9" s="168">
        <f>PM!C12/AFA_totale!$H10</f>
        <v>3.2540019386700959E-3</v>
      </c>
      <c r="G9" s="168">
        <f>AFA_totale!G10/AFA_totale!$H10</f>
        <v>4.7830120125750162E-3</v>
      </c>
      <c r="H9" s="169">
        <f t="shared" si="0"/>
        <v>1</v>
      </c>
      <c r="I9" s="132" t="s">
        <v>52</v>
      </c>
      <c r="J9" s="149"/>
    </row>
    <row r="10" spans="1:10">
      <c r="A10" s="49" t="s">
        <v>53</v>
      </c>
      <c r="B10" s="170">
        <f>AFA_totale!C11/AFA_totale!$H11</f>
        <v>0.74239177337689088</v>
      </c>
      <c r="C10" s="170">
        <f>AFA_totale!D11/AFA_totale!$H11</f>
        <v>1.587487050982277E-2</v>
      </c>
      <c r="D10" s="170">
        <f>AFA_totale!E11/AFA_totale!$H11</f>
        <v>6.0494487873054274E-2</v>
      </c>
      <c r="E10" s="170">
        <f>PM!B13/AFA_totale!$H11</f>
        <v>0.14059114806628931</v>
      </c>
      <c r="F10" s="170">
        <f>PM!C13/AFA_totale!$H11</f>
        <v>4.1928317016176199E-2</v>
      </c>
      <c r="G10" s="170">
        <f>AFA_totale!G11/AFA_totale!$H11</f>
        <v>-1.2805968422333284E-3</v>
      </c>
      <c r="H10" s="171">
        <f t="shared" si="0"/>
        <v>1</v>
      </c>
      <c r="I10" s="31" t="s">
        <v>53</v>
      </c>
      <c r="J10" s="149"/>
    </row>
    <row r="11" spans="1:10">
      <c r="A11" s="46" t="s">
        <v>54</v>
      </c>
      <c r="B11" s="168">
        <f>AFA_totale!C12/AFA_totale!$H12</f>
        <v>0.69418943970650215</v>
      </c>
      <c r="C11" s="168">
        <f>AFA_totale!D12/AFA_totale!$H12</f>
        <v>2.9500225298375895E-2</v>
      </c>
      <c r="D11" s="168">
        <f>AFA_totale!E12/AFA_totale!$H12</f>
        <v>4.932191650392289E-2</v>
      </c>
      <c r="E11" s="168">
        <f>PM!B14/AFA_totale!$H12</f>
        <v>0.22135560877722582</v>
      </c>
      <c r="F11" s="168">
        <f>PM!C14/AFA_totale!$H12</f>
        <v>3.0271835954201885E-3</v>
      </c>
      <c r="G11" s="168">
        <f>AFA_totale!G12/AFA_totale!$H12</f>
        <v>2.6056261185530985E-3</v>
      </c>
      <c r="H11" s="169">
        <f t="shared" si="0"/>
        <v>1.0000000000000002</v>
      </c>
      <c r="I11" s="132" t="s">
        <v>54</v>
      </c>
      <c r="J11" s="149"/>
    </row>
    <row r="12" spans="1:10">
      <c r="A12" s="49" t="s">
        <v>55</v>
      </c>
      <c r="B12" s="170">
        <f>AFA_totale!C13/AFA_totale!$H13</f>
        <v>0.74723816933271192</v>
      </c>
      <c r="C12" s="170">
        <f>AFA_totale!D13/AFA_totale!$H13</f>
        <v>1.6509657684426082E-2</v>
      </c>
      <c r="D12" s="170">
        <f>AFA_totale!E13/AFA_totale!$H13</f>
        <v>0.10003665017140692</v>
      </c>
      <c r="E12" s="170">
        <f>PM!B15/AFA_totale!$H13</f>
        <v>0.11661355415882792</v>
      </c>
      <c r="F12" s="170">
        <f>PM!C15/AFA_totale!$H13</f>
        <v>1.6718994891435409E-2</v>
      </c>
      <c r="G12" s="170">
        <f>AFA_totale!G13/AFA_totale!$H13</f>
        <v>2.8829737611915989E-3</v>
      </c>
      <c r="H12" s="171">
        <f t="shared" si="0"/>
        <v>0.99999999999999989</v>
      </c>
      <c r="I12" s="31" t="s">
        <v>55</v>
      </c>
      <c r="J12" s="149"/>
    </row>
    <row r="13" spans="1:10">
      <c r="A13" s="46" t="s">
        <v>56</v>
      </c>
      <c r="B13" s="168">
        <f>AFA_totale!C14/AFA_totale!$H14</f>
        <v>0.6832907042645433</v>
      </c>
      <c r="C13" s="168">
        <f>AFA_totale!D14/AFA_totale!$H14</f>
        <v>2.2216561968513755E-2</v>
      </c>
      <c r="D13" s="168">
        <f>AFA_totale!E14/AFA_totale!$H14</f>
        <v>5.826156650796898E-2</v>
      </c>
      <c r="E13" s="168">
        <f>PM!B16/AFA_totale!$H14</f>
        <v>0.14270424493339046</v>
      </c>
      <c r="F13" s="168">
        <f>PM!C16/AFA_totale!$H14</f>
        <v>7.0844953716869677E-2</v>
      </c>
      <c r="G13" s="168">
        <f>AFA_totale!G14/AFA_totale!$H14</f>
        <v>2.2681968608713809E-2</v>
      </c>
      <c r="H13" s="169">
        <f t="shared" si="0"/>
        <v>1</v>
      </c>
      <c r="I13" s="132" t="s">
        <v>56</v>
      </c>
      <c r="J13" s="149"/>
    </row>
    <row r="14" spans="1:10">
      <c r="A14" s="49" t="s">
        <v>57</v>
      </c>
      <c r="B14" s="170">
        <f>AFA_totale!C15/AFA_totale!$H15</f>
        <v>0.49948712373287457</v>
      </c>
      <c r="C14" s="170">
        <f>AFA_totale!D15/AFA_totale!$H15</f>
        <v>1.7728579820871775E-2</v>
      </c>
      <c r="D14" s="170">
        <f>AFA_totale!E15/AFA_totale!$H15</f>
        <v>3.6207223403412904E-2</v>
      </c>
      <c r="E14" s="170">
        <f>PM!B17/AFA_totale!$H15</f>
        <v>0.22034494762506965</v>
      </c>
      <c r="F14" s="170">
        <f>PM!C17/AFA_totale!$H15</f>
        <v>0.2255119139030842</v>
      </c>
      <c r="G14" s="170">
        <f>AFA_totale!G15/AFA_totale!$H15</f>
        <v>7.202115146868397E-4</v>
      </c>
      <c r="H14" s="171">
        <f t="shared" si="0"/>
        <v>0.99999999999999989</v>
      </c>
      <c r="I14" s="31" t="s">
        <v>57</v>
      </c>
      <c r="J14" s="149"/>
    </row>
    <row r="15" spans="1:10">
      <c r="A15" s="46" t="s">
        <v>58</v>
      </c>
      <c r="B15" s="168">
        <f>AFA_totale!C16/AFA_totale!$H16</f>
        <v>0.73336223386639221</v>
      </c>
      <c r="C15" s="168">
        <f>AFA_totale!D16/AFA_totale!$H16</f>
        <v>2.9068208561518739E-2</v>
      </c>
      <c r="D15" s="168">
        <f>AFA_totale!E16/AFA_totale!$H16</f>
        <v>3.0191651602774476E-2</v>
      </c>
      <c r="E15" s="168">
        <f>PM!B18/AFA_totale!$H16</f>
        <v>0.1842970251307052</v>
      </c>
      <c r="F15" s="168">
        <f>PM!C18/AFA_totale!$H16</f>
        <v>2.3483270757468359E-2</v>
      </c>
      <c r="G15" s="168">
        <f>AFA_totale!G16/AFA_totale!$H16</f>
        <v>-4.0238991885900365E-4</v>
      </c>
      <c r="H15" s="169">
        <f t="shared" si="0"/>
        <v>1</v>
      </c>
      <c r="I15" s="132" t="s">
        <v>58</v>
      </c>
      <c r="J15" s="149"/>
    </row>
    <row r="16" spans="1:10">
      <c r="A16" s="49" t="s">
        <v>59</v>
      </c>
      <c r="B16" s="170">
        <f>AFA_totale!C17/AFA_totale!$H17</f>
        <v>0.70446200431818806</v>
      </c>
      <c r="C16" s="170">
        <f>AFA_totale!D17/AFA_totale!$H17</f>
        <v>1.9207906387234751E-2</v>
      </c>
      <c r="D16" s="170">
        <f>AFA_totale!E17/AFA_totale!$H17</f>
        <v>2.4947324754805149E-2</v>
      </c>
      <c r="E16" s="170">
        <f>PM!B19/AFA_totale!$H17</f>
        <v>0.24052453991646394</v>
      </c>
      <c r="F16" s="170">
        <f>PM!C19/AFA_totale!$H17</f>
        <v>3.5716800528601514E-3</v>
      </c>
      <c r="G16" s="170">
        <f>AFA_totale!G17/AFA_totale!$H17</f>
        <v>7.2865445704479708E-3</v>
      </c>
      <c r="H16" s="171">
        <f t="shared" si="0"/>
        <v>1</v>
      </c>
      <c r="I16" s="31" t="s">
        <v>59</v>
      </c>
      <c r="J16" s="149"/>
    </row>
    <row r="17" spans="1:10">
      <c r="A17" s="46" t="s">
        <v>60</v>
      </c>
      <c r="B17" s="168">
        <f>AFA_totale!C18/AFA_totale!$H18</f>
        <v>0.51342256596749791</v>
      </c>
      <c r="C17" s="168">
        <f>AFA_totale!D18/AFA_totale!$H18</f>
        <v>7.5372743315398852E-2</v>
      </c>
      <c r="D17" s="168">
        <f>AFA_totale!E18/AFA_totale!$H18</f>
        <v>4.1566244442812497E-2</v>
      </c>
      <c r="E17" s="168">
        <f>PM!B20/AFA_totale!$H18</f>
        <v>0.1807036404635928</v>
      </c>
      <c r="F17" s="168">
        <f>PM!C20/AFA_totale!$H18</f>
        <v>0.19919058031676193</v>
      </c>
      <c r="G17" s="168">
        <f>AFA_totale!G18/AFA_totale!$H18</f>
        <v>-1.0255774506063912E-2</v>
      </c>
      <c r="H17" s="169">
        <f t="shared" si="0"/>
        <v>1.0000000000000002</v>
      </c>
      <c r="I17" s="132" t="s">
        <v>60</v>
      </c>
      <c r="J17" s="149"/>
    </row>
    <row r="18" spans="1:10">
      <c r="A18" s="49" t="s">
        <v>61</v>
      </c>
      <c r="B18" s="170">
        <f>AFA_totale!C19/AFA_totale!$H19</f>
        <v>0.76609331427120153</v>
      </c>
      <c r="C18" s="170">
        <f>AFA_totale!D19/AFA_totale!$H19</f>
        <v>3.7717748097851958E-2</v>
      </c>
      <c r="D18" s="170">
        <f>AFA_totale!E19/AFA_totale!$H19</f>
        <v>3.2047192122457192E-2</v>
      </c>
      <c r="E18" s="170">
        <f>PM!B21/AFA_totale!$H19</f>
        <v>0.15368400879116934</v>
      </c>
      <c r="F18" s="170">
        <f>PM!C21/AFA_totale!$H19</f>
        <v>1.0884128800260757E-2</v>
      </c>
      <c r="G18" s="170">
        <f>AFA_totale!G19/AFA_totale!$H19</f>
        <v>-4.2639208294073408E-4</v>
      </c>
      <c r="H18" s="171">
        <f t="shared" si="0"/>
        <v>1</v>
      </c>
      <c r="I18" s="31" t="s">
        <v>61</v>
      </c>
      <c r="J18" s="149"/>
    </row>
    <row r="19" spans="1:10">
      <c r="A19" s="46" t="s">
        <v>62</v>
      </c>
      <c r="B19" s="168">
        <f>AFA_totale!C20/AFA_totale!$H20</f>
        <v>0.57591719307778622</v>
      </c>
      <c r="C19" s="168">
        <f>AFA_totale!D20/AFA_totale!$H20</f>
        <v>5.4222501968391526E-2</v>
      </c>
      <c r="D19" s="168">
        <f>AFA_totale!E20/AFA_totale!$H20</f>
        <v>3.5318313414646092E-2</v>
      </c>
      <c r="E19" s="168">
        <f>PM!B22/AFA_totale!$H20</f>
        <v>0.23084738121998843</v>
      </c>
      <c r="F19" s="168">
        <f>PM!C22/AFA_totale!$H20</f>
        <v>0.10115348152533038</v>
      </c>
      <c r="G19" s="168">
        <f>AFA_totale!G20/AFA_totale!$H20</f>
        <v>2.5411287938572726E-3</v>
      </c>
      <c r="H19" s="169">
        <f t="shared" si="0"/>
        <v>0.99999999999999978</v>
      </c>
      <c r="I19" s="132" t="s">
        <v>62</v>
      </c>
      <c r="J19" s="149"/>
    </row>
    <row r="20" spans="1:10">
      <c r="A20" s="49" t="s">
        <v>63</v>
      </c>
      <c r="B20" s="170">
        <f>AFA_totale!C21/AFA_totale!$H21</f>
        <v>0.72768983179649371</v>
      </c>
      <c r="C20" s="170">
        <f>AFA_totale!D21/AFA_totale!$H21</f>
        <v>2.497681300485817E-2</v>
      </c>
      <c r="D20" s="170">
        <f>AFA_totale!E21/AFA_totale!$H21</f>
        <v>6.3699148844062234E-2</v>
      </c>
      <c r="E20" s="170">
        <f>PM!B23/AFA_totale!$H21</f>
        <v>0.18035750500790468</v>
      </c>
      <c r="F20" s="170">
        <f>PM!C23/AFA_totale!$H21</f>
        <v>3.8206470743892521E-3</v>
      </c>
      <c r="G20" s="170">
        <f>AFA_totale!G21/AFA_totale!$H21</f>
        <v>-5.4394572770814829E-4</v>
      </c>
      <c r="H20" s="171">
        <f t="shared" si="0"/>
        <v>1</v>
      </c>
      <c r="I20" s="31" t="s">
        <v>63</v>
      </c>
      <c r="J20" s="149"/>
    </row>
    <row r="21" spans="1:10">
      <c r="A21" s="46" t="s">
        <v>64</v>
      </c>
      <c r="B21" s="168">
        <f>AFA_totale!C22/AFA_totale!$H22</f>
        <v>0.72424063995025523</v>
      </c>
      <c r="C21" s="168">
        <f>AFA_totale!D22/AFA_totale!$H22</f>
        <v>2.0131497573246844E-2</v>
      </c>
      <c r="D21" s="168">
        <f>AFA_totale!E22/AFA_totale!$H22</f>
        <v>6.8433457708173176E-2</v>
      </c>
      <c r="E21" s="168">
        <f>PM!B24/AFA_totale!$H22</f>
        <v>0.17381569646036776</v>
      </c>
      <c r="F21" s="168">
        <f>PM!C24/AFA_totale!$H22</f>
        <v>1.6105253306804453E-2</v>
      </c>
      <c r="G21" s="168">
        <f>AFA_totale!G22/AFA_totale!$H22</f>
        <v>-2.7265449988475442E-3</v>
      </c>
      <c r="H21" s="169">
        <f t="shared" si="0"/>
        <v>0.99999999999999989</v>
      </c>
      <c r="I21" s="132" t="s">
        <v>64</v>
      </c>
      <c r="J21" s="149"/>
    </row>
    <row r="22" spans="1:10">
      <c r="A22" s="49" t="s">
        <v>65</v>
      </c>
      <c r="B22" s="170">
        <f>AFA_totale!C23/AFA_totale!$H23</f>
        <v>0.69143229611553636</v>
      </c>
      <c r="C22" s="170">
        <f>AFA_totale!D23/AFA_totale!$H23</f>
        <v>3.7724764130225533E-2</v>
      </c>
      <c r="D22" s="170">
        <f>AFA_totale!E23/AFA_totale!$H23</f>
        <v>5.441554710340759E-2</v>
      </c>
      <c r="E22" s="170">
        <f>PM!B25/AFA_totale!$H23</f>
        <v>0.19497708107577549</v>
      </c>
      <c r="F22" s="170">
        <f>PM!C25/AFA_totale!$H23</f>
        <v>1.8095565266048295E-2</v>
      </c>
      <c r="G22" s="170">
        <f>AFA_totale!G23/AFA_totale!$H23</f>
        <v>3.3547463090067542E-3</v>
      </c>
      <c r="H22" s="171">
        <f t="shared" si="0"/>
        <v>1</v>
      </c>
      <c r="I22" s="31" t="s">
        <v>65</v>
      </c>
      <c r="J22" s="149"/>
    </row>
    <row r="23" spans="1:10">
      <c r="A23" s="46" t="s">
        <v>66</v>
      </c>
      <c r="B23" s="168">
        <f>AFA_totale!C24/AFA_totale!$H24</f>
        <v>0.68325734161119622</v>
      </c>
      <c r="C23" s="168">
        <f>AFA_totale!D24/AFA_totale!$H24</f>
        <v>6.8340045499591148E-2</v>
      </c>
      <c r="D23" s="168">
        <f>AFA_totale!E24/AFA_totale!$H24</f>
        <v>6.2210518514978302E-2</v>
      </c>
      <c r="E23" s="168">
        <f>PM!B26/AFA_totale!$H24</f>
        <v>0.16740561372569926</v>
      </c>
      <c r="F23" s="168">
        <f>PM!C26/AFA_totale!$H24</f>
        <v>1.5330902081835379E-2</v>
      </c>
      <c r="G23" s="168">
        <f>AFA_totale!G24/AFA_totale!$H24</f>
        <v>3.4555785666996338E-3</v>
      </c>
      <c r="H23" s="169">
        <f t="shared" si="0"/>
        <v>1</v>
      </c>
      <c r="I23" s="132" t="s">
        <v>66</v>
      </c>
      <c r="J23" s="149"/>
    </row>
    <row r="24" spans="1:10">
      <c r="A24" s="49" t="s">
        <v>67</v>
      </c>
      <c r="B24" s="170">
        <f>AFA_totale!C25/AFA_totale!$H25</f>
        <v>0.72504997431254103</v>
      </c>
      <c r="C24" s="170">
        <f>AFA_totale!D25/AFA_totale!$H25</f>
        <v>2.8708644578561125E-2</v>
      </c>
      <c r="D24" s="170">
        <f>AFA_totale!E25/AFA_totale!$H25</f>
        <v>4.0494838785087597E-2</v>
      </c>
      <c r="E24" s="170">
        <f>PM!B27/AFA_totale!$H25</f>
        <v>0.20381943617407061</v>
      </c>
      <c r="F24" s="170">
        <f>PM!C27/AFA_totale!$H25</f>
        <v>2.6693696341351064E-3</v>
      </c>
      <c r="G24" s="170">
        <f>AFA_totale!G25/AFA_totale!$H25</f>
        <v>-7.4226348439571685E-4</v>
      </c>
      <c r="H24" s="171">
        <f t="shared" si="0"/>
        <v>0.99999999999999967</v>
      </c>
      <c r="I24" s="31" t="s">
        <v>67</v>
      </c>
      <c r="J24" s="149"/>
    </row>
    <row r="25" spans="1:10">
      <c r="A25" s="46" t="s">
        <v>68</v>
      </c>
      <c r="B25" s="168">
        <f>AFA_totale!C26/AFA_totale!$H26</f>
        <v>0.70461908996377876</v>
      </c>
      <c r="C25" s="168">
        <f>AFA_totale!D26/AFA_totale!$H26</f>
        <v>3.2119467158032884E-2</v>
      </c>
      <c r="D25" s="168">
        <f>AFA_totale!E26/AFA_totale!$H26</f>
        <v>4.8217282540316118E-2</v>
      </c>
      <c r="E25" s="168">
        <f>PM!B28/AFA_totale!$H26</f>
        <v>0.20921058077956778</v>
      </c>
      <c r="F25" s="168">
        <f>PM!C28/AFA_totale!$H26</f>
        <v>3.0160323294236248E-3</v>
      </c>
      <c r="G25" s="168">
        <f>AFA_totale!G26/AFA_totale!$H26</f>
        <v>2.8175472288807612E-3</v>
      </c>
      <c r="H25" s="169">
        <f t="shared" si="0"/>
        <v>0.99999999999999989</v>
      </c>
      <c r="I25" s="132" t="s">
        <v>68</v>
      </c>
      <c r="J25" s="149"/>
    </row>
    <row r="26" spans="1:10">
      <c r="A26" s="49" t="s">
        <v>69</v>
      </c>
      <c r="B26" s="170">
        <f>AFA_totale!C27/AFA_totale!$H27</f>
        <v>0.60973473687396751</v>
      </c>
      <c r="C26" s="170">
        <f>AFA_totale!D27/AFA_totale!$H27</f>
        <v>7.5096699236400652E-2</v>
      </c>
      <c r="D26" s="170">
        <f>AFA_totale!E27/AFA_totale!$H27</f>
        <v>3.0011395068400479E-2</v>
      </c>
      <c r="E26" s="170">
        <f>PM!B29/AFA_totale!$H27</f>
        <v>0.24481974273197862</v>
      </c>
      <c r="F26" s="170">
        <f>PM!C29/AFA_totale!$H27</f>
        <v>3.2113315370733836E-2</v>
      </c>
      <c r="G26" s="170">
        <f>AFA_totale!G27/AFA_totale!$H27</f>
        <v>8.224110718518975E-3</v>
      </c>
      <c r="H26" s="171">
        <f t="shared" si="0"/>
        <v>1</v>
      </c>
      <c r="I26" s="31" t="s">
        <v>69</v>
      </c>
      <c r="J26" s="149"/>
    </row>
    <row r="27" spans="1:10">
      <c r="A27" s="46" t="s">
        <v>70</v>
      </c>
      <c r="B27" s="168">
        <f>AFA_totale!C28/AFA_totale!$H28</f>
        <v>0.67887671789772974</v>
      </c>
      <c r="C27" s="168">
        <f>AFA_totale!D28/AFA_totale!$H28</f>
        <v>3.944801789007632E-2</v>
      </c>
      <c r="D27" s="168">
        <f>AFA_totale!E28/AFA_totale!$H28</f>
        <v>3.2973924397841227E-2</v>
      </c>
      <c r="E27" s="168">
        <f>PM!B30/AFA_totale!$H28</f>
        <v>0.16191815124278477</v>
      </c>
      <c r="F27" s="168">
        <f>PM!C30/AFA_totale!$H28</f>
        <v>6.5569278028725031E-2</v>
      </c>
      <c r="G27" s="168">
        <f>AFA_totale!G28/AFA_totale!$H28</f>
        <v>2.1213910542842742E-2</v>
      </c>
      <c r="H27" s="169">
        <f t="shared" si="0"/>
        <v>0.99999999999999978</v>
      </c>
      <c r="I27" s="132" t="s">
        <v>70</v>
      </c>
      <c r="J27" s="149"/>
    </row>
    <row r="28" spans="1:10">
      <c r="A28" s="49" t="s">
        <v>71</v>
      </c>
      <c r="B28" s="170">
        <f>AFA_totale!C29/AFA_totale!$H29</f>
        <v>0.76426124984254451</v>
      </c>
      <c r="C28" s="170">
        <f>AFA_totale!D29/AFA_totale!$H29</f>
        <v>5.1279216709973575E-2</v>
      </c>
      <c r="D28" s="170">
        <f>AFA_totale!E29/AFA_totale!$H29</f>
        <v>4.5298744294222142E-2</v>
      </c>
      <c r="E28" s="170">
        <f>PM!B31/AFA_totale!$H29</f>
        <v>0.13538982370848393</v>
      </c>
      <c r="F28" s="170">
        <f>PM!C31/AFA_totale!$H29</f>
        <v>5.7518448398206196E-4</v>
      </c>
      <c r="G28" s="170">
        <f>AFA_totale!G29/AFA_totale!$H29</f>
        <v>3.1957809607936348E-3</v>
      </c>
      <c r="H28" s="171">
        <f t="shared" si="0"/>
        <v>0.99999999999999989</v>
      </c>
      <c r="I28" s="31" t="s">
        <v>71</v>
      </c>
      <c r="J28" s="149"/>
    </row>
    <row r="29" spans="1:10">
      <c r="A29" s="46" t="s">
        <v>72</v>
      </c>
      <c r="B29" s="168">
        <f>AFA_totale!C30/AFA_totale!$H30</f>
        <v>0.59511007339373312</v>
      </c>
      <c r="C29" s="168">
        <f>AFA_totale!D30/AFA_totale!$H30</f>
        <v>4.3870366514374086E-2</v>
      </c>
      <c r="D29" s="168">
        <f>AFA_totale!E30/AFA_totale!$H30</f>
        <v>2.541345116498606E-2</v>
      </c>
      <c r="E29" s="168">
        <f>PM!B32/AFA_totale!$H30</f>
        <v>0.32633694929824059</v>
      </c>
      <c r="F29" s="168">
        <f>PM!C32/AFA_totale!$H30</f>
        <v>8.0470049608393115E-2</v>
      </c>
      <c r="G29" s="168">
        <f>AFA_totale!G30/AFA_totale!$H30</f>
        <v>-7.1200889979726817E-2</v>
      </c>
      <c r="H29" s="169">
        <f t="shared" si="0"/>
        <v>1.0000000000000002</v>
      </c>
      <c r="I29" s="132" t="s">
        <v>72</v>
      </c>
      <c r="J29" s="149"/>
    </row>
    <row r="30" spans="1:10">
      <c r="A30" s="49" t="s">
        <v>73</v>
      </c>
      <c r="B30" s="170">
        <f>AFA_totale!C31/AFA_totale!$H31</f>
        <v>0.57186217091992242</v>
      </c>
      <c r="C30" s="170">
        <f>AFA_totale!D31/AFA_totale!$H31</f>
        <v>8.5971597579577716E-2</v>
      </c>
      <c r="D30" s="170">
        <f>AFA_totale!E31/AFA_totale!$H31</f>
        <v>2.4922322120594597E-2</v>
      </c>
      <c r="E30" s="170">
        <f>PM!B33/AFA_totale!$H31</f>
        <v>0.28038689557364899</v>
      </c>
      <c r="F30" s="170">
        <f>PM!C33/AFA_totale!$H31</f>
        <v>3.3482543542182858E-2</v>
      </c>
      <c r="G30" s="170">
        <f>AFA_totale!G31/AFA_totale!$H31</f>
        <v>3.374470264073269E-3</v>
      </c>
      <c r="H30" s="171">
        <f t="shared" si="0"/>
        <v>0.99999999999999978</v>
      </c>
      <c r="I30" s="31" t="s">
        <v>73</v>
      </c>
      <c r="J30" s="149"/>
    </row>
    <row r="31" spans="1:10">
      <c r="A31" s="46" t="s">
        <v>74</v>
      </c>
      <c r="B31" s="168">
        <f>AFA_totale!C32/AFA_totale!$H32</f>
        <v>0.67978339887897465</v>
      </c>
      <c r="C31" s="168">
        <f>AFA_totale!D32/AFA_totale!$H32</f>
        <v>5.0262079121768201E-2</v>
      </c>
      <c r="D31" s="168">
        <f>AFA_totale!E32/AFA_totale!$H32</f>
        <v>2.8521274159207133E-2</v>
      </c>
      <c r="E31" s="168">
        <f>PM!B34/AFA_totale!$H32</f>
        <v>0.22448347895991394</v>
      </c>
      <c r="F31" s="168">
        <f>PM!C34/AFA_totale!$H32</f>
        <v>1.4216705610051049E-2</v>
      </c>
      <c r="G31" s="168">
        <f>AFA_totale!G32/AFA_totale!$H32</f>
        <v>2.7330632700849527E-3</v>
      </c>
      <c r="H31" s="169">
        <f t="shared" si="0"/>
        <v>0.99999999999999989</v>
      </c>
      <c r="I31" s="132" t="s">
        <v>74</v>
      </c>
      <c r="J31" s="149"/>
    </row>
    <row r="32" spans="1:10">
      <c r="A32" s="54" t="s">
        <v>75</v>
      </c>
      <c r="B32" s="172">
        <f>AFA_totale!C33/AFA_totale!$H33</f>
        <v>0.65559814395759275</v>
      </c>
      <c r="C32" s="172">
        <f>AFA_totale!D33/AFA_totale!$H33</f>
        <v>3.9141257891285669E-2</v>
      </c>
      <c r="D32" s="172">
        <f>AFA_totale!E33/AFA_totale!$H33</f>
        <v>4.0538602454839985E-2</v>
      </c>
      <c r="E32" s="172">
        <f>PM!B35/AFA_totale!$H33</f>
        <v>0.22878983374548476</v>
      </c>
      <c r="F32" s="172">
        <f>PM!C35/AFA_totale!$H33</f>
        <v>3.5765926850548073E-2</v>
      </c>
      <c r="G32" s="172">
        <f>AFA_totale!G33/AFA_totale!$H33</f>
        <v>1.6623510024891993E-4</v>
      </c>
      <c r="H32" s="173">
        <f t="shared" si="0"/>
        <v>1</v>
      </c>
      <c r="I32" s="174" t="s">
        <v>75</v>
      </c>
      <c r="J32" s="149"/>
    </row>
    <row r="33" spans="1:10">
      <c r="A33" s="53"/>
      <c r="H33" s="175"/>
      <c r="I33" s="53"/>
      <c r="J33" s="149"/>
    </row>
    <row r="34" spans="1:10">
      <c r="A34" s="187" t="s">
        <v>116</v>
      </c>
      <c r="B34" s="176">
        <f t="shared" ref="B34:G34" si="1">MIN(B6:B32)</f>
        <v>0.49948712373287457</v>
      </c>
      <c r="C34" s="176">
        <f t="shared" si="1"/>
        <v>1.587487050982277E-2</v>
      </c>
      <c r="D34" s="176">
        <f t="shared" si="1"/>
        <v>2.4922322120594597E-2</v>
      </c>
      <c r="E34" s="176">
        <f t="shared" si="1"/>
        <v>0.11661355415882792</v>
      </c>
      <c r="F34" s="176">
        <f t="shared" si="1"/>
        <v>5.7518448398206196E-4</v>
      </c>
      <c r="G34" s="177">
        <f t="shared" si="1"/>
        <v>-7.1200889979726817E-2</v>
      </c>
    </row>
    <row r="35" spans="1:10">
      <c r="A35" s="188"/>
      <c r="B35" s="178" t="str">
        <f>VLOOKUP(B34,B$6:$I$32,B$36,FALSE)</f>
        <v>Zoug</v>
      </c>
      <c r="C35" s="178" t="str">
        <f>VLOOKUP(C34,C$6:$I$32,C$36,FALSE)</f>
        <v>Schwyz</v>
      </c>
      <c r="D35" s="178" t="str">
        <f>VLOOKUP(D34,D$6:$I$32,D$36,FALSE)</f>
        <v>Genève</v>
      </c>
      <c r="E35" s="178" t="str">
        <f>VLOOKUP(E34,E$6:$I$32,E$36,FALSE)</f>
        <v>Nidwald</v>
      </c>
      <c r="F35" s="178" t="str">
        <f>VLOOKUP(F34,F$6:$I$32,F$36,FALSE)</f>
        <v>Valais</v>
      </c>
      <c r="G35" s="179" t="str">
        <f>VLOOKUP(G34,G$6:$I$32,G$36,FALSE)</f>
        <v>Neuchâtel</v>
      </c>
    </row>
    <row r="36" spans="1:10" s="2" customFormat="1" ht="3.75" customHeight="1">
      <c r="A36" s="31"/>
      <c r="B36" s="180">
        <v>8</v>
      </c>
      <c r="C36" s="180">
        <v>7</v>
      </c>
      <c r="D36" s="180">
        <v>6</v>
      </c>
      <c r="E36" s="180">
        <v>5</v>
      </c>
      <c r="F36" s="180">
        <v>4</v>
      </c>
      <c r="G36" s="180">
        <v>3</v>
      </c>
    </row>
    <row r="37" spans="1:10">
      <c r="A37" s="187" t="s">
        <v>117</v>
      </c>
      <c r="B37" s="176">
        <f t="shared" ref="B37:G37" si="2">MAX(B6:B31)</f>
        <v>0.76609331427120153</v>
      </c>
      <c r="C37" s="176">
        <f t="shared" si="2"/>
        <v>8.5971597579577716E-2</v>
      </c>
      <c r="D37" s="176">
        <f t="shared" si="2"/>
        <v>0.10003665017140692</v>
      </c>
      <c r="E37" s="176">
        <f t="shared" si="2"/>
        <v>0.32633694929824059</v>
      </c>
      <c r="F37" s="176">
        <f t="shared" si="2"/>
        <v>0.2255119139030842</v>
      </c>
      <c r="G37" s="177">
        <f t="shared" si="2"/>
        <v>2.2681968608713809E-2</v>
      </c>
    </row>
    <row r="38" spans="1:10">
      <c r="A38" s="188"/>
      <c r="B38" s="178" t="str">
        <f>VLOOKUP(B37,B$6:$I$32,B$36,FALSE)</f>
        <v>Bâle-Campagne</v>
      </c>
      <c r="C38" s="178" t="str">
        <f>VLOOKUP(C37,C$6:$I$32,C$36,FALSE)</f>
        <v>Genève</v>
      </c>
      <c r="D38" s="178" t="str">
        <f>VLOOKUP(D37,D$6:$I$32,D$36,FALSE)</f>
        <v>Nidwald</v>
      </c>
      <c r="E38" s="178" t="str">
        <f>VLOOKUP(E37,E$6:$I$32,E$36,FALSE)</f>
        <v>Neuchâtel</v>
      </c>
      <c r="F38" s="178" t="str">
        <f>VLOOKUP(F37,F$6:$I$32,F$36,FALSE)</f>
        <v>Zoug</v>
      </c>
      <c r="G38" s="179" t="str">
        <f>VLOOKUP(G37,G$6:$I$32,G$36,FALSE)</f>
        <v>Glaris</v>
      </c>
    </row>
    <row r="40" spans="1:10">
      <c r="G40" s="181"/>
    </row>
  </sheetData>
  <mergeCells count="2">
    <mergeCell ref="A37:A38"/>
    <mergeCell ref="A34:A35"/>
  </mergeCells>
  <conditionalFormatting sqref="C3:H4 C6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PP</vt:lpstr>
      <vt:lpstr>RIS</vt:lpstr>
      <vt:lpstr>Fortunes</vt:lpstr>
      <vt:lpstr>PM</vt:lpstr>
      <vt:lpstr>REPART</vt:lpstr>
      <vt:lpstr>AFA_totale</vt:lpstr>
      <vt:lpstr>AFA_par_habitant</vt:lpstr>
      <vt:lpstr>AFA_pourcent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2012-03-06T13:43:13Z</cp:lastPrinted>
  <dcterms:created xsi:type="dcterms:W3CDTF">2010-11-03T16:06:04Z</dcterms:created>
  <dcterms:modified xsi:type="dcterms:W3CDTF">2012-05-15T11:45:47Z</dcterms:modified>
</cp:coreProperties>
</file>