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vml" ContentType="application/vnd.openxmlformats-officedocument.vmlDrawing"/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20" windowWidth="20730" windowHeight="6060" activeTab="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_xlnm.Print_Area">Montants_reçus!$A$1:$H$32</definedName>
    <definedName name="A">Dotation_PR!$D$25</definedName>
    <definedName name="B">Montants_reçus!$K$12</definedName>
    <definedName name="BEV">Montants_reçus!$C$6:$C$31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fullPrecision="1"/>
</workbook>
</file>

<file path=xl/sharedStrings.xml><?xml version="1.0" encoding="utf-8"?>
<sst xmlns="http://schemas.openxmlformats.org/spreadsheetml/2006/main" uniqueCount="157">
  <si>
    <t>Péréquation des ressources</t>
  </si>
  <si>
    <t>(PR)</t>
  </si>
  <si>
    <t>Année de référence 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</si>
  <si>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</si>
  <si>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</si>
  <si>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</si>
  <si>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</si>
  <si>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</si>
  <si>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</si>
  <si>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</si>
  <si>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</si>
  <si>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</si>
  <si>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</si>
  <si>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</si>
  <si>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</si>
  <si>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</si>
  <si>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</si>
  <si>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</si>
  <si>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</si>
  <si>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</si>
  <si>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</si>
  <si>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</si>
  <si>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</si>
  <si>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Simulation</t>
  </si>
  <si>
    <t>WS</t>
  </si>
  <si>
    <t>FA_2010_20120518</t>
  </si>
  <si>
    <t>SWS</t>
  </si>
  <si>
    <t>RA_2010_20120518</t>
  </si>
  <si>
    <t>AnRef</t>
  </si>
  <si>
    <t>Potentiel de ressources 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</si>
  <si>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</si>
  <si>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</si>
  <si>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</si>
  <si>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</si>
  <si>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</si>
  <si>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</si>
  <si>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</si>
  <si>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</si>
  <si>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</si>
  <si>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</si>
  <si>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</si>
  <si>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</si>
  <si>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AFA -6</t>
  </si>
  <si>
    <t>AFA -5</t>
  </si>
  <si>
    <t>AFA -4</t>
  </si>
  <si>
    <t>Potentiel de ressources</t>
  </si>
  <si>
    <t>Potentiel de ressources par habitant</t>
  </si>
  <si>
    <t>Indice de ressources</t>
  </si>
  <si>
    <t>Source de données</t>
  </si>
  <si>
    <t>AFA__-6</t>
  </si>
  <si>
    <t>AFA__-5</t>
  </si>
  <si>
    <t>AFA__-4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</si>
  <si>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</si>
  <si>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</si>
  <si>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</si>
  <si>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</si>
  <si>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</si>
  <si>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</si>
  <si>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</si>
  <si>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</si>
  <si>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</si>
  <si>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</si>
  <si>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</si>
  <si>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</si>
  <si>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</si>
  <si>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</si>
  <si>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</si>
  <si>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</si>
  <si>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</si>
  <si>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</si>
  <si>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</si>
  <si>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</si>
  <si>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</si>
  <si>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</si>
  <si>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</si>
  <si>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</si>
  <si>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</si>
  <si>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</si>
  <si>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</si>
  <si>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</si>
  <si>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</si>
  <si>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</si>
  <si>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</si>
  <si>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Population déterminante </t>
  </si>
  <si>
    <t>Population moyenne</t>
  </si>
  <si>
    <t>Source des données</t>
  </si>
  <si>
    <t>OFS</t>
  </si>
  <si>
    <t>Croissance du potentiel de ressources </t>
  </si>
  <si>
    <t>Indice de ressources 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</si>
  <si>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</si>
  <si>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</si>
  <si>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</si>
  <si>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</si>
  <si>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</si>
  <si>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Progression des dotations de la péréquation des ressources 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</si>
  <si>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</si>
  <si>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</si>
  <si>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</si>
  <si>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</si>
  <si>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</si>
  <si>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</si>
  <si>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</si>
  <si>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</si>
  <si>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</si>
  <si>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</si>
  <si>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</si>
  <si>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</si>
  <si>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</si>
  <si>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Dotations 0</t>
  </si>
  <si>
    <t>Compensation totale des ressources</t>
  </si>
  <si>
    <t>Taux de croissance effectif* -1-0</t>
  </si>
  <si>
    <t>* Après adaptation de la dotation</t>
  </si>
  <si>
    <t>Montants versés par les cantons à fort potentiel de ressources 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</si>
  <si>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</si>
  <si>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</si>
  <si>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</si>
  <si>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</si>
  <si>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</si>
  <si>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</si>
  <si>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</si>
  <si>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Montants reçus par les cantons à faible potentiel de ressources 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</si>
  <si>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</si>
  <si>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</si>
  <si>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</si>
  <si>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</si>
  <si>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</si>
  <si>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</si>
  <si>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</si>
  <si>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</si>
  <si>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Recette fiscale standardisée (RFS) 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</si>
  <si>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</si>
  <si>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</si>
  <si>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</si>
  <si>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</si>
  <si>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</si>
  <si>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</si>
  <si>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 avant la compensation</t>
  </si>
  <si>
    <t>Compensation des ressources par habitant</t>
  </si>
  <si>
    <t>Recette fiscale standardisée par habitant 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</si>
  <si>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</si>
  <si>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</si>
  <si>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</si>
  <si>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</si>
  <si>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Taux fiscal standardisé </t>
  </si>
  <si>
    <t> - 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</si>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</sst>
</file>

<file path=xl/styles.xml><?xml version="1.0" encoding="utf-8"?>
<styleSheet xmlns="http://schemas.openxmlformats.org/spreadsheetml/2006/main">
  <numFmts count="14">
    <numFmt numFmtId="0" formatCode="General"/>
    <numFmt numFmtId="43" formatCode="_ * #,##0.00_ ;_ * \-#,##0.00_ ;_ * &quot;-&quot;??_ ;_ @_ "/>
    <numFmt numFmtId="41" formatCode="_ * #,##0_ ;_ * \-#,##0_ ;_ * &quot;-&quot;_ ;_ @_ "/>
    <numFmt numFmtId="44" formatCode="_ &quot;SFr.&quot;\ * #,##0.00_ ;_ &quot;SFr.&quot;\ * \-#,##0.00_ ;_ &quot;SFr.&quot;\ * &quot;-&quot;??_ ;_ @_ "/>
    <numFmt numFmtId="42" formatCode="_ &quot;SFr.&quot;\ * #,##0_ ;_ &quot;SFr.&quot;\ * \-#,##0_ ;_ &quot;SFr.&quot;\ * &quot;-&quot;_ ;_ @_ "/>
    <numFmt numFmtId="9" formatCode="0%"/>
    <numFmt numFmtId="1" formatCode="0"/>
    <numFmt numFmtId="3" formatCode="#,##0"/>
    <numFmt numFmtId="164" formatCode="0.0"/>
    <numFmt numFmtId="165" formatCode="_ * #,##0_ ;_ * \-#,##0_ ;_ * &quot;-&quot;??_ ;_ @_ "/>
    <numFmt numFmtId="166" formatCode="0.0%"/>
    <numFmt numFmtId="167" formatCode="#,##0.0"/>
    <numFmt numFmtId="169" formatCode="#,##0.000000000"/>
    <numFmt numFmtId="168" formatCode="0.000000000"/>
  </numFmts>
  <fonts count="25">
    <font>
      <sz val="10"/>
      <name val="Arial"/>
      <charset val="0"/>
    </font>
    <font>
      <b/>
      <sz val="10"/>
      <name val="Arial"/>
      <charset val="0"/>
    </font>
    <font>
      <i/>
      <sz val="10"/>
      <name val="Arial"/>
      <charset val="0"/>
    </font>
    <font>
      <b/>
      <i/>
      <sz val="10"/>
      <name val="Arial"/>
      <charset val="0"/>
    </font>
    <font>
      <b/>
      <sz val="10"/>
      <name val="Arial"/>
      <charset val="0"/>
    </font>
    <font>
      <i/>
      <sz val="8"/>
      <color indexed="8"/>
      <name val="Arial"/>
      <charset val="0"/>
    </font>
    <font>
      <sz val="10"/>
      <color indexed="12"/>
      <name val="Arial"/>
      <charset val="0"/>
    </font>
    <font>
      <b/>
      <sz val="14"/>
      <name val="Arial"/>
      <charset val="0"/>
    </font>
    <font>
      <i/>
      <sz val="9"/>
      <name val="Arial"/>
      <charset val="0"/>
    </font>
    <font>
      <sz val="9"/>
      <name val="Arial"/>
      <charset val="0"/>
    </font>
    <font>
      <i/>
      <sz val="8"/>
      <name val="Arial"/>
      <charset val="0"/>
    </font>
    <font>
      <b/>
      <sz val="12"/>
      <color indexed="9"/>
      <name val="Arial"/>
      <charset val="0"/>
    </font>
    <font>
      <sz val="12"/>
      <color indexed="9"/>
      <name val="Arial"/>
      <charset val="0"/>
    </font>
    <font>
      <sz val="12"/>
      <name val="Arial"/>
      <charset val="0"/>
    </font>
    <font>
      <b/>
      <sz val="12"/>
      <name val="Arial"/>
      <charset val="0"/>
    </font>
    <font>
      <sz val="8"/>
      <name val="Arial"/>
      <charset val="0"/>
    </font>
    <font>
      <b/>
      <sz val="8"/>
      <name val="Arial"/>
      <charset val="0"/>
    </font>
    <font>
      <sz val="10"/>
      <color indexed="8"/>
      <name val="Arial"/>
      <charset val="0"/>
    </font>
    <font>
      <i/>
      <sz val="8"/>
      <color rgb="FF000000"/>
      <name val="Arial"/>
      <charset val="0"/>
    </font>
    <font>
      <sz val="8"/>
      <color indexed="8"/>
      <name val="Arial"/>
      <charset val="0"/>
    </font>
    <font>
      <b/>
      <sz val="18"/>
      <name val="Arial"/>
      <charset val="0"/>
    </font>
    <font>
      <b/>
      <i/>
      <sz val="8"/>
      <name val="Arial"/>
      <charset val="0"/>
    </font>
    <font>
      <i/>
      <sz val="8"/>
      <color rgb="FF0000FF"/>
      <name val="Arial"/>
      <charset val="0"/>
    </font>
    <font>
      <sz val="8"/>
      <color indexed="12"/>
      <name val="Arial"/>
      <charset val="0"/>
    </font>
    <font>
      <b/>
      <sz val="22"/>
      <name val="Arial"/>
      <charset val="0"/>
    </font>
  </fonts>
  <fills count="6">
    <fill>
      <patternFill patternType="none"/>
    </fill>
    <fill>
      <patternFill patternType="gray125">
        <fgColor indexed="6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 diagonalUp="1" diagonalDown="1">
      <left/>
      <right/>
      <top/>
      <bottom/>
      <diagonal/>
    </border>
    <border diagonalUp="1" diagonalDown="1">
      <left style="thin"/>
      <right/>
      <top style="thin"/>
      <bottom style="thin"/>
      <diagonal/>
    </border>
    <border diagonalUp="1" diagonalDown="1">
      <left/>
      <right/>
      <top style="thin"/>
      <bottom style="thin"/>
      <diagonal/>
    </border>
    <border diagonalUp="1" diagonalDown="1">
      <left/>
      <right style="thin"/>
      <top style="thin"/>
      <bottom style="thin"/>
      <diagonal/>
    </border>
    <border diagonalUp="1" diagonalDown="1">
      <left style="thin"/>
      <right style="thin"/>
      <top style="thin"/>
      <bottom style="thin"/>
      <diagonal/>
    </border>
    <border diagonalUp="1" diagonalDown="1">
      <left style="thin"/>
      <right/>
      <top/>
      <bottom/>
      <diagonal/>
    </border>
    <border diagonalUp="1" diagonalDown="1">
      <left/>
      <right style="thin"/>
      <top style="thin"/>
      <bottom/>
      <diagonal/>
    </border>
    <border diagonalUp="1" diagonalDown="1">
      <left/>
      <right style="thin"/>
      <top/>
      <bottom/>
      <diagonal/>
    </border>
    <border diagonalUp="1" diagonalDown="1">
      <left/>
      <right style="thin"/>
      <top/>
      <bottom style="thin"/>
      <diagonal/>
    </border>
    <border diagonalUp="1" diagonalDown="1">
      <left/>
      <right/>
      <top style="thin">
        <color rgb="0"/>
      </top>
      <bottom/>
      <diagonal/>
    </border>
    <border diagonalUp="1" diagonalDown="1">
      <left/>
      <right/>
      <top/>
      <bottom style="thin"/>
      <diagonal/>
    </border>
    <border diagonalUp="1" diagonalDown="1">
      <left style="thin">
        <color rgb="0"/>
      </left>
      <right/>
      <top style="thin">
        <color rgb="0"/>
      </top>
      <bottom style="thin">
        <color rgb="0"/>
      </bottom>
      <diagonal/>
    </border>
    <border diagonalUp="1" diagonalDown="1">
      <left/>
      <right/>
      <top style="thin">
        <color rgb="0"/>
      </top>
      <bottom style="thin">
        <color rgb="0"/>
      </bottom>
      <diagonal/>
    </border>
    <border diagonalUp="1" diagonalDown="1">
      <left/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 style="thin">
        <color rgb="0"/>
      </right>
      <top style="thin">
        <color rgb="0"/>
      </top>
      <bottom/>
      <diagonal/>
    </border>
    <border diagonalUp="1" diagonalDown="1">
      <left style="thin">
        <color rgb="0"/>
      </left>
      <right/>
      <top style="thin">
        <color rgb="0"/>
      </top>
      <bottom/>
      <diagonal/>
    </border>
    <border diagonalUp="1" diagonalDown="1">
      <left/>
      <right style="thin">
        <color rgb="0"/>
      </right>
      <top/>
      <bottom/>
      <diagonal/>
    </border>
    <border diagonalUp="1" diagonalDown="1">
      <left style="thin"/>
      <right/>
      <top/>
      <bottom style="thin"/>
      <diagonal/>
    </border>
    <border diagonalUp="1" diagonalDown="1">
      <left style="hair"/>
      <right/>
      <top/>
      <bottom style="thin">
        <color rgb="0"/>
      </bottom>
      <diagonal/>
    </border>
    <border diagonalUp="1" diagonalDown="1">
      <left/>
      <right/>
      <top/>
      <bottom style="thin">
        <color rgb="0"/>
      </bottom>
      <diagonal/>
    </border>
    <border diagonalUp="1" diagonalDown="1">
      <left/>
      <right style="hair"/>
      <top/>
      <bottom style="thin">
        <color rgb="0"/>
      </bottom>
      <diagonal/>
    </border>
    <border diagonalUp="1" diagonalDown="1">
      <left/>
      <right style="thin">
        <color rgb="0"/>
      </right>
      <top/>
      <bottom style="thin">
        <color rgb="0"/>
      </bottom>
      <diagonal/>
    </border>
    <border diagonalUp="1" diagonalDown="1">
      <left style="hair"/>
      <right/>
      <top style="thin">
        <color rgb="0"/>
      </top>
      <bottom style="thin">
        <color rgb="0"/>
      </bottom>
      <diagonal/>
    </border>
    <border diagonalUp="1" diagonalDown="1">
      <left/>
      <right style="hair"/>
      <top style="thin">
        <color rgb="0"/>
      </top>
      <bottom style="thin">
        <color rgb="0"/>
      </bottom>
      <diagonal/>
    </border>
    <border diagonalUp="1" diagonalDown="1">
      <left style="hair"/>
      <right/>
      <top style="thin">
        <color rgb="0"/>
      </top>
      <bottom/>
      <diagonal/>
    </border>
    <border diagonalUp="1" diagonalDown="1">
      <left/>
      <right style="hair"/>
      <top style="thin">
        <color rgb="0"/>
      </top>
      <bottom/>
      <diagonal/>
    </border>
    <border diagonalUp="1" diagonalDown="1">
      <left style="hair"/>
      <right/>
      <top/>
      <bottom/>
      <diagonal/>
    </border>
    <border diagonalUp="1" diagonalDown="1">
      <left/>
      <right style="hair"/>
      <top/>
      <bottom/>
      <diagonal/>
    </border>
    <border diagonalUp="1" diagonalDown="1">
      <left style="hair"/>
      <right/>
      <top style="thin"/>
      <bottom style="hair"/>
      <diagonal/>
    </border>
    <border diagonalUp="1" diagonalDown="1">
      <left/>
      <right/>
      <top style="thin"/>
      <bottom style="hair"/>
      <diagonal/>
    </border>
    <border diagonalUp="1" diagonalDown="1">
      <left/>
      <right style="hair"/>
      <top style="thin"/>
      <bottom style="hair"/>
      <diagonal/>
    </border>
    <border diagonalUp="1" diagonalDown="1">
      <left style="thin">
        <color rgb="0"/>
      </left>
      <right/>
      <top/>
      <bottom style="thin">
        <color rgb="0"/>
      </bottom>
      <diagonal/>
    </border>
    <border diagonalUp="1" diagonalDown="1">
      <left style="hair"/>
      <right/>
      <top style="hair"/>
      <bottom style="thin">
        <color rgb="0"/>
      </bottom>
      <diagonal/>
    </border>
    <border diagonalUp="1" diagonalDown="1">
      <left/>
      <right/>
      <top style="hair"/>
      <bottom style="thin">
        <color rgb="0"/>
      </bottom>
      <diagonal/>
    </border>
    <border diagonalUp="1" diagonalDown="1">
      <left/>
      <right style="hair"/>
      <top style="hair"/>
      <bottom style="thin">
        <color rgb="0"/>
      </bottom>
      <diagonal/>
    </border>
    <border diagonalUp="1" diagonalDown="1">
      <left/>
      <right style="thin">
        <color rgb="0"/>
      </right>
      <top style="hair"/>
      <bottom style="thin">
        <color rgb="0"/>
      </bottom>
      <diagonal/>
    </border>
    <border diagonalUp="1" diagonalDown="1">
      <left style="thin">
        <color rgb="0"/>
      </left>
      <right/>
      <top/>
      <bottom/>
      <diagonal/>
    </border>
    <border diagonalUp="1" diagonalDown="1">
      <left/>
      <right style="thin">
        <color rgb="0"/>
      </right>
      <top style="thin"/>
      <bottom style="hair"/>
      <diagonal/>
    </border>
    <border diagonalUp="1" diagonalDown="1">
      <left/>
      <right style="hair"/>
      <top/>
      <bottom style="thin"/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/>
      <diagonal/>
    </border>
    <border diagonalUp="1" diagonalDown="1">
      <left style="thin">
        <color rgb="0"/>
      </left>
      <right style="thin">
        <color rgb="0"/>
      </right>
      <top/>
      <bottom/>
      <diagonal/>
    </border>
    <border diagonalUp="1" diagonalDown="1">
      <left style="thin">
        <color rgb="0"/>
      </left>
      <right style="thin">
        <color rgb="0"/>
      </right>
      <top/>
      <bottom style="thin">
        <color rgb="0"/>
      </bottom>
      <diagonal/>
    </border>
  </borders>
  <cellStyleXfs count="1">
    <xf numFmtId="0" fontId="0" fillId="0" borderId="0"/>
  </cellStyleXfs>
  <cellXfs count="335">
    <xf numFmtId="0" fontId="0" fillId="0" borderId="0"/>
    <xf numFmtId="0" fontId="1" fillId="0" borderId="0" applyAlignment="1" applyBorder="1" applyNumberFormat="1" applyFill="1" applyProtection="1"/>
    <xf numFmtId="0" fontId="1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/>
    <xf numFmtId="43" fontId="0" fillId="0" borderId="0" applyAlignment="1" applyBorder="1" applyFont="1" applyFill="1" applyProtection="1"/>
    <xf numFmtId="41" fontId="0" fillId="0" borderId="0" applyAlignment="1" applyBorder="1" applyFont="1" applyFill="1" applyProtection="1"/>
    <xf numFmtId="44" fontId="0" fillId="0" borderId="0" applyAlignment="1" applyBorder="1" applyFont="1" applyFill="1" applyProtection="1"/>
    <xf numFmtId="42" fontId="0" fillId="0" borderId="0" applyAlignment="1" applyBorder="1" applyFont="1" applyFill="1" applyProtection="1"/>
    <xf numFmtId="9" fontId="0" fillId="0" borderId="0" applyAlignment="1" applyBorder="1" applyFont="1" applyFill="1" applyProtection="1"/>
    <xf numFmtId="0" fontId="0" fillId="0" borderId="0" applyFont="1" applyFill="1"/>
    <xf numFmtId="0" fontId="20" fillId="0" borderId="0" applyFont="1" applyFill="1"/>
    <xf numFmtId="0" fontId="7" fillId="0" borderId="0" applyFont="1" applyFill="1"/>
    <xf numFmtId="0" fontId="0" fillId="2" borderId="1" applyBorder="1" applyFont="1" applyFill="1"/>
    <xf numFmtId="0" fontId="0" fillId="2" borderId="2" applyBorder="1" applyFont="1" applyFill="1"/>
    <xf numFmtId="0" fontId="0" fillId="2" borderId="3" applyBorder="1" applyFont="1" applyFill="1"/>
    <xf numFmtId="0" fontId="0" fillId="0" borderId="1" applyBorder="1" applyFont="1" applyFill="1"/>
    <xf numFmtId="0" fontId="0" fillId="0" borderId="2" applyBorder="1" applyFont="1" applyFill="1"/>
    <xf numFmtId="0" fontId="0" fillId="0" borderId="3" applyBorder="1" applyFont="1" applyFill="1"/>
    <xf numFmtId="0" fontId="0" fillId="0" borderId="4" applyBorder="1" applyFont="1" applyFill="1"/>
    <xf numFmtId="0" fontId="1" fillId="0" borderId="1" applyAlignment="1" applyBorder="1" applyFont="1" applyFill="1">
      <alignment horizontal="left"/>
    </xf>
    <xf numFmtId="0" fontId="0" fillId="0" borderId="3" applyAlignment="1" applyBorder="1" applyFont="1" applyFill="1">
      <alignment horizontal="left"/>
    </xf>
    <xf numFmtId="0" fontId="18" fillId="0" borderId="5" applyBorder="1" applyFont="1" applyFill="1"/>
    <xf numFmtId="1" fontId="22" fillId="0" borderId="6" applyAlignment="1" applyBorder="1" applyFont="1" applyNumberFormat="1" applyFill="1" applyProtection="1">
      <alignment horizontal="left" vertical="top"/>
      <protection locked="0"/>
    </xf>
    <xf numFmtId="1" fontId="22" fillId="0" borderId="7" applyAlignment="1" applyBorder="1" applyFont="1" applyNumberFormat="1" applyFill="1" applyProtection="1">
      <alignment horizontal="left" vertical="top"/>
      <protection locked="0"/>
    </xf>
    <xf numFmtId="1" fontId="22" fillId="0" borderId="8" applyAlignment="1" applyBorder="1" applyFont="1" applyNumberFormat="1" applyFill="1" applyProtection="1">
      <alignment horizontal="left" vertical="top"/>
      <protection locked="0"/>
    </xf>
    <xf numFmtId="0" fontId="18" fillId="0" borderId="9" applyBorder="1" applyFont="1" applyFill="1"/>
    <xf numFmtId="0" fontId="7" fillId="0" borderId="0" applyAlignment="1" applyFont="1" applyFill="1">
      <alignment horizontal="center"/>
    </xf>
    <xf numFmtId="0" fontId="24" fillId="0" borderId="0" applyAlignment="1" applyFont="1" applyFill="1">
      <alignment horizontal="center"/>
    </xf>
    <xf numFmtId="0" fontId="0" fillId="0" borderId="0" applyAlignment="1" applyFont="1" applyFill="1">
      <alignment vertical="top"/>
    </xf>
    <xf numFmtId="0" fontId="20" fillId="0" borderId="10" applyAlignment="1" applyBorder="1" applyFont="1" applyFill="1" applyProtection="1">
      <alignment vertical="top"/>
      <protection locked="0"/>
    </xf>
    <xf numFmtId="0" fontId="20" fillId="0" borderId="10" applyAlignment="1" applyBorder="1" applyFont="1" applyFill="1" applyProtection="1">
      <alignment wrapText="1" vertical="top"/>
      <protection locked="0"/>
    </xf>
    <xf numFmtId="0" fontId="20" fillId="0" borderId="0" applyAlignment="1" applyBorder="1" applyFont="1" applyFill="1" applyProtection="1">
      <alignment wrapText="1" vertical="top"/>
      <protection locked="0"/>
    </xf>
    <xf numFmtId="0" fontId="10" fillId="0" borderId="0" applyAlignment="1" applyFont="1" applyFill="1">
      <alignment horizontal="right"/>
    </xf>
    <xf numFmtId="0" fontId="17" fillId="0" borderId="11" applyAlignment="1" applyBorder="1" applyFont="1" applyFill="1">
      <alignment horizontal="right"/>
    </xf>
    <xf numFmtId="0" fontId="17" fillId="0" borderId="12" applyAlignment="1" applyBorder="1" applyFont="1" applyFill="1">
      <alignment horizontal="right"/>
    </xf>
    <xf numFmtId="0" fontId="17" fillId="0" borderId="13" applyAlignment="1" applyBorder="1" applyFont="1" applyFill="1">
      <alignment horizontal="right"/>
    </xf>
    <xf numFmtId="0" fontId="15" fillId="0" borderId="0" applyFont="1" applyFill="1"/>
    <xf numFmtId="0" fontId="19" fillId="0" borderId="11" applyAlignment="1" applyBorder="1" applyFont="1" applyFill="1">
      <alignment horizontal="right"/>
    </xf>
    <xf numFmtId="0" fontId="19" fillId="0" borderId="12" applyAlignment="1" applyBorder="1" applyFont="1" applyFill="1">
      <alignment horizontal="right"/>
    </xf>
    <xf numFmtId="0" fontId="15" fillId="0" borderId="12" applyAlignment="1" applyBorder="1" applyFont="1" applyFill="1">
      <alignment horizontal="right" wrapText="1"/>
    </xf>
    <xf numFmtId="0" fontId="15" fillId="0" borderId="12" applyAlignment="1" applyBorder="1" applyFont="1" applyFill="1">
      <alignment horizontal="right"/>
    </xf>
    <xf numFmtId="0" fontId="15" fillId="0" borderId="13" applyAlignment="1" applyBorder="1" applyFont="1" applyFill="1">
      <alignment horizontal="right"/>
    </xf>
    <xf numFmtId="0" fontId="0" fillId="0" borderId="5" applyBorder="1" applyFont="1" applyFill="1"/>
    <xf numFmtId="0" fontId="1" fillId="0" borderId="9" applyAlignment="1" applyBorder="1" applyFont="1" applyFill="1">
      <alignment horizontal="right" wrapText="1"/>
    </xf>
    <xf numFmtId="0" fontId="1" fillId="0" borderId="14" applyAlignment="1" applyBorder="1" applyFont="1" applyFill="1">
      <alignment horizontal="right" wrapText="1"/>
    </xf>
    <xf numFmtId="0" fontId="10" fillId="0" borderId="0" applyFont="1" applyFill="1"/>
    <xf numFmtId="0" fontId="10" fillId="0" borderId="1" applyAlignment="1" applyBorder="1" applyFont="1" applyFill="1">
      <alignment horizontal="right"/>
    </xf>
    <xf numFmtId="0" fontId="10" fillId="0" borderId="12" applyAlignment="1" applyBorder="1" applyFont="1" applyFill="1">
      <alignment horizontal="right" wrapText="1"/>
    </xf>
    <xf numFmtId="0" fontId="21" fillId="0" borderId="12" applyAlignment="1" applyBorder="1" applyFont="1" applyFill="1">
      <alignment horizontal="right" wrapText="1"/>
    </xf>
    <xf numFmtId="0" fontId="21" fillId="0" borderId="13" applyAlignment="1" applyBorder="1" applyFont="1" applyFill="1">
      <alignment horizontal="right" wrapText="1"/>
    </xf>
    <xf numFmtId="0" fontId="5" fillId="0" borderId="11" applyAlignment="1" applyBorder="1" applyFont="1" applyFill="1">
      <alignment horizontal="right"/>
    </xf>
    <xf numFmtId="0" fontId="5" fillId="0" borderId="12" applyAlignment="1" applyBorder="1" applyFont="1" applyFill="1">
      <alignment horizontal="right"/>
    </xf>
    <xf numFmtId="0" fontId="5" fillId="0" borderId="13" applyAlignment="1" applyBorder="1" applyFont="1" applyFill="1">
      <alignment horizontal="right"/>
    </xf>
    <xf numFmtId="0" fontId="0" fillId="0" borderId="15" applyBorder="1" applyFont="1" applyFill="1"/>
    <xf numFmtId="3" fontId="6" fillId="0" borderId="9" applyBorder="1" applyFont="1" applyNumberFormat="1" applyFill="1" applyProtection="1">
      <protection locked="0"/>
    </xf>
    <xf numFmtId="3" fontId="0" fillId="0" borderId="9" applyBorder="1" applyFont="1" applyNumberFormat="1" applyFill="1" applyProtection="1">
      <protection locked="0"/>
    </xf>
    <xf numFmtId="3" fontId="0" fillId="0" borderId="9" applyBorder="1" applyFont="1" applyNumberFormat="1" applyFill="1"/>
    <xf numFmtId="164" fontId="0" fillId="0" borderId="14" applyBorder="1" applyFont="1" applyNumberFormat="1" applyFill="1"/>
    <xf numFmtId="0" fontId="0" fillId="3" borderId="5" applyBorder="1" applyFont="1" applyFill="1"/>
    <xf numFmtId="3" fontId="6" fillId="3" borderId="0" applyBorder="1" applyFont="1" applyNumberFormat="1" applyFill="1" applyProtection="1">
      <protection locked="0"/>
    </xf>
    <xf numFmtId="3" fontId="0" fillId="3" borderId="0" applyBorder="1" applyFont="1" applyNumberFormat="1" applyFill="1" applyProtection="1">
      <protection locked="0"/>
    </xf>
    <xf numFmtId="3" fontId="0" fillId="3" borderId="0" applyBorder="1" applyFont="1" applyNumberFormat="1" applyFill="1"/>
    <xf numFmtId="164" fontId="0" fillId="3" borderId="16" applyBorder="1" applyFont="1" applyNumberFormat="1" applyFill="1"/>
    <xf numFmtId="3" fontId="6" fillId="0" borderId="0" applyBorder="1" applyFont="1" applyNumberFormat="1" applyFill="1" applyProtection="1">
      <protection locked="0"/>
    </xf>
    <xf numFmtId="3" fontId="0" fillId="0" borderId="0" applyBorder="1" applyFont="1" applyNumberFormat="1" applyFill="1" applyProtection="1">
      <protection locked="0"/>
    </xf>
    <xf numFmtId="3" fontId="0" fillId="0" borderId="0" applyBorder="1" applyFont="1" applyNumberFormat="1" applyFill="1"/>
    <xf numFmtId="164" fontId="0" fillId="0" borderId="16" applyBorder="1" applyFont="1" applyNumberFormat="1" applyFill="1"/>
    <xf numFmtId="0" fontId="1" fillId="0" borderId="11" applyBorder="1" applyFont="1" applyFill="1"/>
    <xf numFmtId="3" fontId="1" fillId="0" borderId="12" applyBorder="1" applyFont="1" applyNumberFormat="1" applyFill="1"/>
    <xf numFmtId="164" fontId="1" fillId="0" borderId="13" applyBorder="1" applyFont="1" applyNumberFormat="1" applyFill="1"/>
    <xf numFmtId="0" fontId="17" fillId="0" borderId="0" applyBorder="1" applyFont="1" applyFill="1"/>
    <xf numFmtId="0" fontId="17" fillId="0" borderId="1" applyAlignment="1" applyBorder="1" applyFont="1" applyFill="1">
      <alignment horizontal="right"/>
    </xf>
    <xf numFmtId="0" fontId="17" fillId="0" borderId="2" applyAlignment="1" applyBorder="1" applyFont="1" applyFill="1">
      <alignment horizontal="right"/>
    </xf>
    <xf numFmtId="0" fontId="17" fillId="0" borderId="3" applyAlignment="1" applyBorder="1" applyFont="1" applyFill="1">
      <alignment horizontal="right"/>
    </xf>
    <xf numFmtId="0" fontId="5" fillId="0" borderId="0" applyBorder="1" applyFont="1" applyFill="1"/>
    <xf numFmtId="0" fontId="19" fillId="0" borderId="1" applyAlignment="1" applyBorder="1" applyFont="1" applyFill="1">
      <alignment horizontal="right"/>
    </xf>
    <xf numFmtId="0" fontId="19" fillId="0" borderId="2" applyAlignment="1" applyBorder="1" applyFont="1" applyFill="1">
      <alignment horizontal="right"/>
    </xf>
    <xf numFmtId="0" fontId="15" fillId="0" borderId="3" applyAlignment="1" applyBorder="1" applyFont="1" applyFill="1">
      <alignment horizontal="right" wrapText="1"/>
    </xf>
    <xf numFmtId="0" fontId="0" fillId="0" borderId="0" applyBorder="1" applyFont="1" applyFill="1"/>
    <xf numFmtId="0" fontId="7" fillId="0" borderId="15" applyAlignment="1" applyBorder="1" applyFont="1" applyFill="1">
      <alignment wrapText="1" vertical="center"/>
    </xf>
    <xf numFmtId="0" fontId="1" fillId="0" borderId="14" applyAlignment="1" applyBorder="1" applyFont="1" applyFill="1" applyProtection="1">
      <alignment horizontal="right" wrapText="1"/>
      <protection locked="0"/>
    </xf>
    <xf numFmtId="0" fontId="7" fillId="0" borderId="17" applyAlignment="1" applyBorder="1" applyFont="1" applyFill="1">
      <alignment wrapText="1" vertical="center"/>
    </xf>
    <xf numFmtId="1" fontId="1" fillId="0" borderId="18" applyAlignment="1" applyBorder="1" applyFont="1" applyNumberFormat="1" applyFill="1" applyProtection="1">
      <alignment horizontal="right" vertical="center"/>
      <protection locked="0"/>
    </xf>
    <xf numFmtId="1" fontId="1" fillId="0" borderId="19" applyAlignment="1" applyBorder="1" applyFont="1" applyNumberFormat="1" applyFill="1" applyProtection="1">
      <alignment horizontal="right" vertical="center"/>
      <protection locked="0"/>
    </xf>
    <xf numFmtId="1" fontId="1" fillId="0" borderId="20" applyAlignment="1" applyBorder="1" applyFont="1" applyNumberFormat="1" applyFill="1" applyProtection="1">
      <alignment horizontal="right" vertical="center"/>
      <protection locked="0"/>
    </xf>
    <xf numFmtId="1" fontId="1" fillId="0" borderId="21" applyAlignment="1" applyBorder="1" applyFont="1" applyNumberFormat="1" applyFill="1">
      <alignment horizontal="right" vertical="center"/>
    </xf>
    <xf numFmtId="0" fontId="5" fillId="0" borderId="11" applyAlignment="1" applyBorder="1" applyFont="1" applyFill="1">
      <alignment horizontal="right" vertical="center"/>
    </xf>
    <xf numFmtId="0" fontId="10" fillId="0" borderId="22" applyAlignment="1" applyBorder="1" applyFont="1" applyFill="1">
      <alignment horizontal="right" vertical="center"/>
    </xf>
    <xf numFmtId="0" fontId="10" fillId="0" borderId="12" applyAlignment="1" applyBorder="1" applyFont="1" applyFill="1">
      <alignment horizontal="right" vertical="center"/>
    </xf>
    <xf numFmtId="0" fontId="10" fillId="0" borderId="23" applyAlignment="1" applyBorder="1" applyFont="1" applyFill="1">
      <alignment horizontal="right" vertical="center"/>
    </xf>
    <xf numFmtId="0" fontId="10" fillId="0" borderId="13" applyAlignment="1" applyBorder="1" applyFont="1" applyFill="1">
      <alignment horizontal="right" vertical="center"/>
    </xf>
    <xf numFmtId="3" fontId="6" fillId="0" borderId="24" applyBorder="1" applyFont="1" applyNumberFormat="1" applyFill="1" applyProtection="1">
      <protection locked="0"/>
    </xf>
    <xf numFmtId="3" fontId="6" fillId="0" borderId="25" applyBorder="1" applyFont="1" applyNumberFormat="1" applyFill="1" applyProtection="1">
      <protection locked="0"/>
    </xf>
    <xf numFmtId="3" fontId="0" fillId="0" borderId="14" applyBorder="1" applyFont="1" applyNumberFormat="1" applyFill="1"/>
    <xf numFmtId="3" fontId="6" fillId="3" borderId="26" applyBorder="1" applyFont="1" applyNumberFormat="1" applyFill="1" applyProtection="1">
      <protection locked="0"/>
    </xf>
    <xf numFmtId="3" fontId="6" fillId="3" borderId="27" applyBorder="1" applyFont="1" applyNumberFormat="1" applyFill="1" applyProtection="1">
      <protection locked="0"/>
    </xf>
    <xf numFmtId="3" fontId="0" fillId="3" borderId="16" applyBorder="1" applyFont="1" applyNumberFormat="1" applyFill="1"/>
    <xf numFmtId="3" fontId="6" fillId="0" borderId="26" applyBorder="1" applyFont="1" applyNumberFormat="1" applyFill="1" applyProtection="1">
      <protection locked="0"/>
    </xf>
    <xf numFmtId="3" fontId="6" fillId="0" borderId="27" applyBorder="1" applyFont="1" applyNumberFormat="1" applyFill="1" applyProtection="1">
      <protection locked="0"/>
    </xf>
    <xf numFmtId="3" fontId="0" fillId="0" borderId="16" applyBorder="1" applyFont="1" applyNumberFormat="1" applyFill="1"/>
    <xf numFmtId="0" fontId="1" fillId="0" borderId="0" applyBorder="1" applyFont="1" applyFill="1"/>
    <xf numFmtId="3" fontId="1" fillId="0" borderId="22" applyBorder="1" applyFont="1" applyNumberFormat="1" applyFill="1"/>
    <xf numFmtId="3" fontId="1" fillId="0" borderId="23" applyBorder="1" applyFont="1" applyNumberFormat="1" applyFill="1"/>
    <xf numFmtId="3" fontId="1" fillId="0" borderId="13" applyBorder="1" applyFont="1" applyNumberFormat="1" applyFill="1"/>
    <xf numFmtId="0" fontId="1" fillId="0" borderId="28" applyAlignment="1" applyBorder="1" applyFont="1" applyFill="1" applyProtection="1">
      <alignment horizontal="center" wrapText="1" vertical="center"/>
      <protection locked="0"/>
    </xf>
    <xf numFmtId="0" fontId="1" fillId="0" borderId="29" applyAlignment="1" applyBorder="1" applyFont="1" applyFill="1" applyProtection="1">
      <alignment horizontal="center" wrapText="1" vertical="center"/>
      <protection locked="0"/>
    </xf>
    <xf numFmtId="0" fontId="1" fillId="0" borderId="30" applyAlignment="1" applyBorder="1" applyFont="1" applyFill="1" applyProtection="1">
      <alignment horizontal="center" wrapText="1" vertical="center"/>
      <protection locked="0"/>
    </xf>
    <xf numFmtId="0" fontId="20" fillId="0" borderId="0" applyAlignment="1" applyBorder="1" applyFont="1" applyFill="1" applyProtection="1">
      <alignment vertical="top"/>
      <protection locked="0"/>
    </xf>
    <xf numFmtId="0" fontId="0" fillId="0" borderId="31" applyBorder="1" applyFont="1" applyFill="1"/>
    <xf numFmtId="1" fontId="1" fillId="0" borderId="32" applyAlignment="1" applyBorder="1" applyFont="1" applyNumberFormat="1" applyFill="1" applyProtection="1">
      <alignment horizontal="right"/>
      <protection locked="0"/>
    </xf>
    <xf numFmtId="1" fontId="1" fillId="0" borderId="33" applyAlignment="1" applyBorder="1" applyFont="1" applyNumberFormat="1" applyFill="1" applyProtection="1">
      <alignment horizontal="right"/>
      <protection locked="0"/>
    </xf>
    <xf numFmtId="0" fontId="1" fillId="0" borderId="34" applyAlignment="1" applyBorder="1" applyFont="1" applyFill="1">
      <alignment horizontal="right" wrapText="1" vertical="center"/>
    </xf>
    <xf numFmtId="0" fontId="1" fillId="0" borderId="35" applyAlignment="1" applyBorder="1" applyFont="1" applyFill="1">
      <alignment horizontal="right" wrapText="1" vertical="center"/>
    </xf>
    <xf numFmtId="0" fontId="0" fillId="0" borderId="16" applyBorder="1" applyFont="1" applyFill="1"/>
    <xf numFmtId="0" fontId="10" fillId="0" borderId="0" applyAlignment="1" applyBorder="1" applyFont="1" applyFill="1">
      <alignment horizontal="right" vertical="center"/>
    </xf>
    <xf numFmtId="0" fontId="5" fillId="0" borderId="22" applyAlignment="1" applyBorder="1" applyFont="1" applyFill="1">
      <alignment horizontal="right" vertical="center"/>
    </xf>
    <xf numFmtId="0" fontId="5" fillId="0" borderId="12" applyAlignment="1" applyBorder="1" applyFont="1" applyFill="1">
      <alignment horizontal="right" vertical="center"/>
    </xf>
    <xf numFmtId="0" fontId="5" fillId="0" borderId="23" applyAlignment="1" applyBorder="1" applyFont="1" applyFill="1">
      <alignment horizontal="right" vertical="center"/>
    </xf>
    <xf numFmtId="0" fontId="10" fillId="0" borderId="16" applyAlignment="1" applyBorder="1" applyFont="1" applyFill="1">
      <alignment horizontal="right" wrapText="1" vertical="center"/>
    </xf>
    <xf numFmtId="164" fontId="2" fillId="0" borderId="9" applyBorder="1" applyFont="1" applyNumberFormat="1" applyFill="1"/>
    <xf numFmtId="165" fontId="6" fillId="0" borderId="24" applyAlignment="1" applyBorder="1" applyFont="1" applyNumberFormat="1" applyFill="1" applyProtection="1">
      <alignment horizontal="right"/>
      <protection locked="0"/>
    </xf>
    <xf numFmtId="165" fontId="0" fillId="0" borderId="9" applyAlignment="1" applyBorder="1" applyFont="1" applyNumberFormat="1" applyFill="1">
      <alignment horizontal="right"/>
    </xf>
    <xf numFmtId="166" fontId="0" fillId="0" borderId="25" applyBorder="1" applyFont="1" applyNumberFormat="1" applyFill="1"/>
    <xf numFmtId="166" fontId="0" fillId="0" borderId="14" applyBorder="1" applyFont="1" applyNumberFormat="1" applyFill="1"/>
    <xf numFmtId="0" fontId="0" fillId="3" borderId="36" applyBorder="1" applyFont="1" applyFill="1"/>
    <xf numFmtId="164" fontId="2" fillId="3" borderId="0" applyBorder="1" applyFont="1" applyNumberFormat="1" applyFill="1"/>
    <xf numFmtId="165" fontId="6" fillId="3" borderId="26" applyAlignment="1" applyBorder="1" applyFont="1" applyNumberFormat="1" applyFill="1" applyProtection="1">
      <alignment horizontal="right"/>
      <protection locked="0"/>
    </xf>
    <xf numFmtId="165" fontId="0" fillId="3" borderId="0" applyAlignment="1" applyBorder="1" applyFont="1" applyNumberFormat="1" applyFill="1">
      <alignment horizontal="right"/>
    </xf>
    <xf numFmtId="166" fontId="0" fillId="3" borderId="27" applyBorder="1" applyFont="1" applyNumberFormat="1" applyFill="1"/>
    <xf numFmtId="166" fontId="0" fillId="3" borderId="16" applyBorder="1" applyFont="1" applyNumberFormat="1" applyFill="1"/>
    <xf numFmtId="0" fontId="0" fillId="0" borderId="36" applyBorder="1" applyFont="1" applyFill="1"/>
    <xf numFmtId="164" fontId="2" fillId="0" borderId="0" applyBorder="1" applyFont="1" applyNumberFormat="1" applyFill="1"/>
    <xf numFmtId="165" fontId="6" fillId="0" borderId="26" applyAlignment="1" applyBorder="1" applyFont="1" applyNumberFormat="1" applyFill="1" applyProtection="1">
      <alignment horizontal="right"/>
      <protection locked="0"/>
    </xf>
    <xf numFmtId="165" fontId="0" fillId="0" borderId="0" applyAlignment="1" applyBorder="1" applyFont="1" applyNumberFormat="1" applyFill="1">
      <alignment horizontal="right"/>
    </xf>
    <xf numFmtId="166" fontId="0" fillId="0" borderId="27" applyBorder="1" applyFont="1" applyNumberFormat="1" applyFill="1"/>
    <xf numFmtId="166" fontId="0" fillId="0" borderId="16" applyBorder="1" applyFont="1" applyNumberFormat="1" applyFill="1"/>
    <xf numFmtId="0" fontId="1" fillId="0" borderId="16" applyBorder="1" applyFont="1" applyFill="1"/>
    <xf numFmtId="0" fontId="0" fillId="3" borderId="31" applyBorder="1" applyFont="1" applyFill="1"/>
    <xf numFmtId="164" fontId="2" fillId="3" borderId="19" applyBorder="1" applyFont="1" applyNumberFormat="1" applyFill="1"/>
    <xf numFmtId="165" fontId="6" fillId="3" borderId="18" applyAlignment="1" applyBorder="1" applyFont="1" applyNumberFormat="1" applyFill="1" applyProtection="1">
      <alignment horizontal="right"/>
      <protection locked="0"/>
    </xf>
    <xf numFmtId="165" fontId="0" fillId="3" borderId="19" applyAlignment="1" applyBorder="1" applyFont="1" applyNumberFormat="1" applyFill="1">
      <alignment horizontal="right"/>
    </xf>
    <xf numFmtId="166" fontId="0" fillId="3" borderId="20" applyBorder="1" applyFont="1" applyNumberFormat="1" applyFill="1"/>
    <xf numFmtId="3" fontId="0" fillId="3" borderId="19" applyBorder="1" applyFont="1" applyNumberFormat="1" applyFill="1"/>
    <xf numFmtId="166" fontId="0" fillId="3" borderId="21" applyBorder="1" applyFont="1" applyNumberFormat="1" applyFill="1"/>
    <xf numFmtId="167" fontId="1" fillId="0" borderId="12" applyBorder="1" applyFont="1" applyNumberFormat="1" applyFill="1"/>
    <xf numFmtId="165" fontId="1" fillId="0" borderId="22" applyAlignment="1" applyBorder="1" applyFont="1" applyNumberFormat="1" applyFill="1" applyProtection="1">
      <alignment horizontal="right"/>
      <protection locked="0"/>
    </xf>
    <xf numFmtId="165" fontId="1" fillId="0" borderId="12" applyAlignment="1" applyBorder="1" applyFont="1" applyNumberFormat="1" applyFill="1">
      <alignment horizontal="right"/>
    </xf>
    <xf numFmtId="166" fontId="1" fillId="4" borderId="23" applyBorder="1" applyFont="1" applyNumberFormat="1" applyFill="1"/>
    <xf numFmtId="166" fontId="1" fillId="4" borderId="13" applyBorder="1" applyFont="1" applyNumberFormat="1" applyFill="1"/>
    <xf numFmtId="0" fontId="9" fillId="0" borderId="0" applyAlignment="1" applyFont="1" applyFill="1">
      <alignment horizontal="left" vertical="top"/>
    </xf>
    <xf numFmtId="0" fontId="1" fillId="0" borderId="28" applyAlignment="1" applyBorder="1" applyFont="1" applyFill="1">
      <alignment horizontal="center" vertical="center"/>
    </xf>
    <xf numFmtId="0" fontId="1" fillId="0" borderId="29" applyAlignment="1" applyBorder="1" applyFont="1" applyFill="1">
      <alignment horizontal="center" vertical="center"/>
    </xf>
    <xf numFmtId="0" fontId="1" fillId="0" borderId="30" applyAlignment="1" applyBorder="1" applyFont="1" applyFill="1">
      <alignment horizontal="center" vertical="center"/>
    </xf>
    <xf numFmtId="0" fontId="1" fillId="0" borderId="29" applyAlignment="1" applyBorder="1" applyFont="1" applyFill="1">
      <alignment horizontal="center" wrapText="1" vertical="center"/>
    </xf>
    <xf numFmtId="0" fontId="1" fillId="0" borderId="37" applyAlignment="1" applyBorder="1" applyFont="1" applyFill="1">
      <alignment horizontal="center" wrapText="1" vertical="center"/>
    </xf>
    <xf numFmtId="0" fontId="1" fillId="0" borderId="25" applyAlignment="1" applyBorder="1" applyFont="1" applyFill="1">
      <alignment horizontal="right" wrapText="1" vertical="center"/>
    </xf>
    <xf numFmtId="0" fontId="1" fillId="0" borderId="38" applyAlignment="1" applyBorder="1" applyFont="1" applyFill="1">
      <alignment horizontal="right" wrapText="1" vertical="center"/>
    </xf>
    <xf numFmtId="0" fontId="8" fillId="0" borderId="0" applyBorder="1" applyFont="1" applyFill="1"/>
    <xf numFmtId="0" fontId="1" fillId="3" borderId="11" applyBorder="1" applyFont="1" applyFill="1"/>
    <xf numFmtId="1" fontId="1" fillId="3" borderId="12" applyAlignment="1" applyBorder="1" applyFont="1" applyNumberFormat="1" applyFill="1">
      <alignment horizontal="right"/>
    </xf>
    <xf numFmtId="0" fontId="0" fillId="3" borderId="12" applyAlignment="1" applyBorder="1" applyFont="1" applyFill="1">
      <alignment horizontal="right"/>
    </xf>
    <xf numFmtId="0" fontId="0" fillId="3" borderId="12" applyAlignment="1" applyBorder="1" applyFont="1" applyFill="1">
      <alignment horizontal="right" wrapText="1"/>
    </xf>
    <xf numFmtId="1" fontId="1" fillId="3" borderId="13" applyBorder="1" applyFont="1" applyNumberFormat="1" applyFill="1"/>
    <xf numFmtId="166" fontId="0" fillId="0" borderId="9" applyBorder="1" applyFont="1" applyNumberFormat="1" applyFill="1"/>
    <xf numFmtId="3" fontId="1" fillId="0" borderId="14" applyBorder="1" applyFont="1" applyNumberFormat="1" applyFill="1"/>
    <xf numFmtId="3" fontId="6" fillId="0" borderId="19" applyBorder="1" applyFont="1" applyNumberFormat="1" applyFill="1" applyProtection="1">
      <protection locked="0"/>
    </xf>
    <xf numFmtId="166" fontId="0" fillId="0" borderId="19" applyBorder="1" applyFont="1" applyNumberFormat="1" applyFill="1"/>
    <xf numFmtId="3" fontId="0" fillId="0" borderId="19" applyBorder="1" applyFont="1" applyNumberFormat="1" applyFill="1"/>
    <xf numFmtId="3" fontId="1" fillId="0" borderId="21" applyBorder="1" applyFont="1" applyNumberFormat="1" applyFill="1"/>
    <xf numFmtId="0" fontId="0" fillId="0" borderId="9" applyBorder="1" applyFont="1" applyFill="1"/>
    <xf numFmtId="0" fontId="0" fillId="0" borderId="0" applyAlignment="1" applyFont="1" applyFill="1">
      <alignment horizontal="right"/>
    </xf>
    <xf numFmtId="166" fontId="0" fillId="0" borderId="0" applyBorder="1" applyFont="1" applyNumberFormat="1" applyFill="1"/>
    <xf numFmtId="3" fontId="0" fillId="0" borderId="0" applyFont="1" applyNumberFormat="1" applyFill="1"/>
    <xf numFmtId="0" fontId="1" fillId="3" borderId="12" applyAlignment="1" applyBorder="1" applyFont="1" applyFill="1">
      <alignment horizontal="right"/>
    </xf>
    <xf numFmtId="1" fontId="1" fillId="3" borderId="13" applyAlignment="1" applyBorder="1" applyFont="1" applyNumberFormat="1" applyFill="1">
      <alignment horizontal="right"/>
    </xf>
    <xf numFmtId="0" fontId="3" fillId="0" borderId="36" applyAlignment="1" applyBorder="1" applyFont="1" applyFill="1">
      <alignment horizontal="left" indent="2"/>
    </xf>
    <xf numFmtId="166" fontId="3" fillId="0" borderId="0" applyBorder="1" applyFont="1" applyNumberFormat="1" applyFill="1"/>
    <xf numFmtId="166" fontId="3" fillId="0" borderId="16" applyBorder="1" applyFont="1" applyNumberFormat="1" applyFill="1"/>
    <xf numFmtId="3" fontId="0" fillId="0" borderId="21" applyBorder="1" applyFont="1" applyNumberFormat="1" applyFill="1"/>
    <xf numFmtId="0" fontId="10" fillId="0" borderId="0" applyAlignment="1" applyFont="1" applyFill="1">
      <alignment horizontal="left" indent="1"/>
    </xf>
    <xf numFmtId="0" fontId="10" fillId="0" borderId="0" applyAlignment="1" applyBorder="1" applyFont="1" applyFill="1">
      <alignment horizontal="left" indent="1"/>
    </xf>
    <xf numFmtId="0" fontId="11" fillId="5" borderId="11" applyBorder="1" applyFont="1" applyFill="1"/>
    <xf numFmtId="0" fontId="12" fillId="5" borderId="12" applyBorder="1" applyFont="1" applyFill="1"/>
    <xf numFmtId="0" fontId="11" fillId="5" borderId="13" applyAlignment="1" applyBorder="1" applyFont="1" applyFill="1">
      <alignment horizontal="center"/>
    </xf>
    <xf numFmtId="0" fontId="13" fillId="4" borderId="36" applyBorder="1" applyFont="1" applyFill="1"/>
    <xf numFmtId="0" fontId="13" fillId="4" borderId="0" applyBorder="1" applyFont="1" applyFill="1"/>
    <xf numFmtId="3" fontId="14" fillId="4" borderId="16" applyBorder="1" applyFont="1" applyNumberFormat="1" applyFill="1"/>
    <xf numFmtId="0" fontId="13" fillId="4" borderId="11" applyBorder="1" applyFont="1" applyFill="1"/>
    <xf numFmtId="0" fontId="13" fillId="4" borderId="12" applyBorder="1" applyFont="1" applyFill="1"/>
    <xf numFmtId="3" fontId="14" fillId="4" borderId="13" applyBorder="1" applyFont="1" applyNumberFormat="1" applyFill="1"/>
    <xf numFmtId="0" fontId="0" fillId="0" borderId="15" applyAlignment="1" applyBorder="1" applyFont="1" applyFill="1">
      <alignment horizontal="left" indent="1"/>
    </xf>
    <xf numFmtId="0" fontId="0" fillId="0" borderId="31" applyAlignment="1" applyBorder="1" applyFont="1" applyFill="1">
      <alignment horizontal="left" indent="1"/>
    </xf>
    <xf numFmtId="166" fontId="0" fillId="0" borderId="21" applyBorder="1" applyFont="1" applyNumberFormat="1" applyFill="1"/>
    <xf numFmtId="0" fontId="0" fillId="0" borderId="11" applyAlignment="1" applyBorder="1" applyFont="1" applyFill="1">
      <alignment horizontal="left" indent="1"/>
    </xf>
    <xf numFmtId="166" fontId="0" fillId="0" borderId="13" applyBorder="1" applyFont="1" applyNumberFormat="1" applyFill="1"/>
    <xf numFmtId="0" fontId="1" fillId="3" borderId="11" applyAlignment="1" applyBorder="1" applyFont="1" applyFill="1">
      <alignment horizontal="left"/>
    </xf>
    <xf numFmtId="0" fontId="1" fillId="3" borderId="13" applyAlignment="1" applyBorder="1" applyFont="1" applyFill="1">
      <alignment horizontal="left"/>
    </xf>
    <xf numFmtId="0" fontId="0" fillId="0" borderId="2" applyAlignment="1" applyBorder="1" applyFont="1" applyFill="1">
      <alignment horizontal="right"/>
    </xf>
    <xf numFmtId="0" fontId="19" fillId="0" borderId="17" applyAlignment="1" applyBorder="1" applyFont="1" applyFill="1">
      <alignment horizontal="right"/>
    </xf>
    <xf numFmtId="0" fontId="15" fillId="0" borderId="0" applyBorder="1" applyFont="1" applyFill="1"/>
    <xf numFmtId="0" fontId="19" fillId="0" borderId="10" applyAlignment="1" applyBorder="1" applyFont="1" applyFill="1">
      <alignment horizontal="right"/>
    </xf>
    <xf numFmtId="0" fontId="15" fillId="0" borderId="8" applyAlignment="1" applyBorder="1" applyFont="1" applyFill="1">
      <alignment horizontal="right" wrapText="1"/>
    </xf>
    <xf numFmtId="0" fontId="0" fillId="0" borderId="11" applyBorder="1" applyFont="1" applyFill="1"/>
    <xf numFmtId="0" fontId="0" fillId="0" borderId="12" applyAlignment="1" applyBorder="1" applyFont="1" applyFill="1" applyProtection="1">
      <alignment horizontal="right" wrapText="1" vertical="center"/>
      <protection locked="0"/>
    </xf>
    <xf numFmtId="0" fontId="0" fillId="0" borderId="12" applyAlignment="1" applyBorder="1" applyFont="1" applyFill="1">
      <alignment horizontal="right" wrapText="1" vertical="center"/>
    </xf>
    <xf numFmtId="0" fontId="1" fillId="0" borderId="13" applyAlignment="1" applyBorder="1" applyFont="1" applyFill="1">
      <alignment horizontal="right" wrapText="1" vertical="center"/>
    </xf>
    <xf numFmtId="0" fontId="10" fillId="0" borderId="2" applyAlignment="1" applyBorder="1" applyFont="1" applyFill="1">
      <alignment horizontal="right" vertical="center"/>
    </xf>
    <xf numFmtId="0" fontId="5" fillId="0" borderId="13" applyAlignment="1" applyBorder="1" applyFont="1" applyFill="1">
      <alignment horizontal="right" vertical="center"/>
    </xf>
    <xf numFmtId="0" fontId="0" fillId="0" borderId="0" applyAlignment="1" applyFont="1" applyFill="1">
      <alignment vertical="center"/>
    </xf>
    <xf numFmtId="0" fontId="0" fillId="0" borderId="36" applyAlignment="1" applyBorder="1" applyFont="1" applyFill="1">
      <alignment wrapText="1" vertical="center"/>
    </xf>
    <xf numFmtId="167" fontId="0" fillId="0" borderId="0" applyAlignment="1" applyBorder="1" applyFont="1" applyNumberFormat="1" applyFill="1" applyProtection="1">
      <alignment vertical="center"/>
      <protection locked="0"/>
    </xf>
    <xf numFmtId="3" fontId="0" fillId="0" borderId="0" applyAlignment="1" applyBorder="1" applyFont="1" applyNumberFormat="1" applyFill="1" applyProtection="1">
      <alignment vertical="center"/>
      <protection locked="0"/>
    </xf>
    <xf numFmtId="3" fontId="0" fillId="0" borderId="0" applyAlignment="1" applyBorder="1" applyFont="1" applyNumberFormat="1" applyFill="1">
      <alignment vertical="center"/>
    </xf>
    <xf numFmtId="3" fontId="1" fillId="0" borderId="16" applyAlignment="1" applyBorder="1" applyFont="1" applyNumberFormat="1" applyFill="1">
      <alignment vertical="center"/>
    </xf>
    <xf numFmtId="0" fontId="0" fillId="3" borderId="36" applyAlignment="1" applyBorder="1" applyFont="1" applyFill="1">
      <alignment wrapText="1" vertical="center"/>
    </xf>
    <xf numFmtId="167" fontId="0" fillId="3" borderId="0" applyAlignment="1" applyBorder="1" applyFont="1" applyNumberFormat="1" applyFill="1" applyProtection="1">
      <alignment vertical="center"/>
      <protection locked="0"/>
    </xf>
    <xf numFmtId="3" fontId="0" fillId="3" borderId="0" applyAlignment="1" applyBorder="1" applyFont="1" applyNumberFormat="1" applyFill="1" applyProtection="1">
      <alignment vertical="center"/>
      <protection locked="0"/>
    </xf>
    <xf numFmtId="3" fontId="0" fillId="3" borderId="0" applyAlignment="1" applyBorder="1" applyFont="1" applyNumberFormat="1" applyFill="1">
      <alignment vertical="center"/>
    </xf>
    <xf numFmtId="3" fontId="1" fillId="3" borderId="16" applyAlignment="1" applyBorder="1" applyFont="1" applyNumberFormat="1" applyFill="1">
      <alignment vertical="center"/>
    </xf>
    <xf numFmtId="0" fontId="1" fillId="0" borderId="11" applyAlignment="1" applyBorder="1" applyFont="1" applyFill="1">
      <alignment vertical="center"/>
    </xf>
    <xf numFmtId="167" fontId="1" fillId="0" borderId="12" applyAlignment="1" applyBorder="1" applyFont="1" applyNumberFormat="1" applyFill="1" applyProtection="1">
      <alignment vertical="center"/>
      <protection locked="0"/>
    </xf>
    <xf numFmtId="3" fontId="1" fillId="0" borderId="12" applyAlignment="1" applyBorder="1" applyFont="1" applyNumberFormat="1" applyFill="1">
      <alignment vertical="center"/>
    </xf>
    <xf numFmtId="3" fontId="1" fillId="0" borderId="13" applyAlignment="1" applyBorder="1" applyFont="1" applyNumberFormat="1" applyFill="1">
      <alignment vertical="center"/>
    </xf>
    <xf numFmtId="0" fontId="1" fillId="0" borderId="12" applyAlignment="1" applyBorder="1" applyFont="1" applyFill="1">
      <alignment horizontal="right" wrapText="1" vertical="center"/>
    </xf>
    <xf numFmtId="0" fontId="15" fillId="0" borderId="12" applyAlignment="1" applyBorder="1" applyFont="1" applyFill="1">
      <alignment horizontal="right" wrapText="1" vertical="center"/>
    </xf>
    <xf numFmtId="0" fontId="15" fillId="0" borderId="13" applyAlignment="1" applyBorder="1" applyFont="1" applyFill="1">
      <alignment horizontal="right" wrapText="1" vertical="center"/>
    </xf>
    <xf numFmtId="0" fontId="15" fillId="0" borderId="39" applyAlignment="1" applyBorder="1" applyFont="1" applyFill="1">
      <alignment vertical="center"/>
    </xf>
    <xf numFmtId="169" fontId="23" fillId="0" borderId="4" applyBorder="1" applyFont="1" applyNumberFormat="1" applyFill="1" applyProtection="1">
      <protection locked="0"/>
    </xf>
    <xf numFmtId="0" fontId="1" fillId="0" borderId="0" applyAlignment="1" applyFont="1" applyFill="1">
      <alignment vertical="center"/>
    </xf>
    <xf numFmtId="0" fontId="0" fillId="0" borderId="15" applyAlignment="1" applyBorder="1" applyFont="1" applyFill="1">
      <alignment wrapText="1" vertical="center"/>
    </xf>
    <xf numFmtId="167" fontId="0" fillId="0" borderId="0" applyAlignment="1" applyBorder="1" applyFont="1" applyNumberFormat="1" applyFill="1">
      <alignment vertical="center"/>
    </xf>
    <xf numFmtId="3" fontId="1" fillId="0" borderId="0" applyAlignment="1" applyBorder="1" applyFont="1" applyNumberFormat="1" applyFill="1">
      <alignment vertical="center"/>
    </xf>
    <xf numFmtId="3" fontId="15" fillId="0" borderId="0" applyAlignment="1" applyBorder="1" applyFont="1" applyNumberFormat="1" applyFill="1">
      <alignment vertical="center"/>
    </xf>
    <xf numFmtId="3" fontId="15" fillId="0" borderId="16" applyAlignment="1" applyBorder="1" applyFont="1" applyNumberFormat="1" applyFill="1">
      <alignment vertical="center"/>
    </xf>
    <xf numFmtId="168" fontId="15" fillId="0" borderId="39" applyAlignment="1" applyBorder="1" applyFont="1" applyNumberFormat="1" applyFill="1">
      <alignment vertical="center"/>
    </xf>
    <xf numFmtId="167" fontId="0" fillId="3" borderId="0" applyAlignment="1" applyBorder="1" applyFont="1" applyNumberFormat="1" applyFill="1">
      <alignment vertical="center"/>
    </xf>
    <xf numFmtId="3" fontId="1" fillId="3" borderId="0" applyAlignment="1" applyBorder="1" applyFont="1" applyNumberFormat="1" applyFill="1">
      <alignment vertical="center"/>
    </xf>
    <xf numFmtId="3" fontId="15" fillId="3" borderId="0" applyAlignment="1" applyBorder="1" applyFont="1" applyNumberFormat="1" applyFill="1">
      <alignment vertical="center"/>
    </xf>
    <xf numFmtId="3" fontId="15" fillId="3" borderId="16" applyAlignment="1" applyBorder="1" applyFont="1" applyNumberFormat="1" applyFill="1">
      <alignment vertical="center"/>
    </xf>
    <xf numFmtId="164" fontId="15" fillId="0" borderId="39" applyAlignment="1" applyBorder="1" applyFont="1" applyNumberFormat="1" applyFill="1">
      <alignment vertical="center"/>
    </xf>
    <xf numFmtId="0" fontId="15" fillId="0" borderId="5" applyAlignment="1" applyBorder="1" applyFont="1" applyFill="1">
      <alignment vertical="center"/>
    </xf>
    <xf numFmtId="0" fontId="15" fillId="0" borderId="7" applyAlignment="1" applyBorder="1" applyFont="1" applyFill="1">
      <alignment vertical="center"/>
    </xf>
    <xf numFmtId="3" fontId="15" fillId="0" borderId="39" applyAlignment="1" applyBorder="1" applyFont="1" applyNumberFormat="1" applyFill="1">
      <alignment vertical="center"/>
    </xf>
    <xf numFmtId="167" fontId="1" fillId="0" borderId="12" applyAlignment="1" applyBorder="1" applyFont="1" applyNumberFormat="1" applyFill="1">
      <alignment vertical="center"/>
    </xf>
    <xf numFmtId="3" fontId="16" fillId="0" borderId="12" applyAlignment="1" applyBorder="1" applyFont="1" applyNumberFormat="1" applyFill="1">
      <alignment vertical="center"/>
    </xf>
    <xf numFmtId="3" fontId="16" fillId="0" borderId="13" applyAlignment="1" applyBorder="1" applyFont="1" applyNumberFormat="1" applyFill="1">
      <alignment vertical="center"/>
    </xf>
    <xf numFmtId="0" fontId="1" fillId="0" borderId="1" applyAlignment="1" applyBorder="1" applyFont="1" applyFill="1">
      <alignment horizontal="center" wrapText="1" vertical="center"/>
    </xf>
    <xf numFmtId="0" fontId="0" fillId="0" borderId="3" applyAlignment="1" applyBorder="1" applyFont="1" applyFill="1">
      <alignment horizontal="center" wrapText="1" vertical="center"/>
    </xf>
    <xf numFmtId="0" fontId="0" fillId="0" borderId="4" applyAlignment="1" applyBorder="1" applyFont="1" applyFill="1">
      <alignment horizontal="right"/>
    </xf>
    <xf numFmtId="0" fontId="15" fillId="0" borderId="2" applyAlignment="1" applyBorder="1" applyFont="1" applyFill="1">
      <alignment horizontal="right"/>
    </xf>
    <xf numFmtId="0" fontId="19" fillId="0" borderId="3" applyAlignment="1" applyBorder="1" applyFont="1" applyFill="1">
      <alignment horizontal="right"/>
    </xf>
    <xf numFmtId="0" fontId="19" fillId="0" borderId="4" applyAlignment="1" applyBorder="1" applyFont="1" applyFill="1">
      <alignment horizontal="right"/>
    </xf>
    <xf numFmtId="167" fontId="1" fillId="0" borderId="12" applyAlignment="1" applyBorder="1" applyFont="1" applyNumberFormat="1" applyFill="1">
      <alignment horizontal="right" wrapText="1" vertical="center"/>
    </xf>
    <xf numFmtId="0" fontId="1" fillId="0" borderId="0" applyAlignment="1" applyFont="1" applyFill="1">
      <alignment horizontal="center" vertical="center"/>
    </xf>
    <xf numFmtId="0" fontId="1" fillId="0" borderId="39" applyAlignment="1" applyBorder="1" applyFont="1" applyFill="1">
      <alignment horizontal="right" wrapText="1" vertical="center"/>
    </xf>
    <xf numFmtId="0" fontId="10" fillId="0" borderId="9" applyAlignment="1" applyBorder="1" applyFont="1" applyFill="1">
      <alignment horizontal="right" wrapText="1" vertical="center"/>
    </xf>
    <xf numFmtId="167" fontId="10" fillId="0" borderId="9" applyAlignment="1" applyBorder="1" applyFont="1" applyNumberFormat="1" applyFill="1">
      <alignment horizontal="right" wrapText="1" vertical="center"/>
    </xf>
    <xf numFmtId="0" fontId="10" fillId="0" borderId="14" applyAlignment="1" applyBorder="1" applyFont="1" applyFill="1">
      <alignment horizontal="right" wrapText="1" vertical="center"/>
    </xf>
    <xf numFmtId="0" fontId="10" fillId="0" borderId="0" applyAlignment="1" applyFont="1" applyFill="1">
      <alignment horizontal="center" vertical="center"/>
    </xf>
    <xf numFmtId="0" fontId="10" fillId="0" borderId="40" applyAlignment="1" applyBorder="1" applyFont="1" applyFill="1">
      <alignment horizontal="right" wrapText="1" vertical="center"/>
    </xf>
    <xf numFmtId="0" fontId="0" fillId="0" borderId="15" applyAlignment="1" applyBorder="1" applyFont="1" applyFill="1">
      <alignment wrapText="1"/>
    </xf>
    <xf numFmtId="167" fontId="0" fillId="0" borderId="9" applyBorder="1" applyFont="1" applyNumberFormat="1" applyFill="1"/>
    <xf numFmtId="3" fontId="0" fillId="0" borderId="9" applyAlignment="1" applyBorder="1" applyFont="1" applyNumberFormat="1" applyFill="1">
      <alignment horizontal="right"/>
    </xf>
    <xf numFmtId="3" fontId="0" fillId="0" borderId="40" applyBorder="1" applyFont="1" applyNumberFormat="1" applyFill="1"/>
    <xf numFmtId="0" fontId="0" fillId="3" borderId="36" applyAlignment="1" applyBorder="1" applyFont="1" applyFill="1">
      <alignment wrapText="1"/>
    </xf>
    <xf numFmtId="167" fontId="0" fillId="3" borderId="0" applyBorder="1" applyFont="1" applyNumberFormat="1" applyFill="1"/>
    <xf numFmtId="3" fontId="0" fillId="3" borderId="0" applyAlignment="1" applyBorder="1" applyFont="1" applyNumberFormat="1" applyFill="1">
      <alignment horizontal="right"/>
    </xf>
    <xf numFmtId="3" fontId="0" fillId="3" borderId="41" applyBorder="1" applyFont="1" applyNumberFormat="1" applyFill="1"/>
    <xf numFmtId="0" fontId="0" fillId="0" borderId="36" applyAlignment="1" applyBorder="1" applyFont="1" applyFill="1">
      <alignment wrapText="1"/>
    </xf>
    <xf numFmtId="167" fontId="0" fillId="0" borderId="0" applyBorder="1" applyFont="1" applyNumberFormat="1" applyFill="1"/>
    <xf numFmtId="3" fontId="0" fillId="0" borderId="0" applyAlignment="1" applyBorder="1" applyFont="1" applyNumberFormat="1" applyFill="1">
      <alignment horizontal="right"/>
    </xf>
    <xf numFmtId="3" fontId="0" fillId="0" borderId="41" applyBorder="1" applyFont="1" applyNumberFormat="1" applyFill="1"/>
    <xf numFmtId="167" fontId="0" fillId="3" borderId="19" applyBorder="1" applyFont="1" applyNumberFormat="1" applyFill="1"/>
    <xf numFmtId="3" fontId="0" fillId="3" borderId="19" applyAlignment="1" applyBorder="1" applyFont="1" applyNumberFormat="1" applyFill="1">
      <alignment horizontal="right"/>
    </xf>
    <xf numFmtId="164" fontId="0" fillId="3" borderId="21" applyBorder="1" applyFont="1" applyNumberFormat="1" applyFill="1"/>
    <xf numFmtId="3" fontId="0" fillId="3" borderId="42" applyBorder="1" applyFont="1" applyNumberFormat="1" applyFill="1"/>
    <xf numFmtId="3" fontId="1" fillId="0" borderId="12" applyAlignment="1" applyBorder="1" applyFont="1" applyNumberFormat="1" applyFill="1">
      <alignment horizontal="right" vertical="center"/>
    </xf>
    <xf numFmtId="0" fontId="1" fillId="0" borderId="13" applyAlignment="1" applyBorder="1" applyFont="1" applyFill="1">
      <alignment vertical="center"/>
    </xf>
    <xf numFmtId="3" fontId="1" fillId="0" borderId="39" applyAlignment="1" applyBorder="1" applyFont="1" applyNumberFormat="1" applyFill="1">
      <alignment vertical="center"/>
    </xf>
    <xf numFmtId="0" fontId="2" fillId="0" borderId="0" applyFont="1" applyFill="1"/>
    <xf numFmtId="0" fontId="2" fillId="0" borderId="11" applyBorder="1" applyFont="1" applyFill="1"/>
    <xf numFmtId="164" fontId="2" fillId="0" borderId="12" applyBorder="1" applyFont="1" applyNumberFormat="1" applyFill="1"/>
    <xf numFmtId="0" fontId="2" fillId="0" borderId="12" applyAlignment="1" applyBorder="1" applyFont="1" applyFill="1">
      <alignment horizontal="center"/>
    </xf>
    <xf numFmtId="0" fontId="2" fillId="0" borderId="12" applyBorder="1" applyFont="1" applyFill="1"/>
    <xf numFmtId="164" fontId="2" fillId="0" borderId="13" applyBorder="1" applyFont="1" applyNumberFormat="1" applyFill="1"/>
    <xf numFmtId="164" fontId="1" fillId="0" borderId="0" applyBorder="1" applyFont="1" applyNumberFormat="1" applyFill="1"/>
    <xf numFmtId="0" fontId="1" fillId="0" borderId="0" applyAlignment="1" applyBorder="1" applyFont="1" applyFill="1">
      <alignment horizontal="center"/>
    </xf>
    <xf numFmtId="0" fontId="0" fillId="0" borderId="12" applyBorder="1" applyFont="1" applyFill="1"/>
    <xf numFmtId="0" fontId="19" fillId="0" borderId="39" applyAlignment="1" applyBorder="1" applyFont="1" applyFill="1">
      <alignment horizontal="right"/>
    </xf>
    <xf numFmtId="1" fontId="1" fillId="0" borderId="11" applyAlignment="1" applyBorder="1" applyFont="1" applyNumberFormat="1" applyFill="1" applyProtection="1">
      <alignment horizontal="right"/>
      <protection locked="0"/>
    </xf>
    <xf numFmtId="1" fontId="1" fillId="0" borderId="12" applyAlignment="1" applyBorder="1" applyFont="1" applyNumberFormat="1" applyFill="1" applyProtection="1">
      <alignment horizontal="right"/>
      <protection locked="0"/>
    </xf>
    <xf numFmtId="1" fontId="1" fillId="0" borderId="13" applyAlignment="1" applyBorder="1" applyFont="1" applyNumberFormat="1" applyFill="1" applyProtection="1">
      <alignment horizontal="right"/>
      <protection locked="0"/>
    </xf>
    <xf numFmtId="0" fontId="0" fillId="0" borderId="11" applyAlignment="1" applyBorder="1" applyFont="1" applyFill="1">
      <alignment horizontal="right"/>
    </xf>
    <xf numFmtId="0" fontId="1" fillId="0" borderId="13" applyAlignment="1" applyBorder="1" applyFont="1" applyFill="1">
      <alignment horizontal="right"/>
    </xf>
    <xf numFmtId="0" fontId="0" fillId="0" borderId="11" applyAlignment="1" applyBorder="1" applyFont="1" applyFill="1">
      <alignment vertical="center"/>
    </xf>
    <xf numFmtId="0" fontId="10" fillId="0" borderId="4" applyAlignment="1" applyBorder="1" applyFont="1" applyFill="1">
      <alignment horizontal="right"/>
    </xf>
    <xf numFmtId="0" fontId="15" fillId="0" borderId="39" applyAlignment="1" applyBorder="1" applyFont="1" applyFill="1">
      <alignment horizontal="right"/>
    </xf>
    <xf numFmtId="3" fontId="6" fillId="0" borderId="11" applyAlignment="1" applyBorder="1" applyFont="1" applyNumberFormat="1" applyFill="1" applyProtection="1">
      <alignment horizontal="right"/>
      <protection locked="0"/>
    </xf>
    <xf numFmtId="3" fontId="6" fillId="0" borderId="12" applyAlignment="1" applyBorder="1" applyFont="1" applyNumberFormat="1" applyFill="1" applyProtection="1">
      <alignment horizontal="right"/>
      <protection locked="0"/>
    </xf>
    <xf numFmtId="3" fontId="6" fillId="0" borderId="13" applyAlignment="1" applyBorder="1" applyFont="1" applyNumberFormat="1" applyFill="1" applyProtection="1">
      <alignment horizontal="right"/>
      <protection locked="0"/>
    </xf>
    <xf numFmtId="0" fontId="0" fillId="0" borderId="15" applyAlignment="1" applyBorder="1" applyFont="1" applyFill="1">
      <alignment horizontal="right"/>
    </xf>
    <xf numFmtId="3" fontId="0" fillId="0" borderId="14" applyAlignment="1" applyBorder="1" applyFont="1" applyNumberFormat="1" applyFill="1">
      <alignment horizontal="right"/>
    </xf>
    <xf numFmtId="0" fontId="0" fillId="0" borderId="36" applyAlignment="1" applyBorder="1" applyFont="1" applyFill="1">
      <alignment horizontal="right"/>
    </xf>
    <xf numFmtId="3" fontId="0" fillId="0" borderId="16" applyAlignment="1" applyBorder="1" applyFont="1" applyNumberFormat="1" applyFill="1">
      <alignment horizontal="right"/>
    </xf>
    <xf numFmtId="3" fontId="0" fillId="0" borderId="11" applyAlignment="1" applyBorder="1" applyFont="1" applyNumberFormat="1" applyFill="1">
      <alignment horizontal="right"/>
    </xf>
    <xf numFmtId="3" fontId="0" fillId="0" borderId="12" applyAlignment="1" applyBorder="1" applyFont="1" applyNumberFormat="1" applyFill="1">
      <alignment horizontal="right"/>
    </xf>
    <xf numFmtId="3" fontId="0" fillId="0" borderId="13" applyAlignment="1" applyBorder="1" applyFont="1" applyNumberFormat="1" applyFill="1">
      <alignment horizontal="right"/>
    </xf>
    <xf numFmtId="0" fontId="0" fillId="0" borderId="31" applyAlignment="1" applyBorder="1" applyFont="1" applyFill="1">
      <alignment horizontal="right"/>
    </xf>
    <xf numFmtId="0" fontId="0" fillId="0" borderId="21" applyAlignment="1" applyBorder="1" applyFont="1" applyFill="1">
      <alignment horizontal="right"/>
    </xf>
    <xf numFmtId="0" fontId="0" fillId="3" borderId="11" applyAlignment="1" applyBorder="1" applyFont="1" applyFill="1">
      <alignment vertical="center"/>
    </xf>
    <xf numFmtId="0" fontId="0" fillId="3" borderId="12" applyBorder="1" applyFont="1" applyFill="1"/>
    <xf numFmtId="0" fontId="10" fillId="3" borderId="4" applyAlignment="1" applyBorder="1" applyFont="1" applyFill="1">
      <alignment horizontal="right"/>
    </xf>
    <xf numFmtId="0" fontId="15" fillId="3" borderId="39" applyAlignment="1" applyBorder="1" applyFont="1" applyFill="1">
      <alignment horizontal="right"/>
    </xf>
    <xf numFmtId="3" fontId="1" fillId="3" borderId="11" applyAlignment="1" applyBorder="1" applyFont="1" applyNumberFormat="1" applyFill="1">
      <alignment horizontal="right"/>
    </xf>
    <xf numFmtId="3" fontId="1" fillId="3" borderId="12" applyAlignment="1" applyBorder="1" applyFont="1" applyNumberFormat="1" applyFill="1">
      <alignment horizontal="right"/>
    </xf>
    <xf numFmtId="3" fontId="0" fillId="3" borderId="13" applyAlignment="1" applyBorder="1" applyFont="1" applyNumberFormat="1" applyFill="1">
      <alignment horizontal="right"/>
    </xf>
    <xf numFmtId="0" fontId="5" fillId="0" borderId="39" applyAlignment="1" applyBorder="1" applyFont="1" applyFill="1">
      <alignment horizontal="right"/>
    </xf>
    <xf numFmtId="0" fontId="0" fillId="0" borderId="12" applyAlignment="1" applyBorder="1" applyFont="1" applyFill="1">
      <alignment horizontal="right"/>
    </xf>
    <xf numFmtId="0" fontId="0" fillId="3" borderId="11" applyAlignment="1" applyBorder="1" applyFont="1" applyFill="1">
      <alignment horizontal="right"/>
    </xf>
    <xf numFmtId="3" fontId="1" fillId="3" borderId="13" applyAlignment="1" applyBorder="1" applyFont="1" applyNumberFormat="1" applyFill="1">
      <alignment horizontal="right"/>
    </xf>
    <xf numFmtId="166" fontId="1" fillId="3" borderId="13" applyAlignment="1" applyBorder="1" applyFont="1" applyNumberFormat="1" applyFill="1">
      <alignment horizontal="right"/>
    </xf>
    <xf numFmtId="43" fontId="0" fillId="0" borderId="0" applyFont="1" applyNumberFormat="1" applyFill="1"/>
    <xf numFmtId="0" fontId="20" fillId="0" borderId="0" applyAlignment="1" applyBorder="1" applyFont="1" applyFill="1" applyProtection="1">
      <alignment horizontal="left" wrapText="1" vertical="top"/>
      <protection locked="0"/>
    </xf>
  </cellXfs>
  <cellStyles count="1">
    <cellStyle name="Normal" xfId="0" builtinId="0"/>
  </cellStyles>
  <dxfs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8" Type="http://schemas.openxmlformats.org/officeDocument/2006/relationships/worksheet" Target="worksheets/sheet8.xml" /><Relationship Id="rId2" Type="http://schemas.openxmlformats.org/officeDocument/2006/relationships/worksheet" Target="worksheets/sheet2.xml" /><Relationship Id="rId7" Type="http://schemas.openxmlformats.org/officeDocument/2006/relationships/worksheet" Target="worksheets/sheet7.xml" /><Relationship Id="rId5" Type="http://schemas.openxmlformats.org/officeDocument/2006/relationships/worksheet" Target="worksheets/sheet5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6" Type="http://schemas.openxmlformats.org/officeDocument/2006/relationships/worksheet" Target="worksheets/sheet6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xmlns:xdr="http://schemas.openxmlformats.org/drawingml/2006/spreadsheetDrawing" macro="" textlink="">
      <xdr:nvSpPr>
        <xdr:cNvPr id="2059" name="AutoShape 2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2552700" y="1190625"/>
          <a:ext cx="485775" cy="800100"/>
        </a:xfrm>
        <a:prstGeom xmlns:a="http://schemas.openxmlformats.org/drawingml/2006/main" prst="downArrow">
          <a:avLst>
            <a:gd name="adj1" fmla="val 50000"/>
            <a:gd name="adj2" fmla="val 41176"/>
          </a:avLst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xmlns:xdr="http://schemas.openxmlformats.org/drawingml/2006/spreadsheetDrawing" macro="" textlink="">
      <xdr:nvSpPr>
        <xdr:cNvPr id="2060" name="AutoShape 3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3695700" y="2647950"/>
          <a:ext cx="485775" cy="1123950"/>
        </a:xfrm>
        <a:prstGeom xmlns:a="http://schemas.openxmlformats.org/drawingml/2006/main" prst="downArrow">
          <a:avLst>
            <a:gd name="adj1" fmla="val 50000"/>
            <a:gd name="adj2" fmla="val 57843"/>
          </a:avLst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xmlns:xdr="http://schemas.openxmlformats.org/drawingml/2006/spreadsheetDrawing" macro="" textlink="">
      <xdr:nvSpPr>
        <xdr:cNvPr id="2061" name="AutoShape 4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3686175" y="1304925"/>
          <a:ext cx="485775" cy="704850"/>
        </a:xfrm>
        <a:prstGeom xmlns:a="http://schemas.openxmlformats.org/drawingml/2006/main" prst="downArrow">
          <a:avLst>
            <a:gd name="adj1" fmla="val 50000"/>
            <a:gd name="adj2" fmla="val 36275"/>
          </a:avLst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xmlns:xdr="http://schemas.openxmlformats.org/drawingml/2006/spreadsheetDrawing" macro="" textlink="">
      <xdr:nvSpPr>
        <xdr:cNvPr id="2062" name="Rectangle 5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3819525" y="1295400"/>
          <a:ext cx="3552825" cy="114300"/>
        </a:xfrm>
        <a:prstGeom xmlns:a="http://schemas.openxmlformats.org/drawingml/2006/main" prst="rect">
          <a:avLst/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xmlns:xdr="http://schemas.openxmlformats.org/drawingml/2006/spreadsheetDrawing" macro="" textlink="">
      <xdr:nvSpPr>
        <xdr:cNvPr id="2063" name="Rectangle 6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7143750" y="1190625"/>
          <a:ext cx="228600" cy="114300"/>
        </a:xfrm>
        <a:prstGeom xmlns:a="http://schemas.openxmlformats.org/drawingml/2006/main" prst="rect">
          <a:avLst/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xmlns:xdr="http://schemas.openxmlformats.org/drawingml/2006/spreadsheetDrawing" macro="" textlink="">
      <xdr:nvSpPr>
        <xdr:cNvPr id="7" name="AutoShape 2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2552486" y="1190625"/>
          <a:ext cx="485272" cy="799504"/>
        </a:xfrm>
        <a:prstGeom xmlns:a="http://schemas.openxmlformats.org/drawingml/2006/main" prst="downArrow">
          <a:avLst>
            <a:gd name="adj1" fmla="val 50000"/>
            <a:gd name="adj2" fmla="val 41176"/>
          </a:avLst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xmlns:xdr="http://schemas.openxmlformats.org/drawingml/2006/spreadsheetDrawing" macro="" textlink="">
      <xdr:nvSpPr>
        <xdr:cNvPr id="8" name="AutoShape 3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3694872" y="2647950"/>
          <a:ext cx="486193" cy="1123354"/>
        </a:xfrm>
        <a:prstGeom xmlns:a="http://schemas.openxmlformats.org/drawingml/2006/main" prst="downArrow">
          <a:avLst>
            <a:gd name="adj1" fmla="val 50000"/>
            <a:gd name="adj2" fmla="val 57843"/>
          </a:avLst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xmlns:xdr="http://schemas.openxmlformats.org/drawingml/2006/spreadsheetDrawing" macro="" textlink="">
      <xdr:nvSpPr>
        <xdr:cNvPr id="9" name="AutoShape 4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3684975" y="1304478"/>
          <a:ext cx="486193" cy="705259"/>
        </a:xfrm>
        <a:prstGeom xmlns:a="http://schemas.openxmlformats.org/drawingml/2006/main" prst="downArrow">
          <a:avLst>
            <a:gd name="adj1" fmla="val 50000"/>
            <a:gd name="adj2" fmla="val 36275"/>
          </a:avLst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xmlns:xdr="http://schemas.openxmlformats.org/drawingml/2006/spreadsheetDrawing" macro="" textlink="">
      <xdr:nvSpPr>
        <xdr:cNvPr id="10" name="Rectangle 5"/>
        <xdr:cNvSpPr>
          <a:spLocks xmlns:a="http://schemas.openxmlformats.org/drawingml/2006/main" noChangeArrowheads="1"/>
        </xdr:cNvSpPr>
      </xdr:nvSpPr>
      <xdr:spPr bwMode="auto">
        <a:xfrm xmlns:a="http://schemas.openxmlformats.org/drawingml/2006/main">
          <a:off x="3818585" y="1294990"/>
          <a:ext cx="3552983" cy="114486"/>
        </a:xfrm>
        <a:prstGeom xmlns:a="http://schemas.openxmlformats.org/drawingml/2006/main" prst="rect">
          <a:avLst/>
        </a:prstGeom>
        <a:solidFill xmlns:a="http://schemas.openxmlformats.org/drawingml/2006/main">
          <a:srgbClr val="3366FF"/>
        </a:solidFill>
        <a:ln xmlns:a="http://schemas.openxmlformats.org/drawingml/2006/main"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/xl/drawings/vmlDrawing1.v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/xl/drawings/drawing1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/>
  <sheetViews>
    <sheetView showGridLines="0" tabSelected="1" topLeftCell="A1" workbookViewId="0">
      <selection activeCell="A5" sqref="A5:E5"/>
    </sheetView>
  </sheetViews>
  <sheetFormatPr defaultColWidth="9.1484375" defaultRowHeight="12.75"/>
  <cols>
    <col min="1" max="1" width="20.28515625" customWidth="1" style="21"/>
    <col min="2" max="2" width="11.42578125" customWidth="1" style="21"/>
    <col min="3" max="3" width="22" customWidth="1" style="21"/>
    <col min="4" max="5" width="12.85546875" customWidth="1" style="21"/>
    <col min="6" max="16384" width="11.42578125" customWidth="1" style="21"/>
  </cols>
  <sheetData>
    <row r="1" s="21" customFormat="1" ht="27.75" customHeight="1">
      <c r="A1" s="39" t="s">
        <v>0</v>
      </c>
      <c r="B1" s="39"/>
      <c r="C1" s="39"/>
      <c r="D1" s="39"/>
      <c r="E1" s="39"/>
    </row>
    <row r="2" s="21" customFormat="1" ht="27.75" customHeight="1">
      <c r="A2" s="39" t="s">
        <v>1</v>
      </c>
      <c r="B2" s="39"/>
      <c r="C2" s="39"/>
      <c r="D2" s="39"/>
      <c r="E2" s="39"/>
    </row>
    <row r="3" s="21" customFormat="1" ht="24.75" customHeight="1">
      <c r="A3" s="22"/>
      <c r="B3" s="22"/>
      <c r="C3" s="22"/>
      <c r="D3" s="22"/>
      <c r="E3" s="22"/>
    </row>
    <row r="4" s="21" customFormat="1" ht="18" customHeight="1">
      <c r="A4" s="23"/>
      <c r="B4" s="23"/>
      <c r="C4" s="23"/>
      <c r="D4" s="23"/>
      <c r="E4" s="23"/>
    </row>
    <row r="5" s="21" customFormat="1" ht="18" customHeight="1">
      <c r="A5" s="38" t="s">
        <f>"Année de référence "&amp;C30</f>
        <v>2</v>
      </c>
      <c r="B5" s="38"/>
      <c r="C5" s="38"/>
      <c r="D5" s="38"/>
      <c r="E5" s="38"/>
    </row>
    <row r="6" s="21" customFormat="1"/>
    <row r="7" s="21" customFormat="1"/>
    <row r="8" s="21" customFormat="1"/>
    <row r="9" s="21" customFormat="1"/>
    <row r="10" s="21" customFormat="1"/>
    <row r="11" s="21" customFormat="1">
      <c r="A11" s="24" t="s">
        <v>3</v>
      </c>
      <c r="B11" s="24" t="s">
        <v>4</v>
      </c>
      <c r="C11" s="25"/>
      <c r="D11" s="25"/>
      <c r="E11" s="26"/>
    </row>
    <row r="12" s="21" customFormat="1">
      <c r="A12" s="27" t="s">
        <v>5</v>
      </c>
      <c r="B12" s="27" t="s">
        <v>6</v>
      </c>
      <c r="C12" s="28"/>
      <c r="D12" s="28"/>
      <c r="E12" s="29"/>
    </row>
    <row r="13" s="21" customFormat="1">
      <c r="A13" s="27" t="s">
        <v>7</v>
      </c>
      <c r="B13" s="27" t="s">
        <v>8</v>
      </c>
      <c r="C13" s="28"/>
      <c r="D13" s="28"/>
      <c r="E13" s="29"/>
    </row>
    <row r="14" s="21" customFormat="1">
      <c r="A14" s="27" t="s">
        <v>9</v>
      </c>
      <c r="B14" s="27" t="s">
        <v>10</v>
      </c>
      <c r="C14" s="28"/>
      <c r="D14" s="28"/>
      <c r="E14" s="29"/>
    </row>
    <row r="15" s="21" customFormat="1">
      <c r="A15" s="27" t="s">
        <v>11</v>
      </c>
      <c r="B15" s="27" t="s">
        <v>12</v>
      </c>
      <c r="C15" s="28"/>
      <c r="D15" s="28"/>
      <c r="E15" s="29"/>
    </row>
    <row r="16" s="21" customFormat="1">
      <c r="A16" s="27" t="s">
        <v>13</v>
      </c>
      <c r="B16" s="27" t="s">
        <v>14</v>
      </c>
      <c r="C16" s="28"/>
      <c r="D16" s="28"/>
      <c r="E16" s="29"/>
    </row>
    <row r="17" s="21" customFormat="1">
      <c r="A17" s="30" t="s">
        <v>15</v>
      </c>
      <c r="B17" s="27" t="s">
        <v>16</v>
      </c>
      <c r="C17" s="28"/>
      <c r="D17" s="28"/>
      <c r="E17" s="29"/>
    </row>
    <row r="18" s="21" customFormat="1">
      <c r="A18" s="30" t="s">
        <v>17</v>
      </c>
      <c r="B18" s="28" t="s">
        <v>18</v>
      </c>
      <c r="C18" s="28"/>
      <c r="D18" s="28"/>
      <c r="E18" s="29"/>
    </row>
    <row r="19" s="21" customFormat="1"/>
    <row r="20" s="21" customFormat="1"/>
    <row r="21" s="21" customFormat="1"/>
    <row r="22" s="21" customFormat="1"/>
    <row r="23" s="21" customFormat="1"/>
    <row r="24" s="21" customFormat="1"/>
    <row r="25" s="21" customFormat="1">
      <c r="B25" s="31" t="s">
        <v>19</v>
      </c>
      <c r="C25" s="32"/>
    </row>
    <row r="26" s="21" customFormat="1">
      <c r="B26" s="33" t="s">
        <v>20</v>
      </c>
      <c r="C26" s="34" t="s">
        <v>21</v>
      </c>
    </row>
    <row r="27" s="21" customFormat="1">
      <c r="B27" s="33" t="s">
        <v>22</v>
      </c>
      <c r="C27" s="35" t="s">
        <v>23</v>
      </c>
    </row>
    <row r="28" s="21" customFormat="1">
      <c r="B28" s="33" t="s">
        <v>24</v>
      </c>
      <c r="C28" s="35" t="s">
        <v>25</v>
      </c>
    </row>
    <row r="29" s="21" customFormat="1">
      <c r="B29" s="33" t="s">
        <v>26</v>
      </c>
      <c r="C29" s="35" t="s">
        <v>27</v>
      </c>
    </row>
    <row r="30" s="21" customFormat="1">
      <c r="B30" s="33" t="s">
        <v>28</v>
      </c>
      <c r="C30" s="36">
        <v>2010</v>
      </c>
    </row>
    <row r="31">
      <c r="B31" s="37"/>
    </row>
  </sheetData>
  <mergeCells count="3">
    <mergeCell ref="A2:E2"/>
    <mergeCell ref="A1:E1"/>
    <mergeCell ref="A5:E5"/>
  </mergeCells>
  <conditionalFormatting sqref="C26:C30">
    <cfRule type="expression" dxfId="0" operator="notContains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1">
    <pageSetUpPr fitToPage="1"/>
  </sheetPr>
  <sheetViews>
    <sheetView showGridLines="0" topLeftCell="A1" workbookViewId="0">
      <selection activeCell="G6" sqref="G6"/>
    </sheetView>
  </sheetViews>
  <sheetFormatPr defaultColWidth="9.140625" defaultRowHeight="12.75"/>
  <cols>
    <col min="1" max="1" width="1.42578125" customWidth="1" style="40"/>
    <col min="2" max="5" width="16.42578125" customWidth="1" style="21"/>
    <col min="6" max="9" width="17.5703125" customWidth="1" style="21"/>
  </cols>
  <sheetData>
    <row r="1" ht="39.75" customHeight="1">
      <c r="A1" s="40"/>
      <c r="B1" s="41" t="s">
        <f>"Potentiel de ressources "&amp;Info!C30</f>
        <v>29</v>
      </c>
      <c r="C1" s="41"/>
      <c r="D1" s="41"/>
      <c r="E1" s="42"/>
      <c r="F1" s="42"/>
      <c r="G1" s="42"/>
      <c r="H1" s="43"/>
      <c r="I1" s="44">
        <f>Info!$C$28</f>
        <v>0</v>
      </c>
    </row>
    <row r="2" s="21" customFormat="1">
      <c r="A2" s="40"/>
      <c r="B2" s="45" t="s">
        <v>30</v>
      </c>
      <c r="C2" s="46" t="s">
        <v>31</v>
      </c>
      <c r="D2" s="46" t="s">
        <v>32</v>
      </c>
      <c r="E2" s="46" t="s">
        <v>33</v>
      </c>
      <c r="F2" s="46" t="s">
        <v>34</v>
      </c>
      <c r="G2" s="46" t="s">
        <v>35</v>
      </c>
      <c r="H2" s="46" t="s">
        <v>36</v>
      </c>
      <c r="I2" s="47" t="s">
        <v>37</v>
      </c>
    </row>
    <row r="3" s="48" customFormat="1" ht="11.25" customHeight="1">
      <c r="A3" s="40"/>
      <c r="B3" s="49" t="s">
        <v>38</v>
      </c>
      <c r="C3" s="50"/>
      <c r="D3" s="50"/>
      <c r="E3" s="50"/>
      <c r="F3" s="51" t="s">
        <v>39</v>
      </c>
      <c r="G3" s="52"/>
      <c r="H3" s="51" t="s">
        <v>40</v>
      </c>
      <c r="I3" s="53" t="s">
        <v>41</v>
      </c>
    </row>
    <row r="4" ht="38.25" customHeight="1">
      <c r="B4" s="54"/>
      <c r="C4" s="55" t="s">
        <f>"AFA "&amp;Info!C30-6</f>
        <v>42</v>
      </c>
      <c r="D4" s="55" t="s">
        <f>"AFA "&amp;Info!C30-5</f>
        <v>43</v>
      </c>
      <c r="E4" s="55" t="s">
        <f>"AFA "&amp;Info!C30-4</f>
        <v>44</v>
      </c>
      <c r="F4" s="55" t="s">
        <v>45</v>
      </c>
      <c r="G4" s="55" t="s">
        <v>8</v>
      </c>
      <c r="H4" s="55" t="s">
        <v>46</v>
      </c>
      <c r="I4" s="56" t="s">
        <v>47</v>
      </c>
    </row>
    <row r="5" s="57" customFormat="1" ht="11.25" customHeight="1">
      <c r="A5" s="40"/>
      <c r="B5" s="58" t="s">
        <v>48</v>
      </c>
      <c r="C5" s="59" t="s">
        <f>"AFA_"&amp;Info!$C$30&amp;"_"&amp;Info!$C$30-6</f>
        <v>49</v>
      </c>
      <c r="D5" s="59" t="s">
        <f>"AFA_"&amp;Info!$C$30&amp;"_"&amp;Info!$C$30-5</f>
        <v>50</v>
      </c>
      <c r="E5" s="59" t="s">
        <f>"AFA_"&amp;Info!$C$30&amp;"_"&amp;Info!$C$30-4</f>
        <v>51</v>
      </c>
      <c r="F5" s="60"/>
      <c r="G5" s="60"/>
      <c r="H5" s="60"/>
      <c r="I5" s="61"/>
    </row>
    <row r="6" s="57" customFormat="1" ht="11.25" customHeight="1">
      <c r="A6" s="40"/>
      <c r="B6" s="62" t="s">
        <v>52</v>
      </c>
      <c r="C6" s="63" t="s">
        <v>53</v>
      </c>
      <c r="D6" s="63" t="s">
        <v>53</v>
      </c>
      <c r="E6" s="63" t="s">
        <v>53</v>
      </c>
      <c r="F6" s="63" t="s">
        <v>53</v>
      </c>
      <c r="G6" s="63" t="s">
        <v>54</v>
      </c>
      <c r="H6" s="63" t="s">
        <v>55</v>
      </c>
      <c r="I6" s="64"/>
    </row>
    <row r="7">
      <c r="B7" s="65" t="s">
        <v>56</v>
      </c>
      <c r="C7" s="66">
        <v>45840843.6154039</v>
      </c>
      <c r="D7" s="66">
        <v>52754164.4080401</v>
      </c>
      <c r="E7" s="66">
        <v>49947793.9824594</v>
      </c>
      <c r="F7" s="67" t="e">
        <f>AVERAGE(C7:E7)</f>
        <v/>
      </c>
      <c r="G7" s="68" t="e">
        <f>Population!F7</f>
        <v/>
      </c>
      <c r="H7" s="68" t="e">
        <f>F7/G7*1000</f>
        <v/>
      </c>
      <c r="I7" s="69" t="e">
        <f>ROUND(H7/H$33*100,1)</f>
        <v/>
      </c>
    </row>
    <row r="8">
      <c r="B8" s="70" t="s">
        <v>57</v>
      </c>
      <c r="C8" s="71">
        <v>20173283.3925677</v>
      </c>
      <c r="D8" s="71">
        <v>21706917.3930114</v>
      </c>
      <c r="E8" s="71">
        <v>22153479.2635542</v>
      </c>
      <c r="F8" s="72" t="e">
        <f>AVERAGE(C8:E8)</f>
        <v/>
      </c>
      <c r="G8" s="73" t="e">
        <f>Population!F8</f>
        <v/>
      </c>
      <c r="H8" s="73" t="e">
        <f>F8/G8*1000</f>
        <v/>
      </c>
      <c r="I8" s="74" t="e">
        <f>ROUND(H8/H$33*100,1)</f>
        <v/>
      </c>
    </row>
    <row r="9">
      <c r="B9" s="54" t="s">
        <v>58</v>
      </c>
      <c r="C9" s="75">
        <v>7360620.19551428</v>
      </c>
      <c r="D9" s="75">
        <v>7911374.1266592</v>
      </c>
      <c r="E9" s="75">
        <v>8069014.99759731</v>
      </c>
      <c r="F9" s="76" t="e">
        <f>AVERAGE(C9:E9)</f>
        <v/>
      </c>
      <c r="G9" s="77" t="e">
        <f>Population!F9</f>
        <v/>
      </c>
      <c r="H9" s="77" t="e">
        <f>F9/G9*1000</f>
        <v/>
      </c>
      <c r="I9" s="78" t="e">
        <f>ROUND(H9/H$33*100,1)</f>
        <v/>
      </c>
    </row>
    <row r="10">
      <c r="B10" s="70" t="s">
        <v>59</v>
      </c>
      <c r="C10" s="71">
        <v>570454.140215854</v>
      </c>
      <c r="D10" s="71">
        <v>594416.394184956</v>
      </c>
      <c r="E10" s="71">
        <v>582944.130532745</v>
      </c>
      <c r="F10" s="72" t="e">
        <f>AVERAGE(C10:E10)</f>
        <v/>
      </c>
      <c r="G10" s="73" t="e">
        <f>Population!F10</f>
        <v/>
      </c>
      <c r="H10" s="73" t="e">
        <f>F10/G10*1000</f>
        <v/>
      </c>
      <c r="I10" s="74" t="e">
        <f>ROUND(H10/H$33*100,1)</f>
        <v/>
      </c>
    </row>
    <row r="11">
      <c r="B11" s="54" t="s">
        <v>60</v>
      </c>
      <c r="C11" s="75">
        <v>4583090.52543897</v>
      </c>
      <c r="D11" s="75">
        <v>5044354.60543448</v>
      </c>
      <c r="E11" s="75">
        <v>5805034.57435305</v>
      </c>
      <c r="F11" s="76" t="e">
        <f>AVERAGE(C11:E11)</f>
        <v/>
      </c>
      <c r="G11" s="77" t="e">
        <f>Population!F11</f>
        <v/>
      </c>
      <c r="H11" s="77" t="e">
        <f>F11/G11*1000</f>
        <v/>
      </c>
      <c r="I11" s="78" t="e">
        <f>ROUND(H11/H$33*100,1)</f>
        <v/>
      </c>
    </row>
    <row r="12">
      <c r="B12" s="70" t="s">
        <v>61</v>
      </c>
      <c r="C12" s="71">
        <v>610155.040733583</v>
      </c>
      <c r="D12" s="71">
        <v>620073.553296679</v>
      </c>
      <c r="E12" s="71">
        <v>807445.258225645</v>
      </c>
      <c r="F12" s="72" t="e">
        <f>AVERAGE(C12:E12)</f>
        <v/>
      </c>
      <c r="G12" s="73" t="e">
        <f>Population!F12</f>
        <v/>
      </c>
      <c r="H12" s="73" t="e">
        <f>F12/G12*1000</f>
        <v/>
      </c>
      <c r="I12" s="74" t="e">
        <f>ROUND(H12/H$33*100,1)</f>
        <v/>
      </c>
    </row>
    <row r="13">
      <c r="B13" s="54" t="s">
        <v>62</v>
      </c>
      <c r="C13" s="75">
        <v>1315314.78357687</v>
      </c>
      <c r="D13" s="75">
        <v>1508964.15860061</v>
      </c>
      <c r="E13" s="75">
        <v>1429251.07628175</v>
      </c>
      <c r="F13" s="76" t="e">
        <f>AVERAGE(C13:E13)</f>
        <v/>
      </c>
      <c r="G13" s="77" t="e">
        <f>Population!F13</f>
        <v/>
      </c>
      <c r="H13" s="77" t="e">
        <f>F13/G13*1000</f>
        <v/>
      </c>
      <c r="I13" s="78" t="e">
        <f>ROUND(H13/H$33*100,1)</f>
        <v/>
      </c>
    </row>
    <row r="14">
      <c r="B14" s="70" t="s">
        <v>63</v>
      </c>
      <c r="C14" s="71">
        <v>730835.982965239</v>
      </c>
      <c r="D14" s="71">
        <v>755575.073999542</v>
      </c>
      <c r="E14" s="71">
        <v>752294.216811614</v>
      </c>
      <c r="F14" s="72" t="e">
        <f>AVERAGE(C14:E14)</f>
        <v/>
      </c>
      <c r="G14" s="73" t="e">
        <f>Population!F14</f>
        <v/>
      </c>
      <c r="H14" s="73" t="e">
        <f>F14/G14*1000</f>
        <v/>
      </c>
      <c r="I14" s="74" t="e">
        <f>ROUND(H14/H$33*100,1)</f>
        <v/>
      </c>
    </row>
    <row r="15">
      <c r="B15" s="54" t="s">
        <v>64</v>
      </c>
      <c r="C15" s="75">
        <v>6311816.88446122</v>
      </c>
      <c r="D15" s="75">
        <v>7459175.03934911</v>
      </c>
      <c r="E15" s="75">
        <v>8081759.85824408</v>
      </c>
      <c r="F15" s="76" t="e">
        <f>AVERAGE(C15:E15)</f>
        <v/>
      </c>
      <c r="G15" s="77" t="e">
        <f>Population!F15</f>
        <v/>
      </c>
      <c r="H15" s="77" t="e">
        <f>F15/G15*1000</f>
        <v/>
      </c>
      <c r="I15" s="78" t="e">
        <f>ROUND(H15/H$33*100,1)</f>
        <v/>
      </c>
    </row>
    <row r="16">
      <c r="B16" s="70" t="s">
        <v>65</v>
      </c>
      <c r="C16" s="71">
        <v>5102016.02163531</v>
      </c>
      <c r="D16" s="71">
        <v>5247383.28890004</v>
      </c>
      <c r="E16" s="71">
        <v>5397769.93345662</v>
      </c>
      <c r="F16" s="72" t="e">
        <f>AVERAGE(C16:E16)</f>
        <v/>
      </c>
      <c r="G16" s="73" t="e">
        <f>Population!F16</f>
        <v/>
      </c>
      <c r="H16" s="73" t="e">
        <f>F16/G16*1000</f>
        <v/>
      </c>
      <c r="I16" s="74" t="e">
        <f>ROUND(H16/H$33*100,1)</f>
        <v/>
      </c>
    </row>
    <row r="17">
      <c r="B17" s="54" t="s">
        <v>66</v>
      </c>
      <c r="C17" s="75">
        <v>5201270.89551199</v>
      </c>
      <c r="D17" s="75">
        <v>5507010.35785484</v>
      </c>
      <c r="E17" s="75">
        <v>5875097.2843346</v>
      </c>
      <c r="F17" s="76" t="e">
        <f>AVERAGE(C17:E17)</f>
        <v/>
      </c>
      <c r="G17" s="77" t="e">
        <f>Population!F17</f>
        <v/>
      </c>
      <c r="H17" s="77" t="e">
        <f>F17/G17*1000</f>
        <v/>
      </c>
      <c r="I17" s="78" t="e">
        <f>ROUND(H17/H$33*100,1)</f>
        <v/>
      </c>
    </row>
    <row r="18">
      <c r="B18" s="70" t="s">
        <v>67</v>
      </c>
      <c r="C18" s="71">
        <v>7202539.32198114</v>
      </c>
      <c r="D18" s="71">
        <v>7691479.96843331</v>
      </c>
      <c r="E18" s="71">
        <v>8116393.11897866</v>
      </c>
      <c r="F18" s="72" t="e">
        <f>AVERAGE(C18:E18)</f>
        <v/>
      </c>
      <c r="G18" s="73" t="e">
        <f>Population!F18</f>
        <v/>
      </c>
      <c r="H18" s="73" t="e">
        <f>F18/G18*1000</f>
        <v/>
      </c>
      <c r="I18" s="74" t="e">
        <f>ROUND(H18/H$33*100,1)</f>
        <v/>
      </c>
    </row>
    <row r="19">
      <c r="B19" s="54" t="s">
        <v>68</v>
      </c>
      <c r="C19" s="75">
        <v>7496657.13257147</v>
      </c>
      <c r="D19" s="75">
        <v>7749142.15401747</v>
      </c>
      <c r="E19" s="75">
        <v>8037873.44774236</v>
      </c>
      <c r="F19" s="76" t="e">
        <f>AVERAGE(C19:E19)</f>
        <v/>
      </c>
      <c r="G19" s="77" t="e">
        <f>Population!F19</f>
        <v/>
      </c>
      <c r="H19" s="77" t="e">
        <f>F19/G19*1000</f>
        <v/>
      </c>
      <c r="I19" s="78" t="e">
        <f>ROUND(H19/H$33*100,1)</f>
        <v/>
      </c>
    </row>
    <row r="20">
      <c r="B20" s="70" t="s">
        <v>69</v>
      </c>
      <c r="C20" s="71">
        <v>1956896.16341625</v>
      </c>
      <c r="D20" s="71">
        <v>2079735.97630619</v>
      </c>
      <c r="E20" s="71">
        <v>2135684.80733022</v>
      </c>
      <c r="F20" s="72" t="e">
        <f>AVERAGE(C20:E20)</f>
        <v/>
      </c>
      <c r="G20" s="73" t="e">
        <f>Population!F20</f>
        <v/>
      </c>
      <c r="H20" s="73" t="e">
        <f>F20/G20*1000</f>
        <v/>
      </c>
      <c r="I20" s="74" t="e">
        <f>ROUND(H20/H$33*100,1)</f>
        <v/>
      </c>
    </row>
    <row r="21">
      <c r="B21" s="54" t="s">
        <v>70</v>
      </c>
      <c r="C21" s="75">
        <v>1106613.62437191</v>
      </c>
      <c r="D21" s="75">
        <v>1123721.32659761</v>
      </c>
      <c r="E21" s="75">
        <v>1195150.18036821</v>
      </c>
      <c r="F21" s="76" t="e">
        <f>AVERAGE(C21:E21)</f>
        <v/>
      </c>
      <c r="G21" s="77" t="e">
        <f>Population!F21</f>
        <v/>
      </c>
      <c r="H21" s="77" t="e">
        <f>F21/G21*1000</f>
        <v/>
      </c>
      <c r="I21" s="78" t="e">
        <f>ROUND(H21/H$33*100,1)</f>
        <v/>
      </c>
    </row>
    <row r="22">
      <c r="B22" s="70" t="s">
        <v>71</v>
      </c>
      <c r="C22" s="71">
        <v>314702.1083137</v>
      </c>
      <c r="D22" s="71">
        <v>367008.107270581</v>
      </c>
      <c r="E22" s="71">
        <v>353271.989013633</v>
      </c>
      <c r="F22" s="72" t="e">
        <f>AVERAGE(C22:E22)</f>
        <v/>
      </c>
      <c r="G22" s="73" t="e">
        <f>Population!F22</f>
        <v/>
      </c>
      <c r="H22" s="73" t="e">
        <f>F22/G22*1000</f>
        <v/>
      </c>
      <c r="I22" s="74" t="e">
        <f>ROUND(H22/H$33*100,1)</f>
        <v/>
      </c>
    </row>
    <row r="23">
      <c r="B23" s="54" t="s">
        <v>72</v>
      </c>
      <c r="C23" s="75">
        <v>9601502.33555699</v>
      </c>
      <c r="D23" s="75">
        <v>10058314.3977003</v>
      </c>
      <c r="E23" s="75">
        <v>10070703.0812157</v>
      </c>
      <c r="F23" s="76" t="e">
        <f>AVERAGE(C23:E23)</f>
        <v/>
      </c>
      <c r="G23" s="77" t="e">
        <f>Population!F23</f>
        <v/>
      </c>
      <c r="H23" s="77" t="e">
        <f>F23/G23*1000</f>
        <v/>
      </c>
      <c r="I23" s="78" t="e">
        <f>ROUND(H23/H$33*100,1)</f>
        <v/>
      </c>
    </row>
    <row r="24">
      <c r="B24" s="70" t="s">
        <v>73</v>
      </c>
      <c r="C24" s="71">
        <v>4281314.17356281</v>
      </c>
      <c r="D24" s="71">
        <v>4460270.35770629</v>
      </c>
      <c r="E24" s="71">
        <v>4474543.03799165</v>
      </c>
      <c r="F24" s="72" t="e">
        <f>AVERAGE(C24:E24)</f>
        <v/>
      </c>
      <c r="G24" s="73" t="e">
        <f>Population!F24</f>
        <v/>
      </c>
      <c r="H24" s="73" t="e">
        <f>F24/G24*1000</f>
        <v/>
      </c>
      <c r="I24" s="74" t="e">
        <f>ROUND(H24/H$33*100,1)</f>
        <v/>
      </c>
    </row>
    <row r="25">
      <c r="B25" s="54" t="s">
        <v>74</v>
      </c>
      <c r="C25" s="75">
        <v>13394513.5005037</v>
      </c>
      <c r="D25" s="75">
        <v>14230312.1806834</v>
      </c>
      <c r="E25" s="75">
        <v>14642777.3265885</v>
      </c>
      <c r="F25" s="76" t="e">
        <f>AVERAGE(C25:E25)</f>
        <v/>
      </c>
      <c r="G25" s="77" t="e">
        <f>Population!F25</f>
        <v/>
      </c>
      <c r="H25" s="77" t="e">
        <f>F25/G25*1000</f>
        <v/>
      </c>
      <c r="I25" s="78" t="e">
        <f>ROUND(H25/H$33*100,1)</f>
        <v/>
      </c>
    </row>
    <row r="26">
      <c r="B26" s="70" t="s">
        <v>75</v>
      </c>
      <c r="C26" s="71">
        <v>4766181.51734997</v>
      </c>
      <c r="D26" s="71">
        <v>4959583.3955121</v>
      </c>
      <c r="E26" s="71">
        <v>5212405.83545191</v>
      </c>
      <c r="F26" s="72" t="e">
        <f>AVERAGE(C26:E26)</f>
        <v/>
      </c>
      <c r="G26" s="73" t="e">
        <f>Population!F26</f>
        <v/>
      </c>
      <c r="H26" s="73" t="e">
        <f>F26/G26*1000</f>
        <v/>
      </c>
      <c r="I26" s="74" t="e">
        <f>ROUND(H26/H$33*100,1)</f>
        <v/>
      </c>
    </row>
    <row r="27">
      <c r="B27" s="54" t="s">
        <v>76</v>
      </c>
      <c r="C27" s="75">
        <v>8363583.22231071</v>
      </c>
      <c r="D27" s="75">
        <v>8828642.84273122</v>
      </c>
      <c r="E27" s="75">
        <v>9438771.93317438</v>
      </c>
      <c r="F27" s="76" t="e">
        <f>AVERAGE(C27:E27)</f>
        <v/>
      </c>
      <c r="G27" s="77" t="e">
        <f>Population!F27</f>
        <v/>
      </c>
      <c r="H27" s="77" t="e">
        <f>F27/G27*1000</f>
        <v/>
      </c>
      <c r="I27" s="78" t="e">
        <f>ROUND(H27/H$33*100,1)</f>
        <v/>
      </c>
    </row>
    <row r="28">
      <c r="B28" s="70" t="s">
        <v>77</v>
      </c>
      <c r="C28" s="71">
        <v>19159291.137408</v>
      </c>
      <c r="D28" s="71">
        <v>18281833.7704038</v>
      </c>
      <c r="E28" s="71">
        <v>24187152.9777865</v>
      </c>
      <c r="F28" s="72" t="e">
        <f>AVERAGE(C28:E28)</f>
        <v/>
      </c>
      <c r="G28" s="73" t="e">
        <f>Population!F28</f>
        <v/>
      </c>
      <c r="H28" s="73" t="e">
        <f>F28/G28*1000</f>
        <v/>
      </c>
      <c r="I28" s="74" t="e">
        <f>ROUND(H28/H$33*100,1)</f>
        <v/>
      </c>
    </row>
    <row r="29">
      <c r="B29" s="54" t="s">
        <v>78</v>
      </c>
      <c r="C29" s="75">
        <v>5415174.6535766</v>
      </c>
      <c r="D29" s="75">
        <v>5613222.72035309</v>
      </c>
      <c r="E29" s="75">
        <v>5658239.60294854</v>
      </c>
      <c r="F29" s="76" t="e">
        <f>AVERAGE(C29:E29)</f>
        <v/>
      </c>
      <c r="G29" s="77" t="e">
        <f>Population!F29</f>
        <v/>
      </c>
      <c r="H29" s="77" t="e">
        <f>F29/G29*1000</f>
        <v/>
      </c>
      <c r="I29" s="78" t="e">
        <f>ROUND(H29/H$33*100,1)</f>
        <v/>
      </c>
    </row>
    <row r="30">
      <c r="B30" s="70" t="s">
        <v>79</v>
      </c>
      <c r="C30" s="71">
        <v>4516854.75310978</v>
      </c>
      <c r="D30" s="71">
        <v>4917367.44425535</v>
      </c>
      <c r="E30" s="71">
        <v>4556741.70772248</v>
      </c>
      <c r="F30" s="72" t="e">
        <f>AVERAGE(C30:E30)</f>
        <v/>
      </c>
      <c r="G30" s="73" t="e">
        <f>Population!F30</f>
        <v/>
      </c>
      <c r="H30" s="73" t="e">
        <f>F30/G30*1000</f>
        <v/>
      </c>
      <c r="I30" s="74" t="e">
        <f>ROUND(H30/H$33*100,1)</f>
        <v/>
      </c>
    </row>
    <row r="31">
      <c r="B31" s="54" t="s">
        <v>80</v>
      </c>
      <c r="C31" s="75">
        <v>17455320.0390399</v>
      </c>
      <c r="D31" s="75">
        <v>19408328.853172</v>
      </c>
      <c r="E31" s="75">
        <v>19448854.3405859</v>
      </c>
      <c r="F31" s="76" t="e">
        <f>AVERAGE(C31:E31)</f>
        <v/>
      </c>
      <c r="G31" s="77" t="e">
        <f>Population!F31</f>
        <v/>
      </c>
      <c r="H31" s="77" t="e">
        <f>F31/G31*1000</f>
        <v/>
      </c>
      <c r="I31" s="78" t="e">
        <f>ROUND(H31/H$33*100,1)</f>
        <v/>
      </c>
    </row>
    <row r="32">
      <c r="B32" s="70" t="s">
        <v>81</v>
      </c>
      <c r="C32" s="71">
        <v>1287377.65551833</v>
      </c>
      <c r="D32" s="71">
        <v>1283734.3821507</v>
      </c>
      <c r="E32" s="71">
        <v>1269579.47952148</v>
      </c>
      <c r="F32" s="72" t="e">
        <f>AVERAGE(C32:E32)</f>
        <v/>
      </c>
      <c r="G32" s="73" t="e">
        <f>Population!F32</f>
        <v/>
      </c>
      <c r="H32" s="73" t="e">
        <f>F32/G32*1000</f>
        <v/>
      </c>
      <c r="I32" s="74" t="e">
        <f>ROUND(H32/H$33*100,1)</f>
        <v/>
      </c>
    </row>
    <row r="33">
      <c r="B33" s="79" t="s">
        <v>82</v>
      </c>
      <c r="C33" s="80">
        <f>SUM(C7:C32)</f>
        <v>0</v>
      </c>
      <c r="D33" s="80">
        <f>SUM(D7:D32)</f>
        <v>0</v>
      </c>
      <c r="E33" s="80">
        <f>SUM(E7:E32)</f>
        <v>0</v>
      </c>
      <c r="F33" s="80" t="e">
        <f>SUM(F7:F32)</f>
        <v/>
      </c>
      <c r="G33" s="80" t="e">
        <f>SUM(G7:G32)</f>
        <v/>
      </c>
      <c r="H33" s="80" t="e">
        <f>F33/G33*1000</f>
        <v/>
      </c>
      <c r="I33" s="81" t="e">
        <f>ROUND(H33/H$33*100,1)</f>
        <v/>
      </c>
    </row>
  </sheetData>
  <conditionalFormatting sqref="C7:F32">
    <cfRule type="expression" dxfId="0" operator="notContains" priority="1" stopIfTrue="1">
      <formula>ISBLANK(C7)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 codeName="Sheet2">
    <pageSetUpPr fitToPage="1"/>
  </sheetPr>
  <sheetViews>
    <sheetView showGridLines="0" topLeftCell="A1" workbookViewId="0"/>
  </sheetViews>
  <sheetFormatPr defaultColWidth="11.42578125" defaultRowHeight="12.75"/>
  <cols>
    <col min="1" max="1" width="1.42578125" customWidth="1" style="21"/>
    <col min="2" max="2" width="17.7109375" customWidth="1" style="21"/>
    <col min="3" max="6" width="18.5703125" customWidth="1" style="21"/>
  </cols>
  <sheetData>
    <row r="1" ht="38.25" customHeight="1">
      <c r="B1" s="41" t="s">
        <f>"Population déterminante "&amp;Info!C30</f>
        <v>83</v>
      </c>
      <c r="C1" s="41"/>
      <c r="D1" s="41"/>
      <c r="E1" s="42"/>
      <c r="F1" s="44">
        <f>Info!$C$28</f>
        <v>0</v>
      </c>
    </row>
    <row r="2" s="21" customFormat="1">
      <c r="A2" s="82"/>
      <c r="B2" s="83" t="s">
        <v>30</v>
      </c>
      <c r="C2" s="84" t="s">
        <v>31</v>
      </c>
      <c r="D2" s="84" t="s">
        <v>32</v>
      </c>
      <c r="E2" s="84" t="s">
        <v>33</v>
      </c>
      <c r="F2" s="85" t="s">
        <v>34</v>
      </c>
    </row>
    <row r="3" s="57" customFormat="1" ht="11.25" customHeight="1">
      <c r="A3" s="86"/>
      <c r="B3" s="87" t="s">
        <v>38</v>
      </c>
      <c r="C3" s="88"/>
      <c r="D3" s="88"/>
      <c r="E3" s="88"/>
      <c r="F3" s="89" t="s">
        <v>39</v>
      </c>
    </row>
    <row r="4" ht="25.5" customHeight="1">
      <c r="A4" s="90"/>
      <c r="B4" s="91"/>
      <c r="C4" s="116" t="s">
        <v>84</v>
      </c>
      <c r="D4" s="117"/>
      <c r="E4" s="118"/>
      <c r="F4" s="92" t="s">
        <v>8</v>
      </c>
    </row>
    <row r="5" ht="19.5" customHeight="1">
      <c r="A5" s="90"/>
      <c r="B5" s="93"/>
      <c r="C5" s="94">
        <v>2004</v>
      </c>
      <c r="D5" s="95">
        <v>2005</v>
      </c>
      <c r="E5" s="96">
        <v>2006</v>
      </c>
      <c r="F5" s="97">
        <f>Info!C30</f>
        <v>0</v>
      </c>
    </row>
    <row r="6">
      <c r="A6" s="90"/>
      <c r="B6" s="98" t="s">
        <v>85</v>
      </c>
      <c r="C6" s="99" t="s">
        <v>86</v>
      </c>
      <c r="D6" s="100" t="s">
        <v>86</v>
      </c>
      <c r="E6" s="101" t="s">
        <v>86</v>
      </c>
      <c r="F6" s="102"/>
    </row>
    <row r="7">
      <c r="A7" s="90"/>
      <c r="B7" s="65" t="s">
        <v>56</v>
      </c>
      <c r="C7" s="103">
        <v>1281018</v>
      </c>
      <c r="D7" s="66">
        <v>1292481</v>
      </c>
      <c r="E7" s="104">
        <v>1306603</v>
      </c>
      <c r="F7" s="105" t="e">
        <f>AVERAGE(C7:E7)</f>
        <v/>
      </c>
    </row>
    <row r="8">
      <c r="A8" s="90"/>
      <c r="B8" s="70" t="s">
        <v>57</v>
      </c>
      <c r="C8" s="106">
        <v>961647</v>
      </c>
      <c r="D8" s="71">
        <v>963657</v>
      </c>
      <c r="E8" s="107">
        <v>966743</v>
      </c>
      <c r="F8" s="108" t="e">
        <f>AVERAGE(C8:E8)</f>
        <v/>
      </c>
    </row>
    <row r="9">
      <c r="A9" s="90"/>
      <c r="B9" s="54" t="s">
        <v>58</v>
      </c>
      <c r="C9" s="109">
        <v>353891</v>
      </c>
      <c r="D9" s="75">
        <v>355766</v>
      </c>
      <c r="E9" s="110">
        <v>358257</v>
      </c>
      <c r="F9" s="111" t="e">
        <f>AVERAGE(C9:E9)</f>
        <v/>
      </c>
    </row>
    <row r="10">
      <c r="A10" s="90"/>
      <c r="B10" s="70" t="s">
        <v>59</v>
      </c>
      <c r="C10" s="106">
        <v>34765</v>
      </c>
      <c r="D10" s="71">
        <v>34652</v>
      </c>
      <c r="E10" s="107">
        <v>34575</v>
      </c>
      <c r="F10" s="108" t="e">
        <f>AVERAGE(C10:E10)</f>
        <v/>
      </c>
    </row>
    <row r="11">
      <c r="A11" s="90"/>
      <c r="B11" s="54" t="s">
        <v>60</v>
      </c>
      <c r="C11" s="109">
        <v>135175</v>
      </c>
      <c r="D11" s="75">
        <v>136509</v>
      </c>
      <c r="E11" s="110">
        <v>138160</v>
      </c>
      <c r="F11" s="111" t="e">
        <f>AVERAGE(C11:E11)</f>
        <v/>
      </c>
    </row>
    <row r="12">
      <c r="A12" s="90"/>
      <c r="B12" s="70" t="s">
        <v>61</v>
      </c>
      <c r="C12" s="106">
        <v>33050</v>
      </c>
      <c r="D12" s="71">
        <v>33078</v>
      </c>
      <c r="E12" s="107">
        <v>33405</v>
      </c>
      <c r="F12" s="108" t="e">
        <f>AVERAGE(C12:E12)</f>
        <v/>
      </c>
    </row>
    <row r="13">
      <c r="A13" s="90"/>
      <c r="B13" s="54" t="s">
        <v>62</v>
      </c>
      <c r="C13" s="109">
        <v>38741</v>
      </c>
      <c r="D13" s="75">
        <v>39094</v>
      </c>
      <c r="E13" s="110">
        <v>39374</v>
      </c>
      <c r="F13" s="111" t="e">
        <f>AVERAGE(C13:E13)</f>
        <v/>
      </c>
    </row>
    <row r="14">
      <c r="A14" s="90"/>
      <c r="B14" s="70" t="s">
        <v>63</v>
      </c>
      <c r="C14" s="106">
        <v>38273</v>
      </c>
      <c r="D14" s="71">
        <v>38098</v>
      </c>
      <c r="E14" s="107">
        <v>38001</v>
      </c>
      <c r="F14" s="108" t="e">
        <f>AVERAGE(C14:E14)</f>
        <v/>
      </c>
    </row>
    <row r="15">
      <c r="A15" s="90"/>
      <c r="B15" s="54" t="s">
        <v>64</v>
      </c>
      <c r="C15" s="109">
        <v>104680</v>
      </c>
      <c r="D15" s="75">
        <v>106350</v>
      </c>
      <c r="E15" s="110">
        <v>107352</v>
      </c>
      <c r="F15" s="111" t="e">
        <f>AVERAGE(C15:E15)</f>
        <v/>
      </c>
    </row>
    <row r="16">
      <c r="A16" s="90"/>
      <c r="B16" s="70" t="s">
        <v>65</v>
      </c>
      <c r="C16" s="106">
        <v>251943</v>
      </c>
      <c r="D16" s="71">
        <v>255462</v>
      </c>
      <c r="E16" s="107">
        <v>259775</v>
      </c>
      <c r="F16" s="108" t="e">
        <f>AVERAGE(C16:E16)</f>
        <v/>
      </c>
    </row>
    <row r="17">
      <c r="A17" s="90"/>
      <c r="B17" s="54" t="s">
        <v>66</v>
      </c>
      <c r="C17" s="109">
        <v>246139</v>
      </c>
      <c r="D17" s="75">
        <v>246852</v>
      </c>
      <c r="E17" s="110">
        <v>247562</v>
      </c>
      <c r="F17" s="111" t="e">
        <f>AVERAGE(C17:E17)</f>
        <v/>
      </c>
    </row>
    <row r="18">
      <c r="A18" s="90"/>
      <c r="B18" s="70" t="s">
        <v>67</v>
      </c>
      <c r="C18" s="106">
        <v>190948</v>
      </c>
      <c r="D18" s="71">
        <v>190536</v>
      </c>
      <c r="E18" s="107">
        <v>190324</v>
      </c>
      <c r="F18" s="108" t="e">
        <f>AVERAGE(C18:E18)</f>
        <v/>
      </c>
    </row>
    <row r="19">
      <c r="A19" s="90"/>
      <c r="B19" s="54" t="s">
        <v>68</v>
      </c>
      <c r="C19" s="109">
        <v>264028</v>
      </c>
      <c r="D19" s="75">
        <v>264664</v>
      </c>
      <c r="E19" s="110">
        <v>265829</v>
      </c>
      <c r="F19" s="111" t="e">
        <f>AVERAGE(C19:E19)</f>
        <v/>
      </c>
    </row>
    <row r="20">
      <c r="A20" s="90"/>
      <c r="B20" s="70" t="s">
        <v>69</v>
      </c>
      <c r="C20" s="106">
        <v>74165</v>
      </c>
      <c r="D20" s="71">
        <v>74116</v>
      </c>
      <c r="E20" s="107">
        <v>74335</v>
      </c>
      <c r="F20" s="108" t="e">
        <f>AVERAGE(C20:E20)</f>
        <v/>
      </c>
    </row>
    <row r="21">
      <c r="A21" s="90"/>
      <c r="B21" s="54" t="s">
        <v>70</v>
      </c>
      <c r="C21" s="109">
        <v>52540</v>
      </c>
      <c r="D21" s="75">
        <v>52410</v>
      </c>
      <c r="E21" s="110">
        <v>52280</v>
      </c>
      <c r="F21" s="111" t="e">
        <f>AVERAGE(C21:E21)</f>
        <v/>
      </c>
    </row>
    <row r="22">
      <c r="A22" s="90"/>
      <c r="B22" s="70" t="s">
        <v>71</v>
      </c>
      <c r="C22" s="106">
        <v>14675</v>
      </c>
      <c r="D22" s="71">
        <v>14987</v>
      </c>
      <c r="E22" s="107">
        <v>15140</v>
      </c>
      <c r="F22" s="108" t="e">
        <f>AVERAGE(C22:E22)</f>
        <v/>
      </c>
    </row>
    <row r="23">
      <c r="A23" s="90"/>
      <c r="B23" s="54" t="s">
        <v>72</v>
      </c>
      <c r="C23" s="109">
        <v>459377</v>
      </c>
      <c r="D23" s="75">
        <v>460917</v>
      </c>
      <c r="E23" s="110">
        <v>463020</v>
      </c>
      <c r="F23" s="111" t="e">
        <f>AVERAGE(C23:E23)</f>
        <v/>
      </c>
    </row>
    <row r="24">
      <c r="A24" s="90"/>
      <c r="B24" s="70" t="s">
        <v>73</v>
      </c>
      <c r="C24" s="106">
        <v>191618</v>
      </c>
      <c r="D24" s="71">
        <v>191297</v>
      </c>
      <c r="E24" s="107">
        <v>191441</v>
      </c>
      <c r="F24" s="108" t="e">
        <f>AVERAGE(C24:E24)</f>
        <v/>
      </c>
    </row>
    <row r="25">
      <c r="A25" s="90"/>
      <c r="B25" s="54" t="s">
        <v>74</v>
      </c>
      <c r="C25" s="109">
        <v>563334</v>
      </c>
      <c r="D25" s="75">
        <v>567228</v>
      </c>
      <c r="E25" s="110">
        <v>572719</v>
      </c>
      <c r="F25" s="111" t="e">
        <f>AVERAGE(C25:E25)</f>
        <v/>
      </c>
    </row>
    <row r="26">
      <c r="A26" s="90"/>
      <c r="B26" s="70" t="s">
        <v>75</v>
      </c>
      <c r="C26" s="106">
        <v>232953</v>
      </c>
      <c r="D26" s="71">
        <v>234021</v>
      </c>
      <c r="E26" s="107">
        <v>235922</v>
      </c>
      <c r="F26" s="108" t="e">
        <f>AVERAGE(C26:E26)</f>
        <v/>
      </c>
    </row>
    <row r="27">
      <c r="A27" s="90"/>
      <c r="B27" s="54" t="s">
        <v>76</v>
      </c>
      <c r="C27" s="109">
        <v>319394</v>
      </c>
      <c r="D27" s="75">
        <v>322145</v>
      </c>
      <c r="E27" s="110">
        <v>324837</v>
      </c>
      <c r="F27" s="111" t="e">
        <f>AVERAGE(C27:E27)</f>
        <v/>
      </c>
    </row>
    <row r="28">
      <c r="A28" s="90"/>
      <c r="B28" s="70" t="s">
        <v>77</v>
      </c>
      <c r="C28" s="106">
        <v>656405</v>
      </c>
      <c r="D28" s="71">
        <v>663530</v>
      </c>
      <c r="E28" s="107">
        <v>671432</v>
      </c>
      <c r="F28" s="108" t="e">
        <f>AVERAGE(C28:E28)</f>
        <v/>
      </c>
    </row>
    <row r="29">
      <c r="A29" s="90"/>
      <c r="B29" s="54" t="s">
        <v>78</v>
      </c>
      <c r="C29" s="109">
        <v>286549</v>
      </c>
      <c r="D29" s="75">
        <v>289527</v>
      </c>
      <c r="E29" s="110">
        <v>293304</v>
      </c>
      <c r="F29" s="111" t="e">
        <f>AVERAGE(C29:E29)</f>
        <v/>
      </c>
    </row>
    <row r="30">
      <c r="A30" s="90"/>
      <c r="B30" s="70" t="s">
        <v>79</v>
      </c>
      <c r="C30" s="106">
        <v>168676</v>
      </c>
      <c r="D30" s="71">
        <v>169259</v>
      </c>
      <c r="E30" s="107">
        <v>169407</v>
      </c>
      <c r="F30" s="108" t="e">
        <f>AVERAGE(C30:E30)</f>
        <v/>
      </c>
    </row>
    <row r="31">
      <c r="A31" s="90"/>
      <c r="B31" s="54" t="s">
        <v>80</v>
      </c>
      <c r="C31" s="109">
        <v>432235</v>
      </c>
      <c r="D31" s="75">
        <v>436721</v>
      </c>
      <c r="E31" s="110">
        <v>439785</v>
      </c>
      <c r="F31" s="111" t="e">
        <f>AVERAGE(C31:E31)</f>
        <v/>
      </c>
    </row>
    <row r="32">
      <c r="A32" s="90"/>
      <c r="B32" s="70" t="s">
        <v>81</v>
      </c>
      <c r="C32" s="106">
        <v>67893</v>
      </c>
      <c r="D32" s="71">
        <v>67898</v>
      </c>
      <c r="E32" s="107">
        <v>68027</v>
      </c>
      <c r="F32" s="108" t="e">
        <f>AVERAGE(C32:E32)</f>
        <v/>
      </c>
    </row>
    <row r="33">
      <c r="A33" s="112"/>
      <c r="B33" s="79" t="s">
        <v>82</v>
      </c>
      <c r="C33" s="113">
        <f>SUM(C7:C32)</f>
        <v>0</v>
      </c>
      <c r="D33" s="80">
        <f>SUM(D7:D32)</f>
        <v>0</v>
      </c>
      <c r="E33" s="114">
        <f>SUM(E7:E32)</f>
        <v>0</v>
      </c>
      <c r="F33" s="115" t="e">
        <f>SUM(F7:F32)</f>
        <v/>
      </c>
    </row>
  </sheetData>
  <mergeCells count="1">
    <mergeCell ref="C4:E4"/>
  </mergeCells>
  <conditionalFormatting sqref="C7:E32 C5:F5">
    <cfRule type="expression" dxfId="0" operator="notContains" priority="1" stopIfTrue="1">
      <formula>ISBLANK(C5)</formula>
    </cfRule>
  </conditionalFormatting>
  <conditionalFormatting sqref="C7:E32 C5:F5">
    <cfRule type="expression" dxfId="1" operator="notContains" priority="2" stopIfTrue="1">
      <formula>ISBLANK(C5)</formula>
    </cfRule>
  </conditionalFormatting>
  <conditionalFormatting sqref="C7:E32 C5:F5">
    <cfRule type="expression" dxfId="2" operator="notContains" priority="3" stopIfTrue="1">
      <formula>ISBLANK(C5)</formula>
    </cfRule>
  </conditionalFormatting>
  <conditionalFormatting sqref="C5:E5">
    <cfRule type="expression" dxfId="3" operator="notContains" priority="4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3">
    <pageSetUpPr fitToPage="1"/>
  </sheetPr>
  <sheetViews>
    <sheetView showGridLines="0" topLeftCell="A1" workbookViewId="0"/>
  </sheetViews>
  <sheetFormatPr defaultColWidth="11.42578125" defaultRowHeight="12.75"/>
  <cols>
    <col min="1" max="1" width="1.42578125" customWidth="1" style="21"/>
    <col min="2" max="2" width="15.85546875" customWidth="1" style="21"/>
    <col min="3" max="3" width="14" customWidth="1" style="21"/>
    <col min="4" max="5" width="13.28515625" customWidth="1" style="21"/>
    <col min="6" max="6" width="13.7109375" customWidth="1" style="21"/>
    <col min="7" max="8" width="13.28515625" customWidth="1" style="21"/>
    <col min="9" max="9" width="14" customWidth="1" style="21"/>
  </cols>
  <sheetData>
    <row r="1" ht="26.25" customHeight="1">
      <c r="B1" s="119" t="s">
        <f>"Croissance du potentiel de ressources "&amp;Info!C30</f>
        <v>87</v>
      </c>
      <c r="C1" s="119"/>
      <c r="D1" s="119"/>
      <c r="E1" s="119"/>
      <c r="F1" s="119"/>
      <c r="G1" s="119"/>
      <c r="H1" s="43"/>
      <c r="I1" s="15"/>
    </row>
    <row r="2" ht="18.75" customHeight="1">
      <c r="G2" s="15"/>
      <c r="H2" s="15"/>
      <c r="I2" s="44">
        <f>Info!$C$28</f>
        <v>0</v>
      </c>
    </row>
    <row r="3">
      <c r="B3" s="83" t="s">
        <v>30</v>
      </c>
      <c r="C3" s="84" t="s">
        <v>31</v>
      </c>
      <c r="D3" s="84" t="s">
        <v>32</v>
      </c>
      <c r="E3" s="84" t="s">
        <v>33</v>
      </c>
      <c r="F3" s="84" t="s">
        <v>34</v>
      </c>
      <c r="G3" s="84" t="s">
        <v>35</v>
      </c>
      <c r="H3" s="84" t="s">
        <v>36</v>
      </c>
      <c r="I3" s="85" t="s">
        <v>37</v>
      </c>
    </row>
    <row r="4" ht="25.5" customHeight="1">
      <c r="A4" s="90"/>
      <c r="B4" s="65"/>
      <c r="C4" s="167" t="s">
        <f>"Indice de ressources "&amp;Info!C30</f>
        <v>88</v>
      </c>
      <c r="D4" s="162" t="s">
        <v>89</v>
      </c>
      <c r="E4" s="163"/>
      <c r="F4" s="164"/>
      <c r="G4" s="165" t="s">
        <v>90</v>
      </c>
      <c r="H4" s="165"/>
      <c r="I4" s="166"/>
    </row>
    <row r="5" ht="25.5" customHeight="1">
      <c r="A5" s="90"/>
      <c r="B5" s="120"/>
      <c r="C5" s="168"/>
      <c r="D5" s="121">
        <f>Info!C30-1</f>
        <v>-1</v>
      </c>
      <c r="E5" s="122">
        <f>Info!C30</f>
        <v>0</v>
      </c>
      <c r="F5" s="123" t="s">
        <v>91</v>
      </c>
      <c r="G5" s="122">
        <f>D5</f>
        <v>-1</v>
      </c>
      <c r="H5" s="122">
        <f>E5</f>
        <v>0</v>
      </c>
      <c r="I5" s="124" t="s">
        <v>91</v>
      </c>
    </row>
    <row r="6">
      <c r="A6" s="125"/>
      <c r="B6" s="98" t="s">
        <v>52</v>
      </c>
      <c r="C6" s="126" t="s">
        <v>92</v>
      </c>
      <c r="D6" s="127" t="s">
        <v>53</v>
      </c>
      <c r="E6" s="128" t="s">
        <v>53</v>
      </c>
      <c r="F6" s="129" t="s">
        <v>93</v>
      </c>
      <c r="G6" s="128" t="s">
        <v>53</v>
      </c>
      <c r="H6" s="128" t="s">
        <v>53</v>
      </c>
      <c r="I6" s="130" t="s">
        <v>93</v>
      </c>
    </row>
    <row r="7">
      <c r="A7" s="125"/>
      <c r="B7" s="65" t="s">
        <v>56</v>
      </c>
      <c r="C7" s="131" t="e">
        <f>PotR!I7</f>
        <v/>
      </c>
      <c r="D7" s="132">
        <v>46542441.483056</v>
      </c>
      <c r="E7" s="133" t="e">
        <f>PotR!F7</f>
        <v/>
      </c>
      <c r="F7" s="134" t="e">
        <f>E7/D7-1</f>
        <v/>
      </c>
      <c r="G7" s="68" t="e">
        <f>IF($C7&gt;100,D7,"")</f>
        <v/>
      </c>
      <c r="H7" s="68" t="e">
        <f>IF($C7&gt;100,E7,"")</f>
        <v/>
      </c>
      <c r="I7" s="135" t="e">
        <f>IF(C7&gt;=100,H7/G7-1,"")</f>
        <v/>
      </c>
    </row>
    <row r="8">
      <c r="A8" s="125"/>
      <c r="B8" s="136" t="s">
        <v>57</v>
      </c>
      <c r="C8" s="137" t="e">
        <f>PotR!I8</f>
        <v/>
      </c>
      <c r="D8" s="138">
        <v>20511267.200184</v>
      </c>
      <c r="E8" s="139" t="e">
        <f>PotR!F8</f>
        <v/>
      </c>
      <c r="F8" s="140" t="e">
        <f>E8/D8-1</f>
        <v/>
      </c>
      <c r="G8" s="73" t="e">
        <f>IF($C8&gt;100,D8,"")</f>
        <v/>
      </c>
      <c r="H8" s="73" t="e">
        <f>IF($C8&gt;100,E8,"")</f>
        <v/>
      </c>
      <c r="I8" s="141" t="e">
        <f>IF(C8&gt;=100,H8/G8-1,"")</f>
        <v/>
      </c>
    </row>
    <row r="9">
      <c r="A9" s="125"/>
      <c r="B9" s="142" t="s">
        <v>58</v>
      </c>
      <c r="C9" s="143" t="e">
        <f>PotR!I9</f>
        <v/>
      </c>
      <c r="D9" s="144">
        <v>7499792.70370899</v>
      </c>
      <c r="E9" s="145" t="e">
        <f>PotR!F9</f>
        <v/>
      </c>
      <c r="F9" s="146" t="e">
        <f>E9/D9-1</f>
        <v/>
      </c>
      <c r="G9" s="77" t="e">
        <f>IF($C9&gt;100,D9,"")</f>
        <v/>
      </c>
      <c r="H9" s="77" t="e">
        <f>IF($C9&gt;100,E9,"")</f>
        <v/>
      </c>
      <c r="I9" s="147" t="e">
        <f>IF(C9&gt;=100,H9/G9-1,"")</f>
        <v/>
      </c>
    </row>
    <row r="10">
      <c r="A10" s="125"/>
      <c r="B10" s="136" t="s">
        <v>59</v>
      </c>
      <c r="C10" s="137" t="e">
        <f>PotR!I10</f>
        <v/>
      </c>
      <c r="D10" s="138">
        <v>582948.174645852</v>
      </c>
      <c r="E10" s="139" t="e">
        <f>PotR!F10</f>
        <v/>
      </c>
      <c r="F10" s="140" t="e">
        <f>E10/D10-1</f>
        <v/>
      </c>
      <c r="G10" s="73" t="e">
        <f>IF($C10&gt;100,D10,"")</f>
        <v/>
      </c>
      <c r="H10" s="73" t="e">
        <f>IF($C10&gt;100,E10,"")</f>
        <v/>
      </c>
      <c r="I10" s="141" t="e">
        <f>IF(C10&gt;=100,H10/G10-1,"")</f>
        <v/>
      </c>
    </row>
    <row r="11">
      <c r="A11" s="125"/>
      <c r="B11" s="142" t="s">
        <v>60</v>
      </c>
      <c r="C11" s="143" t="e">
        <f>PotR!I11</f>
        <v/>
      </c>
      <c r="D11" s="144">
        <v>4672834.59873008</v>
      </c>
      <c r="E11" s="145" t="e">
        <f>PotR!F11</f>
        <v/>
      </c>
      <c r="F11" s="146" t="e">
        <f>E11/D11-1</f>
        <v/>
      </c>
      <c r="G11" s="77" t="e">
        <f>IF($C11&gt;100,D11,"")</f>
        <v/>
      </c>
      <c r="H11" s="77" t="e">
        <f>IF($C11&gt;100,E11,"")</f>
        <v/>
      </c>
      <c r="I11" s="147" t="e">
        <f>IF(C11&gt;=100,H11/G11-1,"")</f>
        <v/>
      </c>
    </row>
    <row r="12">
      <c r="A12" s="125"/>
      <c r="B12" s="136" t="s">
        <v>61</v>
      </c>
      <c r="C12" s="137" t="e">
        <f>PotR!I12</f>
        <v/>
      </c>
      <c r="D12" s="138">
        <v>604450.496952954</v>
      </c>
      <c r="E12" s="139" t="e">
        <f>PotR!F12</f>
        <v/>
      </c>
      <c r="F12" s="140" t="e">
        <f>E12/D12-1</f>
        <v/>
      </c>
      <c r="G12" s="73" t="e">
        <f>IF($C12&gt;100,D12,"")</f>
        <v/>
      </c>
      <c r="H12" s="73" t="e">
        <f>IF($C12&gt;100,E12,"")</f>
        <v/>
      </c>
      <c r="I12" s="141" t="e">
        <f>IF(C12&gt;=100,H12/G12-1,"")</f>
        <v/>
      </c>
    </row>
    <row r="13">
      <c r="A13" s="125"/>
      <c r="B13" s="142" t="s">
        <v>62</v>
      </c>
      <c r="C13" s="143" t="e">
        <f>PotR!I13</f>
        <v/>
      </c>
      <c r="D13" s="144">
        <v>1370299.00229491</v>
      </c>
      <c r="E13" s="145" t="e">
        <f>PotR!F13</f>
        <v/>
      </c>
      <c r="F13" s="146" t="e">
        <f>E13/D13-1</f>
        <v/>
      </c>
      <c r="G13" s="77" t="e">
        <f>IF($C13&gt;100,D13,"")</f>
        <v/>
      </c>
      <c r="H13" s="77" t="e">
        <f>IF($C13&gt;100,E13,"")</f>
        <v/>
      </c>
      <c r="I13" s="147" t="e">
        <f>IF(C13&gt;=100,H13/G13-1,"")</f>
        <v/>
      </c>
    </row>
    <row r="14">
      <c r="A14" s="125"/>
      <c r="B14" s="136" t="s">
        <v>63</v>
      </c>
      <c r="C14" s="137" t="e">
        <f>PotR!I14</f>
        <v/>
      </c>
      <c r="D14" s="138">
        <v>729372.651813679</v>
      </c>
      <c r="E14" s="139" t="e">
        <f>PotR!F14</f>
        <v/>
      </c>
      <c r="F14" s="140" t="e">
        <f>E14/D14-1</f>
        <v/>
      </c>
      <c r="G14" s="73" t="e">
        <f>IF($C14&gt;100,D14,"")</f>
        <v/>
      </c>
      <c r="H14" s="73" t="e">
        <f>IF($C14&gt;100,E14,"")</f>
        <v/>
      </c>
      <c r="I14" s="141" t="e">
        <f>IF(C14&gt;=100,H14/G14-1,"")</f>
        <v/>
      </c>
    </row>
    <row r="15">
      <c r="A15" s="125"/>
      <c r="B15" s="142" t="s">
        <v>64</v>
      </c>
      <c r="C15" s="143" t="e">
        <f>PotR!I15</f>
        <v/>
      </c>
      <c r="D15" s="144">
        <v>6491833.46143407</v>
      </c>
      <c r="E15" s="145" t="e">
        <f>PotR!F15</f>
        <v/>
      </c>
      <c r="F15" s="146" t="e">
        <f>E15/D15-1</f>
        <v/>
      </c>
      <c r="G15" s="77" t="e">
        <f>IF($C15&gt;100,D15,"")</f>
        <v/>
      </c>
      <c r="H15" s="77" t="e">
        <f>IF($C15&gt;100,E15,"")</f>
        <v/>
      </c>
      <c r="I15" s="147" t="e">
        <f>IF(C15&gt;=100,H15/G15-1,"")</f>
        <v/>
      </c>
    </row>
    <row r="16">
      <c r="A16" s="125"/>
      <c r="B16" s="136" t="s">
        <v>65</v>
      </c>
      <c r="C16" s="137" t="e">
        <f>PotR!I16</f>
        <v/>
      </c>
      <c r="D16" s="138">
        <v>5129029.94091924</v>
      </c>
      <c r="E16" s="139" t="e">
        <f>PotR!F16</f>
        <v/>
      </c>
      <c r="F16" s="140" t="e">
        <f>E16/D16-1</f>
        <v/>
      </c>
      <c r="G16" s="73" t="e">
        <f>IF($C16&gt;100,D16,"")</f>
        <v/>
      </c>
      <c r="H16" s="73" t="e">
        <f>IF($C16&gt;100,E16,"")</f>
        <v/>
      </c>
      <c r="I16" s="141" t="e">
        <f>IF(C16&gt;=100,H16/G16-1,"")</f>
        <v/>
      </c>
    </row>
    <row r="17">
      <c r="A17" s="125"/>
      <c r="B17" s="142" t="s">
        <v>66</v>
      </c>
      <c r="C17" s="143" t="e">
        <f>PotR!I17</f>
        <v/>
      </c>
      <c r="D17" s="144">
        <v>5197748.2073285</v>
      </c>
      <c r="E17" s="145" t="e">
        <f>PotR!F17</f>
        <v/>
      </c>
      <c r="F17" s="146" t="e">
        <f>E17/D17-1</f>
        <v/>
      </c>
      <c r="G17" s="77" t="e">
        <f>IF($C17&gt;100,D17,"")</f>
        <v/>
      </c>
      <c r="H17" s="77" t="e">
        <f>IF($C17&gt;100,E17,"")</f>
        <v/>
      </c>
      <c r="I17" s="147" t="e">
        <f>IF(C17&gt;=100,H17/G17-1,"")</f>
        <v/>
      </c>
    </row>
    <row r="18">
      <c r="A18" s="125"/>
      <c r="B18" s="136" t="s">
        <v>67</v>
      </c>
      <c r="C18" s="137" t="e">
        <f>PotR!I18</f>
        <v/>
      </c>
      <c r="D18" s="138">
        <v>7366252.54118175</v>
      </c>
      <c r="E18" s="139" t="e">
        <f>PotR!F18</f>
        <v/>
      </c>
      <c r="F18" s="140" t="e">
        <f>E18/D18-1</f>
        <v/>
      </c>
      <c r="G18" s="73" t="e">
        <f>IF($C18&gt;100,D18,"")</f>
        <v/>
      </c>
      <c r="H18" s="73" t="e">
        <f>IF($C18&gt;100,E18,"")</f>
        <v/>
      </c>
      <c r="I18" s="141" t="e">
        <f>IF(C18&gt;=100,H18/G18-1,"")</f>
        <v/>
      </c>
    </row>
    <row r="19">
      <c r="A19" s="125"/>
      <c r="B19" s="142" t="s">
        <v>68</v>
      </c>
      <c r="C19" s="143" t="e">
        <f>PotR!I19</f>
        <v/>
      </c>
      <c r="D19" s="144">
        <v>7497557.21107665</v>
      </c>
      <c r="E19" s="145" t="e">
        <f>PotR!F19</f>
        <v/>
      </c>
      <c r="F19" s="146" t="e">
        <f>E19/D19-1</f>
        <v/>
      </c>
      <c r="G19" s="77" t="e">
        <f>IF($C19&gt;100,D19,"")</f>
        <v/>
      </c>
      <c r="H19" s="77" t="e">
        <f>IF($C19&gt;100,E19,"")</f>
        <v/>
      </c>
      <c r="I19" s="147" t="e">
        <f>IF(C19&gt;=100,H19/G19-1,"")</f>
        <v/>
      </c>
    </row>
    <row r="20">
      <c r="A20" s="125"/>
      <c r="B20" s="136" t="s">
        <v>69</v>
      </c>
      <c r="C20" s="137" t="e">
        <f>PotR!I20</f>
        <v/>
      </c>
      <c r="D20" s="138">
        <v>1973612.86856707</v>
      </c>
      <c r="E20" s="139" t="e">
        <f>PotR!F20</f>
        <v/>
      </c>
      <c r="F20" s="140" t="e">
        <f>E20/D20-1</f>
        <v/>
      </c>
      <c r="G20" s="73" t="e">
        <f>IF($C20&gt;100,D20,"")</f>
        <v/>
      </c>
      <c r="H20" s="73" t="e">
        <f>IF($C20&gt;100,E20,"")</f>
        <v/>
      </c>
      <c r="I20" s="141" t="e">
        <f>IF(C20&gt;=100,H20/G20-1,"")</f>
        <v/>
      </c>
    </row>
    <row r="21">
      <c r="A21" s="125"/>
      <c r="B21" s="142" t="s">
        <v>70</v>
      </c>
      <c r="C21" s="143" t="e">
        <f>PotR!I21</f>
        <v/>
      </c>
      <c r="D21" s="144">
        <v>1105416.78606993</v>
      </c>
      <c r="E21" s="145" t="e">
        <f>PotR!F21</f>
        <v/>
      </c>
      <c r="F21" s="146" t="e">
        <f>E21/D21-1</f>
        <v/>
      </c>
      <c r="G21" s="77" t="e">
        <f>IF($C21&gt;100,D21,"")</f>
        <v/>
      </c>
      <c r="H21" s="77" t="e">
        <f>IF($C21&gt;100,E21,"")</f>
        <v/>
      </c>
      <c r="I21" s="147" t="e">
        <f>IF(C21&gt;=100,H21/G21-1,"")</f>
        <v/>
      </c>
    </row>
    <row r="22">
      <c r="A22" s="125"/>
      <c r="B22" s="136" t="s">
        <v>71</v>
      </c>
      <c r="C22" s="137" t="e">
        <f>PotR!I22</f>
        <v/>
      </c>
      <c r="D22" s="138">
        <v>331937.485907013</v>
      </c>
      <c r="E22" s="139" t="e">
        <f>PotR!F22</f>
        <v/>
      </c>
      <c r="F22" s="140" t="e">
        <f>E22/D22-1</f>
        <v/>
      </c>
      <c r="G22" s="73" t="e">
        <f>IF($C22&gt;100,D22,"")</f>
        <v/>
      </c>
      <c r="H22" s="73" t="e">
        <f>IF($C22&gt;100,E22,"")</f>
        <v/>
      </c>
      <c r="I22" s="141" t="e">
        <f>IF(C22&gt;=100,H22/G22-1,"")</f>
        <v/>
      </c>
    </row>
    <row r="23">
      <c r="A23" s="125"/>
      <c r="B23" s="142" t="s">
        <v>72</v>
      </c>
      <c r="C23" s="143" t="e">
        <f>PotR!I23</f>
        <v/>
      </c>
      <c r="D23" s="144">
        <v>9683586.01393933</v>
      </c>
      <c r="E23" s="145" t="e">
        <f>PotR!F23</f>
        <v/>
      </c>
      <c r="F23" s="146" t="e">
        <f>E23/D23-1</f>
        <v/>
      </c>
      <c r="G23" s="77" t="e">
        <f>IF($C23&gt;100,D23,"")</f>
        <v/>
      </c>
      <c r="H23" s="77" t="e">
        <f>IF($C23&gt;100,E23,"")</f>
        <v/>
      </c>
      <c r="I23" s="147" t="e">
        <f>IF(C23&gt;=100,H23/G23-1,"")</f>
        <v/>
      </c>
    </row>
    <row r="24">
      <c r="A24" s="125"/>
      <c r="B24" s="136" t="s">
        <v>73</v>
      </c>
      <c r="C24" s="137" t="e">
        <f>PotR!I24</f>
        <v/>
      </c>
      <c r="D24" s="138">
        <v>4289217.35443821</v>
      </c>
      <c r="E24" s="139" t="e">
        <f>PotR!F24</f>
        <v/>
      </c>
      <c r="F24" s="140" t="e">
        <f>E24/D24-1</f>
        <v/>
      </c>
      <c r="G24" s="73" t="e">
        <f>IF($C24&gt;100,D24,"")</f>
        <v/>
      </c>
      <c r="H24" s="73" t="e">
        <f>IF($C24&gt;100,E24,"")</f>
        <v/>
      </c>
      <c r="I24" s="141" t="e">
        <f>IF(C24&gt;=100,H24/G24-1,"")</f>
        <v/>
      </c>
    </row>
    <row r="25">
      <c r="A25" s="125"/>
      <c r="B25" s="142" t="s">
        <v>74</v>
      </c>
      <c r="C25" s="143" t="e">
        <f>PotR!I25</f>
        <v/>
      </c>
      <c r="D25" s="144">
        <v>13673848.7969092</v>
      </c>
      <c r="E25" s="145" t="e">
        <f>PotR!F25</f>
        <v/>
      </c>
      <c r="F25" s="146" t="e">
        <f>E25/D25-1</f>
        <v/>
      </c>
      <c r="G25" s="77" t="e">
        <f>IF($C25&gt;100,D25,"")</f>
        <v/>
      </c>
      <c r="H25" s="77" t="e">
        <f>IF($C25&gt;100,E25,"")</f>
        <v/>
      </c>
      <c r="I25" s="147" t="e">
        <f>IF(C25&gt;=100,H25/G25-1,"")</f>
        <v/>
      </c>
    </row>
    <row r="26">
      <c r="A26" s="125"/>
      <c r="B26" s="136" t="s">
        <v>75</v>
      </c>
      <c r="C26" s="137" t="e">
        <f>PotR!I26</f>
        <v/>
      </c>
      <c r="D26" s="138">
        <v>4735611.22829617</v>
      </c>
      <c r="E26" s="139" t="e">
        <f>PotR!F26</f>
        <v/>
      </c>
      <c r="F26" s="140" t="e">
        <f>E26/D26-1</f>
        <v/>
      </c>
      <c r="G26" s="73" t="e">
        <f>IF($C26&gt;100,D26,"")</f>
        <v/>
      </c>
      <c r="H26" s="73" t="e">
        <f>IF($C26&gt;100,E26,"")</f>
        <v/>
      </c>
      <c r="I26" s="141" t="e">
        <f>IF(C26&gt;=100,H26/G26-1,"")</f>
        <v/>
      </c>
    </row>
    <row r="27">
      <c r="A27" s="125"/>
      <c r="B27" s="142" t="s">
        <v>76</v>
      </c>
      <c r="C27" s="143" t="e">
        <f>PotR!I27</f>
        <v/>
      </c>
      <c r="D27" s="144">
        <v>8477925.86259678</v>
      </c>
      <c r="E27" s="145" t="e">
        <f>PotR!F27</f>
        <v/>
      </c>
      <c r="F27" s="146" t="e">
        <f>E27/D27-1</f>
        <v/>
      </c>
      <c r="G27" s="77" t="e">
        <f>IF($C27&gt;100,D27,"")</f>
        <v/>
      </c>
      <c r="H27" s="77" t="e">
        <f>IF($C27&gt;100,E27,"")</f>
        <v/>
      </c>
      <c r="I27" s="147" t="e">
        <f>IF(C27&gt;=100,H27/G27-1,"")</f>
        <v/>
      </c>
    </row>
    <row r="28">
      <c r="A28" s="125"/>
      <c r="B28" s="136" t="s">
        <v>77</v>
      </c>
      <c r="C28" s="137" t="e">
        <f>PotR!I28</f>
        <v/>
      </c>
      <c r="D28" s="138">
        <v>18439738.0804466</v>
      </c>
      <c r="E28" s="139" t="e">
        <f>PotR!F28</f>
        <v/>
      </c>
      <c r="F28" s="140" t="e">
        <f>E28/D28-1</f>
        <v/>
      </c>
      <c r="G28" s="73" t="e">
        <f>IF($C28&gt;100,D28,"")</f>
        <v/>
      </c>
      <c r="H28" s="73" t="e">
        <f>IF($C28&gt;100,E28,"")</f>
        <v/>
      </c>
      <c r="I28" s="141" t="e">
        <f>IF(C28&gt;=100,H28/G28-1,"")</f>
        <v/>
      </c>
    </row>
    <row r="29">
      <c r="A29" s="125"/>
      <c r="B29" s="142" t="s">
        <v>78</v>
      </c>
      <c r="C29" s="143" t="e">
        <f>PotR!I29</f>
        <v/>
      </c>
      <c r="D29" s="144">
        <v>5399844.20024375</v>
      </c>
      <c r="E29" s="145" t="e">
        <f>PotR!F29</f>
        <v/>
      </c>
      <c r="F29" s="146" t="e">
        <f>E29/D29-1</f>
        <v/>
      </c>
      <c r="G29" s="77" t="e">
        <f>IF($C29&gt;100,D29,"")</f>
        <v/>
      </c>
      <c r="H29" s="77" t="e">
        <f>IF($C29&gt;100,E29,"")</f>
        <v/>
      </c>
      <c r="I29" s="147" t="e">
        <f>IF(C29&gt;=100,H29/G29-1,"")</f>
        <v/>
      </c>
    </row>
    <row r="30">
      <c r="A30" s="125"/>
      <c r="B30" s="136" t="s">
        <v>79</v>
      </c>
      <c r="C30" s="137" t="e">
        <f>PotR!I30</f>
        <v/>
      </c>
      <c r="D30" s="138">
        <v>4556552.08245616</v>
      </c>
      <c r="E30" s="139" t="e">
        <f>PotR!F30</f>
        <v/>
      </c>
      <c r="F30" s="140" t="e">
        <f>E30/D30-1</f>
        <v/>
      </c>
      <c r="G30" s="73" t="e">
        <f>IF($C30&gt;100,D30,"")</f>
        <v/>
      </c>
      <c r="H30" s="73" t="e">
        <f>IF($C30&gt;100,E30,"")</f>
        <v/>
      </c>
      <c r="I30" s="141" t="e">
        <f>IF(C30&gt;=100,H30/G30-1,"")</f>
        <v/>
      </c>
    </row>
    <row r="31">
      <c r="A31" s="125"/>
      <c r="B31" s="142" t="s">
        <v>80</v>
      </c>
      <c r="C31" s="143" t="e">
        <f>PotR!I31</f>
        <v/>
      </c>
      <c r="D31" s="144">
        <v>18083121.4578546</v>
      </c>
      <c r="E31" s="145" t="e">
        <f>PotR!F31</f>
        <v/>
      </c>
      <c r="F31" s="146" t="e">
        <f>E31/D31-1</f>
        <v/>
      </c>
      <c r="G31" s="77" t="e">
        <f>IF($C31&gt;100,D31,"")</f>
        <v/>
      </c>
      <c r="H31" s="77" t="e">
        <f>IF($C31&gt;100,E31,"")</f>
        <v/>
      </c>
      <c r="I31" s="147" t="e">
        <f>IF(C31&gt;=100,H31/G31-1,"")</f>
        <v/>
      </c>
    </row>
    <row r="32">
      <c r="A32" s="148"/>
      <c r="B32" s="149" t="s">
        <v>81</v>
      </c>
      <c r="C32" s="150" t="e">
        <f>PotR!I32</f>
        <v/>
      </c>
      <c r="D32" s="151">
        <v>1265684.50832412</v>
      </c>
      <c r="E32" s="152" t="e">
        <f>PotR!F32</f>
        <v/>
      </c>
      <c r="F32" s="153" t="e">
        <f>E32/D32-1</f>
        <v/>
      </c>
      <c r="G32" s="154" t="e">
        <f>IF($C32&gt;100,D32,"")</f>
        <v/>
      </c>
      <c r="H32" s="154" t="e">
        <f>IF($C32&gt;100,E32,"")</f>
        <v/>
      </c>
      <c r="I32" s="155" t="e">
        <f>IF(C32&gt;=100,H32/G32-1,"")</f>
        <v/>
      </c>
    </row>
    <row r="33">
      <c r="B33" s="79" t="s">
        <v>82</v>
      </c>
      <c r="C33" s="156" t="e">
        <f>PotR!I33</f>
        <v/>
      </c>
      <c r="D33" s="157">
        <f>SUM(D7:D32)</f>
        <v>0</v>
      </c>
      <c r="E33" s="158" t="e">
        <f>SUM(E7:E32)</f>
        <v/>
      </c>
      <c r="F33" s="159" t="e">
        <f>E33/D33-1</f>
        <v/>
      </c>
      <c r="G33" s="80" t="e">
        <f>SUM(G7:G32)</f>
        <v/>
      </c>
      <c r="H33" s="80" t="e">
        <f>SUM(H7:H32)</f>
        <v/>
      </c>
      <c r="I33" s="160" t="e">
        <f>IF(H33&gt;0,H33/G33-1,0)</f>
        <v/>
      </c>
    </row>
    <row r="34">
      <c r="A34" s="161"/>
      <c r="B34" s="90"/>
      <c r="C34" s="90"/>
      <c r="D34" s="90"/>
    </row>
    <row r="35">
      <c r="B35" s="90"/>
      <c r="C35" s="90"/>
      <c r="D35" s="90"/>
    </row>
  </sheetData>
  <mergeCells count="3">
    <mergeCell ref="C4:C5"/>
    <mergeCell ref="G4:I4"/>
    <mergeCell ref="D4:F4"/>
  </mergeCells>
  <conditionalFormatting sqref="G5:H5 D5:E5 C33 D7:E33">
    <cfRule type="expression" dxfId="0" operator="notContains" priority="1" stopIfTrue="1">
      <formula>ISBLANK(C5)</formula>
    </cfRule>
  </conditionalFormatting>
  <conditionalFormatting sqref="G5:H5 D5:E5 C33 D7:E33">
    <cfRule type="expression" dxfId="1" operator="notContains" priority="2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 codeName="Sheet4">
    <pageSetUpPr fitToPage="1"/>
  </sheetPr>
  <sheetViews>
    <sheetView showGridLines="0" topLeftCell="A1" workbookViewId="0">
      <selection activeCell="B26" sqref="B26"/>
    </sheetView>
  </sheetViews>
  <sheetFormatPr defaultColWidth="11.42578125" defaultRowHeight="12.75"/>
  <cols>
    <col min="1" max="1" width="1.7109375" customWidth="1" style="21"/>
    <col min="2" max="2" width="33.28515625" customWidth="1" style="21"/>
    <col min="3" max="3" width="15.85546875" customWidth="1" style="21"/>
    <col min="4" max="4" width="19" customWidth="1" style="21"/>
    <col min="5" max="5" width="17.140625" customWidth="1" style="21"/>
    <col min="6" max="6" width="14.5703125" customWidth="1" style="21"/>
    <col min="7" max="7" width="16.28515625" customWidth="1" style="21"/>
    <col min="8" max="8" width="6.140625" customWidth="1" style="21"/>
  </cols>
  <sheetData>
    <row r="1" ht="18" customHeight="1">
      <c r="B1" s="23" t="s">
        <f>"Progression des dotations de la péréquation des ressources "&amp;Info!C30</f>
        <v>94</v>
      </c>
      <c r="C1" s="15"/>
      <c r="D1" s="15"/>
      <c r="E1" s="15"/>
      <c r="F1" s="15"/>
    </row>
    <row r="2">
      <c r="B2" s="169" t="s">
        <v>95</v>
      </c>
      <c r="C2" s="15"/>
      <c r="D2" s="15"/>
      <c r="E2" s="15"/>
      <c r="F2" s="15"/>
      <c r="H2" s="90"/>
    </row>
    <row r="3">
      <c r="B3" s="15"/>
      <c r="C3" s="15"/>
      <c r="D3" s="15"/>
      <c r="E3" s="15"/>
      <c r="F3" s="15"/>
      <c r="G3" s="44">
        <f>Info!C28</f>
        <v>0</v>
      </c>
      <c r="H3" s="90"/>
    </row>
    <row r="4" ht="24.75" customHeight="1">
      <c r="B4" s="170" t="s">
        <v>96</v>
      </c>
      <c r="C4" s="171">
        <f>G4-1</f>
        <v>-1</v>
      </c>
      <c r="D4" s="172" t="s">
        <v>97</v>
      </c>
      <c r="E4" s="173" t="s">
        <v>98</v>
      </c>
      <c r="F4" s="173" t="s">
        <v>99</v>
      </c>
      <c r="G4" s="174">
        <f>Info!C30</f>
        <v>0</v>
      </c>
      <c r="H4" s="90"/>
    </row>
    <row r="5">
      <c r="B5" s="65" t="s">
        <v>100</v>
      </c>
      <c r="C5" s="66">
        <v>1861534669.8212</v>
      </c>
      <c r="D5" s="175" t="e">
        <f>Taux_de_croissance!F33</f>
        <v/>
      </c>
      <c r="E5" s="68" t="e">
        <f>C5*(1+D5)</f>
        <v/>
      </c>
      <c r="F5" s="66">
        <v>0</v>
      </c>
      <c r="G5" s="176" t="e">
        <f>E5+F5</f>
        <v/>
      </c>
      <c r="H5" s="90"/>
    </row>
    <row r="6">
      <c r="B6" s="120" t="s">
        <v>101</v>
      </c>
      <c r="C6" s="177">
        <v>1315153415.68843</v>
      </c>
      <c r="D6" s="178" t="e">
        <f>Taux_de_croissance!I33</f>
        <v/>
      </c>
      <c r="E6" s="179" t="e">
        <f>C6*(1+D6)</f>
        <v/>
      </c>
      <c r="F6" s="177">
        <v>0</v>
      </c>
      <c r="G6" s="180" t="e">
        <f>E6+F6</f>
        <v/>
      </c>
      <c r="H6" s="90"/>
    </row>
    <row r="7">
      <c r="B7" s="181"/>
      <c r="C7" s="90"/>
      <c r="D7" s="90"/>
      <c r="E7" s="15"/>
      <c r="F7" s="15"/>
      <c r="H7" s="90"/>
    </row>
    <row r="8">
      <c r="B8" s="15"/>
      <c r="C8" s="15"/>
      <c r="D8" s="15"/>
      <c r="E8" s="15"/>
      <c r="F8" s="15"/>
    </row>
    <row r="9">
      <c r="B9" s="15"/>
      <c r="C9" s="15"/>
      <c r="D9" s="15"/>
      <c r="E9" s="15"/>
      <c r="F9" s="15"/>
    </row>
    <row r="10">
      <c r="B10" s="15"/>
      <c r="C10" s="15"/>
      <c r="D10" s="15"/>
      <c r="E10" s="182"/>
      <c r="F10" s="15"/>
    </row>
    <row r="11">
      <c r="B11" s="169"/>
      <c r="C11" s="183"/>
      <c r="D11" s="183"/>
      <c r="E11" s="182"/>
      <c r="F11" s="184"/>
      <c r="G11" s="184"/>
    </row>
    <row r="12">
      <c r="B12" s="170" t="s">
        <v>102</v>
      </c>
      <c r="C12" s="185">
        <f>C4</f>
        <v>-1</v>
      </c>
      <c r="D12" s="186">
        <f>G4</f>
        <v>0</v>
      </c>
      <c r="E12" s="182"/>
      <c r="F12" s="184"/>
      <c r="G12" s="184"/>
    </row>
    <row r="13">
      <c r="B13" s="142" t="s">
        <v>103</v>
      </c>
      <c r="C13" s="77">
        <f>0.8*C$5</f>
        <v>0</v>
      </c>
      <c r="D13" s="111" t="e">
        <f>0.8*G5</f>
        <v/>
      </c>
      <c r="E13" s="182"/>
      <c r="F13" s="184"/>
      <c r="G13" s="184"/>
    </row>
    <row r="14">
      <c r="B14" s="187" t="s">
        <v>104</v>
      </c>
      <c r="C14" s="188" t="e">
        <f>C6/C5</f>
        <v/>
      </c>
      <c r="D14" s="189" t="e">
        <f>G6/G5</f>
        <v/>
      </c>
      <c r="E14" s="15"/>
      <c r="F14" s="15"/>
    </row>
    <row r="15">
      <c r="B15" s="120" t="s">
        <v>105</v>
      </c>
      <c r="C15" s="179">
        <f>(2/3)*C$5</f>
        <v>0</v>
      </c>
      <c r="D15" s="190" t="e">
        <f>(2/3)*G5</f>
        <v/>
      </c>
      <c r="E15" s="15"/>
      <c r="F15" s="15"/>
    </row>
    <row r="16">
      <c r="B16" s="191" t="s">
        <v>106</v>
      </c>
      <c r="E16" s="15"/>
      <c r="F16" s="15"/>
    </row>
    <row r="17">
      <c r="B17" s="192" t="s">
        <v>107</v>
      </c>
      <c r="E17" s="15"/>
      <c r="F17" s="15"/>
    </row>
    <row r="18">
      <c r="B18" s="15"/>
      <c r="C18" s="15"/>
      <c r="D18" s="15"/>
      <c r="E18" s="15"/>
      <c r="F18" s="15"/>
    </row>
    <row r="19">
      <c r="B19" s="15"/>
      <c r="C19" s="15"/>
      <c r="D19" s="15"/>
      <c r="E19" s="15"/>
      <c r="F19" s="15"/>
    </row>
    <row r="20">
      <c r="B20" s="15"/>
      <c r="C20" s="15"/>
      <c r="D20" s="15"/>
      <c r="E20" s="15"/>
      <c r="F20" s="15"/>
    </row>
    <row r="21">
      <c r="B21" s="15"/>
      <c r="C21" s="15"/>
      <c r="D21" s="15"/>
      <c r="E21" s="15"/>
      <c r="F21" s="15"/>
    </row>
    <row r="22">
      <c r="B22" s="169"/>
      <c r="C22" s="15"/>
      <c r="D22" s="15"/>
      <c r="E22" s="15"/>
      <c r="F22" s="15"/>
    </row>
    <row r="23" ht="15.75" customHeight="1">
      <c r="B23" s="193" t="s">
        <f>"Dotations "&amp;G4</f>
        <v>108</v>
      </c>
      <c r="C23" s="194"/>
      <c r="D23" s="195"/>
      <c r="E23" s="15"/>
      <c r="F23" s="15"/>
    </row>
    <row r="24" ht="15.75" customHeight="1">
      <c r="B24" s="196" t="s">
        <v>100</v>
      </c>
      <c r="C24" s="197"/>
      <c r="D24" s="198" t="e">
        <f>G5</f>
        <v/>
      </c>
      <c r="E24" s="15"/>
      <c r="F24" s="15"/>
    </row>
    <row r="25" ht="15.75" customHeight="1">
      <c r="B25" s="196" t="s">
        <v>101</v>
      </c>
      <c r="C25" s="197"/>
      <c r="D25" s="198" t="e">
        <f>IF(G6&gt;D13,D13,IF(G6&lt;D15,D15,G6))</f>
        <v/>
      </c>
      <c r="E25" s="15"/>
      <c r="F25" s="15"/>
    </row>
    <row r="26" ht="20.25" customHeight="1">
      <c r="B26" s="199" t="s">
        <v>109</v>
      </c>
      <c r="C26" s="200"/>
      <c r="D26" s="201" t="e">
        <f>D24+D25</f>
        <v/>
      </c>
      <c r="E26" s="15"/>
      <c r="F26" s="15"/>
    </row>
    <row r="27">
      <c r="B27" s="15"/>
      <c r="C27" s="15"/>
      <c r="D27" s="15"/>
      <c r="E27" s="15"/>
      <c r="F27" s="15"/>
    </row>
    <row r="28" hidden="1">
      <c r="B28" s="15"/>
      <c r="C28" s="15"/>
      <c r="D28" s="15"/>
      <c r="E28" s="15"/>
      <c r="F28" s="15"/>
    </row>
    <row r="29" hidden="1">
      <c r="B29" s="15"/>
      <c r="C29" s="15"/>
      <c r="D29" s="15"/>
      <c r="E29" s="15"/>
      <c r="F29" s="15"/>
    </row>
    <row r="30">
      <c r="B30" s="15"/>
      <c r="C30" s="15"/>
      <c r="D30" s="15"/>
      <c r="E30" s="15"/>
      <c r="F30" s="15"/>
    </row>
    <row r="31">
      <c r="B31" s="207" t="s">
        <f>"Taux de croissance effectif* "&amp;C4&amp;"-"&amp;G4</f>
        <v>110</v>
      </c>
      <c r="C31" s="208"/>
      <c r="D31" s="15"/>
      <c r="E31" s="15"/>
      <c r="F31" s="15"/>
    </row>
    <row r="32">
      <c r="B32" s="202" t="s">
        <v>100</v>
      </c>
      <c r="C32" s="135" t="e">
        <f>D24/C5-1</f>
        <v/>
      </c>
      <c r="D32" s="15"/>
      <c r="E32" s="15"/>
      <c r="F32" s="15"/>
    </row>
    <row r="33">
      <c r="B33" s="203" t="s">
        <v>101</v>
      </c>
      <c r="C33" s="204" t="e">
        <f>D25/C6-1</f>
        <v/>
      </c>
      <c r="D33" s="15"/>
      <c r="E33" s="15"/>
      <c r="F33" s="15"/>
    </row>
    <row r="34" ht="17.25" customHeight="1">
      <c r="B34" s="205" t="s">
        <v>109</v>
      </c>
      <c r="C34" s="206" t="e">
        <f>D26/(C5+C6)-1</f>
        <v/>
      </c>
      <c r="D34" s="15"/>
      <c r="E34" s="15"/>
      <c r="F34" s="15"/>
    </row>
    <row r="35">
      <c r="B35" s="57" t="s">
        <v>111</v>
      </c>
      <c r="C35" s="15"/>
      <c r="D35" s="15"/>
      <c r="E35" s="15"/>
      <c r="F35" s="15"/>
    </row>
  </sheetData>
  <mergeCells count="1">
    <mergeCell ref="B31:C31"/>
  </mergeCells>
  <conditionalFormatting sqref="C5:C6 F5:F6">
    <cfRule type="expression" dxfId="0" operator="notContains" priority="1" stopIfTrue="1">
      <formula>ISBLANK(C5)</formula>
    </cfRule>
  </conditionalFormatting>
  <conditionalFormatting sqref="C5:C6 F5:F6">
    <cfRule type="expression" dxfId="1" operator="notContains" priority="2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 codeName="Sheet5">
    <tabColor indexed="13"/>
    <pageSetUpPr fitToPage="1"/>
  </sheetPr>
  <sheetViews>
    <sheetView showGridLines="0" topLeftCell="A1" workbookViewId="0">
      <selection activeCell="J15" sqref="J15"/>
    </sheetView>
  </sheetViews>
  <sheetFormatPr defaultColWidth="11.42578125" defaultRowHeight="12.75"/>
  <cols>
    <col min="1" max="1" width="17.28515625" customWidth="1" style="21"/>
    <col min="2" max="2" width="12.7109375" customWidth="1" style="21"/>
    <col min="3" max="3" width="16.42578125" customWidth="1" style="21"/>
    <col min="4" max="4" width="22.85546875" customWidth="1" style="21"/>
    <col min="5" max="5" width="20.140625" customWidth="1" style="21"/>
    <col min="6" max="6" width="23.7109375" customWidth="1" style="21"/>
  </cols>
  <sheetData>
    <row r="1" ht="26.25" customHeight="1">
      <c r="A1" s="119" t="s">
        <f>"Montants versés par les cantons à fort potentiel de ressources "&amp;Info!C30</f>
        <v>112</v>
      </c>
      <c r="B1" s="119"/>
      <c r="C1" s="119"/>
      <c r="D1" s="119"/>
      <c r="E1" s="119"/>
      <c r="F1" s="119"/>
    </row>
    <row r="2" ht="18.75" customHeight="1">
      <c r="F2" s="44">
        <f>Info!$C$28</f>
        <v>0</v>
      </c>
    </row>
    <row r="3" s="21" customFormat="1">
      <c r="A3" s="83" t="s">
        <v>30</v>
      </c>
      <c r="B3" s="209" t="s">
        <v>113</v>
      </c>
      <c r="C3" s="84" t="s">
        <v>31</v>
      </c>
      <c r="D3" s="84" t="s">
        <v>32</v>
      </c>
      <c r="E3" s="84" t="s">
        <v>33</v>
      </c>
      <c r="F3" s="85" t="s">
        <v>34</v>
      </c>
    </row>
    <row r="4" s="57" customFormat="1" ht="11.25" customHeight="1">
      <c r="A4" s="210" t="s">
        <v>38</v>
      </c>
      <c r="B4" s="211"/>
      <c r="C4" s="212"/>
      <c r="D4" s="212" t="s">
        <v>114</v>
      </c>
      <c r="E4" s="212" t="s">
        <v>115</v>
      </c>
      <c r="F4" s="213" t="s">
        <v>116</v>
      </c>
    </row>
    <row r="5" ht="28.5" customHeight="1">
      <c r="A5" s="214"/>
      <c r="B5" s="215" t="s">
        <v>47</v>
      </c>
      <c r="C5" s="215" t="s">
        <v>8</v>
      </c>
      <c r="D5" s="216" t="s">
        <v>117</v>
      </c>
      <c r="E5" s="216" t="s">
        <v>118</v>
      </c>
      <c r="F5" s="217" t="s">
        <v>119</v>
      </c>
    </row>
    <row r="6">
      <c r="A6" s="98" t="s">
        <v>52</v>
      </c>
      <c r="B6" s="218" t="s">
        <v>92</v>
      </c>
      <c r="C6" s="128" t="s">
        <v>54</v>
      </c>
      <c r="D6" s="128"/>
      <c r="E6" s="128" t="s">
        <v>55</v>
      </c>
      <c r="F6" s="219" t="s">
        <v>55</v>
      </c>
    </row>
    <row r="7" s="220" customFormat="1" ht="15" customHeight="1">
      <c r="A7" s="221" t="s">
        <v>56</v>
      </c>
      <c r="B7" s="222" t="e">
        <f>PotR!I7</f>
        <v/>
      </c>
      <c r="C7" s="223" t="e">
        <f>PotR!G7</f>
        <v/>
      </c>
      <c r="D7" s="224" t="e">
        <f>IF(B7&gt;100,(B7-100)*C7,0)</f>
        <v/>
      </c>
      <c r="E7" s="224" t="e">
        <f>IF(B7&gt;100,A/$D$33*(B7-100),0)</f>
        <v/>
      </c>
      <c r="F7" s="225" t="e">
        <f>E7*C7</f>
        <v/>
      </c>
    </row>
    <row r="8" s="220" customFormat="1" ht="15" customHeight="1">
      <c r="A8" s="226" t="s">
        <v>57</v>
      </c>
      <c r="B8" s="227" t="e">
        <f>PotR!I8</f>
        <v/>
      </c>
      <c r="C8" s="228" t="e">
        <f>PotR!G8</f>
        <v/>
      </c>
      <c r="D8" s="229" t="e">
        <f>IF(B8&gt;100,(B8-100)*C8,0)</f>
        <v/>
      </c>
      <c r="E8" s="229" t="e">
        <f>IF(B8&gt;100,A/$D$33*(B8-100),0)</f>
        <v/>
      </c>
      <c r="F8" s="230" t="e">
        <f>E8*C8</f>
        <v/>
      </c>
    </row>
    <row r="9" s="220" customFormat="1" ht="15" customHeight="1">
      <c r="A9" s="221" t="s">
        <v>58</v>
      </c>
      <c r="B9" s="222" t="e">
        <f>PotR!I9</f>
        <v/>
      </c>
      <c r="C9" s="223" t="e">
        <f>PotR!G9</f>
        <v/>
      </c>
      <c r="D9" s="224" t="e">
        <f>IF(B9&gt;100,(B9-100)*C9,0)</f>
        <v/>
      </c>
      <c r="E9" s="224" t="e">
        <f>IF(B9&gt;100,A/$D$33*(B9-100),0)</f>
        <v/>
      </c>
      <c r="F9" s="225" t="e">
        <f>E9*C9</f>
        <v/>
      </c>
    </row>
    <row r="10" s="220" customFormat="1" ht="15" customHeight="1">
      <c r="A10" s="226" t="s">
        <v>59</v>
      </c>
      <c r="B10" s="227" t="e">
        <f>PotR!I10</f>
        <v/>
      </c>
      <c r="C10" s="228" t="e">
        <f>PotR!G10</f>
        <v/>
      </c>
      <c r="D10" s="229" t="e">
        <f>IF(B10&gt;100,(B10-100)*C10,0)</f>
        <v/>
      </c>
      <c r="E10" s="229" t="e">
        <f>IF(B10&gt;100,A/$D$33*(B10-100),0)</f>
        <v/>
      </c>
      <c r="F10" s="230" t="e">
        <f>E10*C10</f>
        <v/>
      </c>
    </row>
    <row r="11" s="220" customFormat="1" ht="15" customHeight="1">
      <c r="A11" s="221" t="s">
        <v>60</v>
      </c>
      <c r="B11" s="222" t="e">
        <f>PotR!I11</f>
        <v/>
      </c>
      <c r="C11" s="223" t="e">
        <f>PotR!G11</f>
        <v/>
      </c>
      <c r="D11" s="224" t="e">
        <f>IF(B11&gt;100,(B11-100)*C11,0)</f>
        <v/>
      </c>
      <c r="E11" s="224" t="e">
        <f>IF(B11&gt;100,A/$D$33*(B11-100),0)</f>
        <v/>
      </c>
      <c r="F11" s="225" t="e">
        <f>E11*C11</f>
        <v/>
      </c>
    </row>
    <row r="12" s="220" customFormat="1" ht="15" customHeight="1">
      <c r="A12" s="226" t="s">
        <v>61</v>
      </c>
      <c r="B12" s="227" t="e">
        <f>PotR!I12</f>
        <v/>
      </c>
      <c r="C12" s="228" t="e">
        <f>PotR!G12</f>
        <v/>
      </c>
      <c r="D12" s="229" t="e">
        <f>IF(B12&gt;100,(B12-100)*C12,0)</f>
        <v/>
      </c>
      <c r="E12" s="229" t="e">
        <f>IF(B12&gt;100,A/$D$33*(B12-100),0)</f>
        <v/>
      </c>
      <c r="F12" s="230" t="e">
        <f>E12*C12</f>
        <v/>
      </c>
    </row>
    <row r="13" s="220" customFormat="1" ht="15" customHeight="1">
      <c r="A13" s="221" t="s">
        <v>62</v>
      </c>
      <c r="B13" s="222" t="e">
        <f>PotR!I13</f>
        <v/>
      </c>
      <c r="C13" s="223" t="e">
        <f>PotR!G13</f>
        <v/>
      </c>
      <c r="D13" s="224" t="e">
        <f>IF(B13&gt;100,(B13-100)*C13,0)</f>
        <v/>
      </c>
      <c r="E13" s="224" t="e">
        <f>IF(B13&gt;100,A/$D$33*(B13-100),0)</f>
        <v/>
      </c>
      <c r="F13" s="225" t="e">
        <f>E13*C13</f>
        <v/>
      </c>
    </row>
    <row r="14" s="220" customFormat="1" ht="15" customHeight="1">
      <c r="A14" s="226" t="s">
        <v>63</v>
      </c>
      <c r="B14" s="227" t="e">
        <f>PotR!I14</f>
        <v/>
      </c>
      <c r="C14" s="228" t="e">
        <f>PotR!G14</f>
        <v/>
      </c>
      <c r="D14" s="229" t="e">
        <f>IF(B14&gt;100,(B14-100)*C14,0)</f>
        <v/>
      </c>
      <c r="E14" s="229" t="e">
        <f>IF(B14&gt;100,A/$D$33*(B14-100),0)</f>
        <v/>
      </c>
      <c r="F14" s="230" t="e">
        <f>E14*C14</f>
        <v/>
      </c>
    </row>
    <row r="15" s="220" customFormat="1" ht="15" customHeight="1">
      <c r="A15" s="221" t="s">
        <v>64</v>
      </c>
      <c r="B15" s="222" t="e">
        <f>PotR!I15</f>
        <v/>
      </c>
      <c r="C15" s="223" t="e">
        <f>PotR!G15</f>
        <v/>
      </c>
      <c r="D15" s="224" t="e">
        <f>IF(B15&gt;100,(B15-100)*C15,0)</f>
        <v/>
      </c>
      <c r="E15" s="224" t="e">
        <f>IF(B15&gt;100,A/$D$33*(B15-100),0)</f>
        <v/>
      </c>
      <c r="F15" s="225" t="e">
        <f>E15*C15</f>
        <v/>
      </c>
    </row>
    <row r="16" s="220" customFormat="1" ht="15" customHeight="1">
      <c r="A16" s="226" t="s">
        <v>65</v>
      </c>
      <c r="B16" s="227" t="e">
        <f>PotR!I16</f>
        <v/>
      </c>
      <c r="C16" s="228" t="e">
        <f>PotR!G16</f>
        <v/>
      </c>
      <c r="D16" s="229" t="e">
        <f>IF(B16&gt;100,(B16-100)*C16,0)</f>
        <v/>
      </c>
      <c r="E16" s="229" t="e">
        <f>IF(B16&gt;100,A/$D$33*(B16-100),0)</f>
        <v/>
      </c>
      <c r="F16" s="230" t="e">
        <f>E16*C16</f>
        <v/>
      </c>
    </row>
    <row r="17" s="220" customFormat="1" ht="15" customHeight="1">
      <c r="A17" s="221" t="s">
        <v>66</v>
      </c>
      <c r="B17" s="222" t="e">
        <f>PotR!I17</f>
        <v/>
      </c>
      <c r="C17" s="223" t="e">
        <f>PotR!G17</f>
        <v/>
      </c>
      <c r="D17" s="224" t="e">
        <f>IF(B17&gt;100,(B17-100)*C17,0)</f>
        <v/>
      </c>
      <c r="E17" s="224" t="e">
        <f>IF(B17&gt;100,A/$D$33*(B17-100),0)</f>
        <v/>
      </c>
      <c r="F17" s="225" t="e">
        <f>E17*C17</f>
        <v/>
      </c>
    </row>
    <row r="18" s="220" customFormat="1" ht="15" customHeight="1">
      <c r="A18" s="226" t="s">
        <v>67</v>
      </c>
      <c r="B18" s="227" t="e">
        <f>PotR!I18</f>
        <v/>
      </c>
      <c r="C18" s="228" t="e">
        <f>PotR!G18</f>
        <v/>
      </c>
      <c r="D18" s="229" t="e">
        <f>IF(B18&gt;100,(B18-100)*C18,0)</f>
        <v/>
      </c>
      <c r="E18" s="229" t="e">
        <f>IF(B18&gt;100,A/$D$33*(B18-100),0)</f>
        <v/>
      </c>
      <c r="F18" s="230" t="e">
        <f>E18*C18</f>
        <v/>
      </c>
    </row>
    <row r="19" s="220" customFormat="1" ht="15" customHeight="1">
      <c r="A19" s="221" t="s">
        <v>68</v>
      </c>
      <c r="B19" s="222" t="e">
        <f>PotR!I19</f>
        <v/>
      </c>
      <c r="C19" s="223" t="e">
        <f>PotR!G19</f>
        <v/>
      </c>
      <c r="D19" s="224" t="e">
        <f>IF(B19&gt;100,(B19-100)*C19,0)</f>
        <v/>
      </c>
      <c r="E19" s="224" t="e">
        <f>IF(B19&gt;100,A/$D$33*(B19-100),0)</f>
        <v/>
      </c>
      <c r="F19" s="225" t="e">
        <f>E19*C19</f>
        <v/>
      </c>
    </row>
    <row r="20" s="220" customFormat="1" ht="15" customHeight="1">
      <c r="A20" s="226" t="s">
        <v>69</v>
      </c>
      <c r="B20" s="227" t="e">
        <f>PotR!I20</f>
        <v/>
      </c>
      <c r="C20" s="228" t="e">
        <f>PotR!G20</f>
        <v/>
      </c>
      <c r="D20" s="229" t="e">
        <f>IF(B20&gt;100,(B20-100)*C20,0)</f>
        <v/>
      </c>
      <c r="E20" s="229" t="e">
        <f>IF(B20&gt;100,A/$D$33*(B20-100),0)</f>
        <v/>
      </c>
      <c r="F20" s="230" t="e">
        <f>E20*C20</f>
        <v/>
      </c>
    </row>
    <row r="21" s="220" customFormat="1" ht="15" customHeight="1">
      <c r="A21" s="221" t="s">
        <v>70</v>
      </c>
      <c r="B21" s="222" t="e">
        <f>PotR!I21</f>
        <v/>
      </c>
      <c r="C21" s="223" t="e">
        <f>PotR!G21</f>
        <v/>
      </c>
      <c r="D21" s="224" t="e">
        <f>IF(B21&gt;100,(B21-100)*C21,0)</f>
        <v/>
      </c>
      <c r="E21" s="224" t="e">
        <f>IF(B21&gt;100,A/$D$33*(B21-100),0)</f>
        <v/>
      </c>
      <c r="F21" s="225" t="e">
        <f>E21*C21</f>
        <v/>
      </c>
    </row>
    <row r="22" s="220" customFormat="1" ht="15" customHeight="1">
      <c r="A22" s="226" t="s">
        <v>71</v>
      </c>
      <c r="B22" s="227" t="e">
        <f>PotR!I22</f>
        <v/>
      </c>
      <c r="C22" s="228" t="e">
        <f>PotR!G22</f>
        <v/>
      </c>
      <c r="D22" s="229" t="e">
        <f>IF(B22&gt;100,(B22-100)*C22,0)</f>
        <v/>
      </c>
      <c r="E22" s="229" t="e">
        <f>IF(B22&gt;100,A/$D$33*(B22-100),0)</f>
        <v/>
      </c>
      <c r="F22" s="230" t="e">
        <f>E22*C22</f>
        <v/>
      </c>
    </row>
    <row r="23" s="220" customFormat="1" ht="15" customHeight="1">
      <c r="A23" s="221" t="s">
        <v>72</v>
      </c>
      <c r="B23" s="222" t="e">
        <f>PotR!I23</f>
        <v/>
      </c>
      <c r="C23" s="223" t="e">
        <f>PotR!G23</f>
        <v/>
      </c>
      <c r="D23" s="224" t="e">
        <f>IF(B23&gt;100,(B23-100)*C23,0)</f>
        <v/>
      </c>
      <c r="E23" s="224" t="e">
        <f>IF(B23&gt;100,A/$D$33*(B23-100),0)</f>
        <v/>
      </c>
      <c r="F23" s="225" t="e">
        <f>E23*C23</f>
        <v/>
      </c>
    </row>
    <row r="24" s="220" customFormat="1" ht="15" customHeight="1">
      <c r="A24" s="226" t="s">
        <v>73</v>
      </c>
      <c r="B24" s="227" t="e">
        <f>PotR!I24</f>
        <v/>
      </c>
      <c r="C24" s="228" t="e">
        <f>PotR!G24</f>
        <v/>
      </c>
      <c r="D24" s="229" t="e">
        <f>IF(B24&gt;100,(B24-100)*C24,0)</f>
        <v/>
      </c>
      <c r="E24" s="229" t="e">
        <f>IF(B24&gt;100,A/$D$33*(B24-100),0)</f>
        <v/>
      </c>
      <c r="F24" s="230" t="e">
        <f>E24*C24</f>
        <v/>
      </c>
    </row>
    <row r="25" s="220" customFormat="1" ht="15" customHeight="1">
      <c r="A25" s="221" t="s">
        <v>74</v>
      </c>
      <c r="B25" s="222" t="e">
        <f>PotR!I25</f>
        <v/>
      </c>
      <c r="C25" s="223" t="e">
        <f>PotR!G25</f>
        <v/>
      </c>
      <c r="D25" s="224" t="e">
        <f>IF(B25&gt;100,(B25-100)*C25,0)</f>
        <v/>
      </c>
      <c r="E25" s="224" t="e">
        <f>IF(B25&gt;100,A/$D$33*(B25-100),0)</f>
        <v/>
      </c>
      <c r="F25" s="225" t="e">
        <f>E25*C25</f>
        <v/>
      </c>
    </row>
    <row r="26" s="220" customFormat="1" ht="15" customHeight="1">
      <c r="A26" s="226" t="s">
        <v>75</v>
      </c>
      <c r="B26" s="227" t="e">
        <f>PotR!I26</f>
        <v/>
      </c>
      <c r="C26" s="228" t="e">
        <f>PotR!G26</f>
        <v/>
      </c>
      <c r="D26" s="229" t="e">
        <f>IF(B26&gt;100,(B26-100)*C26,0)</f>
        <v/>
      </c>
      <c r="E26" s="229" t="e">
        <f>IF(B26&gt;100,A/$D$33*(B26-100),0)</f>
        <v/>
      </c>
      <c r="F26" s="230" t="e">
        <f>E26*C26</f>
        <v/>
      </c>
    </row>
    <row r="27" s="220" customFormat="1" ht="15" customHeight="1">
      <c r="A27" s="221" t="s">
        <v>76</v>
      </c>
      <c r="B27" s="222" t="e">
        <f>PotR!I27</f>
        <v/>
      </c>
      <c r="C27" s="223" t="e">
        <f>PotR!G27</f>
        <v/>
      </c>
      <c r="D27" s="224" t="e">
        <f>IF(B27&gt;100,(B27-100)*C27,0)</f>
        <v/>
      </c>
      <c r="E27" s="224" t="e">
        <f>IF(B27&gt;100,A/$D$33*(B27-100),0)</f>
        <v/>
      </c>
      <c r="F27" s="225" t="e">
        <f>E27*C27</f>
        <v/>
      </c>
    </row>
    <row r="28" s="220" customFormat="1" ht="15" customHeight="1">
      <c r="A28" s="226" t="s">
        <v>77</v>
      </c>
      <c r="B28" s="227" t="e">
        <f>PotR!I28</f>
        <v/>
      </c>
      <c r="C28" s="228" t="e">
        <f>PotR!G28</f>
        <v/>
      </c>
      <c r="D28" s="229" t="e">
        <f>IF(B28&gt;100,(B28-100)*C28,0)</f>
        <v/>
      </c>
      <c r="E28" s="229" t="e">
        <f>IF(B28&gt;100,A/$D$33*(B28-100),0)</f>
        <v/>
      </c>
      <c r="F28" s="230" t="e">
        <f>E28*C28</f>
        <v/>
      </c>
    </row>
    <row r="29" s="220" customFormat="1" ht="15" customHeight="1">
      <c r="A29" s="221" t="s">
        <v>78</v>
      </c>
      <c r="B29" s="222" t="e">
        <f>PotR!I29</f>
        <v/>
      </c>
      <c r="C29" s="223" t="e">
        <f>PotR!G29</f>
        <v/>
      </c>
      <c r="D29" s="224" t="e">
        <f>IF(B29&gt;100,(B29-100)*C29,0)</f>
        <v/>
      </c>
      <c r="E29" s="224" t="e">
        <f>IF(B29&gt;100,A/$D$33*(B29-100),0)</f>
        <v/>
      </c>
      <c r="F29" s="225" t="e">
        <f>E29*C29</f>
        <v/>
      </c>
    </row>
    <row r="30" s="220" customFormat="1" ht="15" customHeight="1">
      <c r="A30" s="226" t="s">
        <v>79</v>
      </c>
      <c r="B30" s="227" t="e">
        <f>PotR!I30</f>
        <v/>
      </c>
      <c r="C30" s="228" t="e">
        <f>PotR!G30</f>
        <v/>
      </c>
      <c r="D30" s="229" t="e">
        <f>IF(B30&gt;100,(B30-100)*C30,0)</f>
        <v/>
      </c>
      <c r="E30" s="229" t="e">
        <f>IF(B30&gt;100,A/$D$33*(B30-100),0)</f>
        <v/>
      </c>
      <c r="F30" s="230" t="e">
        <f>E30*C30</f>
        <v/>
      </c>
    </row>
    <row r="31" s="220" customFormat="1" ht="15" customHeight="1">
      <c r="A31" s="221" t="s">
        <v>80</v>
      </c>
      <c r="B31" s="222" t="e">
        <f>PotR!I31</f>
        <v/>
      </c>
      <c r="C31" s="223" t="e">
        <f>PotR!G31</f>
        <v/>
      </c>
      <c r="D31" s="224" t="e">
        <f>IF(B31&gt;100,(B31-100)*C31,0)</f>
        <v/>
      </c>
      <c r="E31" s="224" t="e">
        <f>IF(B31&gt;100,A/$D$33*(B31-100),0)</f>
        <v/>
      </c>
      <c r="F31" s="225" t="e">
        <f>E31*C31</f>
        <v/>
      </c>
    </row>
    <row r="32" s="220" customFormat="1" ht="15" customHeight="1">
      <c r="A32" s="226" t="s">
        <v>81</v>
      </c>
      <c r="B32" s="227" t="e">
        <f>PotR!I32</f>
        <v/>
      </c>
      <c r="C32" s="228" t="e">
        <f>PotR!G32</f>
        <v/>
      </c>
      <c r="D32" s="229" t="e">
        <f>IF(B32&gt;100,(B32-100)*C32,0)</f>
        <v/>
      </c>
      <c r="E32" s="229" t="e">
        <f>IF(B32&gt;100,A/$D$33*(B32-100),0)</f>
        <v/>
      </c>
      <c r="F32" s="230" t="e">
        <f>E32*C32</f>
        <v/>
      </c>
    </row>
    <row r="33" s="220" customFormat="1" ht="15" customHeight="1">
      <c r="A33" s="231" t="s">
        <v>82</v>
      </c>
      <c r="B33" s="232" t="e">
        <f>PotR!I33</f>
        <v/>
      </c>
      <c r="C33" s="233" t="e">
        <f>SUM(BEV)</f>
        <v/>
      </c>
      <c r="D33" s="233" t="e">
        <f>SUM(D7:D32)</f>
        <v/>
      </c>
      <c r="E33" s="233"/>
      <c r="F33" s="234" t="e">
        <f>SUM(F7:F32)</f>
        <v/>
      </c>
    </row>
  </sheetData>
  <conditionalFormatting sqref="B33">
    <cfRule type="expression" dxfId="0" operator="notContains" priority="1" stopIfTrue="1">
      <formula>ISBLANK(B33)</formula>
    </cfRule>
  </conditionalFormatting>
  <conditionalFormatting sqref="B33">
    <cfRule type="expression" dxfId="1" operator="notContains" priority="2" stopIfTrue="1">
      <formula>ISBLANK(B33)</formula>
    </cfRule>
  </conditionalFormatting>
  <conditionalFormatting sqref="B33">
    <cfRule type="expression" dxfId="2" operator="notContains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 codeName="Sheet6">
    <tabColor indexed="52"/>
    <pageSetUpPr fitToPage="1"/>
  </sheetPr>
  <sheetViews>
    <sheetView showGridLines="0" topLeftCell="A1" workbookViewId="0">
      <selection activeCell="A3" sqref="A3"/>
    </sheetView>
  </sheetViews>
  <sheetFormatPr defaultColWidth="11.42578125" defaultRowHeight="12.75"/>
  <cols>
    <col min="1" max="1" width="17.28515625" customWidth="1" style="21"/>
    <col min="2" max="2" width="11.85546875" customWidth="1" style="21"/>
    <col min="3" max="3" width="13.5703125" customWidth="1" style="21"/>
    <col min="4" max="4" width="15.140625" customWidth="1" style="21"/>
    <col min="5" max="5" width="13" customWidth="1" style="21"/>
    <col min="6" max="6" width="13.7109375" customWidth="1" style="21"/>
    <col min="7" max="7" width="14.140625" customWidth="1" style="21"/>
    <col min="8" max="8" width="16.85546875" customWidth="1" style="21"/>
    <col min="9" max="9" width="5" customWidth="1" style="15"/>
    <col min="10" max="10" width="11.28515625" customWidth="1" style="21"/>
    <col min="11" max="11" width="12.42578125" customWidth="1" style="21"/>
  </cols>
  <sheetData>
    <row r="1" ht="26.25" customHeight="1">
      <c r="A1" s="119" t="s">
        <f>"Montants reçus par les cantons à faible potentiel de ressources "&amp;Info!C30</f>
        <v>120</v>
      </c>
      <c r="B1" s="119"/>
      <c r="C1" s="119"/>
      <c r="D1" s="119"/>
      <c r="E1" s="119"/>
      <c r="F1" s="119"/>
      <c r="G1" s="119"/>
      <c r="H1" s="119"/>
      <c r="J1" s="15"/>
      <c r="K1" s="15"/>
    </row>
    <row r="2" ht="18.75" customHeight="1">
      <c r="G2" s="15"/>
      <c r="H2" s="44">
        <f>Info!$C$28</f>
        <v>0</v>
      </c>
      <c r="I2" s="21"/>
      <c r="J2" s="15"/>
      <c r="K2" s="15"/>
    </row>
    <row r="3" s="21" customFormat="1">
      <c r="A3" s="83" t="s">
        <v>30</v>
      </c>
      <c r="B3" s="209" t="s">
        <v>113</v>
      </c>
      <c r="C3" s="84" t="s">
        <v>31</v>
      </c>
      <c r="D3" s="84" t="s">
        <v>32</v>
      </c>
      <c r="E3" s="84" t="s">
        <v>33</v>
      </c>
      <c r="F3" s="84" t="s">
        <v>34</v>
      </c>
      <c r="G3" s="84" t="s">
        <v>35</v>
      </c>
      <c r="H3" s="85" t="s">
        <v>36</v>
      </c>
    </row>
    <row r="4" ht="45" customHeight="1">
      <c r="A4" s="214"/>
      <c r="B4" s="216" t="s">
        <v>47</v>
      </c>
      <c r="C4" s="216" t="s">
        <v>8</v>
      </c>
      <c r="D4" s="216" t="s">
        <v>117</v>
      </c>
      <c r="E4" s="216" t="s">
        <v>118</v>
      </c>
      <c r="F4" s="235" t="s">
        <v>119</v>
      </c>
      <c r="G4" s="236" t="s">
        <v>121</v>
      </c>
      <c r="H4" s="237" t="s">
        <v>122</v>
      </c>
      <c r="J4" s="258" t="s">
        <v>123</v>
      </c>
      <c r="K4" s="259"/>
    </row>
    <row r="5" s="220" customFormat="1">
      <c r="A5" s="98" t="s">
        <v>52</v>
      </c>
      <c r="B5" s="218" t="s">
        <v>92</v>
      </c>
      <c r="C5" s="128" t="s">
        <v>124</v>
      </c>
      <c r="D5" s="128"/>
      <c r="E5" s="128" t="s">
        <v>55</v>
      </c>
      <c r="F5" s="128" t="s">
        <v>55</v>
      </c>
      <c r="G5" s="128" t="s">
        <v>55</v>
      </c>
      <c r="H5" s="219" t="s">
        <v>55</v>
      </c>
      <c r="J5" s="238" t="s">
        <v>125</v>
      </c>
      <c r="K5" s="239">
        <v>0.59374820110547</v>
      </c>
      <c r="L5" s="240"/>
    </row>
    <row r="6" s="220" customFormat="1" ht="15" customHeight="1">
      <c r="A6" s="241" t="s">
        <v>56</v>
      </c>
      <c r="B6" s="242" t="e">
        <f>PotR!I7</f>
        <v/>
      </c>
      <c r="C6" s="224" t="e">
        <f>PotR!G7</f>
        <v/>
      </c>
      <c r="D6" s="224" t="e">
        <f>IF(B6&lt;100,(100-RI)^(1+p)*BEV,0)</f>
        <v/>
      </c>
      <c r="E6" s="224" t="e">
        <f>IF(B6&lt;100,B/SUM*(100-RI)^(1+p),0)</f>
        <v/>
      </c>
      <c r="F6" s="243" t="e">
        <f>E6*BEV</f>
        <v/>
      </c>
      <c r="G6" s="244" t="e">
        <f>Dotation_PR!$D$25/Dotation_PR!$D$26*F6</f>
        <v/>
      </c>
      <c r="H6" s="245" t="e">
        <f>F6-G6</f>
        <v/>
      </c>
      <c r="J6" s="238" t="s">
        <v>126</v>
      </c>
      <c r="K6" s="246" t="e">
        <f>(RI_26/RI_MIN)*p</f>
        <v/>
      </c>
    </row>
    <row r="7" s="220" customFormat="1" ht="15" customHeight="1">
      <c r="A7" s="226" t="s">
        <v>57</v>
      </c>
      <c r="B7" s="247" t="e">
        <f>PotR!I8</f>
        <v/>
      </c>
      <c r="C7" s="229" t="e">
        <f>PotR!G8</f>
        <v/>
      </c>
      <c r="D7" s="229" t="e">
        <f>IF(B7&lt;100,(100-B7)^(1+p)*BEV,0)</f>
        <v/>
      </c>
      <c r="E7" s="229" t="e">
        <f>IF(B7&lt;100,B/SUM*(100-RI)^(1+p),0)</f>
        <v/>
      </c>
      <c r="F7" s="248" t="e">
        <f>E7*BEV</f>
        <v/>
      </c>
      <c r="G7" s="249" t="e">
        <f>Dotation_PR!$D$25/Dotation_PR!$D$26*F7</f>
        <v/>
      </c>
      <c r="H7" s="250" t="e">
        <f>F7-G7</f>
        <v/>
      </c>
      <c r="J7" s="238" t="s">
        <v>127</v>
      </c>
      <c r="K7" s="251" t="e">
        <f>MIN(B6:B31)</f>
        <v/>
      </c>
    </row>
    <row r="8" s="220" customFormat="1" ht="15" customHeight="1">
      <c r="A8" s="221" t="s">
        <v>58</v>
      </c>
      <c r="B8" s="242" t="e">
        <f>PotR!I9</f>
        <v/>
      </c>
      <c r="C8" s="224" t="e">
        <f>PotR!G9</f>
        <v/>
      </c>
      <c r="D8" s="224" t="e">
        <f>IF(B8&lt;100,(100-RI)^(1+p)*BEV,0)</f>
        <v/>
      </c>
      <c r="E8" s="224" t="e">
        <f>IF(B8&lt;100,B/SUM*(100-RI)^(1+p),0)</f>
        <v/>
      </c>
      <c r="F8" s="243" t="e">
        <f>E8*BEV</f>
        <v/>
      </c>
      <c r="G8" s="244" t="e">
        <f>Dotation_PR!$D$25/Dotation_PR!$D$26*F8</f>
        <v/>
      </c>
      <c r="H8" s="245" t="e">
        <f>F8-G8</f>
        <v/>
      </c>
      <c r="J8" s="238" t="s">
        <v>128</v>
      </c>
      <c r="K8" s="251" t="e">
        <f>100-((sse*SUM)/((1+p)*B*100))^(1/p)</f>
        <v/>
      </c>
    </row>
    <row r="9" s="220" customFormat="1" ht="15" customHeight="1">
      <c r="A9" s="226" t="s">
        <v>59</v>
      </c>
      <c r="B9" s="247" t="e">
        <f>PotR!I10</f>
        <v/>
      </c>
      <c r="C9" s="229" t="e">
        <f>PotR!G10</f>
        <v/>
      </c>
      <c r="D9" s="229" t="e">
        <f>IF(B9&lt;100,(100-RI)^(1+p)*BEV,0)</f>
        <v/>
      </c>
      <c r="E9" s="229" t="e">
        <f>IF(B9&lt;100,B/SUM*(100-RI)^(1+p),0)</f>
        <v/>
      </c>
      <c r="F9" s="248" t="e">
        <f>E9*BEV</f>
        <v/>
      </c>
      <c r="G9" s="249" t="e">
        <f>Dotation_PR!$D$25/Dotation_PR!$D$26*F9</f>
        <v/>
      </c>
      <c r="H9" s="250" t="e">
        <f>F9-G9</f>
        <v/>
      </c>
      <c r="J9" s="252"/>
      <c r="K9" s="253"/>
    </row>
    <row r="10" s="220" customFormat="1" ht="15" customHeight="1">
      <c r="A10" s="221" t="s">
        <v>60</v>
      </c>
      <c r="B10" s="242" t="e">
        <f>PotR!I11</f>
        <v/>
      </c>
      <c r="C10" s="224" t="e">
        <f>PotR!G11</f>
        <v/>
      </c>
      <c r="D10" s="224" t="e">
        <f>IF(B10&lt;100,(100-RI)^(1+p)*BEV,0)</f>
        <v/>
      </c>
      <c r="E10" s="224" t="e">
        <f>IF(B10&lt;100,B/SUM*(100-RI)^(1+p),0)</f>
        <v/>
      </c>
      <c r="F10" s="243" t="e">
        <f>E10*BEV</f>
        <v/>
      </c>
      <c r="G10" s="244" t="e">
        <f>Dotation_PR!$D$25/Dotation_PR!$D$26*F10</f>
        <v/>
      </c>
      <c r="H10" s="245" t="e">
        <f>F10-G10</f>
        <v/>
      </c>
      <c r="J10" s="252"/>
      <c r="K10" s="253"/>
    </row>
    <row r="11" s="220" customFormat="1" ht="15" customHeight="1">
      <c r="A11" s="226" t="s">
        <v>61</v>
      </c>
      <c r="B11" s="247" t="e">
        <f>PotR!I12</f>
        <v/>
      </c>
      <c r="C11" s="229" t="e">
        <f>PotR!G12</f>
        <v/>
      </c>
      <c r="D11" s="229" t="e">
        <f>IF(B11&lt;100,(100-RI)^(1+p)*BEV,0)</f>
        <v/>
      </c>
      <c r="E11" s="229" t="e">
        <f>IF(B11&lt;100,B/SUM*(100-RI)^(1+p),0)</f>
        <v/>
      </c>
      <c r="F11" s="248" t="e">
        <f>E11*BEV</f>
        <v/>
      </c>
      <c r="G11" s="249" t="e">
        <f>Dotation_PR!$D$25/Dotation_PR!$D$26*F11</f>
        <v/>
      </c>
      <c r="H11" s="250" t="e">
        <f>F11-G11</f>
        <v/>
      </c>
      <c r="J11" s="252"/>
      <c r="K11" s="253"/>
    </row>
    <row r="12" s="220" customFormat="1" ht="15" customHeight="1">
      <c r="A12" s="221" t="s">
        <v>62</v>
      </c>
      <c r="B12" s="242" t="e">
        <f>PotR!I13</f>
        <v/>
      </c>
      <c r="C12" s="224" t="e">
        <f>PotR!G13</f>
        <v/>
      </c>
      <c r="D12" s="224" t="e">
        <f>IF(B12&lt;100,(100-RI)^(1+p)*BEV,0)</f>
        <v/>
      </c>
      <c r="E12" s="224" t="e">
        <f>IF(B12&lt;100,B/SUM*(100-RI)^(1+p),0)</f>
        <v/>
      </c>
      <c r="F12" s="243" t="e">
        <f>E12*BEV</f>
        <v/>
      </c>
      <c r="G12" s="244" t="e">
        <f>Dotation_PR!$D$25/Dotation_PR!$D$26*F12</f>
        <v/>
      </c>
      <c r="H12" s="245" t="e">
        <f>F12-G12</f>
        <v/>
      </c>
      <c r="J12" s="238" t="s">
        <v>113</v>
      </c>
      <c r="K12" s="254" t="e">
        <f>Dotation_PR!D26</f>
        <v/>
      </c>
    </row>
    <row r="13" s="220" customFormat="1" ht="15" customHeight="1">
      <c r="A13" s="226" t="s">
        <v>63</v>
      </c>
      <c r="B13" s="247" t="e">
        <f>PotR!I14</f>
        <v/>
      </c>
      <c r="C13" s="229" t="e">
        <f>PotR!G14</f>
        <v/>
      </c>
      <c r="D13" s="229" t="e">
        <f>IF(B13&lt;100,(100-RI)^(1+p)*BEV,0)</f>
        <v/>
      </c>
      <c r="E13" s="229" t="e">
        <f>IF(B13&lt;100,B/SUM*(100-RI)^(1+p),0)</f>
        <v/>
      </c>
      <c r="F13" s="248" t="e">
        <f>E13*BEV</f>
        <v/>
      </c>
      <c r="G13" s="249" t="e">
        <f>Dotation_PR!$D$25/Dotation_PR!$D$26*F13</f>
        <v/>
      </c>
      <c r="H13" s="250" t="e">
        <f>F13-G13</f>
        <v/>
      </c>
      <c r="J13" s="238" t="s">
        <v>17</v>
      </c>
      <c r="K13" s="254" t="e">
        <f>RFS!E32</f>
        <v/>
      </c>
    </row>
    <row r="14" s="220" customFormat="1" ht="15" customHeight="1">
      <c r="A14" s="221" t="s">
        <v>64</v>
      </c>
      <c r="B14" s="242" t="e">
        <f>PotR!I15</f>
        <v/>
      </c>
      <c r="C14" s="224" t="e">
        <f>PotR!G15</f>
        <v/>
      </c>
      <c r="D14" s="224" t="e">
        <f>IF(B14&lt;100,(100-RI)^(1+p)*BEV,0)</f>
        <v/>
      </c>
      <c r="E14" s="224" t="e">
        <f>IF(B14&lt;100,B/SUM*(100-RI)^(1+p),0)</f>
        <v/>
      </c>
      <c r="F14" s="243" t="e">
        <f>E14*BEV</f>
        <v/>
      </c>
      <c r="G14" s="244" t="e">
        <f>Dotation_PR!$D$25/Dotation_PR!$D$26*F14</f>
        <v/>
      </c>
      <c r="H14" s="245" t="e">
        <f>F14-G14</f>
        <v/>
      </c>
    </row>
    <row r="15" s="220" customFormat="1" ht="15" customHeight="1">
      <c r="A15" s="226" t="s">
        <v>65</v>
      </c>
      <c r="B15" s="247" t="e">
        <f>PotR!I16</f>
        <v/>
      </c>
      <c r="C15" s="229" t="e">
        <f>PotR!G16</f>
        <v/>
      </c>
      <c r="D15" s="229" t="e">
        <f>IF(B15&lt;100,(100-RI)^(1+p)*BEV,0)</f>
        <v/>
      </c>
      <c r="E15" s="229" t="e">
        <f>IF(B15&lt;100,B/SUM*(100-RI)^(1+p),0)</f>
        <v/>
      </c>
      <c r="F15" s="248" t="e">
        <f>E15*BEV</f>
        <v/>
      </c>
      <c r="G15" s="249" t="e">
        <f>Dotation_PR!$D$25/Dotation_PR!$D$26*F15</f>
        <v/>
      </c>
      <c r="H15" s="250" t="e">
        <f>F15-G15</f>
        <v/>
      </c>
    </row>
    <row r="16" s="220" customFormat="1" ht="15" customHeight="1">
      <c r="A16" s="221" t="s">
        <v>66</v>
      </c>
      <c r="B16" s="242" t="e">
        <f>PotR!I17</f>
        <v/>
      </c>
      <c r="C16" s="224" t="e">
        <f>PotR!G17</f>
        <v/>
      </c>
      <c r="D16" s="224" t="e">
        <f>IF(B16&lt;100,(100-RI)^(1+p)*BEV,0)</f>
        <v/>
      </c>
      <c r="E16" s="224" t="e">
        <f>IF(B16&lt;100,B/SUM*(100-RI)^(1+p),0)</f>
        <v/>
      </c>
      <c r="F16" s="243" t="e">
        <f>E16*BEV</f>
        <v/>
      </c>
      <c r="G16" s="244" t="e">
        <f>Dotation_PR!$D$25/Dotation_PR!$D$26*F16</f>
        <v/>
      </c>
      <c r="H16" s="245" t="e">
        <f>F16-G16</f>
        <v/>
      </c>
    </row>
    <row r="17" s="220" customFormat="1" ht="15" customHeight="1">
      <c r="A17" s="226" t="s">
        <v>67</v>
      </c>
      <c r="B17" s="247" t="e">
        <f>PotR!I18</f>
        <v/>
      </c>
      <c r="C17" s="229" t="e">
        <f>PotR!G18</f>
        <v/>
      </c>
      <c r="D17" s="229" t="e">
        <f>IF(B17&lt;100,(100-RI)^(1+p)*BEV,0)</f>
        <v/>
      </c>
      <c r="E17" s="229" t="e">
        <f>IF(B17&lt;100,B/SUM*(100-RI)^(1+p),0)</f>
        <v/>
      </c>
      <c r="F17" s="248" t="e">
        <f>E17*BEV</f>
        <v/>
      </c>
      <c r="G17" s="249" t="e">
        <f>Dotation_PR!$D$25/Dotation_PR!$D$26*F17</f>
        <v/>
      </c>
      <c r="H17" s="250" t="e">
        <f>F17-G17</f>
        <v/>
      </c>
    </row>
    <row r="18" s="220" customFormat="1" ht="15" customHeight="1">
      <c r="A18" s="221" t="s">
        <v>68</v>
      </c>
      <c r="B18" s="242" t="e">
        <f>PotR!I19</f>
        <v/>
      </c>
      <c r="C18" s="224" t="e">
        <f>PotR!G19</f>
        <v/>
      </c>
      <c r="D18" s="224" t="e">
        <f>IF(B18&lt;100,(100-RI)^(1+p)*BEV,0)</f>
        <v/>
      </c>
      <c r="E18" s="224" t="e">
        <f>IF(B18&lt;100,B/SUM*(100-RI)^(1+p),0)</f>
        <v/>
      </c>
      <c r="F18" s="243" t="e">
        <f>E18*BEV</f>
        <v/>
      </c>
      <c r="G18" s="244" t="e">
        <f>Dotation_PR!$D$25/Dotation_PR!$D$26*F18</f>
        <v/>
      </c>
      <c r="H18" s="245" t="e">
        <f>F18-G18</f>
        <v/>
      </c>
    </row>
    <row r="19" s="220" customFormat="1" ht="15" customHeight="1">
      <c r="A19" s="226" t="s">
        <v>69</v>
      </c>
      <c r="B19" s="247" t="e">
        <f>PotR!I20</f>
        <v/>
      </c>
      <c r="C19" s="229" t="e">
        <f>PotR!G20</f>
        <v/>
      </c>
      <c r="D19" s="229" t="e">
        <f>IF(B19&lt;100,(100-RI)^(1+p)*BEV,0)</f>
        <v/>
      </c>
      <c r="E19" s="229" t="e">
        <f>IF(B19&lt;100,B/SUM*(100-RI)^(1+p),0)</f>
        <v/>
      </c>
      <c r="F19" s="248" t="e">
        <f>E19*BEV</f>
        <v/>
      </c>
      <c r="G19" s="249" t="e">
        <f>Dotation_PR!$D$25/Dotation_PR!$D$26*F19</f>
        <v/>
      </c>
      <c r="H19" s="250" t="e">
        <f>F19-G19</f>
        <v/>
      </c>
    </row>
    <row r="20" s="220" customFormat="1" ht="15" customHeight="1">
      <c r="A20" s="221" t="s">
        <v>70</v>
      </c>
      <c r="B20" s="242" t="e">
        <f>PotR!I21</f>
        <v/>
      </c>
      <c r="C20" s="224" t="e">
        <f>PotR!G21</f>
        <v/>
      </c>
      <c r="D20" s="224" t="e">
        <f>IF(B20&lt;100,(100-RI)^(1+p)*BEV,0)</f>
        <v/>
      </c>
      <c r="E20" s="224" t="e">
        <f>IF(B20&lt;100,B/SUM*(100-RI)^(1+p),0)</f>
        <v/>
      </c>
      <c r="F20" s="243" t="e">
        <f>E20*BEV</f>
        <v/>
      </c>
      <c r="G20" s="244" t="e">
        <f>Dotation_PR!$D$25/Dotation_PR!$D$26*F20</f>
        <v/>
      </c>
      <c r="H20" s="245" t="e">
        <f>F20-G20</f>
        <v/>
      </c>
    </row>
    <row r="21" s="220" customFormat="1" ht="15" customHeight="1">
      <c r="A21" s="226" t="s">
        <v>71</v>
      </c>
      <c r="B21" s="247" t="e">
        <f>PotR!I22</f>
        <v/>
      </c>
      <c r="C21" s="229" t="e">
        <f>PotR!G22</f>
        <v/>
      </c>
      <c r="D21" s="229" t="e">
        <f>IF(B21&lt;100,(100-RI)^(1+p)*BEV,0)</f>
        <v/>
      </c>
      <c r="E21" s="229" t="e">
        <f>IF(B21&lt;100,B/SUM*(100-RI)^(1+p),0)</f>
        <v/>
      </c>
      <c r="F21" s="248" t="e">
        <f>E21*BEV</f>
        <v/>
      </c>
      <c r="G21" s="249" t="e">
        <f>Dotation_PR!$D$25/Dotation_PR!$D$26*F21</f>
        <v/>
      </c>
      <c r="H21" s="250" t="e">
        <f>F21-G21</f>
        <v/>
      </c>
    </row>
    <row r="22" s="220" customFormat="1" ht="15" customHeight="1">
      <c r="A22" s="221" t="s">
        <v>72</v>
      </c>
      <c r="B22" s="242" t="e">
        <f>PotR!I23</f>
        <v/>
      </c>
      <c r="C22" s="224" t="e">
        <f>PotR!G23</f>
        <v/>
      </c>
      <c r="D22" s="224" t="e">
        <f>IF(B22&lt;100,(100-RI)^(1+p)*BEV,0)</f>
        <v/>
      </c>
      <c r="E22" s="224" t="e">
        <f>IF(B22&lt;100,B/SUM*(100-RI)^(1+p),0)</f>
        <v/>
      </c>
      <c r="F22" s="243" t="e">
        <f>E22*BEV</f>
        <v/>
      </c>
      <c r="G22" s="244" t="e">
        <f>Dotation_PR!$D$25/Dotation_PR!$D$26*F22</f>
        <v/>
      </c>
      <c r="H22" s="245" t="e">
        <f>F22-G22</f>
        <v/>
      </c>
    </row>
    <row r="23" s="220" customFormat="1" ht="15" customHeight="1">
      <c r="A23" s="226" t="s">
        <v>73</v>
      </c>
      <c r="B23" s="247" t="e">
        <f>PotR!I24</f>
        <v/>
      </c>
      <c r="C23" s="229" t="e">
        <f>PotR!G24</f>
        <v/>
      </c>
      <c r="D23" s="229" t="e">
        <f>IF(B23&lt;100,(100-RI)^(1+p)*BEV,0)</f>
        <v/>
      </c>
      <c r="E23" s="229" t="e">
        <f>IF(B23&lt;100,B/SUM*(100-RI)^(1+p),0)</f>
        <v/>
      </c>
      <c r="F23" s="248" t="e">
        <f>E23*BEV</f>
        <v/>
      </c>
      <c r="G23" s="249" t="e">
        <f>Dotation_PR!$D$25/Dotation_PR!$D$26*F23</f>
        <v/>
      </c>
      <c r="H23" s="250" t="e">
        <f>F23-G23</f>
        <v/>
      </c>
    </row>
    <row r="24" s="220" customFormat="1" ht="15" customHeight="1">
      <c r="A24" s="221" t="s">
        <v>74</v>
      </c>
      <c r="B24" s="242" t="e">
        <f>PotR!I25</f>
        <v/>
      </c>
      <c r="C24" s="224" t="e">
        <f>PotR!G25</f>
        <v/>
      </c>
      <c r="D24" s="224" t="e">
        <f>IF(B24&lt;100,(100-RI)^(1+p)*BEV,0)</f>
        <v/>
      </c>
      <c r="E24" s="224" t="e">
        <f>IF(B24&lt;100,B/SUM*(100-RI)^(1+p),0)</f>
        <v/>
      </c>
      <c r="F24" s="243" t="e">
        <f>E24*BEV</f>
        <v/>
      </c>
      <c r="G24" s="244" t="e">
        <f>Dotation_PR!$D$25/Dotation_PR!$D$26*F24</f>
        <v/>
      </c>
      <c r="H24" s="245" t="e">
        <f>F24-G24</f>
        <v/>
      </c>
    </row>
    <row r="25" s="220" customFormat="1" ht="15" customHeight="1">
      <c r="A25" s="226" t="s">
        <v>75</v>
      </c>
      <c r="B25" s="247" t="e">
        <f>PotR!I26</f>
        <v/>
      </c>
      <c r="C25" s="229" t="e">
        <f>PotR!G26</f>
        <v/>
      </c>
      <c r="D25" s="229" t="e">
        <f>IF(B25&lt;100,(100-RI)^(1+p)*BEV,0)</f>
        <v/>
      </c>
      <c r="E25" s="229" t="e">
        <f>IF(B25&lt;100,B/SUM*(100-RI)^(1+p),0)</f>
        <v/>
      </c>
      <c r="F25" s="248" t="e">
        <f>E25*BEV</f>
        <v/>
      </c>
      <c r="G25" s="249" t="e">
        <f>Dotation_PR!$D$25/Dotation_PR!$D$26*F25</f>
        <v/>
      </c>
      <c r="H25" s="250" t="e">
        <f>F25-G25</f>
        <v/>
      </c>
    </row>
    <row r="26" s="220" customFormat="1" ht="15" customHeight="1">
      <c r="A26" s="221" t="s">
        <v>76</v>
      </c>
      <c r="B26" s="242" t="e">
        <f>PotR!I27</f>
        <v/>
      </c>
      <c r="C26" s="224" t="e">
        <f>PotR!G27</f>
        <v/>
      </c>
      <c r="D26" s="224" t="e">
        <f>IF(B26&lt;100,(100-RI)^(1+p)*BEV,0)</f>
        <v/>
      </c>
      <c r="E26" s="224" t="e">
        <f>IF(B26&lt;100,B/SUM*(100-RI)^(1+p),0)</f>
        <v/>
      </c>
      <c r="F26" s="243" t="e">
        <f>E26*BEV</f>
        <v/>
      </c>
      <c r="G26" s="244" t="e">
        <f>Dotation_PR!$D$25/Dotation_PR!$D$26*F26</f>
        <v/>
      </c>
      <c r="H26" s="245" t="e">
        <f>F26-G26</f>
        <v/>
      </c>
    </row>
    <row r="27" s="220" customFormat="1" ht="15" customHeight="1">
      <c r="A27" s="226" t="s">
        <v>77</v>
      </c>
      <c r="B27" s="247" t="e">
        <f>PotR!I28</f>
        <v/>
      </c>
      <c r="C27" s="229" t="e">
        <f>PotR!G28</f>
        <v/>
      </c>
      <c r="D27" s="229" t="e">
        <f>IF(B27&lt;100,(100-RI)^(1+p)*BEV,0)</f>
        <v/>
      </c>
      <c r="E27" s="229" t="e">
        <f>IF(B27&lt;100,B/SUM*(100-RI)^(1+p),0)</f>
        <v/>
      </c>
      <c r="F27" s="248" t="e">
        <f>E27*BEV</f>
        <v/>
      </c>
      <c r="G27" s="249" t="e">
        <f>Dotation_PR!$D$25/Dotation_PR!$D$26*F27</f>
        <v/>
      </c>
      <c r="H27" s="250" t="e">
        <f>F27-G27</f>
        <v/>
      </c>
    </row>
    <row r="28" s="220" customFormat="1" ht="15" customHeight="1">
      <c r="A28" s="221" t="s">
        <v>78</v>
      </c>
      <c r="B28" s="242" t="e">
        <f>PotR!I29</f>
        <v/>
      </c>
      <c r="C28" s="224" t="e">
        <f>PotR!G29</f>
        <v/>
      </c>
      <c r="D28" s="224" t="e">
        <f>IF(B28&lt;100,(100-RI)^(1+p)*BEV,0)</f>
        <v/>
      </c>
      <c r="E28" s="224" t="e">
        <f>IF(B28&lt;100,B/SUM*(100-RI)^(1+p),0)</f>
        <v/>
      </c>
      <c r="F28" s="243" t="e">
        <f>E28*BEV</f>
        <v/>
      </c>
      <c r="G28" s="244" t="e">
        <f>Dotation_PR!$D$25/Dotation_PR!$D$26*F28</f>
        <v/>
      </c>
      <c r="H28" s="245" t="e">
        <f>F28-G28</f>
        <v/>
      </c>
    </row>
    <row r="29" s="220" customFormat="1" ht="15" customHeight="1">
      <c r="A29" s="226" t="s">
        <v>79</v>
      </c>
      <c r="B29" s="247" t="e">
        <f>PotR!I30</f>
        <v/>
      </c>
      <c r="C29" s="229" t="e">
        <f>PotR!G30</f>
        <v/>
      </c>
      <c r="D29" s="229" t="e">
        <f>IF(B29&lt;100,(100-RI)^(1+p)*BEV,0)</f>
        <v/>
      </c>
      <c r="E29" s="229" t="e">
        <f>IF(B29&lt;100,B/SUM*(100-RI)^(1+p),0)</f>
        <v/>
      </c>
      <c r="F29" s="248" t="e">
        <f>E29*BEV</f>
        <v/>
      </c>
      <c r="G29" s="249" t="e">
        <f>Dotation_PR!$D$25/Dotation_PR!$D$26*F29</f>
        <v/>
      </c>
      <c r="H29" s="250" t="e">
        <f>F29-G29</f>
        <v/>
      </c>
    </row>
    <row r="30" s="220" customFormat="1" ht="15" customHeight="1">
      <c r="A30" s="221" t="s">
        <v>80</v>
      </c>
      <c r="B30" s="242" t="e">
        <f>PotR!I31</f>
        <v/>
      </c>
      <c r="C30" s="224" t="e">
        <f>PotR!G31</f>
        <v/>
      </c>
      <c r="D30" s="224" t="e">
        <f>IF(B30&lt;100,(100-RI)^(1+p)*BEV,0)</f>
        <v/>
      </c>
      <c r="E30" s="224" t="e">
        <f>IF(B30&lt;100,B/SUM*(100-RI)^(1+p),0)</f>
        <v/>
      </c>
      <c r="F30" s="243" t="e">
        <f>E30*BEV</f>
        <v/>
      </c>
      <c r="G30" s="244" t="e">
        <f>Dotation_PR!$D$25/Dotation_PR!$D$26*F30</f>
        <v/>
      </c>
      <c r="H30" s="245" t="e">
        <f>F30-G30</f>
        <v/>
      </c>
    </row>
    <row r="31" s="220" customFormat="1" ht="15" customHeight="1">
      <c r="A31" s="226" t="s">
        <v>81</v>
      </c>
      <c r="B31" s="247" t="e">
        <f>PotR!I32</f>
        <v/>
      </c>
      <c r="C31" s="229" t="e">
        <f>PotR!G32</f>
        <v/>
      </c>
      <c r="D31" s="229" t="e">
        <f>IF(B31&lt;100,(100-RI)^(1+p)*BEV,0)</f>
        <v/>
      </c>
      <c r="E31" s="229" t="e">
        <f>IF(B31&lt;100,B/SUM*(100-RI)^(1+p),0)</f>
        <v/>
      </c>
      <c r="F31" s="248" t="e">
        <f>E31*BEV</f>
        <v/>
      </c>
      <c r="G31" s="249" t="e">
        <f>Dotation_PR!$D$25/Dotation_PR!$D$26*F31</f>
        <v/>
      </c>
      <c r="H31" s="250" t="e">
        <f>F31-G31</f>
        <v/>
      </c>
    </row>
    <row r="32">
      <c r="A32" s="231" t="s">
        <v>82</v>
      </c>
      <c r="B32" s="255" t="e">
        <f>PotR!I33</f>
        <v/>
      </c>
      <c r="C32" s="233" t="e">
        <f>PotR!G33</f>
        <v/>
      </c>
      <c r="D32" s="233" t="e">
        <f>SUM(D6:D31)</f>
        <v/>
      </c>
      <c r="E32" s="233"/>
      <c r="F32" s="233" t="e">
        <f>SUM(F6:F31)</f>
        <v/>
      </c>
      <c r="G32" s="256" t="e">
        <f>SUM(G6:G31)</f>
        <v/>
      </c>
      <c r="H32" s="257" t="e">
        <f>SUM(H6:H31)</f>
        <v/>
      </c>
    </row>
  </sheetData>
  <mergeCells count="1">
    <mergeCell ref="J4:K4"/>
  </mergeCells>
  <conditionalFormatting sqref="K5">
    <cfRule type="expression" dxfId="0" operator="notContains" priority="1" stopIfTrue="1">
      <formula>ISBLANK(K5)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 codeName="Sheet7">
    <pageSetUpPr fitToPage="1"/>
  </sheetPr>
  <sheetViews>
    <sheetView showGridLines="0" topLeftCell="A1" workbookViewId="0">
      <selection activeCell="D41" sqref="D41"/>
    </sheetView>
  </sheetViews>
  <sheetFormatPr defaultColWidth="11.42578125" defaultRowHeight="12.75"/>
  <cols>
    <col min="1" max="1" width="17.42578125" customWidth="1" style="21"/>
    <col min="2" max="2" width="13.85546875" customWidth="1" style="21"/>
    <col min="3" max="3" width="17.42578125" customWidth="1" style="21"/>
    <col min="4" max="4" width="16.7109375" customWidth="1" style="21"/>
    <col min="5" max="5" width="19.140625" customWidth="1" style="21"/>
    <col min="6" max="6" width="15.140625" customWidth="1" style="21"/>
    <col min="7" max="7" width="18.5703125" customWidth="1" style="21"/>
    <col min="8" max="8" width="13.42578125" customWidth="1" style="21"/>
    <col min="9" max="9" width="2.42578125" customWidth="1" style="21"/>
    <col min="10" max="10" width="19.28515625" customWidth="1" style="21"/>
  </cols>
  <sheetData>
    <row r="1" ht="23.25" customHeight="1">
      <c r="A1" s="41" t="s">
        <f>"Recette fiscale standardisée (RFS) "&amp;Info!C30</f>
        <v>129</v>
      </c>
      <c r="B1" s="41"/>
      <c r="C1" s="41"/>
      <c r="D1" s="41"/>
      <c r="E1" s="41"/>
      <c r="F1" s="41"/>
      <c r="G1" s="41"/>
      <c r="H1" s="41"/>
      <c r="I1" s="15"/>
      <c r="J1" s="44">
        <f>Info!$C$28</f>
        <v>0</v>
      </c>
    </row>
    <row r="2" s="21" customFormat="1">
      <c r="A2" s="83" t="s">
        <v>30</v>
      </c>
      <c r="B2" s="209" t="s">
        <v>113</v>
      </c>
      <c r="C2" s="84" t="s">
        <v>31</v>
      </c>
      <c r="D2" s="84" t="s">
        <v>32</v>
      </c>
      <c r="E2" s="84" t="s">
        <v>33</v>
      </c>
      <c r="F2" s="84" t="s">
        <v>34</v>
      </c>
      <c r="G2" s="84" t="s">
        <v>35</v>
      </c>
      <c r="H2" s="85" t="s">
        <v>36</v>
      </c>
      <c r="J2" s="260" t="s">
        <v>130</v>
      </c>
    </row>
    <row r="3" s="48" customFormat="1" ht="11.25" customHeight="1">
      <c r="A3" s="87" t="s">
        <v>38</v>
      </c>
      <c r="B3" s="261"/>
      <c r="C3" s="88"/>
      <c r="D3" s="88"/>
      <c r="E3" s="88" t="s">
        <v>131</v>
      </c>
      <c r="F3" s="88"/>
      <c r="G3" s="88" t="s">
        <v>132</v>
      </c>
      <c r="H3" s="262" t="s">
        <v>133</v>
      </c>
      <c r="J3" s="263" t="s">
        <v>134</v>
      </c>
    </row>
    <row r="4" ht="69" customHeight="1">
      <c r="A4" s="214"/>
      <c r="B4" s="264" t="s">
        <v>47</v>
      </c>
      <c r="C4" s="264" t="s">
        <v>135</v>
      </c>
      <c r="D4" s="235" t="s">
        <v>8</v>
      </c>
      <c r="E4" s="264" t="s">
        <v>136</v>
      </c>
      <c r="F4" s="235" t="s">
        <v>137</v>
      </c>
      <c r="G4" s="264" t="s">
        <v>138</v>
      </c>
      <c r="H4" s="217" t="s">
        <v>139</v>
      </c>
      <c r="I4" s="265"/>
      <c r="J4" s="266" t="s">
        <v>140</v>
      </c>
    </row>
    <row r="5" s="57" customFormat="1" ht="11.25" customHeight="1">
      <c r="A5" s="98" t="s">
        <v>52</v>
      </c>
      <c r="B5" s="218" t="s">
        <v>92</v>
      </c>
      <c r="C5" s="128" t="s">
        <v>55</v>
      </c>
      <c r="D5" s="128" t="s">
        <v>54</v>
      </c>
      <c r="E5" s="128" t="s">
        <v>55</v>
      </c>
      <c r="F5" s="267" t="s">
        <v>55</v>
      </c>
      <c r="G5" s="268" t="s">
        <v>55</v>
      </c>
      <c r="H5" s="269" t="s">
        <v>92</v>
      </c>
      <c r="I5" s="270"/>
      <c r="J5" s="271" t="s">
        <v>55</v>
      </c>
    </row>
    <row r="6">
      <c r="A6" s="272" t="s">
        <v>56</v>
      </c>
      <c r="B6" s="273" t="e">
        <f>PotR!I7</f>
        <v/>
      </c>
      <c r="C6" s="68" t="e">
        <f>PotR!H7/PotR!$H$33*sse*D6</f>
        <v/>
      </c>
      <c r="D6" s="274" t="e">
        <f>PotR!G7</f>
        <v/>
      </c>
      <c r="E6" s="68" t="e">
        <f>C6/D6</f>
        <v/>
      </c>
      <c r="F6" s="68" t="e">
        <f>IF(B6&gt;100,-Montants_versés!F7,Montants_reçus!F6)/D6</f>
        <v/>
      </c>
      <c r="G6" s="68" t="e">
        <f>E6+F6</f>
        <v/>
      </c>
      <c r="H6" s="69" t="e">
        <f>ROUND(G6/E$32*100,1)</f>
        <v/>
      </c>
      <c r="J6" s="275" t="e">
        <f>E6-E$32</f>
        <v/>
      </c>
    </row>
    <row r="7">
      <c r="A7" s="276" t="s">
        <v>57</v>
      </c>
      <c r="B7" s="277" t="e">
        <f>PotR!I8</f>
        <v/>
      </c>
      <c r="C7" s="73" t="e">
        <f>PotR!H8/PotR!$H$33*sse*D7</f>
        <v/>
      </c>
      <c r="D7" s="278" t="e">
        <f>PotR!G8</f>
        <v/>
      </c>
      <c r="E7" s="73" t="e">
        <f>C7/D7</f>
        <v/>
      </c>
      <c r="F7" s="73" t="e">
        <f>IF(B7&gt;100,-Montants_versés!F8,Montants_reçus!F7)/D7</f>
        <v/>
      </c>
      <c r="G7" s="73" t="e">
        <f>E7+F7</f>
        <v/>
      </c>
      <c r="H7" s="74" t="e">
        <f>ROUND(G7/E$32*100,1)</f>
        <v/>
      </c>
      <c r="J7" s="279" t="e">
        <f>E7-E$32</f>
        <v/>
      </c>
    </row>
    <row r="8">
      <c r="A8" s="280" t="s">
        <v>58</v>
      </c>
      <c r="B8" s="281" t="e">
        <f>PotR!I9</f>
        <v/>
      </c>
      <c r="C8" s="77" t="e">
        <f>PotR!H9/PotR!$H$33*sse*D8</f>
        <v/>
      </c>
      <c r="D8" s="282" t="e">
        <f>PotR!G9</f>
        <v/>
      </c>
      <c r="E8" s="77" t="e">
        <f>C8/D8</f>
        <v/>
      </c>
      <c r="F8" s="77" t="e">
        <f>IF(B8&gt;100,-Montants_versés!F9,Montants_reçus!F8)/D8</f>
        <v/>
      </c>
      <c r="G8" s="77" t="e">
        <f>E8+F8</f>
        <v/>
      </c>
      <c r="H8" s="78" t="e">
        <f>ROUND(G8/E$32*100,1)</f>
        <v/>
      </c>
      <c r="J8" s="283" t="e">
        <f>E8-E$32</f>
        <v/>
      </c>
    </row>
    <row r="9">
      <c r="A9" s="276" t="s">
        <v>59</v>
      </c>
      <c r="B9" s="277" t="e">
        <f>PotR!I10</f>
        <v/>
      </c>
      <c r="C9" s="73" t="e">
        <f>PotR!H10/PotR!$H$33*sse*D9</f>
        <v/>
      </c>
      <c r="D9" s="278" t="e">
        <f>PotR!G10</f>
        <v/>
      </c>
      <c r="E9" s="73" t="e">
        <f>C9/D9</f>
        <v/>
      </c>
      <c r="F9" s="73" t="e">
        <f>IF(B9&gt;100,-Montants_versés!F10,Montants_reçus!F9)/D9</f>
        <v/>
      </c>
      <c r="G9" s="73" t="e">
        <f>E9+F9</f>
        <v/>
      </c>
      <c r="H9" s="74" t="e">
        <f>ROUND(G9/E$32*100,1)</f>
        <v/>
      </c>
      <c r="J9" s="279" t="e">
        <f>E9-E$32</f>
        <v/>
      </c>
    </row>
    <row r="10">
      <c r="A10" s="280" t="s">
        <v>60</v>
      </c>
      <c r="B10" s="281" t="e">
        <f>PotR!I11</f>
        <v/>
      </c>
      <c r="C10" s="77" t="e">
        <f>PotR!H11/PotR!$H$33*sse*D10</f>
        <v/>
      </c>
      <c r="D10" s="282" t="e">
        <f>PotR!G11</f>
        <v/>
      </c>
      <c r="E10" s="77" t="e">
        <f>C10/D10</f>
        <v/>
      </c>
      <c r="F10" s="77" t="e">
        <f>IF(B10&gt;100,-Montants_versés!F11,Montants_reçus!F10)/D10</f>
        <v/>
      </c>
      <c r="G10" s="77" t="e">
        <f>E10+F10</f>
        <v/>
      </c>
      <c r="H10" s="78" t="e">
        <f>ROUND(G10/E$32*100,1)</f>
        <v/>
      </c>
      <c r="J10" s="283" t="e">
        <f>E10-E$32</f>
        <v/>
      </c>
    </row>
    <row r="11">
      <c r="A11" s="276" t="s">
        <v>61</v>
      </c>
      <c r="B11" s="277" t="e">
        <f>PotR!I12</f>
        <v/>
      </c>
      <c r="C11" s="73" t="e">
        <f>PotR!H12/PotR!$H$33*sse*D11</f>
        <v/>
      </c>
      <c r="D11" s="278" t="e">
        <f>PotR!G12</f>
        <v/>
      </c>
      <c r="E11" s="73" t="e">
        <f>C11/D11</f>
        <v/>
      </c>
      <c r="F11" s="73" t="e">
        <f>IF(B11&gt;100,-Montants_versés!F12,Montants_reçus!F11)/D11</f>
        <v/>
      </c>
      <c r="G11" s="73" t="e">
        <f>E11+F11</f>
        <v/>
      </c>
      <c r="H11" s="74" t="e">
        <f>ROUND(G11/E$32*100,1)</f>
        <v/>
      </c>
      <c r="J11" s="279" t="e">
        <f>E11-E$32</f>
        <v/>
      </c>
    </row>
    <row r="12">
      <c r="A12" s="280" t="s">
        <v>62</v>
      </c>
      <c r="B12" s="281" t="e">
        <f>PotR!I13</f>
        <v/>
      </c>
      <c r="C12" s="77" t="e">
        <f>PotR!H13/PotR!$H$33*sse*D12</f>
        <v/>
      </c>
      <c r="D12" s="282" t="e">
        <f>PotR!G13</f>
        <v/>
      </c>
      <c r="E12" s="77" t="e">
        <f>C12/D12</f>
        <v/>
      </c>
      <c r="F12" s="77" t="e">
        <f>IF(B12&gt;100,-Montants_versés!F13,Montants_reçus!F12)/D12</f>
        <v/>
      </c>
      <c r="G12" s="77" t="e">
        <f>E12+F12</f>
        <v/>
      </c>
      <c r="H12" s="78" t="e">
        <f>ROUND(G12/E$32*100,1)</f>
        <v/>
      </c>
      <c r="J12" s="283" t="e">
        <f>E12-E$32</f>
        <v/>
      </c>
    </row>
    <row r="13">
      <c r="A13" s="276" t="s">
        <v>63</v>
      </c>
      <c r="B13" s="277" t="e">
        <f>PotR!I14</f>
        <v/>
      </c>
      <c r="C13" s="73" t="e">
        <f>PotR!H14/PotR!$H$33*sse*D13</f>
        <v/>
      </c>
      <c r="D13" s="278" t="e">
        <f>PotR!G14</f>
        <v/>
      </c>
      <c r="E13" s="73" t="e">
        <f>C13/D13</f>
        <v/>
      </c>
      <c r="F13" s="73" t="e">
        <f>IF(B13&gt;100,-Montants_versés!F14,Montants_reçus!F13)/D13</f>
        <v/>
      </c>
      <c r="G13" s="73" t="e">
        <f>E13+F13</f>
        <v/>
      </c>
      <c r="H13" s="74" t="e">
        <f>ROUND(G13/E$32*100,1)</f>
        <v/>
      </c>
      <c r="J13" s="279" t="e">
        <f>E13-E$32</f>
        <v/>
      </c>
    </row>
    <row r="14">
      <c r="A14" s="280" t="s">
        <v>64</v>
      </c>
      <c r="B14" s="281" t="e">
        <f>PotR!I15</f>
        <v/>
      </c>
      <c r="C14" s="77" t="e">
        <f>PotR!H15/PotR!$H$33*sse*D14</f>
        <v/>
      </c>
      <c r="D14" s="282" t="e">
        <f>PotR!G15</f>
        <v/>
      </c>
      <c r="E14" s="77" t="e">
        <f>C14/D14</f>
        <v/>
      </c>
      <c r="F14" s="77" t="e">
        <f>IF(B14&gt;100,-Montants_versés!F15,Montants_reçus!F14)/D14</f>
        <v/>
      </c>
      <c r="G14" s="77" t="e">
        <f>E14+F14</f>
        <v/>
      </c>
      <c r="H14" s="78" t="e">
        <f>ROUND(G14/E$32*100,1)</f>
        <v/>
      </c>
      <c r="J14" s="283" t="e">
        <f>E14-E$32</f>
        <v/>
      </c>
    </row>
    <row r="15">
      <c r="A15" s="276" t="s">
        <v>65</v>
      </c>
      <c r="B15" s="277" t="e">
        <f>PotR!I16</f>
        <v/>
      </c>
      <c r="C15" s="73" t="e">
        <f>PotR!H16/PotR!$H$33*sse*D15</f>
        <v/>
      </c>
      <c r="D15" s="278" t="e">
        <f>PotR!G16</f>
        <v/>
      </c>
      <c r="E15" s="73" t="e">
        <f>C15/D15</f>
        <v/>
      </c>
      <c r="F15" s="73" t="e">
        <f>IF(B15&gt;100,-Montants_versés!F16,Montants_reçus!F15)/D15</f>
        <v/>
      </c>
      <c r="G15" s="73" t="e">
        <f>E15+F15</f>
        <v/>
      </c>
      <c r="H15" s="74" t="e">
        <f>ROUND(G15/E$32*100,1)</f>
        <v/>
      </c>
      <c r="J15" s="279" t="e">
        <f>E15-E$32</f>
        <v/>
      </c>
    </row>
    <row r="16">
      <c r="A16" s="280" t="s">
        <v>66</v>
      </c>
      <c r="B16" s="281" t="e">
        <f>PotR!I17</f>
        <v/>
      </c>
      <c r="C16" s="77" t="e">
        <f>PotR!H17/PotR!$H$33*sse*D16</f>
        <v/>
      </c>
      <c r="D16" s="282" t="e">
        <f>PotR!G17</f>
        <v/>
      </c>
      <c r="E16" s="77" t="e">
        <f>C16/D16</f>
        <v/>
      </c>
      <c r="F16" s="77" t="e">
        <f>IF(B16&gt;100,-Montants_versés!F17,Montants_reçus!F16)/D16</f>
        <v/>
      </c>
      <c r="G16" s="77" t="e">
        <f>E16+F16</f>
        <v/>
      </c>
      <c r="H16" s="78" t="e">
        <f>ROUND(G16/E$32*100,1)</f>
        <v/>
      </c>
      <c r="J16" s="283" t="e">
        <f>E16-E$32</f>
        <v/>
      </c>
    </row>
    <row r="17">
      <c r="A17" s="276" t="s">
        <v>67</v>
      </c>
      <c r="B17" s="277" t="e">
        <f>PotR!I18</f>
        <v/>
      </c>
      <c r="C17" s="73" t="e">
        <f>PotR!H18/PotR!$H$33*sse*D17</f>
        <v/>
      </c>
      <c r="D17" s="278" t="e">
        <f>PotR!G18</f>
        <v/>
      </c>
      <c r="E17" s="73" t="e">
        <f>C17/D17</f>
        <v/>
      </c>
      <c r="F17" s="73" t="e">
        <f>IF(B17&gt;100,-Montants_versés!F18,Montants_reçus!F17)/D17</f>
        <v/>
      </c>
      <c r="G17" s="73" t="e">
        <f>E17+F17</f>
        <v/>
      </c>
      <c r="H17" s="74" t="e">
        <f>ROUND(G17/E$32*100,1)</f>
        <v/>
      </c>
      <c r="J17" s="279" t="e">
        <f>E17-E$32</f>
        <v/>
      </c>
    </row>
    <row r="18">
      <c r="A18" s="280" t="s">
        <v>68</v>
      </c>
      <c r="B18" s="281" t="e">
        <f>PotR!I19</f>
        <v/>
      </c>
      <c r="C18" s="77" t="e">
        <f>PotR!H19/PotR!$H$33*sse*D18</f>
        <v/>
      </c>
      <c r="D18" s="282" t="e">
        <f>PotR!G19</f>
        <v/>
      </c>
      <c r="E18" s="77" t="e">
        <f>C18/D18</f>
        <v/>
      </c>
      <c r="F18" s="77" t="e">
        <f>IF(B18&gt;100,-Montants_versés!F19,Montants_reçus!F18)/D18</f>
        <v/>
      </c>
      <c r="G18" s="77" t="e">
        <f>E18+F18</f>
        <v/>
      </c>
      <c r="H18" s="78" t="e">
        <f>ROUND(G18/E$32*100,1)</f>
        <v/>
      </c>
      <c r="J18" s="283" t="e">
        <f>E18-E$32</f>
        <v/>
      </c>
    </row>
    <row r="19">
      <c r="A19" s="276" t="s">
        <v>69</v>
      </c>
      <c r="B19" s="277" t="e">
        <f>PotR!I20</f>
        <v/>
      </c>
      <c r="C19" s="73" t="e">
        <f>PotR!H20/PotR!$H$33*sse*D19</f>
        <v/>
      </c>
      <c r="D19" s="278" t="e">
        <f>PotR!G20</f>
        <v/>
      </c>
      <c r="E19" s="73" t="e">
        <f>C19/D19</f>
        <v/>
      </c>
      <c r="F19" s="73" t="e">
        <f>IF(B19&gt;100,-Montants_versés!F20,Montants_reçus!F19)/D19</f>
        <v/>
      </c>
      <c r="G19" s="73" t="e">
        <f>E19+F19</f>
        <v/>
      </c>
      <c r="H19" s="74" t="e">
        <f>ROUND(G19/E$32*100,1)</f>
        <v/>
      </c>
      <c r="J19" s="279" t="e">
        <f>E19-E$32</f>
        <v/>
      </c>
    </row>
    <row r="20">
      <c r="A20" s="280" t="s">
        <v>70</v>
      </c>
      <c r="B20" s="281" t="e">
        <f>PotR!I21</f>
        <v/>
      </c>
      <c r="C20" s="77" t="e">
        <f>PotR!H21/PotR!$H$33*sse*D20</f>
        <v/>
      </c>
      <c r="D20" s="282" t="e">
        <f>PotR!G21</f>
        <v/>
      </c>
      <c r="E20" s="77" t="e">
        <f>C20/D20</f>
        <v/>
      </c>
      <c r="F20" s="77" t="e">
        <f>IF(B20&gt;100,-Montants_versés!F21,Montants_reçus!F20)/D20</f>
        <v/>
      </c>
      <c r="G20" s="77" t="e">
        <f>E20+F20</f>
        <v/>
      </c>
      <c r="H20" s="78" t="e">
        <f>ROUND(G20/E$32*100,1)</f>
        <v/>
      </c>
      <c r="J20" s="283" t="e">
        <f>E20-E$32</f>
        <v/>
      </c>
    </row>
    <row r="21">
      <c r="A21" s="276" t="s">
        <v>71</v>
      </c>
      <c r="B21" s="277" t="e">
        <f>PotR!I22</f>
        <v/>
      </c>
      <c r="C21" s="73" t="e">
        <f>PotR!H22/PotR!$H$33*sse*D21</f>
        <v/>
      </c>
      <c r="D21" s="278" t="e">
        <f>PotR!G22</f>
        <v/>
      </c>
      <c r="E21" s="73" t="e">
        <f>C21/D21</f>
        <v/>
      </c>
      <c r="F21" s="73" t="e">
        <f>IF(B21&gt;100,-Montants_versés!F22,Montants_reçus!F21)/D21</f>
        <v/>
      </c>
      <c r="G21" s="73" t="e">
        <f>E21+F21</f>
        <v/>
      </c>
      <c r="H21" s="74" t="e">
        <f>ROUND(G21/E$32*100,1)</f>
        <v/>
      </c>
      <c r="J21" s="279" t="e">
        <f>E21-E$32</f>
        <v/>
      </c>
    </row>
    <row r="22">
      <c r="A22" s="280" t="s">
        <v>72</v>
      </c>
      <c r="B22" s="281" t="e">
        <f>PotR!I23</f>
        <v/>
      </c>
      <c r="C22" s="77" t="e">
        <f>PotR!H23/PotR!$H$33*sse*D22</f>
        <v/>
      </c>
      <c r="D22" s="282" t="e">
        <f>PotR!G23</f>
        <v/>
      </c>
      <c r="E22" s="77" t="e">
        <f>C22/D22</f>
        <v/>
      </c>
      <c r="F22" s="77" t="e">
        <f>IF(B22&gt;100,-Montants_versés!F23,Montants_reçus!F22)/D22</f>
        <v/>
      </c>
      <c r="G22" s="77" t="e">
        <f>E22+F22</f>
        <v/>
      </c>
      <c r="H22" s="78" t="e">
        <f>ROUND(G22/E$32*100,1)</f>
        <v/>
      </c>
      <c r="J22" s="283" t="e">
        <f>E22-E$32</f>
        <v/>
      </c>
    </row>
    <row r="23">
      <c r="A23" s="276" t="s">
        <v>73</v>
      </c>
      <c r="B23" s="277" t="e">
        <f>PotR!I24</f>
        <v/>
      </c>
      <c r="C23" s="73" t="e">
        <f>PotR!H24/PotR!$H$33*sse*D23</f>
        <v/>
      </c>
      <c r="D23" s="278" t="e">
        <f>PotR!G24</f>
        <v/>
      </c>
      <c r="E23" s="73" t="e">
        <f>C23/D23</f>
        <v/>
      </c>
      <c r="F23" s="73" t="e">
        <f>IF(B23&gt;100,-Montants_versés!F24,Montants_reçus!F23)/D23</f>
        <v/>
      </c>
      <c r="G23" s="73" t="e">
        <f>E23+F23</f>
        <v/>
      </c>
      <c r="H23" s="74" t="e">
        <f>ROUND(G23/E$32*100,1)</f>
        <v/>
      </c>
      <c r="J23" s="279" t="e">
        <f>E23-E$32</f>
        <v/>
      </c>
    </row>
    <row r="24">
      <c r="A24" s="280" t="s">
        <v>74</v>
      </c>
      <c r="B24" s="281" t="e">
        <f>PotR!I25</f>
        <v/>
      </c>
      <c r="C24" s="77" t="e">
        <f>PotR!H25/PotR!$H$33*sse*D24</f>
        <v/>
      </c>
      <c r="D24" s="282" t="e">
        <f>PotR!G25</f>
        <v/>
      </c>
      <c r="E24" s="77" t="e">
        <f>C24/D24</f>
        <v/>
      </c>
      <c r="F24" s="77" t="e">
        <f>IF(B24&gt;100,-Montants_versés!F25,Montants_reçus!F24)/D24</f>
        <v/>
      </c>
      <c r="G24" s="77" t="e">
        <f>E24+F24</f>
        <v/>
      </c>
      <c r="H24" s="78" t="e">
        <f>ROUND(G24/E$32*100,1)</f>
        <v/>
      </c>
      <c r="J24" s="283" t="e">
        <f>E24-E$32</f>
        <v/>
      </c>
    </row>
    <row r="25">
      <c r="A25" s="276" t="s">
        <v>75</v>
      </c>
      <c r="B25" s="277" t="e">
        <f>PotR!I26</f>
        <v/>
      </c>
      <c r="C25" s="73" t="e">
        <f>PotR!H26/PotR!$H$33*sse*D25</f>
        <v/>
      </c>
      <c r="D25" s="278" t="e">
        <f>PotR!G26</f>
        <v/>
      </c>
      <c r="E25" s="73" t="e">
        <f>C25/D25</f>
        <v/>
      </c>
      <c r="F25" s="73" t="e">
        <f>IF(B25&gt;100,-Montants_versés!F26,Montants_reçus!F25)/D25</f>
        <v/>
      </c>
      <c r="G25" s="73" t="e">
        <f>E25+F25</f>
        <v/>
      </c>
      <c r="H25" s="74" t="e">
        <f>ROUND(G25/E$32*100,1)</f>
        <v/>
      </c>
      <c r="J25" s="279" t="e">
        <f>E25-E$32</f>
        <v/>
      </c>
    </row>
    <row r="26">
      <c r="A26" s="280" t="s">
        <v>76</v>
      </c>
      <c r="B26" s="281" t="e">
        <f>PotR!I27</f>
        <v/>
      </c>
      <c r="C26" s="77" t="e">
        <f>PotR!H27/PotR!$H$33*sse*D26</f>
        <v/>
      </c>
      <c r="D26" s="282" t="e">
        <f>PotR!G27</f>
        <v/>
      </c>
      <c r="E26" s="77" t="e">
        <f>C26/D26</f>
        <v/>
      </c>
      <c r="F26" s="77" t="e">
        <f>IF(B26&gt;100,-Montants_versés!F27,Montants_reçus!F26)/D26</f>
        <v/>
      </c>
      <c r="G26" s="77" t="e">
        <f>E26+F26</f>
        <v/>
      </c>
      <c r="H26" s="78" t="e">
        <f>ROUND(G26/E$32*100,1)</f>
        <v/>
      </c>
      <c r="J26" s="283" t="e">
        <f>E26-E$32</f>
        <v/>
      </c>
    </row>
    <row r="27">
      <c r="A27" s="276" t="s">
        <v>77</v>
      </c>
      <c r="B27" s="277" t="e">
        <f>PotR!I28</f>
        <v/>
      </c>
      <c r="C27" s="73" t="e">
        <f>PotR!H28/PotR!$H$33*sse*D27</f>
        <v/>
      </c>
      <c r="D27" s="278" t="e">
        <f>PotR!G28</f>
        <v/>
      </c>
      <c r="E27" s="73" t="e">
        <f>C27/D27</f>
        <v/>
      </c>
      <c r="F27" s="73" t="e">
        <f>IF(B27&gt;100,-Montants_versés!F28,Montants_reçus!F27)/D27</f>
        <v/>
      </c>
      <c r="G27" s="73" t="e">
        <f>E27+F27</f>
        <v/>
      </c>
      <c r="H27" s="74" t="e">
        <f>ROUND(G27/E$32*100,1)</f>
        <v/>
      </c>
      <c r="J27" s="279" t="e">
        <f>E27-E$32</f>
        <v/>
      </c>
    </row>
    <row r="28">
      <c r="A28" s="280" t="s">
        <v>78</v>
      </c>
      <c r="B28" s="281" t="e">
        <f>PotR!I29</f>
        <v/>
      </c>
      <c r="C28" s="77" t="e">
        <f>PotR!H29/PotR!$H$33*sse*D28</f>
        <v/>
      </c>
      <c r="D28" s="282" t="e">
        <f>PotR!G29</f>
        <v/>
      </c>
      <c r="E28" s="77" t="e">
        <f>C28/D28</f>
        <v/>
      </c>
      <c r="F28" s="77" t="e">
        <f>IF(B28&gt;100,-Montants_versés!F29,Montants_reçus!F28)/D28</f>
        <v/>
      </c>
      <c r="G28" s="77" t="e">
        <f>E28+F28</f>
        <v/>
      </c>
      <c r="H28" s="78" t="e">
        <f>ROUND(G28/E$32*100,1)</f>
        <v/>
      </c>
      <c r="J28" s="283" t="e">
        <f>E28-E$32</f>
        <v/>
      </c>
    </row>
    <row r="29">
      <c r="A29" s="276" t="s">
        <v>79</v>
      </c>
      <c r="B29" s="277" t="e">
        <f>PotR!I30</f>
        <v/>
      </c>
      <c r="C29" s="73" t="e">
        <f>PotR!H30/PotR!$H$33*sse*D29</f>
        <v/>
      </c>
      <c r="D29" s="278" t="e">
        <f>PotR!G30</f>
        <v/>
      </c>
      <c r="E29" s="73" t="e">
        <f>C29/D29</f>
        <v/>
      </c>
      <c r="F29" s="73" t="e">
        <f>IF(B29&gt;100,-Montants_versés!F30,Montants_reçus!F29)/D29</f>
        <v/>
      </c>
      <c r="G29" s="73" t="e">
        <f>E29+F29</f>
        <v/>
      </c>
      <c r="H29" s="74" t="e">
        <f>ROUND(G29/E$32*100,1)</f>
        <v/>
      </c>
      <c r="J29" s="279" t="e">
        <f>E29-E$32</f>
        <v/>
      </c>
    </row>
    <row r="30">
      <c r="A30" s="280" t="s">
        <v>80</v>
      </c>
      <c r="B30" s="281" t="e">
        <f>PotR!I31</f>
        <v/>
      </c>
      <c r="C30" s="77" t="e">
        <f>PotR!H31/PotR!$H$33*sse*D30</f>
        <v/>
      </c>
      <c r="D30" s="282" t="e">
        <f>PotR!G31</f>
        <v/>
      </c>
      <c r="E30" s="77" t="e">
        <f>C30/D30</f>
        <v/>
      </c>
      <c r="F30" s="77" t="e">
        <f>IF(B30&gt;100,-Montants_versés!F31,Montants_reçus!F30)/D30</f>
        <v/>
      </c>
      <c r="G30" s="77" t="e">
        <f>E30+F30</f>
        <v/>
      </c>
      <c r="H30" s="78" t="e">
        <f>ROUND(G30/E$32*100,1)</f>
        <v/>
      </c>
      <c r="J30" s="283" t="e">
        <f>E30-E$32</f>
        <v/>
      </c>
    </row>
    <row r="31">
      <c r="A31" s="276" t="s">
        <v>81</v>
      </c>
      <c r="B31" s="284" t="e">
        <f>PotR!I32</f>
        <v/>
      </c>
      <c r="C31" s="154" t="e">
        <f>PotR!H32/PotR!$H$33*sse*D31</f>
        <v/>
      </c>
      <c r="D31" s="285" t="e">
        <f>PotR!G32</f>
        <v/>
      </c>
      <c r="E31" s="154" t="e">
        <f>C31/D31</f>
        <v/>
      </c>
      <c r="F31" s="154" t="e">
        <f>IF(B31&gt;100,-Montants_versés!F32,Montants_reçus!F31)/D31</f>
        <v/>
      </c>
      <c r="G31" s="154" t="e">
        <f>E31+F31</f>
        <v/>
      </c>
      <c r="H31" s="286" t="e">
        <f>ROUND(G31/E$32*100,1)</f>
        <v/>
      </c>
      <c r="J31" s="287" t="e">
        <f>E31-E$32</f>
        <v/>
      </c>
    </row>
    <row r="32" s="220" customFormat="1" ht="15" customHeight="1">
      <c r="A32" s="231" t="s">
        <v>141</v>
      </c>
      <c r="B32" s="255" t="e">
        <f>PotR!I33</f>
        <v/>
      </c>
      <c r="C32" s="233" t="e">
        <f>SUM(C6:C31)</f>
        <v/>
      </c>
      <c r="D32" s="288" t="e">
        <f>SUM(D6:D31)</f>
        <v/>
      </c>
      <c r="E32" s="233" t="e">
        <f>C32/D32</f>
        <v/>
      </c>
      <c r="F32" s="233"/>
      <c r="G32" s="233"/>
      <c r="H32" s="289"/>
      <c r="I32" s="220"/>
      <c r="J32" s="290" t="e">
        <f>E32-E$32</f>
        <v/>
      </c>
    </row>
    <row r="33" s="291" customFormat="1" ht="18.75" customHeight="1">
      <c r="A33" s="292" t="s">
        <v>142</v>
      </c>
      <c r="B33" s="293" t="e">
        <f>MIN(B6:B31)</f>
        <v/>
      </c>
      <c r="C33" s="293"/>
      <c r="D33" s="294"/>
      <c r="E33" s="295"/>
      <c r="F33" s="295"/>
      <c r="G33" s="295"/>
      <c r="H33" s="296" t="e">
        <f>MIN(H6:H31)</f>
        <v/>
      </c>
    </row>
    <row r="34" s="21" customFormat="1" ht="14.25" customHeight="1">
      <c r="A34" s="112"/>
      <c r="B34" s="297"/>
      <c r="C34" s="297"/>
      <c r="D34" s="298"/>
      <c r="E34" s="90"/>
      <c r="F34" s="90"/>
      <c r="G34" s="90"/>
      <c r="H34" s="297"/>
    </row>
    <row r="35" ht="26.25" customHeight="1">
      <c r="A35" s="334" t="s">
        <f>"Taux fiscal standardisé "&amp;Info!C30</f>
        <v>143</v>
      </c>
      <c r="B35" s="334"/>
      <c r="C35" s="334"/>
      <c r="D35" s="334"/>
      <c r="E35" s="334"/>
      <c r="F35" s="334"/>
      <c r="G35" s="334"/>
      <c r="H35" s="334"/>
      <c r="I35" s="15"/>
      <c r="J35" s="15"/>
    </row>
    <row r="36" ht="15.75" customHeight="1">
      <c r="A36" s="214"/>
      <c r="B36" s="299"/>
      <c r="C36" s="299"/>
      <c r="D36" s="300" t="s">
        <v>52</v>
      </c>
      <c r="E36" s="87" t="s">
        <v>38</v>
      </c>
      <c r="F36" s="301">
        <v>2004</v>
      </c>
      <c r="G36" s="302">
        <v>2005</v>
      </c>
      <c r="H36" s="303">
        <v>2006</v>
      </c>
      <c r="I36" s="304"/>
      <c r="J36" s="305" t="s">
        <f>F36&amp;" - "&amp;H36</f>
        <v>144</v>
      </c>
    </row>
    <row r="37" ht="15" customHeight="1">
      <c r="A37" s="306" t="s">
        <v>145</v>
      </c>
      <c r="B37" s="299"/>
      <c r="C37" s="299"/>
      <c r="D37" s="307" t="s">
        <v>53</v>
      </c>
      <c r="E37" s="308"/>
      <c r="F37" s="309">
        <v>54386868</v>
      </c>
      <c r="G37" s="310">
        <v>56210714</v>
      </c>
      <c r="H37" s="311">
        <v>58972820</v>
      </c>
      <c r="I37" s="312"/>
      <c r="J37" s="313"/>
    </row>
    <row r="38" ht="15" customHeight="1">
      <c r="A38" s="306" t="s">
        <v>146</v>
      </c>
      <c r="B38" s="299"/>
      <c r="C38" s="299"/>
      <c r="D38" s="307" t="s">
        <v>53</v>
      </c>
      <c r="E38" s="308"/>
      <c r="F38" s="309">
        <v>11821740</v>
      </c>
      <c r="G38" s="310">
        <v>12213083</v>
      </c>
      <c r="H38" s="311">
        <v>14230498</v>
      </c>
      <c r="I38" s="314"/>
      <c r="J38" s="315"/>
    </row>
    <row r="39" ht="15" customHeight="1">
      <c r="A39" s="306" t="s">
        <v>147</v>
      </c>
      <c r="B39" s="299"/>
      <c r="C39" s="299"/>
      <c r="D39" s="307" t="s">
        <v>53</v>
      </c>
      <c r="E39" s="308" t="s">
        <v>148</v>
      </c>
      <c r="F39" s="316">
        <f>0.17*F38</f>
        <v>0</v>
      </c>
      <c r="G39" s="317">
        <f>0.17*G38</f>
        <v>0</v>
      </c>
      <c r="H39" s="318">
        <f>0.17*H38</f>
        <v>0</v>
      </c>
      <c r="I39" s="319"/>
      <c r="J39" s="320"/>
    </row>
    <row r="40" ht="15.75" customHeight="1">
      <c r="A40" s="321" t="s">
        <v>149</v>
      </c>
      <c r="B40" s="322"/>
      <c r="C40" s="322"/>
      <c r="D40" s="323" t="s">
        <v>53</v>
      </c>
      <c r="E40" s="324" t="s">
        <v>150</v>
      </c>
      <c r="F40" s="325">
        <f>F37+F39</f>
        <v>0</v>
      </c>
      <c r="G40" s="326">
        <f>G37+G39</f>
        <v>0</v>
      </c>
      <c r="H40" s="326">
        <f>H37+H39</f>
        <v>0</v>
      </c>
      <c r="I40" s="172"/>
      <c r="J40" s="327">
        <f>AVERAGE(F40:H40)</f>
        <v>0</v>
      </c>
    </row>
    <row r="41" ht="15" customHeight="1">
      <c r="A41" s="306" t="s">
        <v>151</v>
      </c>
      <c r="B41" s="299"/>
      <c r="C41" s="299"/>
      <c r="D41" s="328" t="s">
        <v>54</v>
      </c>
      <c r="E41" s="308"/>
      <c r="F41" s="316"/>
      <c r="G41" s="317"/>
      <c r="H41" s="317"/>
      <c r="I41" s="329"/>
      <c r="J41" s="318" t="e">
        <f>Population!F33</f>
        <v/>
      </c>
    </row>
    <row r="42" ht="15.75" customHeight="1">
      <c r="A42" s="321" t="s">
        <v>152</v>
      </c>
      <c r="B42" s="322"/>
      <c r="C42" s="322"/>
      <c r="D42" s="323" t="s">
        <v>55</v>
      </c>
      <c r="E42" s="324" t="s">
        <v>153</v>
      </c>
      <c r="F42" s="330"/>
      <c r="G42" s="172"/>
      <c r="H42" s="172"/>
      <c r="I42" s="172"/>
      <c r="J42" s="331" t="e">
        <f>J40/J41*1000</f>
        <v/>
      </c>
    </row>
    <row r="43" ht="15" customHeight="1">
      <c r="A43" s="306" t="s">
        <v>154</v>
      </c>
      <c r="B43" s="299"/>
      <c r="C43" s="299"/>
      <c r="D43" s="307" t="s">
        <v>55</v>
      </c>
      <c r="E43" s="308"/>
      <c r="F43" s="304"/>
      <c r="G43" s="329"/>
      <c r="H43" s="329"/>
      <c r="I43" s="329"/>
      <c r="J43" s="318" t="e">
        <f>PotR!H33</f>
        <v/>
      </c>
    </row>
    <row r="44" ht="15.75" customHeight="1">
      <c r="A44" s="321" t="s">
        <v>155</v>
      </c>
      <c r="B44" s="322"/>
      <c r="C44" s="322"/>
      <c r="D44" s="323" t="s">
        <v>93</v>
      </c>
      <c r="E44" s="324" t="s">
        <v>156</v>
      </c>
      <c r="F44" s="330"/>
      <c r="G44" s="172"/>
      <c r="H44" s="172"/>
      <c r="I44" s="172"/>
      <c r="J44" s="332" t="e">
        <f>sse/J43</f>
        <v/>
      </c>
    </row>
    <row r="45"/>
    <row r="46"/>
    <row r="47"/>
    <row r="48">
      <c r="A48" s="333"/>
    </row>
  </sheetData>
  <mergeCells count="1">
    <mergeCell ref="A35:H35"/>
  </mergeCells>
  <conditionalFormatting sqref="J43">
    <cfRule type="expression" dxfId="0" operator="notContains" priority="1" stopIfTrue="1">
      <formula>ISBLANK($F$12)</formula>
    </cfRule>
  </conditionalFormatting>
  <conditionalFormatting sqref="F36:H38">
    <cfRule type="expression" dxfId="1" operator="notContains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>
  <Application>Microsoft Excel</Application>
  <Company>BIT</Company>
  <TotalTime>0</TotalTime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Utz Pascal EFV</dc:creator>
  <cp:lastModifiedBy>U80820015</cp:lastModifiedBy>
  <dcterms:created xsi:type="dcterms:W3CDTF">2010-11-03T16:06:04Z</dcterms:created>
  <dcterms:modified xsi:type="dcterms:W3CDTF">2012-04-16T07:18:52Z</dcterms:modified>
  <cp:lastPrinted>2011-12-23T16:40:47Z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