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60"/>
  </bookViews>
  <sheets>
    <sheet name="Info" sheetId="1" r:id="rId1"/>
    <sheet name="Salaires_bruts" sheetId="2" r:id="rId2"/>
    <sheet name="Gamma" sheetId="3" r:id="rId3"/>
    <sheet name="Calculation_RIS" sheetId="4" r:id="rId4"/>
  </sheets>
  <definedNames>
    <definedName name="gamma">Gamma!$C$7</definedName>
    <definedName name="sst">Calculation_RIS!$V$14</definedName>
  </definedNames>
  <calcPr calcId="125725"/>
</workbook>
</file>

<file path=xl/calcChain.xml><?xml version="1.0" encoding="utf-8"?>
<calcChain xmlns="http://schemas.openxmlformats.org/spreadsheetml/2006/main">
  <c r="O39" i="4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U11"/>
  <c r="O11"/>
  <c r="E11"/>
  <c r="U10"/>
  <c r="V9"/>
  <c r="O8"/>
  <c r="D7"/>
  <c r="A4"/>
  <c r="L3"/>
  <c r="A2"/>
  <c r="A1"/>
  <c r="C7" i="3"/>
  <c r="C6"/>
  <c r="B6"/>
  <c r="C3"/>
  <c r="A2"/>
  <c r="A1"/>
  <c r="H36" i="2"/>
  <c r="G36"/>
  <c r="F36"/>
  <c r="E36"/>
  <c r="D36"/>
  <c r="C36"/>
  <c r="I36" s="1"/>
  <c r="B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2"/>
  <c r="A2"/>
  <c r="A1"/>
  <c r="A5" i="1"/>
  <c r="A4"/>
  <c r="H11" i="4" l="1"/>
  <c r="D11"/>
  <c r="B11"/>
  <c r="E38"/>
  <c r="E36"/>
  <c r="E34"/>
  <c r="E32"/>
  <c r="E30"/>
  <c r="E28"/>
  <c r="E26"/>
  <c r="E24"/>
  <c r="E22"/>
  <c r="E20"/>
  <c r="E18"/>
  <c r="E16"/>
  <c r="E13"/>
  <c r="E37"/>
  <c r="E35"/>
  <c r="E33"/>
  <c r="E31"/>
  <c r="E29"/>
  <c r="E27"/>
  <c r="E25"/>
  <c r="E14"/>
  <c r="F11"/>
  <c r="E15"/>
  <c r="E17"/>
  <c r="E19"/>
  <c r="E21"/>
  <c r="E23"/>
  <c r="C11"/>
  <c r="G11"/>
  <c r="G38" l="1"/>
  <c r="G36"/>
  <c r="G34"/>
  <c r="G32"/>
  <c r="G30"/>
  <c r="G28"/>
  <c r="G26"/>
  <c r="G24"/>
  <c r="G22"/>
  <c r="G20"/>
  <c r="G18"/>
  <c r="G16"/>
  <c r="G13"/>
  <c r="G37"/>
  <c r="G35"/>
  <c r="G33"/>
  <c r="G31"/>
  <c r="G29"/>
  <c r="G27"/>
  <c r="G25"/>
  <c r="G23"/>
  <c r="G21"/>
  <c r="G19"/>
  <c r="G17"/>
  <c r="G15"/>
  <c r="G14"/>
  <c r="D37"/>
  <c r="D35"/>
  <c r="D33"/>
  <c r="D31"/>
  <c r="D29"/>
  <c r="D27"/>
  <c r="D25"/>
  <c r="D23"/>
  <c r="D21"/>
  <c r="D19"/>
  <c r="D17"/>
  <c r="D15"/>
  <c r="D14"/>
  <c r="D38"/>
  <c r="D36"/>
  <c r="D34"/>
  <c r="D32"/>
  <c r="D30"/>
  <c r="D28"/>
  <c r="D26"/>
  <c r="D24"/>
  <c r="D22"/>
  <c r="D20"/>
  <c r="D18"/>
  <c r="D16"/>
  <c r="D13"/>
  <c r="D39" s="1"/>
  <c r="C38"/>
  <c r="C36"/>
  <c r="I36" s="1"/>
  <c r="K36" s="1"/>
  <c r="L36" s="1"/>
  <c r="C34"/>
  <c r="C32"/>
  <c r="I32" s="1"/>
  <c r="K32" s="1"/>
  <c r="L32" s="1"/>
  <c r="C30"/>
  <c r="C28"/>
  <c r="I28" s="1"/>
  <c r="K28" s="1"/>
  <c r="L28" s="1"/>
  <c r="C26"/>
  <c r="C24"/>
  <c r="I24" s="1"/>
  <c r="K24" s="1"/>
  <c r="L24" s="1"/>
  <c r="C22"/>
  <c r="C20"/>
  <c r="I20" s="1"/>
  <c r="K20" s="1"/>
  <c r="L20" s="1"/>
  <c r="C18"/>
  <c r="C16"/>
  <c r="I16" s="1"/>
  <c r="K16" s="1"/>
  <c r="L16" s="1"/>
  <c r="C13"/>
  <c r="C37"/>
  <c r="I37" s="1"/>
  <c r="K37" s="1"/>
  <c r="L37" s="1"/>
  <c r="C35"/>
  <c r="C33"/>
  <c r="I33" s="1"/>
  <c r="K33" s="1"/>
  <c r="L33" s="1"/>
  <c r="C31"/>
  <c r="C29"/>
  <c r="I29" s="1"/>
  <c r="K29" s="1"/>
  <c r="L29" s="1"/>
  <c r="C27"/>
  <c r="C25"/>
  <c r="I25" s="1"/>
  <c r="K25" s="1"/>
  <c r="L25" s="1"/>
  <c r="C23"/>
  <c r="C21"/>
  <c r="I21" s="1"/>
  <c r="K21" s="1"/>
  <c r="L21" s="1"/>
  <c r="C19"/>
  <c r="C17"/>
  <c r="I17" s="1"/>
  <c r="K17" s="1"/>
  <c r="L17" s="1"/>
  <c r="C15"/>
  <c r="C14"/>
  <c r="I14" s="1"/>
  <c r="K14" s="1"/>
  <c r="L14" s="1"/>
  <c r="F37"/>
  <c r="F35"/>
  <c r="F33"/>
  <c r="F31"/>
  <c r="F29"/>
  <c r="F27"/>
  <c r="F25"/>
  <c r="F23"/>
  <c r="F21"/>
  <c r="F19"/>
  <c r="F17"/>
  <c r="F15"/>
  <c r="F14"/>
  <c r="F38"/>
  <c r="F36"/>
  <c r="F34"/>
  <c r="F32"/>
  <c r="F30"/>
  <c r="F28"/>
  <c r="F26"/>
  <c r="F24"/>
  <c r="F22"/>
  <c r="F20"/>
  <c r="F18"/>
  <c r="F16"/>
  <c r="F13"/>
  <c r="F39" s="1"/>
  <c r="B37"/>
  <c r="B35"/>
  <c r="B33"/>
  <c r="B31"/>
  <c r="B29"/>
  <c r="B27"/>
  <c r="B25"/>
  <c r="B23"/>
  <c r="B21"/>
  <c r="B19"/>
  <c r="B17"/>
  <c r="B15"/>
  <c r="B14"/>
  <c r="B38"/>
  <c r="B36"/>
  <c r="B34"/>
  <c r="B32"/>
  <c r="B30"/>
  <c r="B28"/>
  <c r="B26"/>
  <c r="B24"/>
  <c r="B22"/>
  <c r="B20"/>
  <c r="B18"/>
  <c r="B16"/>
  <c r="B13"/>
  <c r="B39" s="1"/>
  <c r="H37"/>
  <c r="H35"/>
  <c r="H33"/>
  <c r="H31"/>
  <c r="H29"/>
  <c r="H27"/>
  <c r="H25"/>
  <c r="H23"/>
  <c r="H21"/>
  <c r="H19"/>
  <c r="H17"/>
  <c r="H15"/>
  <c r="H14"/>
  <c r="H38"/>
  <c r="H36"/>
  <c r="H34"/>
  <c r="H32"/>
  <c r="H30"/>
  <c r="H28"/>
  <c r="H26"/>
  <c r="H24"/>
  <c r="H22"/>
  <c r="H20"/>
  <c r="H18"/>
  <c r="H16"/>
  <c r="H13"/>
  <c r="H39" s="1"/>
  <c r="E39"/>
  <c r="Q14" l="1"/>
  <c r="S14" s="1"/>
  <c r="Q17"/>
  <c r="S17" s="1"/>
  <c r="Q21"/>
  <c r="S21" s="1"/>
  <c r="Q25"/>
  <c r="S25" s="1"/>
  <c r="Q29"/>
  <c r="S29" s="1"/>
  <c r="Q33"/>
  <c r="S33" s="1"/>
  <c r="Q37"/>
  <c r="S37" s="1"/>
  <c r="Q16"/>
  <c r="S16"/>
  <c r="Q20"/>
  <c r="S20"/>
  <c r="Q24"/>
  <c r="S24"/>
  <c r="Q28"/>
  <c r="S28"/>
  <c r="Q32"/>
  <c r="S32"/>
  <c r="Q36"/>
  <c r="S36"/>
  <c r="I13"/>
  <c r="C39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G39"/>
  <c r="Q38" l="1"/>
  <c r="S38"/>
  <c r="Q30"/>
  <c r="S30"/>
  <c r="Q22"/>
  <c r="S22"/>
  <c r="Q35"/>
  <c r="S35" s="1"/>
  <c r="Q27"/>
  <c r="S27" s="1"/>
  <c r="Q19"/>
  <c r="S19" s="1"/>
  <c r="Q34"/>
  <c r="S34"/>
  <c r="Q26"/>
  <c r="S26"/>
  <c r="Q18"/>
  <c r="S18"/>
  <c r="Q31"/>
  <c r="S31" s="1"/>
  <c r="Q23"/>
  <c r="S23" s="1"/>
  <c r="Q15"/>
  <c r="S15" s="1"/>
  <c r="K13"/>
  <c r="L13" s="1"/>
  <c r="I39"/>
  <c r="K39" s="1"/>
  <c r="L39" s="1"/>
  <c r="Q13" l="1"/>
  <c r="Q39" s="1"/>
  <c r="S13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<sst xmlns="http://schemas.openxmlformats.org/spreadsheetml/2006/main" count="215" uniqueCount="106">
  <si>
    <t>Revenu déterminant pour</t>
  </si>
  <si>
    <t>l'imposition à la source (RIS)</t>
  </si>
  <si>
    <t>Informations</t>
  </si>
  <si>
    <t>Environnement</t>
  </si>
  <si>
    <t>Produktion</t>
  </si>
  <si>
    <t>Type</t>
  </si>
  <si>
    <t>Simulation</t>
  </si>
  <si>
    <t>WS</t>
  </si>
  <si>
    <t>FA_2010_20120518</t>
  </si>
  <si>
    <t>SWS</t>
  </si>
  <si>
    <t>RA_2010_20120518</t>
  </si>
  <si>
    <t>AnRef</t>
  </si>
  <si>
    <t>AnCal</t>
  </si>
  <si>
    <t>Colonne</t>
  </si>
  <si>
    <t>B</t>
  </si>
  <si>
    <t>C</t>
  </si>
  <si>
    <t>D</t>
  </si>
  <si>
    <t>E</t>
  </si>
  <si>
    <t>F</t>
  </si>
  <si>
    <t>G</t>
  </si>
  <si>
    <t>H</t>
  </si>
  <si>
    <t>I</t>
  </si>
  <si>
    <t>Formule</t>
  </si>
  <si>
    <t>C + D + E + F + G + H</t>
  </si>
  <si>
    <t>Catégorie</t>
  </si>
  <si>
    <t>A2</t>
  </si>
  <si>
    <t>D2</t>
  </si>
  <si>
    <t>F2</t>
  </si>
  <si>
    <t>F3</t>
  </si>
  <si>
    <t>I2</t>
  </si>
  <si>
    <t>Etrangers établis dans la région et conseillers d'administration étrangers</t>
  </si>
  <si>
    <t>Frontaliers imposés entièrement</t>
  </si>
  <si>
    <t>Frontaliers assujettis de manière limitée</t>
  </si>
  <si>
    <t>Total</t>
  </si>
  <si>
    <t>autrichiens</t>
  </si>
  <si>
    <t>allemands</t>
  </si>
  <si>
    <t>français imposés par le canton de Genève</t>
  </si>
  <si>
    <t>français imposés
par la France</t>
  </si>
  <si>
    <t>italiens</t>
  </si>
  <si>
    <t>Source de données</t>
  </si>
  <si>
    <t>AFC</t>
  </si>
  <si>
    <t>Unité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</si>
  <si>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</si>
  <si>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</si>
  <si>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</si>
  <si>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</si>
  <si>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</si>
  <si>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</si>
  <si>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</si>
  <si>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</si>
  <si>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</si>
  <si>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</si>
  <si>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</si>
  <si>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</si>
  <si>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</si>
  <si>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</si>
  <si>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</si>
  <si>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</si>
  <si>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</si>
  <si>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</si>
  <si>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</si>
  <si>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</si>
  <si>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</si>
  <si>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</si>
  <si>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</si>
  <si>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</si>
  <si>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</si>
  <si>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</si>
  <si>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</si>
  <si>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</si>
  <si>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t>Source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</si>
  <si>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</si>
  <si>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Revenu primaire des ménages privés</t>
    </r>
  </si>
  <si>
    <t>OFS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</si>
  <si>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Revenu déterminant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</si>
  <si>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</si>
  <si>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Estimation du revenu déterminant pour l'imposition à la source</t>
  </si>
  <si>
    <t>I</t>
  </si>
  <si>
    <t>J</t>
  </si>
  <si>
    <t>K</t>
  </si>
  <si>
    <t>L</t>
  </si>
  <si>
    <t>O</t>
  </si>
  <si>
    <t>P</t>
  </si>
  <si>
    <t>Q</t>
  </si>
  <si>
    <t>S</t>
  </si>
  <si>
    <t>g</t>
  </si>
  <si>
    <t>0.045 / TFS</t>
  </si>
  <si>
    <r>
      <rPr>
        <sz val="8"/>
        <rFont val="Symbol"/>
        <family val="1"/>
        <charset val="2"/>
      </rPr>
      <t>g</t>
    </r>
    <r>
      <rPr>
        <sz val="8"/>
        <rFont val="Arial"/>
        <family val="2"/>
      </rPr>
      <t xml:space="preserve"> - 0.035 / TFS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</si>
  <si>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</si>
  <si>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</si>
  <si>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</si>
  <si>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</si>
  <si>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si L=0</t>
  </si>
  <si>
    <t>L + Q</t>
  </si>
  <si>
    <t>Rapport estimé entre le revenu déterminant pour l'imposition à la source et le revenu déterminant
=&gt; limite supérieure de l'intervalle de confiance 95%</t>
  </si>
  <si>
    <t>Résultat sur la base de données estimées</t>
  </si>
  <si>
    <t>Revenu déterminant pour l'imposition à la source</t>
  </si>
  <si>
    <t>Frontaliers total</t>
  </si>
  <si>
    <t>Facteur Delta
(selon OPFCC)</t>
  </si>
  <si>
    <t>Résultat sur la base des salaires bruts (frontaliers)</t>
  </si>
  <si>
    <t>Résultat sur la base des salaires bruts
(total)</t>
  </si>
  <si>
    <t>Valeur</t>
  </si>
  <si>
    <t>non arrondi</t>
  </si>
  <si>
    <t>arrondi</t>
  </si>
  <si>
    <t>Jura*</t>
  </si>
  <si>
    <t xml:space="preserve">* Correction </t>
  </si>
</sst>
</file>

<file path=xl/styles.xml><?xml version="1.0" encoding="utf-8"?>
<styleSheet xmlns="http://schemas.openxmlformats.org/spreadsheetml/2006/main">
  <numFmts count="5">
    <numFmt numFmtId="166" formatCode="_ * #,##0_ ;_ * \-#,##0_ ;_ * &quot;-&quot;??_ ;_ @_ "/>
    <numFmt numFmtId="167" formatCode="0.0%"/>
    <numFmt numFmtId="168" formatCode="0.000"/>
    <numFmt numFmtId="169" formatCode="#,##0.00000000000"/>
    <numFmt numFmtId="170" formatCode="#,##0.000"/>
  </numFmts>
  <fonts count="29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8"/>
      <color rgb="FF00000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22"/>
      <name val="Arial"/>
      <family val="2"/>
    </font>
    <font>
      <sz val="8"/>
      <name val="Symbol"/>
      <family val="1"/>
      <charset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9CDE4"/>
        <bgColor indexed="64"/>
      </patternFill>
    </fill>
  </fills>
  <borders count="32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4" fillId="0" borderId="0" xfId="0" applyFont="1" applyFill="1"/>
    <xf numFmtId="0" fontId="19" fillId="0" borderId="0" xfId="0" applyFont="1" applyFill="1"/>
    <xf numFmtId="0" fontId="11" fillId="0" borderId="0" xfId="0" applyFont="1" applyFill="1"/>
    <xf numFmtId="0" fontId="5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9" fillId="0" borderId="3" xfId="0" applyFont="1" applyFill="1" applyBorder="1"/>
    <xf numFmtId="1" fontId="25" fillId="0" borderId="4" xfId="0" applyNumberFormat="1" applyFont="1" applyFill="1" applyBorder="1" applyAlignment="1" applyProtection="1">
      <alignment horizontal="left" vertical="top"/>
      <protection locked="0"/>
    </xf>
    <xf numFmtId="1" fontId="25" fillId="0" borderId="5" xfId="0" applyNumberFormat="1" applyFont="1" applyFill="1" applyBorder="1" applyAlignment="1" applyProtection="1">
      <alignment horizontal="left" vertical="top"/>
      <protection locked="0"/>
    </xf>
    <xf numFmtId="0" fontId="9" fillId="0" borderId="6" xfId="0" applyFont="1" applyFill="1" applyBorder="1"/>
    <xf numFmtId="1" fontId="25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11" fillId="0" borderId="0" xfId="0" applyFont="1" applyFill="1" applyBorder="1" applyAlignment="1" applyProtection="1">
      <alignment vertical="top" wrapText="1"/>
      <protection locked="0"/>
    </xf>
    <xf numFmtId="0" fontId="7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6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1" xfId="0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8" fillId="0" borderId="0" xfId="0" applyFont="1" applyFill="1"/>
    <xf numFmtId="0" fontId="22" fillId="0" borderId="1" xfId="0" applyFont="1" applyFill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6" fillId="0" borderId="1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6" fontId="6" fillId="0" borderId="15" xfId="0" applyNumberFormat="1" applyFont="1" applyFill="1" applyBorder="1" applyAlignment="1" applyProtection="1">
      <alignment horizontal="right"/>
      <protection locked="0"/>
    </xf>
    <xf numFmtId="166" fontId="6" fillId="0" borderId="16" xfId="0" applyNumberFormat="1" applyFont="1" applyFill="1" applyBorder="1" applyAlignment="1" applyProtection="1">
      <alignment horizontal="right"/>
      <protection locked="0"/>
    </xf>
    <xf numFmtId="166" fontId="6" fillId="0" borderId="17" xfId="0" applyNumberFormat="1" applyFont="1" applyFill="1" applyBorder="1" applyAlignment="1" applyProtection="1">
      <alignment horizontal="right"/>
      <protection locked="0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6" fontId="6" fillId="2" borderId="0" xfId="0" applyNumberFormat="1" applyFont="1" applyFill="1" applyBorder="1" applyAlignment="1" applyProtection="1">
      <alignment horizontal="right"/>
      <protection locked="0"/>
    </xf>
    <xf numFmtId="166" fontId="6" fillId="2" borderId="13" xfId="0" applyNumberFormat="1" applyFont="1" applyFill="1" applyBorder="1" applyAlignment="1" applyProtection="1">
      <alignment horizontal="right"/>
      <protection locked="0"/>
    </xf>
    <xf numFmtId="166" fontId="6" fillId="2" borderId="14" xfId="0" applyNumberFormat="1" applyFont="1" applyFill="1" applyBorder="1" applyAlignment="1" applyProtection="1">
      <alignment horizontal="right"/>
      <protection locked="0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166" fontId="6" fillId="0" borderId="0" xfId="0" applyNumberFormat="1" applyFont="1" applyFill="1" applyBorder="1" applyAlignment="1" applyProtection="1">
      <alignment horizontal="right"/>
      <protection locked="0"/>
    </xf>
    <xf numFmtId="166" fontId="6" fillId="0" borderId="13" xfId="0" applyNumberFormat="1" applyFont="1" applyFill="1" applyBorder="1" applyAlignment="1" applyProtection="1">
      <alignment horizontal="right"/>
      <protection locked="0"/>
    </xf>
    <xf numFmtId="166" fontId="6" fillId="0" borderId="14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6" fontId="6" fillId="2" borderId="8" xfId="0" applyNumberFormat="1" applyFont="1" applyFill="1" applyBorder="1" applyAlignment="1" applyProtection="1">
      <alignment horizontal="right"/>
      <protection locked="0"/>
    </xf>
    <xf numFmtId="166" fontId="6" fillId="2" borderId="21" xfId="0" applyNumberFormat="1" applyFont="1" applyFill="1" applyBorder="1" applyAlignment="1" applyProtection="1">
      <alignment horizontal="right"/>
      <protection locked="0"/>
    </xf>
    <xf numFmtId="166" fontId="6" fillId="2" borderId="22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7" fillId="0" borderId="0" xfId="0" applyFont="1" applyFill="1" applyBorder="1" applyAlignment="1">
      <alignment horizontal="left" vertical="top"/>
    </xf>
    <xf numFmtId="0" fontId="16" fillId="0" borderId="0" xfId="0" applyFont="1" applyFill="1" applyAlignment="1">
      <alignment horizontal="right" vertical="top"/>
    </xf>
    <xf numFmtId="0" fontId="16" fillId="0" borderId="0" xfId="0" applyFont="1" applyFill="1"/>
    <xf numFmtId="167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vertical="center"/>
    </xf>
    <xf numFmtId="3" fontId="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6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7" fillId="0" borderId="27" xfId="0" applyFont="1" applyFill="1" applyBorder="1"/>
    <xf numFmtId="168" fontId="7" fillId="0" borderId="27" xfId="0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horizontal="left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7" fontId="13" fillId="0" borderId="9" xfId="0" applyNumberFormat="1" applyFont="1" applyFill="1" applyBorder="1"/>
    <xf numFmtId="0" fontId="0" fillId="0" borderId="9" xfId="0" applyFont="1" applyFill="1" applyBorder="1"/>
    <xf numFmtId="167" fontId="13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9" xfId="0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 wrapText="1"/>
    </xf>
    <xf numFmtId="168" fontId="2" fillId="0" borderId="10" xfId="0" applyNumberFormat="1" applyFont="1" applyFill="1" applyBorder="1" applyAlignment="1">
      <alignment horizontal="right" vertical="center" wrapText="1"/>
    </xf>
    <xf numFmtId="168" fontId="2" fillId="0" borderId="11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4" fillId="0" borderId="2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29" xfId="0" applyFont="1" applyFill="1" applyBorder="1"/>
    <xf numFmtId="168" fontId="2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6" xfId="0" applyNumberFormat="1" applyFont="1" applyFill="1" applyBorder="1"/>
    <xf numFmtId="3" fontId="0" fillId="0" borderId="17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7" fillId="0" borderId="0" xfId="0" applyNumberFormat="1" applyFont="1" applyFill="1" applyBorder="1" applyAlignment="1">
      <alignment vertical="center"/>
    </xf>
    <xf numFmtId="166" fontId="8" fillId="0" borderId="15" xfId="0" applyNumberFormat="1" applyFont="1" applyFill="1" applyBorder="1" applyProtection="1">
      <protection locked="0"/>
    </xf>
    <xf numFmtId="167" fontId="8" fillId="0" borderId="15" xfId="0" applyNumberFormat="1" applyFont="1" applyFill="1" applyBorder="1" applyProtection="1">
      <protection locked="0"/>
    </xf>
    <xf numFmtId="3" fontId="7" fillId="0" borderId="18" xfId="0" applyNumberFormat="1" applyFont="1" applyFill="1" applyBorder="1"/>
    <xf numFmtId="3" fontId="7" fillId="0" borderId="30" xfId="0" applyNumberFormat="1" applyFont="1" applyFill="1" applyBorder="1"/>
    <xf numFmtId="0" fontId="0" fillId="0" borderId="18" xfId="0" applyFont="1" applyFill="1" applyBorder="1" applyAlignment="1">
      <alignment horizontal="right"/>
    </xf>
    <xf numFmtId="169" fontId="14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6" fontId="8" fillId="2" borderId="0" xfId="0" applyNumberFormat="1" applyFont="1" applyFill="1" applyBorder="1" applyProtection="1">
      <protection locked="0"/>
    </xf>
    <xf numFmtId="167" fontId="8" fillId="2" borderId="0" xfId="0" applyNumberFormat="1" applyFont="1" applyFill="1" applyBorder="1" applyProtection="1">
      <protection locked="0"/>
    </xf>
    <xf numFmtId="3" fontId="7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70" fontId="15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6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3" fontId="7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1" xfId="0" applyNumberFormat="1" applyFont="1" applyFill="1" applyBorder="1"/>
    <xf numFmtId="3" fontId="0" fillId="2" borderId="22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23" xfId="0" applyNumberFormat="1" applyFont="1" applyFill="1" applyBorder="1"/>
    <xf numFmtId="166" fontId="8" fillId="2" borderId="8" xfId="0" applyNumberFormat="1" applyFont="1" applyFill="1" applyBorder="1" applyProtection="1">
      <protection locked="0"/>
    </xf>
    <xf numFmtId="167" fontId="8" fillId="2" borderId="8" xfId="0" applyNumberFormat="1" applyFont="1" applyFill="1" applyBorder="1" applyProtection="1">
      <protection locked="0"/>
    </xf>
    <xf numFmtId="0" fontId="7" fillId="0" borderId="1" xfId="0" applyFont="1" applyFill="1" applyBorder="1"/>
    <xf numFmtId="3" fontId="7" fillId="0" borderId="9" xfId="0" applyNumberFormat="1" applyFont="1" applyFill="1" applyBorder="1"/>
    <xf numFmtId="3" fontId="7" fillId="0" borderId="10" xfId="0" applyNumberFormat="1" applyFont="1" applyFill="1" applyBorder="1"/>
    <xf numFmtId="3" fontId="7" fillId="0" borderId="11" xfId="0" applyNumberFormat="1" applyFont="1" applyFill="1" applyBorder="1"/>
    <xf numFmtId="4" fontId="14" fillId="0" borderId="9" xfId="0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/>
    <xf numFmtId="3" fontId="0" fillId="0" borderId="9" xfId="0" applyNumberFormat="1" applyFont="1" applyFill="1" applyBorder="1"/>
    <xf numFmtId="167" fontId="0" fillId="0" borderId="9" xfId="0" applyNumberFormat="1" applyFont="1" applyFill="1" applyBorder="1"/>
    <xf numFmtId="3" fontId="7" fillId="0" borderId="28" xfId="0" applyNumberFormat="1" applyFont="1" applyFill="1" applyBorder="1"/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4" fillId="0" borderId="4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right"/>
    </xf>
    <xf numFmtId="166" fontId="28" fillId="2" borderId="8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/>
    <xf numFmtId="3" fontId="15" fillId="2" borderId="31" xfId="0" applyNumberFormat="1" applyFont="1" applyFill="1" applyBorder="1"/>
    <xf numFmtId="3" fontId="13" fillId="2" borderId="23" xfId="0" applyNumberFormat="1" applyFont="1" applyFill="1" applyBorder="1"/>
    <xf numFmtId="3" fontId="13" fillId="2" borderId="8" xfId="0" applyNumberFormat="1" applyFont="1" applyFill="1" applyBorder="1"/>
    <xf numFmtId="0" fontId="26" fillId="2" borderId="20" xfId="0" applyFont="1" applyFill="1" applyBorder="1"/>
    <xf numFmtId="0" fontId="13" fillId="0" borderId="0" xfId="0" applyFont="1" applyFill="1"/>
  </cellXfs>
  <cellStyles count="1">
    <cellStyle name="Standard" xfId="0" builtinId="0"/>
  </cellStyles>
  <dxfs count="6"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89" t="s">
        <v>0</v>
      </c>
      <c r="B1" s="189"/>
      <c r="C1" s="189"/>
      <c r="D1" s="189"/>
      <c r="E1" s="2"/>
    </row>
    <row r="2" spans="1:5" ht="27.75" customHeight="1">
      <c r="A2" s="189" t="s">
        <v>1</v>
      </c>
      <c r="B2" s="189"/>
      <c r="C2" s="189"/>
      <c r="D2" s="189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88" t="str">
        <f>"Année de calcul "&amp;C31</f>
        <v>Année de calcul 2006</v>
      </c>
      <c r="B4" s="188"/>
      <c r="C4" s="188"/>
      <c r="D4" s="188"/>
      <c r="E4" s="4"/>
    </row>
    <row r="5" spans="1:5" ht="18" customHeight="1">
      <c r="A5" s="188" t="str">
        <f>"Année de référence "&amp;C30</f>
        <v>Année de référence 2010</v>
      </c>
      <c r="B5" s="188"/>
      <c r="C5" s="188"/>
      <c r="D5" s="188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4</v>
      </c>
    </row>
    <row r="27" spans="2:3">
      <c r="B27" s="7" t="s">
        <v>5</v>
      </c>
      <c r="C27" s="9" t="s">
        <v>6</v>
      </c>
    </row>
    <row r="28" spans="2:3">
      <c r="B28" s="7" t="s">
        <v>7</v>
      </c>
      <c r="C28" s="9" t="s">
        <v>8</v>
      </c>
    </row>
    <row r="29" spans="2:3">
      <c r="B29" s="7" t="s">
        <v>9</v>
      </c>
      <c r="C29" s="9" t="s">
        <v>10</v>
      </c>
    </row>
    <row r="30" spans="2:3">
      <c r="B30" s="7" t="s">
        <v>11</v>
      </c>
      <c r="C30" s="9">
        <v>2010</v>
      </c>
    </row>
    <row r="31" spans="2:3">
      <c r="B31" s="10" t="s">
        <v>12</v>
      </c>
      <c r="C31" s="11">
        <v>2006</v>
      </c>
    </row>
  </sheetData>
  <mergeCells count="4">
    <mergeCell ref="A5:D5"/>
    <mergeCell ref="A4:D4"/>
    <mergeCell ref="A2:D2"/>
    <mergeCell ref="A1:D1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3.664062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9" width="13.33203125" style="12" customWidth="1"/>
  </cols>
  <sheetData>
    <row r="1" spans="1:9" ht="26.25" customHeight="1">
      <c r="A1" s="195" t="str">
        <f>"Salaires bruts "&amp;Info!C31</f>
        <v>Salaires bruts 2006</v>
      </c>
      <c r="B1" s="195"/>
      <c r="C1" s="195"/>
      <c r="I1" s="13"/>
    </row>
    <row r="2" spans="1:9" ht="31.5" customHeight="1">
      <c r="A2" s="14" t="str">
        <f>"Année de référence "&amp;Info!C30</f>
        <v>Année de référence 2010</v>
      </c>
      <c r="B2" s="15"/>
      <c r="C2" s="15"/>
      <c r="D2" s="16"/>
      <c r="I2" s="17" t="str">
        <f>Info!C28</f>
        <v>FA_2010_20120518</v>
      </c>
    </row>
    <row r="3" spans="1:9" s="18" customFormat="1" ht="12.75">
      <c r="A3" s="19" t="s">
        <v>13</v>
      </c>
      <c r="B3" s="20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0" t="s">
        <v>19</v>
      </c>
      <c r="H3" s="20" t="s">
        <v>20</v>
      </c>
      <c r="I3" s="21" t="s">
        <v>21</v>
      </c>
    </row>
    <row r="4" spans="1:9" s="22" customFormat="1" ht="11.25" customHeight="1">
      <c r="A4" s="23" t="s">
        <v>22</v>
      </c>
      <c r="B4" s="24"/>
      <c r="C4" s="24"/>
      <c r="D4" s="24"/>
      <c r="E4" s="24"/>
      <c r="F4" s="25"/>
      <c r="G4" s="25"/>
      <c r="H4" s="25"/>
      <c r="I4" s="26" t="s">
        <v>23</v>
      </c>
    </row>
    <row r="5" spans="1:9" ht="15.75" customHeight="1">
      <c r="A5" s="27" t="s">
        <v>24</v>
      </c>
      <c r="B5" s="28">
        <v>0</v>
      </c>
      <c r="C5" s="28">
        <v>1</v>
      </c>
      <c r="D5" s="29" t="s">
        <v>25</v>
      </c>
      <c r="E5" s="28" t="s">
        <v>26</v>
      </c>
      <c r="F5" s="28" t="s">
        <v>27</v>
      </c>
      <c r="G5" s="28" t="s">
        <v>28</v>
      </c>
      <c r="H5" s="30" t="s">
        <v>29</v>
      </c>
      <c r="I5" s="31"/>
    </row>
    <row r="6" spans="1:9" ht="20.25" customHeight="1">
      <c r="A6" s="196"/>
      <c r="B6" s="190" t="s">
        <v>30</v>
      </c>
      <c r="C6" s="190" t="s">
        <v>31</v>
      </c>
      <c r="D6" s="192" t="s">
        <v>32</v>
      </c>
      <c r="E6" s="193"/>
      <c r="F6" s="193"/>
      <c r="G6" s="193"/>
      <c r="H6" s="194"/>
      <c r="I6" s="198" t="s">
        <v>33</v>
      </c>
    </row>
    <row r="7" spans="1:9" ht="42.75" customHeight="1">
      <c r="A7" s="197"/>
      <c r="B7" s="191"/>
      <c r="C7" s="191"/>
      <c r="D7" s="34" t="s">
        <v>34</v>
      </c>
      <c r="E7" s="35" t="s">
        <v>35</v>
      </c>
      <c r="F7" s="35" t="s">
        <v>36</v>
      </c>
      <c r="G7" s="35" t="s">
        <v>37</v>
      </c>
      <c r="H7" s="36" t="s">
        <v>38</v>
      </c>
      <c r="I7" s="199"/>
    </row>
    <row r="8" spans="1:9" s="37" customFormat="1" ht="11.25" customHeight="1">
      <c r="A8" s="38" t="s">
        <v>39</v>
      </c>
      <c r="B8" s="39" t="s">
        <v>40</v>
      </c>
      <c r="C8" s="39" t="s">
        <v>40</v>
      </c>
      <c r="D8" s="40" t="s">
        <v>40</v>
      </c>
      <c r="E8" s="39" t="s">
        <v>40</v>
      </c>
      <c r="F8" s="39" t="s">
        <v>40</v>
      </c>
      <c r="G8" s="39" t="s">
        <v>40</v>
      </c>
      <c r="H8" s="41" t="s">
        <v>40</v>
      </c>
      <c r="I8" s="42"/>
    </row>
    <row r="9" spans="1:9" s="43" customFormat="1" ht="11.25" customHeight="1">
      <c r="A9" s="44" t="s">
        <v>41</v>
      </c>
      <c r="B9" s="45" t="s">
        <v>42</v>
      </c>
      <c r="C9" s="45" t="s">
        <v>42</v>
      </c>
      <c r="D9" s="46" t="s">
        <v>42</v>
      </c>
      <c r="E9" s="45" t="s">
        <v>42</v>
      </c>
      <c r="F9" s="45" t="s">
        <v>42</v>
      </c>
      <c r="G9" s="45" t="s">
        <v>42</v>
      </c>
      <c r="H9" s="47" t="s">
        <v>42</v>
      </c>
      <c r="I9" s="48" t="s">
        <v>42</v>
      </c>
    </row>
    <row r="10" spans="1:9">
      <c r="A10" s="49" t="s">
        <v>43</v>
      </c>
      <c r="B10" s="50">
        <v>3369325434</v>
      </c>
      <c r="C10" s="50">
        <v>17365700</v>
      </c>
      <c r="D10" s="51">
        <v>0</v>
      </c>
      <c r="E10" s="50">
        <v>337200493</v>
      </c>
      <c r="F10" s="50">
        <v>0</v>
      </c>
      <c r="G10" s="50">
        <v>0</v>
      </c>
      <c r="H10" s="52">
        <v>0</v>
      </c>
      <c r="I10" s="53">
        <f t="shared" ref="I10:I36" si="0">SUM(B10:H10)</f>
        <v>3723891627</v>
      </c>
    </row>
    <row r="11" spans="1:9">
      <c r="A11" s="54" t="s">
        <v>44</v>
      </c>
      <c r="B11" s="55">
        <v>1881574694.05</v>
      </c>
      <c r="C11" s="55">
        <v>743380</v>
      </c>
      <c r="D11" s="56">
        <v>1203321</v>
      </c>
      <c r="E11" s="55">
        <v>1914412</v>
      </c>
      <c r="F11" s="55">
        <v>0</v>
      </c>
      <c r="G11" s="55">
        <v>70531660</v>
      </c>
      <c r="H11" s="57">
        <v>0</v>
      </c>
      <c r="I11" s="58">
        <f t="shared" si="0"/>
        <v>1955967467.05</v>
      </c>
    </row>
    <row r="12" spans="1:9">
      <c r="A12" s="59" t="s">
        <v>45</v>
      </c>
      <c r="B12" s="60">
        <v>503539434</v>
      </c>
      <c r="C12" s="60">
        <v>0</v>
      </c>
      <c r="D12" s="61">
        <v>0</v>
      </c>
      <c r="E12" s="60">
        <v>3609067</v>
      </c>
      <c r="F12" s="60">
        <v>0</v>
      </c>
      <c r="G12" s="60">
        <v>0</v>
      </c>
      <c r="H12" s="62">
        <v>0</v>
      </c>
      <c r="I12" s="63">
        <f t="shared" si="0"/>
        <v>507148501</v>
      </c>
    </row>
    <row r="13" spans="1:9">
      <c r="A13" s="54" t="s">
        <v>46</v>
      </c>
      <c r="B13" s="55">
        <v>49091925</v>
      </c>
      <c r="C13" s="55">
        <v>0</v>
      </c>
      <c r="D13" s="56">
        <v>5061513</v>
      </c>
      <c r="E13" s="55">
        <v>0</v>
      </c>
      <c r="F13" s="55">
        <v>0</v>
      </c>
      <c r="G13" s="55">
        <v>0</v>
      </c>
      <c r="H13" s="57">
        <v>0</v>
      </c>
      <c r="I13" s="58">
        <f t="shared" si="0"/>
        <v>54153438</v>
      </c>
    </row>
    <row r="14" spans="1:9">
      <c r="A14" s="59" t="s">
        <v>47</v>
      </c>
      <c r="B14" s="60">
        <v>191343665</v>
      </c>
      <c r="C14" s="60">
        <v>43101005</v>
      </c>
      <c r="D14" s="61">
        <v>0</v>
      </c>
      <c r="E14" s="60">
        <v>394753</v>
      </c>
      <c r="F14" s="60">
        <v>0</v>
      </c>
      <c r="G14" s="60">
        <v>0</v>
      </c>
      <c r="H14" s="62">
        <v>0</v>
      </c>
      <c r="I14" s="63">
        <f t="shared" si="0"/>
        <v>234839423</v>
      </c>
    </row>
    <row r="15" spans="1:9">
      <c r="A15" s="54" t="s">
        <v>48</v>
      </c>
      <c r="B15" s="55">
        <v>58845200.049999997</v>
      </c>
      <c r="C15" s="55">
        <v>0</v>
      </c>
      <c r="D15" s="56">
        <v>0</v>
      </c>
      <c r="E15" s="55">
        <v>0</v>
      </c>
      <c r="F15" s="55">
        <v>0</v>
      </c>
      <c r="G15" s="55">
        <v>0</v>
      </c>
      <c r="H15" s="57">
        <v>0</v>
      </c>
      <c r="I15" s="58">
        <f t="shared" si="0"/>
        <v>58845200.049999997</v>
      </c>
    </row>
    <row r="16" spans="1:9">
      <c r="A16" s="59" t="s">
        <v>49</v>
      </c>
      <c r="B16" s="60">
        <v>56366387</v>
      </c>
      <c r="C16" s="60">
        <v>0</v>
      </c>
      <c r="D16" s="61">
        <v>0</v>
      </c>
      <c r="E16" s="60">
        <v>118530</v>
      </c>
      <c r="F16" s="60">
        <v>0</v>
      </c>
      <c r="G16" s="60">
        <v>0</v>
      </c>
      <c r="H16" s="62">
        <v>0</v>
      </c>
      <c r="I16" s="63">
        <f t="shared" si="0"/>
        <v>56484917</v>
      </c>
    </row>
    <row r="17" spans="1:9">
      <c r="A17" s="54" t="s">
        <v>50</v>
      </c>
      <c r="B17" s="55">
        <v>41149607.75</v>
      </c>
      <c r="C17" s="55">
        <v>0</v>
      </c>
      <c r="D17" s="56">
        <v>0</v>
      </c>
      <c r="E17" s="55">
        <v>0</v>
      </c>
      <c r="F17" s="55">
        <v>0</v>
      </c>
      <c r="G17" s="55">
        <v>0</v>
      </c>
      <c r="H17" s="57">
        <v>0</v>
      </c>
      <c r="I17" s="58">
        <f t="shared" si="0"/>
        <v>41149607.75</v>
      </c>
    </row>
    <row r="18" spans="1:9">
      <c r="A18" s="59" t="s">
        <v>51</v>
      </c>
      <c r="B18" s="60">
        <v>341035173</v>
      </c>
      <c r="C18" s="60">
        <v>1466959</v>
      </c>
      <c r="D18" s="61">
        <v>0</v>
      </c>
      <c r="E18" s="60">
        <v>1604091</v>
      </c>
      <c r="F18" s="60">
        <v>0</v>
      </c>
      <c r="G18" s="60">
        <v>0</v>
      </c>
      <c r="H18" s="62">
        <v>0</v>
      </c>
      <c r="I18" s="63">
        <f t="shared" si="0"/>
        <v>344106223</v>
      </c>
    </row>
    <row r="19" spans="1:9">
      <c r="A19" s="54" t="s">
        <v>52</v>
      </c>
      <c r="B19" s="55">
        <v>393014705</v>
      </c>
      <c r="C19" s="55">
        <v>0</v>
      </c>
      <c r="D19" s="56">
        <v>0</v>
      </c>
      <c r="E19" s="55">
        <v>0</v>
      </c>
      <c r="F19" s="55">
        <v>0</v>
      </c>
      <c r="G19" s="55">
        <v>0</v>
      </c>
      <c r="H19" s="57">
        <v>0</v>
      </c>
      <c r="I19" s="58">
        <f t="shared" si="0"/>
        <v>393014705</v>
      </c>
    </row>
    <row r="20" spans="1:9">
      <c r="A20" s="59" t="s">
        <v>53</v>
      </c>
      <c r="B20" s="60">
        <v>249559244</v>
      </c>
      <c r="C20" s="60">
        <v>2275028</v>
      </c>
      <c r="D20" s="61">
        <v>883407</v>
      </c>
      <c r="E20" s="60">
        <v>23207272</v>
      </c>
      <c r="F20" s="60">
        <v>0</v>
      </c>
      <c r="G20" s="60">
        <v>72791988</v>
      </c>
      <c r="H20" s="62">
        <v>0</v>
      </c>
      <c r="I20" s="63">
        <f t="shared" si="0"/>
        <v>348716939</v>
      </c>
    </row>
    <row r="21" spans="1:9">
      <c r="A21" s="54" t="s">
        <v>54</v>
      </c>
      <c r="B21" s="55">
        <v>584578125.25</v>
      </c>
      <c r="C21" s="55">
        <v>123691870.7</v>
      </c>
      <c r="D21" s="56">
        <v>0</v>
      </c>
      <c r="E21" s="55">
        <v>1099184221.7</v>
      </c>
      <c r="F21" s="55">
        <v>0</v>
      </c>
      <c r="G21" s="55">
        <v>1379007592</v>
      </c>
      <c r="H21" s="57">
        <v>0</v>
      </c>
      <c r="I21" s="58">
        <f t="shared" si="0"/>
        <v>3186461809.6500001</v>
      </c>
    </row>
    <row r="22" spans="1:9">
      <c r="A22" s="59" t="s">
        <v>55</v>
      </c>
      <c r="B22" s="60">
        <v>304003887</v>
      </c>
      <c r="C22" s="60">
        <v>46535994</v>
      </c>
      <c r="D22" s="61">
        <v>0</v>
      </c>
      <c r="E22" s="60">
        <v>430873019</v>
      </c>
      <c r="F22" s="60">
        <v>0</v>
      </c>
      <c r="G22" s="60">
        <v>840573674</v>
      </c>
      <c r="H22" s="62">
        <v>0</v>
      </c>
      <c r="I22" s="63">
        <f t="shared" si="0"/>
        <v>1621986574</v>
      </c>
    </row>
    <row r="23" spans="1:9">
      <c r="A23" s="54" t="s">
        <v>56</v>
      </c>
      <c r="B23" s="55">
        <v>184089301.40000001</v>
      </c>
      <c r="C23" s="55">
        <v>6166601.4000000004</v>
      </c>
      <c r="D23" s="56">
        <v>0</v>
      </c>
      <c r="E23" s="55">
        <v>275788519.29000002</v>
      </c>
      <c r="F23" s="55">
        <v>0</v>
      </c>
      <c r="G23" s="55">
        <v>0</v>
      </c>
      <c r="H23" s="57">
        <v>0</v>
      </c>
      <c r="I23" s="58">
        <f t="shared" si="0"/>
        <v>466044422.09000003</v>
      </c>
    </row>
    <row r="24" spans="1:9">
      <c r="A24" s="59" t="s">
        <v>57</v>
      </c>
      <c r="B24" s="60">
        <v>64511597.299999997</v>
      </c>
      <c r="C24" s="60">
        <v>941872</v>
      </c>
      <c r="D24" s="61">
        <v>10823986.73</v>
      </c>
      <c r="E24" s="60">
        <v>1968322.15</v>
      </c>
      <c r="F24" s="60">
        <v>0</v>
      </c>
      <c r="G24" s="60">
        <v>0</v>
      </c>
      <c r="H24" s="62">
        <v>0</v>
      </c>
      <c r="I24" s="63">
        <f t="shared" si="0"/>
        <v>78245778.180000007</v>
      </c>
    </row>
    <row r="25" spans="1:9">
      <c r="A25" s="54" t="s">
        <v>58</v>
      </c>
      <c r="B25" s="55">
        <v>16574734.35</v>
      </c>
      <c r="C25" s="55">
        <v>0</v>
      </c>
      <c r="D25" s="56">
        <v>883176.7</v>
      </c>
      <c r="E25" s="55">
        <v>508197.5</v>
      </c>
      <c r="F25" s="55">
        <v>0</v>
      </c>
      <c r="G25" s="55">
        <v>0</v>
      </c>
      <c r="H25" s="57">
        <v>0</v>
      </c>
      <c r="I25" s="58">
        <f t="shared" si="0"/>
        <v>17966108.550000001</v>
      </c>
    </row>
    <row r="26" spans="1:9">
      <c r="A26" s="59" t="s">
        <v>59</v>
      </c>
      <c r="B26" s="60">
        <v>635402554.21000004</v>
      </c>
      <c r="C26" s="60">
        <v>37275980.359999999</v>
      </c>
      <c r="D26" s="61">
        <v>385676717.68000001</v>
      </c>
      <c r="E26" s="60">
        <v>45902756.700000003</v>
      </c>
      <c r="F26" s="60">
        <v>0</v>
      </c>
      <c r="G26" s="60">
        <v>0</v>
      </c>
      <c r="H26" s="62">
        <v>0</v>
      </c>
      <c r="I26" s="63">
        <f t="shared" si="0"/>
        <v>1104258008.95</v>
      </c>
    </row>
    <row r="27" spans="1:9">
      <c r="A27" s="54" t="s">
        <v>60</v>
      </c>
      <c r="B27" s="55">
        <v>0</v>
      </c>
      <c r="C27" s="55">
        <v>0</v>
      </c>
      <c r="D27" s="56">
        <v>0</v>
      </c>
      <c r="E27" s="55">
        <v>0</v>
      </c>
      <c r="F27" s="55">
        <v>0</v>
      </c>
      <c r="G27" s="55">
        <v>0</v>
      </c>
      <c r="H27" s="57">
        <v>0</v>
      </c>
      <c r="I27" s="58">
        <f t="shared" si="0"/>
        <v>0</v>
      </c>
    </row>
    <row r="28" spans="1:9">
      <c r="A28" s="59" t="s">
        <v>61</v>
      </c>
      <c r="B28" s="60">
        <v>850999148</v>
      </c>
      <c r="C28" s="60">
        <v>0</v>
      </c>
      <c r="D28" s="61">
        <v>0</v>
      </c>
      <c r="E28" s="60">
        <v>589455970</v>
      </c>
      <c r="F28" s="60">
        <v>0</v>
      </c>
      <c r="G28" s="60">
        <v>0</v>
      </c>
      <c r="H28" s="62">
        <v>0</v>
      </c>
      <c r="I28" s="63">
        <f t="shared" si="0"/>
        <v>1440455118</v>
      </c>
    </row>
    <row r="29" spans="1:9">
      <c r="A29" s="54" t="s">
        <v>62</v>
      </c>
      <c r="B29" s="55">
        <v>335744797.81</v>
      </c>
      <c r="C29" s="55">
        <v>7592248.4500000002</v>
      </c>
      <c r="D29" s="56">
        <v>14829671.82</v>
      </c>
      <c r="E29" s="55">
        <v>190749777.56999999</v>
      </c>
      <c r="F29" s="55">
        <v>0</v>
      </c>
      <c r="G29" s="55">
        <v>0</v>
      </c>
      <c r="H29" s="57">
        <v>0</v>
      </c>
      <c r="I29" s="58">
        <f t="shared" si="0"/>
        <v>548916495.64999998</v>
      </c>
    </row>
    <row r="30" spans="1:9">
      <c r="A30" s="59" t="s">
        <v>63</v>
      </c>
      <c r="B30" s="60">
        <v>776485766</v>
      </c>
      <c r="C30" s="60">
        <v>68973773</v>
      </c>
      <c r="D30" s="61">
        <v>0</v>
      </c>
      <c r="E30" s="60">
        <v>0</v>
      </c>
      <c r="F30" s="60">
        <v>0</v>
      </c>
      <c r="G30" s="60">
        <v>0</v>
      </c>
      <c r="H30" s="62">
        <v>2230152013</v>
      </c>
      <c r="I30" s="63">
        <f t="shared" si="0"/>
        <v>3075611552</v>
      </c>
    </row>
    <row r="31" spans="1:9">
      <c r="A31" s="54" t="s">
        <v>64</v>
      </c>
      <c r="B31" s="55">
        <v>1527834804.45</v>
      </c>
      <c r="C31" s="55">
        <v>0</v>
      </c>
      <c r="D31" s="56">
        <v>0</v>
      </c>
      <c r="E31" s="55">
        <v>0</v>
      </c>
      <c r="F31" s="55">
        <v>0</v>
      </c>
      <c r="G31" s="55">
        <v>1067435974</v>
      </c>
      <c r="H31" s="57">
        <v>0</v>
      </c>
      <c r="I31" s="58">
        <f t="shared" si="0"/>
        <v>2595270778.4499998</v>
      </c>
    </row>
    <row r="32" spans="1:9">
      <c r="A32" s="59" t="s">
        <v>65</v>
      </c>
      <c r="B32" s="60">
        <v>680458210.62</v>
      </c>
      <c r="C32" s="60">
        <v>3220872.4</v>
      </c>
      <c r="D32" s="61">
        <v>0</v>
      </c>
      <c r="E32" s="60">
        <v>0</v>
      </c>
      <c r="F32" s="60">
        <v>0</v>
      </c>
      <c r="G32" s="60">
        <v>51176673.659999996</v>
      </c>
      <c r="H32" s="62">
        <v>41647338.719999999</v>
      </c>
      <c r="I32" s="63">
        <f t="shared" si="0"/>
        <v>776503095.39999998</v>
      </c>
    </row>
    <row r="33" spans="1:9">
      <c r="A33" s="54" t="s">
        <v>66</v>
      </c>
      <c r="B33" s="55">
        <v>324825307.00999999</v>
      </c>
      <c r="C33" s="55">
        <v>4017431</v>
      </c>
      <c r="D33" s="56">
        <v>0</v>
      </c>
      <c r="E33" s="55">
        <v>0</v>
      </c>
      <c r="F33" s="55">
        <v>0</v>
      </c>
      <c r="G33" s="55">
        <v>514971692</v>
      </c>
      <c r="H33" s="57">
        <v>0</v>
      </c>
      <c r="I33" s="58">
        <f t="shared" si="0"/>
        <v>843814430.00999999</v>
      </c>
    </row>
    <row r="34" spans="1:9">
      <c r="A34" s="59" t="s">
        <v>67</v>
      </c>
      <c r="B34" s="60">
        <v>1571500143</v>
      </c>
      <c r="C34" s="60">
        <v>0</v>
      </c>
      <c r="D34" s="61">
        <v>0</v>
      </c>
      <c r="E34" s="60">
        <v>0</v>
      </c>
      <c r="F34" s="60">
        <v>5086504625</v>
      </c>
      <c r="G34" s="60">
        <v>0</v>
      </c>
      <c r="H34" s="62">
        <v>0</v>
      </c>
      <c r="I34" s="63">
        <f t="shared" si="0"/>
        <v>6658004768</v>
      </c>
    </row>
    <row r="35" spans="1:9">
      <c r="A35" s="64" t="s">
        <v>104</v>
      </c>
      <c r="B35" s="219">
        <v>60669854.4352125</v>
      </c>
      <c r="C35" s="65">
        <v>2723288.4</v>
      </c>
      <c r="D35" s="66">
        <v>0</v>
      </c>
      <c r="E35" s="65">
        <v>2439987.4</v>
      </c>
      <c r="F35" s="65">
        <v>0</v>
      </c>
      <c r="G35" s="65">
        <v>302877888</v>
      </c>
      <c r="H35" s="67">
        <v>0</v>
      </c>
      <c r="I35" s="218">
        <f t="shared" si="0"/>
        <v>368711018.2352125</v>
      </c>
    </row>
    <row r="36" spans="1:9">
      <c r="A36" s="5" t="s">
        <v>69</v>
      </c>
      <c r="B36" s="68">
        <f t="shared" ref="B36:H36" si="1">SUM(B10:B35)</f>
        <v>15052523699.685215</v>
      </c>
      <c r="C36" s="68">
        <f t="shared" si="1"/>
        <v>366092003.70999992</v>
      </c>
      <c r="D36" s="69">
        <f t="shared" si="1"/>
        <v>419361793.93000001</v>
      </c>
      <c r="E36" s="68">
        <f t="shared" si="1"/>
        <v>3004919389.3100004</v>
      </c>
      <c r="F36" s="68">
        <f t="shared" si="1"/>
        <v>5086504625</v>
      </c>
      <c r="G36" s="68">
        <f t="shared" si="1"/>
        <v>4299367141.6599998</v>
      </c>
      <c r="H36" s="70">
        <f t="shared" si="1"/>
        <v>2271799351.7199998</v>
      </c>
      <c r="I36" s="71">
        <f t="shared" si="0"/>
        <v>30500568005.015217</v>
      </c>
    </row>
    <row r="37" spans="1:9">
      <c r="A37" s="220" t="s">
        <v>105</v>
      </c>
      <c r="B37" s="72"/>
    </row>
  </sheetData>
  <mergeCells count="6">
    <mergeCell ref="I6:I7"/>
    <mergeCell ref="C6:C7"/>
    <mergeCell ref="B6:B7"/>
    <mergeCell ref="D6:H6"/>
    <mergeCell ref="A1:C1"/>
    <mergeCell ref="A6:A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>
    <oddHeader>&amp;L&amp;10&amp;F&amp;R&amp;10&amp;A</oddHeader>
    <oddFooter>&amp;C&amp;10&amp;P/&amp;N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109375" style="12" customWidth="1"/>
    <col min="2" max="2" width="12.886718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"Calcul du gamma "&amp;Info!C31</f>
        <v>Calcul du gamma 2006</v>
      </c>
      <c r="B1" s="4"/>
    </row>
    <row r="2" spans="1:4" ht="15.75" customHeight="1">
      <c r="A2" s="73" t="str">
        <f>Salaires_bruts!A2</f>
        <v>Année de référence 2010</v>
      </c>
      <c r="B2" s="73"/>
    </row>
    <row r="3" spans="1:4" ht="33" customHeight="1">
      <c r="C3" s="74" t="str">
        <f>Info!$C$28</f>
        <v>FA_2010_20120518</v>
      </c>
    </row>
    <row r="4" spans="1:4" ht="15.75" customHeight="1">
      <c r="B4" s="75" t="s">
        <v>70</v>
      </c>
      <c r="C4" s="76" t="s">
        <v>71</v>
      </c>
      <c r="D4" s="77"/>
    </row>
    <row r="5" spans="1:4">
      <c r="A5" s="72" t="s">
        <v>72</v>
      </c>
      <c r="B5" s="78" t="s">
        <v>73</v>
      </c>
      <c r="C5" s="79">
        <v>361563831</v>
      </c>
      <c r="D5" s="80"/>
    </row>
    <row r="6" spans="1:4">
      <c r="A6" s="81" t="s">
        <v>74</v>
      </c>
      <c r="B6" s="82" t="str">
        <f>"AFA_"&amp;Info!C30&amp;"_"&amp;Info!C31&amp;".xlsx"</f>
        <v>AFA_2010_2006.xlsx</v>
      </c>
      <c r="C6" s="83">
        <f>Calculation_RIS!O39</f>
        <v>141290437.80000001</v>
      </c>
      <c r="D6" s="80"/>
    </row>
    <row r="7" spans="1:4" ht="24.75" customHeight="1">
      <c r="A7" s="84" t="s">
        <v>75</v>
      </c>
      <c r="B7" s="84"/>
      <c r="C7" s="85">
        <f>ROUND(C6/C5,3)</f>
        <v>0.39100000000000001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6640625" style="12" customWidth="1"/>
    <col min="15" max="15" width="16.44140625" style="12" customWidth="1"/>
    <col min="16" max="16" width="21.6640625" style="12" customWidth="1"/>
    <col min="17" max="17" width="16.21875" style="12" customWidth="1"/>
    <col min="18" max="18" width="3.6640625" style="86" customWidth="1"/>
    <col min="19" max="19" width="18.77734375" style="12" customWidth="1"/>
    <col min="20" max="20" width="3.6640625" style="12" customWidth="1"/>
    <col min="21" max="21" width="11.5546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95" t="str">
        <f>"Revenu déterminant pour l'imposition à la source (RIS) "&amp;Info!C31</f>
        <v>Revenu déterminant pour l'imposition à la source (RIS) 2006</v>
      </c>
      <c r="B1" s="195"/>
      <c r="C1" s="195"/>
      <c r="D1" s="195"/>
      <c r="E1" s="195"/>
      <c r="F1" s="195"/>
      <c r="H1" s="13"/>
      <c r="R1" s="12"/>
    </row>
    <row r="2" spans="1:22" ht="18.75" customHeight="1">
      <c r="A2" s="87" t="str">
        <f>Info!A5</f>
        <v>Année de référence 2010</v>
      </c>
      <c r="B2" s="88"/>
      <c r="H2" s="86"/>
      <c r="R2" s="12"/>
    </row>
    <row r="3" spans="1:22" ht="18.75" customHeight="1">
      <c r="A3" s="89"/>
      <c r="B3" s="88"/>
      <c r="H3" s="86"/>
      <c r="L3" s="90" t="str">
        <f>Info!C28</f>
        <v>FA_2010_20120518</v>
      </c>
      <c r="R3" s="12"/>
    </row>
    <row r="4" spans="1:22" ht="37.5" customHeight="1">
      <c r="A4" s="215" t="str">
        <f>"Calculation sur la base des salaires bruts "&amp;Info!C31</f>
        <v>Calculation sur la base des salaires bruts 2006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7"/>
      <c r="N4" s="204" t="s">
        <v>76</v>
      </c>
      <c r="O4" s="205"/>
      <c r="P4" s="205"/>
      <c r="Q4" s="206"/>
      <c r="S4" s="91"/>
    </row>
    <row r="5" spans="1:22" ht="16.5" customHeight="1">
      <c r="A5" s="92"/>
      <c r="B5" s="93"/>
      <c r="C5" s="93"/>
      <c r="D5" s="93"/>
      <c r="E5" s="93"/>
      <c r="F5" s="93"/>
      <c r="G5" s="93"/>
      <c r="H5" s="93"/>
      <c r="I5" s="92"/>
      <c r="J5" s="93"/>
      <c r="K5" s="93"/>
      <c r="N5" s="94"/>
    </row>
    <row r="6" spans="1:22" s="1" customFormat="1" ht="16.5" customHeight="1">
      <c r="A6" s="95" t="s">
        <v>13</v>
      </c>
      <c r="B6" s="96" t="s">
        <v>14</v>
      </c>
      <c r="C6" s="96" t="s">
        <v>15</v>
      </c>
      <c r="D6" s="96" t="s">
        <v>16</v>
      </c>
      <c r="E6" s="96" t="s">
        <v>17</v>
      </c>
      <c r="F6" s="96" t="s">
        <v>18</v>
      </c>
      <c r="G6" s="96" t="s">
        <v>19</v>
      </c>
      <c r="H6" s="96" t="s">
        <v>20</v>
      </c>
      <c r="I6" s="96" t="s">
        <v>77</v>
      </c>
      <c r="J6" s="96" t="s">
        <v>78</v>
      </c>
      <c r="K6" s="96" t="s">
        <v>79</v>
      </c>
      <c r="L6" s="97" t="s">
        <v>80</v>
      </c>
      <c r="M6" s="98"/>
      <c r="N6" s="99"/>
      <c r="O6" s="100" t="s">
        <v>81</v>
      </c>
      <c r="P6" s="100" t="s">
        <v>82</v>
      </c>
      <c r="Q6" s="101" t="s">
        <v>83</v>
      </c>
      <c r="R6" s="102"/>
      <c r="S6" s="103" t="s">
        <v>84</v>
      </c>
    </row>
    <row r="7" spans="1:22" s="37" customFormat="1" ht="16.5" customHeight="1">
      <c r="A7" s="104" t="s">
        <v>22</v>
      </c>
      <c r="B7" s="105" t="s">
        <v>85</v>
      </c>
      <c r="C7" s="105" t="s">
        <v>85</v>
      </c>
      <c r="D7" s="106" t="str">
        <f>IF(Info!C31&lt;2006,"0.03 / TFS","(1 - 0.125) * gamma")</f>
        <v>(1 - 0.125) * gamma</v>
      </c>
      <c r="E7" s="107" t="s">
        <v>86</v>
      </c>
      <c r="F7" s="107" t="s">
        <v>87</v>
      </c>
      <c r="G7" s="107" t="s">
        <v>86</v>
      </c>
      <c r="H7" s="108" t="s">
        <v>88</v>
      </c>
      <c r="I7" s="107" t="s">
        <v>89</v>
      </c>
      <c r="J7" s="107"/>
      <c r="K7" s="107" t="s">
        <v>90</v>
      </c>
      <c r="L7" s="109" t="s">
        <v>91</v>
      </c>
      <c r="M7" s="110"/>
      <c r="N7" s="111" t="s">
        <v>22</v>
      </c>
      <c r="O7" s="112"/>
      <c r="P7" s="112"/>
      <c r="Q7" s="113" t="s">
        <v>92</v>
      </c>
      <c r="R7" s="114"/>
      <c r="S7" s="115" t="s">
        <v>93</v>
      </c>
    </row>
    <row r="8" spans="1:22" s="1" customFormat="1" ht="15.75" customHeight="1">
      <c r="A8" s="27" t="s">
        <v>24</v>
      </c>
      <c r="B8" s="28">
        <v>0</v>
      </c>
      <c r="C8" s="28">
        <v>1</v>
      </c>
      <c r="D8" s="29" t="s">
        <v>25</v>
      </c>
      <c r="E8" s="28" t="s">
        <v>26</v>
      </c>
      <c r="F8" s="28" t="s">
        <v>27</v>
      </c>
      <c r="G8" s="28" t="s">
        <v>28</v>
      </c>
      <c r="H8" s="30" t="s">
        <v>29</v>
      </c>
      <c r="I8" s="28"/>
      <c r="J8" s="28"/>
      <c r="K8" s="116"/>
      <c r="L8" s="31"/>
      <c r="M8" s="117"/>
      <c r="N8" s="32"/>
      <c r="O8" s="190" t="str">
        <f>"Revenu déterminant "&amp;Info!C31</f>
        <v>Revenu déterminant 2006</v>
      </c>
      <c r="P8" s="190" t="s">
        <v>94</v>
      </c>
      <c r="Q8" s="198" t="s">
        <v>95</v>
      </c>
      <c r="R8" s="118"/>
      <c r="S8" s="207" t="s">
        <v>96</v>
      </c>
    </row>
    <row r="9" spans="1:22" s="119" customFormat="1" ht="22.5" customHeight="1">
      <c r="A9" s="32"/>
      <c r="B9" s="190" t="s">
        <v>30</v>
      </c>
      <c r="C9" s="190" t="s">
        <v>31</v>
      </c>
      <c r="D9" s="192" t="s">
        <v>32</v>
      </c>
      <c r="E9" s="193"/>
      <c r="F9" s="193"/>
      <c r="G9" s="193"/>
      <c r="H9" s="194"/>
      <c r="I9" s="190" t="s">
        <v>97</v>
      </c>
      <c r="J9" s="190" t="s">
        <v>98</v>
      </c>
      <c r="K9" s="190" t="s">
        <v>99</v>
      </c>
      <c r="L9" s="198" t="s">
        <v>100</v>
      </c>
      <c r="M9" s="117"/>
      <c r="N9" s="120"/>
      <c r="O9" s="201"/>
      <c r="P9" s="201"/>
      <c r="Q9" s="200"/>
      <c r="R9" s="118"/>
      <c r="S9" s="208"/>
      <c r="V9" s="121" t="str">
        <f>Info!C28</f>
        <v>FA_2010_20120518</v>
      </c>
    </row>
    <row r="10" spans="1:22" s="119" customFormat="1" ht="56.25" customHeight="1">
      <c r="A10" s="33"/>
      <c r="B10" s="201"/>
      <c r="C10" s="201"/>
      <c r="D10" s="34" t="s">
        <v>34</v>
      </c>
      <c r="E10" s="35" t="s">
        <v>35</v>
      </c>
      <c r="F10" s="35" t="s">
        <v>36</v>
      </c>
      <c r="G10" s="35" t="s">
        <v>37</v>
      </c>
      <c r="H10" s="36" t="s">
        <v>38</v>
      </c>
      <c r="I10" s="201"/>
      <c r="J10" s="201"/>
      <c r="K10" s="201"/>
      <c r="L10" s="200"/>
      <c r="M10" s="117"/>
      <c r="N10" s="122"/>
      <c r="O10" s="202"/>
      <c r="P10" s="202"/>
      <c r="Q10" s="203"/>
      <c r="R10" s="118"/>
      <c r="S10" s="208"/>
      <c r="U10" s="213" t="str">
        <f>" Taux fiscal standardisé (TFS) "&amp;Info!C30-1</f>
        <v xml:space="preserve"> Taux fiscal standardisé (TFS) 2009</v>
      </c>
      <c r="V10" s="214"/>
    </row>
    <row r="11" spans="1:22" s="123" customFormat="1" ht="15" customHeight="1">
      <c r="A11" s="124" t="s">
        <v>101</v>
      </c>
      <c r="B11" s="125">
        <f>gamma</f>
        <v>0.39100000000000001</v>
      </c>
      <c r="C11" s="125">
        <f>gamma</f>
        <v>0.39100000000000001</v>
      </c>
      <c r="D11" s="126">
        <f>IF(Info!C31&lt;2006,0.03/sst,0.875*gamma)</f>
        <v>0.34212500000000001</v>
      </c>
      <c r="E11" s="125">
        <f>0.045/sst</f>
        <v>0.16423357664233576</v>
      </c>
      <c r="F11" s="125">
        <f>gamma-0.035/sst</f>
        <v>0.26326277372262774</v>
      </c>
      <c r="G11" s="125">
        <f>0.045/sst</f>
        <v>0.16423357664233576</v>
      </c>
      <c r="H11" s="127">
        <f>0.6*gamma</f>
        <v>0.2346</v>
      </c>
      <c r="I11" s="125"/>
      <c r="J11" s="125"/>
      <c r="K11" s="125"/>
      <c r="L11" s="128"/>
      <c r="M11" s="129"/>
      <c r="N11" s="130" t="s">
        <v>39</v>
      </c>
      <c r="O11" s="131" t="str">
        <f>" AFA_"&amp;Info!C30&amp;"_"&amp;Info!C31&amp;".xlsx"</f>
        <v xml:space="preserve"> AFA_2010_2006.xlsx</v>
      </c>
      <c r="R11" s="132"/>
      <c r="S11" s="133"/>
      <c r="U11" s="211" t="str">
        <f>"Source: PR_"&amp;Info!C30-1&amp;".xlsx"</f>
        <v>Source: PR_2009.xlsx</v>
      </c>
      <c r="V11" s="212"/>
    </row>
    <row r="12" spans="1:22" s="123" customFormat="1" ht="12.75">
      <c r="A12" s="124" t="s">
        <v>41</v>
      </c>
      <c r="B12" s="125" t="s">
        <v>71</v>
      </c>
      <c r="C12" s="125" t="s">
        <v>71</v>
      </c>
      <c r="D12" s="126" t="s">
        <v>71</v>
      </c>
      <c r="E12" s="125" t="s">
        <v>71</v>
      </c>
      <c r="F12" s="125" t="s">
        <v>71</v>
      </c>
      <c r="G12" s="125" t="s">
        <v>71</v>
      </c>
      <c r="H12" s="127" t="s">
        <v>71</v>
      </c>
      <c r="I12" s="125" t="s">
        <v>71</v>
      </c>
      <c r="J12" s="125"/>
      <c r="K12" s="125" t="s">
        <v>71</v>
      </c>
      <c r="L12" s="134" t="s">
        <v>71</v>
      </c>
      <c r="M12" s="129"/>
      <c r="N12" s="135" t="s">
        <v>41</v>
      </c>
      <c r="O12" s="125" t="s">
        <v>71</v>
      </c>
      <c r="P12" s="136"/>
      <c r="Q12" s="134" t="s">
        <v>71</v>
      </c>
      <c r="R12" s="132"/>
      <c r="S12" s="137" t="s">
        <v>71</v>
      </c>
      <c r="U12" s="209"/>
      <c r="V12" s="210"/>
    </row>
    <row r="13" spans="1:22" ht="15.75" customHeight="1">
      <c r="A13" s="138" t="s">
        <v>43</v>
      </c>
      <c r="B13" s="139">
        <f>(Salaires_bruts!B10*B$11)/1000</f>
        <v>1317406.2446940001</v>
      </c>
      <c r="C13" s="139">
        <f>(Salaires_bruts!C10*C$11)/1000</f>
        <v>6789.9886999999999</v>
      </c>
      <c r="D13" s="140">
        <f>(Salaires_bruts!D10*D$11)/1000</f>
        <v>0</v>
      </c>
      <c r="E13" s="139">
        <f>(Salaires_bruts!E10*E$11)/1000</f>
        <v>55379.643010948901</v>
      </c>
      <c r="F13" s="139">
        <f>(Salaires_bruts!F10*F$11)/1000</f>
        <v>0</v>
      </c>
      <c r="G13" s="139">
        <f>(Salaires_bruts!G10*G$11)/1000</f>
        <v>0</v>
      </c>
      <c r="H13" s="141">
        <f>(Salaires_bruts!H10*H$11)/1000</f>
        <v>0</v>
      </c>
      <c r="I13" s="139">
        <f t="shared" ref="I13:I38" si="0">SUM(C13:H13)</f>
        <v>62169.631710948903</v>
      </c>
      <c r="J13" s="142">
        <f t="shared" ref="J13:J38" si="1">$J$39</f>
        <v>1</v>
      </c>
      <c r="K13" s="139">
        <f t="shared" ref="K13:K39" si="2">I13*J13</f>
        <v>62169.631710948903</v>
      </c>
      <c r="L13" s="143">
        <f t="shared" ref="L13:L39" si="3">K13+B13</f>
        <v>1379575.876404949</v>
      </c>
      <c r="M13" s="144"/>
      <c r="N13" s="138" t="s">
        <v>43</v>
      </c>
      <c r="O13" s="145">
        <v>30259478.899999999</v>
      </c>
      <c r="P13" s="146">
        <v>5.9437466254335901E-2</v>
      </c>
      <c r="Q13" s="143">
        <f>IF(Calculation_RIS!L13=0,O13*P13,0)</f>
        <v>0</v>
      </c>
      <c r="R13" s="147"/>
      <c r="S13" s="148">
        <f>Calculation_RIS!L13+Q13</f>
        <v>1379575.876404949</v>
      </c>
      <c r="U13" s="149" t="s">
        <v>102</v>
      </c>
      <c r="V13" s="150">
        <v>0.27409390532560501</v>
      </c>
    </row>
    <row r="14" spans="1:22" ht="15.75" customHeight="1">
      <c r="A14" s="151" t="s">
        <v>44</v>
      </c>
      <c r="B14" s="152">
        <f>(Salaires_bruts!B11*B$11)/1000</f>
        <v>735695.70537355007</v>
      </c>
      <c r="C14" s="152">
        <f>(Salaires_bruts!C11*C$11)/1000</f>
        <v>290.66158000000001</v>
      </c>
      <c r="D14" s="153">
        <f>(Salaires_bruts!D11*D$11)/1000</f>
        <v>411.68619712499998</v>
      </c>
      <c r="E14" s="152">
        <f>(Salaires_bruts!E11*E$11)/1000</f>
        <v>314.41072992700731</v>
      </c>
      <c r="F14" s="152">
        <f>(Salaires_bruts!F11*F$11)/1000</f>
        <v>0</v>
      </c>
      <c r="G14" s="152">
        <f>(Salaires_bruts!G11*G$11)/1000</f>
        <v>11583.666788321167</v>
      </c>
      <c r="H14" s="154">
        <f>(Salaires_bruts!H11*H$11)/1000</f>
        <v>0</v>
      </c>
      <c r="I14" s="152">
        <f t="shared" si="0"/>
        <v>12600.425295373174</v>
      </c>
      <c r="J14" s="155">
        <f t="shared" si="1"/>
        <v>1</v>
      </c>
      <c r="K14" s="152">
        <f t="shared" si="2"/>
        <v>12600.425295373174</v>
      </c>
      <c r="L14" s="156">
        <f t="shared" si="3"/>
        <v>748296.13066892326</v>
      </c>
      <c r="M14" s="144"/>
      <c r="N14" s="151" t="s">
        <v>44</v>
      </c>
      <c r="O14" s="157">
        <v>14276312.800000001</v>
      </c>
      <c r="P14" s="158">
        <v>5.7639997210860203E-2</v>
      </c>
      <c r="Q14" s="156">
        <f>IF(Calculation_RIS!L14=0,O14*P14,0)</f>
        <v>0</v>
      </c>
      <c r="R14" s="147"/>
      <c r="S14" s="159">
        <f>Calculation_RIS!L14+Q14</f>
        <v>748296.13066892326</v>
      </c>
      <c r="U14" s="160" t="s">
        <v>103</v>
      </c>
      <c r="V14" s="161">
        <f>ROUND(V13,3)</f>
        <v>0.27400000000000002</v>
      </c>
    </row>
    <row r="15" spans="1:22" ht="15.75" customHeight="1">
      <c r="A15" s="162" t="s">
        <v>45</v>
      </c>
      <c r="B15" s="163">
        <f>(Salaires_bruts!B12*B$11)/1000</f>
        <v>196883.91869399999</v>
      </c>
      <c r="C15" s="163">
        <f>(Salaires_bruts!C12*C$11)/1000</f>
        <v>0</v>
      </c>
      <c r="D15" s="164">
        <f>(Salaires_bruts!D12*D$11)/1000</f>
        <v>0</v>
      </c>
      <c r="E15" s="163">
        <f>(Salaires_bruts!E12*E$11)/1000</f>
        <v>592.72998175182488</v>
      </c>
      <c r="F15" s="163">
        <f>(Salaires_bruts!F12*F$11)/1000</f>
        <v>0</v>
      </c>
      <c r="G15" s="163">
        <f>(Salaires_bruts!G12*G$11)/1000</f>
        <v>0</v>
      </c>
      <c r="H15" s="165">
        <f>(Salaires_bruts!H12*H$11)/1000</f>
        <v>0</v>
      </c>
      <c r="I15" s="163">
        <f t="shared" si="0"/>
        <v>592.72998175182488</v>
      </c>
      <c r="J15" s="166">
        <f t="shared" si="1"/>
        <v>1</v>
      </c>
      <c r="K15" s="163">
        <f t="shared" si="2"/>
        <v>592.72998175182488</v>
      </c>
      <c r="L15" s="167">
        <f t="shared" si="3"/>
        <v>197476.64867575181</v>
      </c>
      <c r="M15" s="144"/>
      <c r="N15" s="162" t="s">
        <v>45</v>
      </c>
      <c r="O15" s="168">
        <v>5643478.5999999996</v>
      </c>
      <c r="P15" s="169">
        <v>5.9721128828647899E-2</v>
      </c>
      <c r="Q15" s="167">
        <f>IF(Calculation_RIS!L15=0,O15*P15,0)</f>
        <v>0</v>
      </c>
      <c r="R15" s="147"/>
      <c r="S15" s="170">
        <f>Calculation_RIS!L15+Q15</f>
        <v>197476.64867575181</v>
      </c>
    </row>
    <row r="16" spans="1:22" ht="15.75" customHeight="1">
      <c r="A16" s="151" t="s">
        <v>46</v>
      </c>
      <c r="B16" s="152">
        <f>(Salaires_bruts!B13*B$11)/1000</f>
        <v>19194.942675000002</v>
      </c>
      <c r="C16" s="152">
        <f>(Salaires_bruts!C13*C$11)/1000</f>
        <v>0</v>
      </c>
      <c r="D16" s="153">
        <f>(Salaires_bruts!D13*D$11)/1000</f>
        <v>1731.6701351250001</v>
      </c>
      <c r="E16" s="152">
        <f>(Salaires_bruts!E13*E$11)/1000</f>
        <v>0</v>
      </c>
      <c r="F16" s="152">
        <f>(Salaires_bruts!F13*F$11)/1000</f>
        <v>0</v>
      </c>
      <c r="G16" s="152">
        <f>(Salaires_bruts!G13*G$11)/1000</f>
        <v>0</v>
      </c>
      <c r="H16" s="154">
        <f>(Salaires_bruts!H13*H$11)/1000</f>
        <v>0</v>
      </c>
      <c r="I16" s="152">
        <f t="shared" si="0"/>
        <v>1731.6701351250001</v>
      </c>
      <c r="J16" s="155">
        <f t="shared" si="1"/>
        <v>1</v>
      </c>
      <c r="K16" s="152">
        <f t="shared" si="2"/>
        <v>1731.6701351250001</v>
      </c>
      <c r="L16" s="156">
        <f t="shared" si="3"/>
        <v>20926.612810125003</v>
      </c>
      <c r="M16" s="144"/>
      <c r="N16" s="151" t="s">
        <v>46</v>
      </c>
      <c r="O16" s="157">
        <v>405598.8</v>
      </c>
      <c r="P16" s="158">
        <v>6.8676686707288201E-2</v>
      </c>
      <c r="Q16" s="156">
        <f>IF(Calculation_RIS!L16=0,O16*P16,0)</f>
        <v>0</v>
      </c>
      <c r="R16" s="147"/>
      <c r="S16" s="159">
        <f>Calculation_RIS!L16+Q16</f>
        <v>20926.612810125003</v>
      </c>
    </row>
    <row r="17" spans="1:19" ht="15.75" customHeight="1">
      <c r="A17" s="162" t="s">
        <v>47</v>
      </c>
      <c r="B17" s="163">
        <f>(Salaires_bruts!B14*B$11)/1000</f>
        <v>74815.373015000005</v>
      </c>
      <c r="C17" s="163">
        <f>(Salaires_bruts!C14*C$11)/1000</f>
        <v>16852.492955000002</v>
      </c>
      <c r="D17" s="164">
        <f>(Salaires_bruts!D14*D$11)/1000</f>
        <v>0</v>
      </c>
      <c r="E17" s="163">
        <f>(Salaires_bruts!E14*E$11)/1000</f>
        <v>64.831697080291974</v>
      </c>
      <c r="F17" s="163">
        <f>(Salaires_bruts!F14*F$11)/1000</f>
        <v>0</v>
      </c>
      <c r="G17" s="163">
        <f>(Salaires_bruts!G14*G$11)/1000</f>
        <v>0</v>
      </c>
      <c r="H17" s="165">
        <f>(Salaires_bruts!H14*H$11)/1000</f>
        <v>0</v>
      </c>
      <c r="I17" s="163">
        <f t="shared" si="0"/>
        <v>16917.324652080293</v>
      </c>
      <c r="J17" s="166">
        <f t="shared" si="1"/>
        <v>1</v>
      </c>
      <c r="K17" s="163">
        <f t="shared" si="2"/>
        <v>16917.324652080293</v>
      </c>
      <c r="L17" s="167">
        <f t="shared" si="3"/>
        <v>91732.697667080298</v>
      </c>
      <c r="M17" s="144"/>
      <c r="N17" s="162" t="s">
        <v>47</v>
      </c>
      <c r="O17" s="168">
        <v>4092191.2</v>
      </c>
      <c r="P17" s="169">
        <v>3.9677065455606397E-2</v>
      </c>
      <c r="Q17" s="167">
        <f>IF(Calculation_RIS!L17=0,O17*P17,0)</f>
        <v>0</v>
      </c>
      <c r="R17" s="147"/>
      <c r="S17" s="170">
        <f>Calculation_RIS!L17+Q17</f>
        <v>91732.697667080298</v>
      </c>
    </row>
    <row r="18" spans="1:19" ht="15.75" customHeight="1">
      <c r="A18" s="151" t="s">
        <v>48</v>
      </c>
      <c r="B18" s="152">
        <f>(Salaires_bruts!B15*B$11)/1000</f>
        <v>23008.47321955</v>
      </c>
      <c r="C18" s="152">
        <f>(Salaires_bruts!C15*C$11)/1000</f>
        <v>0</v>
      </c>
      <c r="D18" s="153">
        <f>(Salaires_bruts!D15*D$11)/1000</f>
        <v>0</v>
      </c>
      <c r="E18" s="152">
        <f>(Salaires_bruts!E15*E$11)/1000</f>
        <v>0</v>
      </c>
      <c r="F18" s="152">
        <f>(Salaires_bruts!F15*F$11)/1000</f>
        <v>0</v>
      </c>
      <c r="G18" s="152">
        <f>(Salaires_bruts!G15*G$11)/1000</f>
        <v>0</v>
      </c>
      <c r="H18" s="154">
        <f>(Salaires_bruts!H15*H$11)/1000</f>
        <v>0</v>
      </c>
      <c r="I18" s="152">
        <f t="shared" si="0"/>
        <v>0</v>
      </c>
      <c r="J18" s="155">
        <f t="shared" si="1"/>
        <v>1</v>
      </c>
      <c r="K18" s="152">
        <f t="shared" si="2"/>
        <v>0</v>
      </c>
      <c r="L18" s="156">
        <f t="shared" si="3"/>
        <v>23008.47321955</v>
      </c>
      <c r="M18" s="144"/>
      <c r="N18" s="151" t="s">
        <v>48</v>
      </c>
      <c r="O18" s="157">
        <v>541427.69999999995</v>
      </c>
      <c r="P18" s="158">
        <v>5.8386398636926698E-2</v>
      </c>
      <c r="Q18" s="156">
        <f>IF(Calculation_RIS!L18=0,O18*P18,0)</f>
        <v>0</v>
      </c>
      <c r="R18" s="147"/>
      <c r="S18" s="159">
        <f>Calculation_RIS!L18+Q18</f>
        <v>23008.47321955</v>
      </c>
    </row>
    <row r="19" spans="1:19" ht="15.75" customHeight="1">
      <c r="A19" s="162" t="s">
        <v>49</v>
      </c>
      <c r="B19" s="163">
        <f>(Salaires_bruts!B16*B$11)/1000</f>
        <v>22039.257317000003</v>
      </c>
      <c r="C19" s="163">
        <f>(Salaires_bruts!C16*C$11)/1000</f>
        <v>0</v>
      </c>
      <c r="D19" s="164">
        <f>(Salaires_bruts!D16*D$11)/1000</f>
        <v>0</v>
      </c>
      <c r="E19" s="163">
        <f>(Salaires_bruts!E16*E$11)/1000</f>
        <v>19.466605839416058</v>
      </c>
      <c r="F19" s="163">
        <f>(Salaires_bruts!F16*F$11)/1000</f>
        <v>0</v>
      </c>
      <c r="G19" s="163">
        <f>(Salaires_bruts!G16*G$11)/1000</f>
        <v>0</v>
      </c>
      <c r="H19" s="165">
        <f>(Salaires_bruts!H16*H$11)/1000</f>
        <v>0</v>
      </c>
      <c r="I19" s="163">
        <f t="shared" si="0"/>
        <v>19.466605839416058</v>
      </c>
      <c r="J19" s="166">
        <f t="shared" si="1"/>
        <v>1</v>
      </c>
      <c r="K19" s="163">
        <f t="shared" si="2"/>
        <v>19.466605839416058</v>
      </c>
      <c r="L19" s="167">
        <f t="shared" si="3"/>
        <v>22058.723922839421</v>
      </c>
      <c r="M19" s="144"/>
      <c r="N19" s="162" t="s">
        <v>49</v>
      </c>
      <c r="O19" s="168">
        <v>998194.8</v>
      </c>
      <c r="P19" s="169">
        <v>3.9565946203015699E-2</v>
      </c>
      <c r="Q19" s="167">
        <f>IF(Calculation_RIS!L19=0,O19*P19,0)</f>
        <v>0</v>
      </c>
      <c r="R19" s="147"/>
      <c r="S19" s="170">
        <f>Calculation_RIS!L19+Q19</f>
        <v>22058.723922839421</v>
      </c>
    </row>
    <row r="20" spans="1:19" ht="15.75" customHeight="1">
      <c r="A20" s="151" t="s">
        <v>50</v>
      </c>
      <c r="B20" s="152">
        <f>(Salaires_bruts!B17*B$11)/1000</f>
        <v>16089.496630250002</v>
      </c>
      <c r="C20" s="152">
        <f>(Salaires_bruts!C17*C$11)/1000</f>
        <v>0</v>
      </c>
      <c r="D20" s="153">
        <f>(Salaires_bruts!D17*D$11)/1000</f>
        <v>0</v>
      </c>
      <c r="E20" s="152">
        <f>(Salaires_bruts!E17*E$11)/1000</f>
        <v>0</v>
      </c>
      <c r="F20" s="152">
        <f>(Salaires_bruts!F17*F$11)/1000</f>
        <v>0</v>
      </c>
      <c r="G20" s="152">
        <f>(Salaires_bruts!G17*G$11)/1000</f>
        <v>0</v>
      </c>
      <c r="H20" s="154">
        <f>(Salaires_bruts!H17*H$11)/1000</f>
        <v>0</v>
      </c>
      <c r="I20" s="152">
        <f t="shared" si="0"/>
        <v>0</v>
      </c>
      <c r="J20" s="155">
        <f t="shared" si="1"/>
        <v>1</v>
      </c>
      <c r="K20" s="152">
        <f t="shared" si="2"/>
        <v>0</v>
      </c>
      <c r="L20" s="156">
        <f t="shared" si="3"/>
        <v>16089.496630250002</v>
      </c>
      <c r="M20" s="144"/>
      <c r="N20" s="151" t="s">
        <v>50</v>
      </c>
      <c r="O20" s="157">
        <v>494847.2</v>
      </c>
      <c r="P20" s="158">
        <v>6.7305064758295896E-2</v>
      </c>
      <c r="Q20" s="156">
        <f>IF(Calculation_RIS!L20=0,O20*P20,0)</f>
        <v>0</v>
      </c>
      <c r="R20" s="147"/>
      <c r="S20" s="159">
        <f>Calculation_RIS!L20+Q20</f>
        <v>16089.496630250002</v>
      </c>
    </row>
    <row r="21" spans="1:19" ht="15.75" customHeight="1">
      <c r="A21" s="162" t="s">
        <v>51</v>
      </c>
      <c r="B21" s="163">
        <f>(Salaires_bruts!B18*B$11)/1000</f>
        <v>133344.75264300001</v>
      </c>
      <c r="C21" s="163">
        <f>(Salaires_bruts!C18*C$11)/1000</f>
        <v>573.5809690000001</v>
      </c>
      <c r="D21" s="164">
        <f>(Salaires_bruts!D18*D$11)/1000</f>
        <v>0</v>
      </c>
      <c r="E21" s="163">
        <f>(Salaires_bruts!E18*E$11)/1000</f>
        <v>263.44560218978103</v>
      </c>
      <c r="F21" s="163">
        <f>(Salaires_bruts!F18*F$11)/1000</f>
        <v>0</v>
      </c>
      <c r="G21" s="163">
        <f>(Salaires_bruts!G18*G$11)/1000</f>
        <v>0</v>
      </c>
      <c r="H21" s="165">
        <f>(Salaires_bruts!H18*H$11)/1000</f>
        <v>0</v>
      </c>
      <c r="I21" s="163">
        <f t="shared" si="0"/>
        <v>837.02657118978118</v>
      </c>
      <c r="J21" s="166">
        <f t="shared" si="1"/>
        <v>1</v>
      </c>
      <c r="K21" s="163">
        <f t="shared" si="2"/>
        <v>837.02657118978118</v>
      </c>
      <c r="L21" s="167">
        <f t="shared" si="3"/>
        <v>134181.7792141898</v>
      </c>
      <c r="M21" s="144"/>
      <c r="N21" s="162" t="s">
        <v>51</v>
      </c>
      <c r="O21" s="168">
        <v>3774746.9</v>
      </c>
      <c r="P21" s="169">
        <v>5.0922967193933397E-2</v>
      </c>
      <c r="Q21" s="167">
        <f>IF(Calculation_RIS!L21=0,O21*P21,0)</f>
        <v>0</v>
      </c>
      <c r="R21" s="147"/>
      <c r="S21" s="170">
        <f>Calculation_RIS!L21+Q21</f>
        <v>134181.7792141898</v>
      </c>
    </row>
    <row r="22" spans="1:19" ht="15.75" customHeight="1">
      <c r="A22" s="151" t="s">
        <v>52</v>
      </c>
      <c r="B22" s="152">
        <f>(Salaires_bruts!B19*B$11)/1000</f>
        <v>153668.74965499999</v>
      </c>
      <c r="C22" s="152">
        <f>(Salaires_bruts!C19*C$11)/1000</f>
        <v>0</v>
      </c>
      <c r="D22" s="153">
        <f>(Salaires_bruts!D19*D$11)/1000</f>
        <v>0</v>
      </c>
      <c r="E22" s="152">
        <f>(Salaires_bruts!E19*E$11)/1000</f>
        <v>0</v>
      </c>
      <c r="F22" s="152">
        <f>(Salaires_bruts!F19*F$11)/1000</f>
        <v>0</v>
      </c>
      <c r="G22" s="152">
        <f>(Salaires_bruts!G19*G$11)/1000</f>
        <v>0</v>
      </c>
      <c r="H22" s="154">
        <f>(Salaires_bruts!H19*H$11)/1000</f>
        <v>0</v>
      </c>
      <c r="I22" s="152">
        <f t="shared" si="0"/>
        <v>0</v>
      </c>
      <c r="J22" s="155">
        <f t="shared" si="1"/>
        <v>1</v>
      </c>
      <c r="K22" s="152">
        <f t="shared" si="2"/>
        <v>0</v>
      </c>
      <c r="L22" s="156">
        <f t="shared" si="3"/>
        <v>153668.74965499999</v>
      </c>
      <c r="M22" s="144"/>
      <c r="N22" s="151" t="s">
        <v>52</v>
      </c>
      <c r="O22" s="157">
        <v>3876911</v>
      </c>
      <c r="P22" s="158">
        <v>6.3863573233998994E-2</v>
      </c>
      <c r="Q22" s="156">
        <f>IF(Calculation_RIS!L22=0,O22*P22,0)</f>
        <v>0</v>
      </c>
      <c r="R22" s="147"/>
      <c r="S22" s="159">
        <f>Calculation_RIS!L22+Q22</f>
        <v>153668.74965499999</v>
      </c>
    </row>
    <row r="23" spans="1:19" ht="15.75" customHeight="1">
      <c r="A23" s="162" t="s">
        <v>53</v>
      </c>
      <c r="B23" s="163">
        <f>(Salaires_bruts!B20*B$11)/1000</f>
        <v>97577.664403999996</v>
      </c>
      <c r="C23" s="163">
        <f>(Salaires_bruts!C20*C$11)/1000</f>
        <v>889.53594799999996</v>
      </c>
      <c r="D23" s="164">
        <f>(Salaires_bruts!D20*D$11)/1000</f>
        <v>302.23561987500005</v>
      </c>
      <c r="E23" s="163">
        <f>(Salaires_bruts!E20*E$11)/1000</f>
        <v>3811.4132846715329</v>
      </c>
      <c r="F23" s="163">
        <f>(Salaires_bruts!F20*F$11)/1000</f>
        <v>0</v>
      </c>
      <c r="G23" s="163">
        <f>(Salaires_bruts!G20*G$11)/1000</f>
        <v>11954.888540145987</v>
      </c>
      <c r="H23" s="165">
        <f>(Salaires_bruts!H20*H$11)/1000</f>
        <v>0</v>
      </c>
      <c r="I23" s="163">
        <f t="shared" si="0"/>
        <v>16958.07339269252</v>
      </c>
      <c r="J23" s="166">
        <f t="shared" si="1"/>
        <v>1</v>
      </c>
      <c r="K23" s="163">
        <f t="shared" si="2"/>
        <v>16958.07339269252</v>
      </c>
      <c r="L23" s="167">
        <f t="shared" si="3"/>
        <v>114535.73779669251</v>
      </c>
      <c r="M23" s="144"/>
      <c r="N23" s="162" t="s">
        <v>53</v>
      </c>
      <c r="O23" s="168">
        <v>4059911.7</v>
      </c>
      <c r="P23" s="169">
        <v>5.3689425530897401E-2</v>
      </c>
      <c r="Q23" s="167">
        <f>IF(Calculation_RIS!L23=0,O23*P23,0)</f>
        <v>0</v>
      </c>
      <c r="R23" s="147"/>
      <c r="S23" s="170">
        <f>Calculation_RIS!L23+Q23</f>
        <v>114535.73779669251</v>
      </c>
    </row>
    <row r="24" spans="1:19" ht="15.75" customHeight="1">
      <c r="A24" s="151" t="s">
        <v>54</v>
      </c>
      <c r="B24" s="152">
        <f>(Salaires_bruts!B21*B$11)/1000</f>
        <v>228570.04697275002</v>
      </c>
      <c r="C24" s="152">
        <f>(Salaires_bruts!C21*C$11)/1000</f>
        <v>48363.521443700003</v>
      </c>
      <c r="D24" s="153">
        <f>(Salaires_bruts!D21*D$11)/1000</f>
        <v>0</v>
      </c>
      <c r="E24" s="152">
        <f>(Salaires_bruts!E21*E$11)/1000</f>
        <v>180522.95611861316</v>
      </c>
      <c r="F24" s="152">
        <f>(Salaires_bruts!F21*F$11)/1000</f>
        <v>0</v>
      </c>
      <c r="G24" s="152">
        <f>(Salaires_bruts!G21*G$11)/1000</f>
        <v>226479.34905109488</v>
      </c>
      <c r="H24" s="154">
        <f>(Salaires_bruts!H21*H$11)/1000</f>
        <v>0</v>
      </c>
      <c r="I24" s="152">
        <f t="shared" si="0"/>
        <v>455365.82661340805</v>
      </c>
      <c r="J24" s="155">
        <f t="shared" si="1"/>
        <v>1</v>
      </c>
      <c r="K24" s="152">
        <f t="shared" si="2"/>
        <v>455365.82661340805</v>
      </c>
      <c r="L24" s="156">
        <f t="shared" si="3"/>
        <v>683935.87358615804</v>
      </c>
      <c r="M24" s="144"/>
      <c r="N24" s="151" t="s">
        <v>54</v>
      </c>
      <c r="O24" s="157">
        <v>3953975.9</v>
      </c>
      <c r="P24" s="158">
        <v>0.19983031462523901</v>
      </c>
      <c r="Q24" s="156">
        <f>IF(Calculation_RIS!L24=0,O24*P24,0)</f>
        <v>0</v>
      </c>
      <c r="R24" s="147"/>
      <c r="S24" s="159">
        <f>Calculation_RIS!L24+Q24</f>
        <v>683935.87358615804</v>
      </c>
    </row>
    <row r="25" spans="1:19" ht="15.75" customHeight="1">
      <c r="A25" s="162" t="s">
        <v>55</v>
      </c>
      <c r="B25" s="163">
        <f>(Salaires_bruts!B22*B$11)/1000</f>
        <v>118865.51981700001</v>
      </c>
      <c r="C25" s="163">
        <f>(Salaires_bruts!C22*C$11)/1000</f>
        <v>18195.573654</v>
      </c>
      <c r="D25" s="164">
        <f>(Salaires_bruts!D22*D$11)/1000</f>
        <v>0</v>
      </c>
      <c r="E25" s="163">
        <f>(Salaires_bruts!E22*E$11)/1000</f>
        <v>70763.816989051091</v>
      </c>
      <c r="F25" s="163">
        <f>(Salaires_bruts!F22*F$11)/1000</f>
        <v>0</v>
      </c>
      <c r="G25" s="163">
        <f>(Salaires_bruts!G22*G$11)/1000</f>
        <v>138050.42091240874</v>
      </c>
      <c r="H25" s="165">
        <f>(Salaires_bruts!H22*H$11)/1000</f>
        <v>0</v>
      </c>
      <c r="I25" s="163">
        <f t="shared" si="0"/>
        <v>227009.81155545983</v>
      </c>
      <c r="J25" s="166">
        <f t="shared" si="1"/>
        <v>1</v>
      </c>
      <c r="K25" s="163">
        <f t="shared" si="2"/>
        <v>227009.81155545983</v>
      </c>
      <c r="L25" s="167">
        <f t="shared" si="3"/>
        <v>345875.33137245983</v>
      </c>
      <c r="M25" s="144"/>
      <c r="N25" s="162" t="s">
        <v>55</v>
      </c>
      <c r="O25" s="168">
        <v>5980469.5</v>
      </c>
      <c r="P25" s="169">
        <v>8.7902743916557405E-2</v>
      </c>
      <c r="Q25" s="167">
        <f>IF(Calculation_RIS!L25=0,O25*P25,0)</f>
        <v>0</v>
      </c>
      <c r="R25" s="147"/>
      <c r="S25" s="170">
        <f>Calculation_RIS!L25+Q25</f>
        <v>345875.33137245983</v>
      </c>
    </row>
    <row r="26" spans="1:19" ht="15.75" customHeight="1">
      <c r="A26" s="151" t="s">
        <v>56</v>
      </c>
      <c r="B26" s="152">
        <f>(Salaires_bruts!B23*B$11)/1000</f>
        <v>71978.916847400003</v>
      </c>
      <c r="C26" s="152">
        <f>(Salaires_bruts!C23*C$11)/1000</f>
        <v>2411.1411474000001</v>
      </c>
      <c r="D26" s="153">
        <f>(Salaires_bruts!D23*D$11)/1000</f>
        <v>0</v>
      </c>
      <c r="E26" s="152">
        <f>(Salaires_bruts!E23*E$11)/1000</f>
        <v>45293.734919890514</v>
      </c>
      <c r="F26" s="152">
        <f>(Salaires_bruts!F23*F$11)/1000</f>
        <v>0</v>
      </c>
      <c r="G26" s="152">
        <f>(Salaires_bruts!G23*G$11)/1000</f>
        <v>0</v>
      </c>
      <c r="H26" s="154">
        <f>(Salaires_bruts!H23*H$11)/1000</f>
        <v>0</v>
      </c>
      <c r="I26" s="152">
        <f t="shared" si="0"/>
        <v>47704.876067290512</v>
      </c>
      <c r="J26" s="155">
        <f t="shared" si="1"/>
        <v>1</v>
      </c>
      <c r="K26" s="152">
        <f t="shared" si="2"/>
        <v>47704.876067290512</v>
      </c>
      <c r="L26" s="156">
        <f t="shared" si="3"/>
        <v>119683.79291469051</v>
      </c>
      <c r="M26" s="144"/>
      <c r="N26" s="151" t="s">
        <v>56</v>
      </c>
      <c r="O26" s="157">
        <v>1156786.8999999999</v>
      </c>
      <c r="P26" s="158">
        <v>0.101048198357456</v>
      </c>
      <c r="Q26" s="156">
        <f>IF(Calculation_RIS!L26=0,O26*P26,0)</f>
        <v>0</v>
      </c>
      <c r="R26" s="147"/>
      <c r="S26" s="159">
        <f>Calculation_RIS!L26+Q26</f>
        <v>119683.79291469051</v>
      </c>
    </row>
    <row r="27" spans="1:19" ht="15.75" customHeight="1">
      <c r="A27" s="162" t="s">
        <v>57</v>
      </c>
      <c r="B27" s="163">
        <f>(Salaires_bruts!B24*B$11)/1000</f>
        <v>25224.034544300001</v>
      </c>
      <c r="C27" s="163">
        <f>(Salaires_bruts!C24*C$11)/1000</f>
        <v>368.271952</v>
      </c>
      <c r="D27" s="164">
        <f>(Salaires_bruts!D24*D$11)/1000</f>
        <v>3703.1564600012503</v>
      </c>
      <c r="E27" s="163">
        <f>(Salaires_bruts!E24*E$11)/1000</f>
        <v>323.26458667883207</v>
      </c>
      <c r="F27" s="163">
        <f>(Salaires_bruts!F24*F$11)/1000</f>
        <v>0</v>
      </c>
      <c r="G27" s="163">
        <f>(Salaires_bruts!G24*G$11)/1000</f>
        <v>0</v>
      </c>
      <c r="H27" s="165">
        <f>(Salaires_bruts!H24*H$11)/1000</f>
        <v>0</v>
      </c>
      <c r="I27" s="163">
        <f t="shared" si="0"/>
        <v>4394.6929986800824</v>
      </c>
      <c r="J27" s="166">
        <f t="shared" si="1"/>
        <v>1</v>
      </c>
      <c r="K27" s="163">
        <f t="shared" si="2"/>
        <v>4394.6929986800824</v>
      </c>
      <c r="L27" s="167">
        <f t="shared" si="3"/>
        <v>29618.727542980083</v>
      </c>
      <c r="M27" s="144"/>
      <c r="N27" s="162" t="s">
        <v>57</v>
      </c>
      <c r="O27" s="168">
        <v>831160.7</v>
      </c>
      <c r="P27" s="169">
        <v>5.6829719000763897E-2</v>
      </c>
      <c r="Q27" s="167">
        <f>IF(Calculation_RIS!L27=0,O27*P27,0)</f>
        <v>0</v>
      </c>
      <c r="R27" s="147"/>
      <c r="S27" s="170">
        <f>Calculation_RIS!L27+Q27</f>
        <v>29618.727542980083</v>
      </c>
    </row>
    <row r="28" spans="1:19" ht="15.75" customHeight="1">
      <c r="A28" s="151" t="s">
        <v>58</v>
      </c>
      <c r="B28" s="152">
        <f>(Salaires_bruts!B25*B$11)/1000</f>
        <v>6480.72113085</v>
      </c>
      <c r="C28" s="152">
        <f>(Salaires_bruts!C25*C$11)/1000</f>
        <v>0</v>
      </c>
      <c r="D28" s="153">
        <f>(Salaires_bruts!D25*D$11)/1000</f>
        <v>302.15682848749998</v>
      </c>
      <c r="E28" s="152">
        <f>(Salaires_bruts!E25*E$11)/1000</f>
        <v>83.463093065693428</v>
      </c>
      <c r="F28" s="152">
        <f>(Salaires_bruts!F25*F$11)/1000</f>
        <v>0</v>
      </c>
      <c r="G28" s="152">
        <f>(Salaires_bruts!G25*G$11)/1000</f>
        <v>0</v>
      </c>
      <c r="H28" s="154">
        <f>(Salaires_bruts!H25*H$11)/1000</f>
        <v>0</v>
      </c>
      <c r="I28" s="152">
        <f t="shared" si="0"/>
        <v>385.61992155319342</v>
      </c>
      <c r="J28" s="155">
        <f t="shared" si="1"/>
        <v>1</v>
      </c>
      <c r="K28" s="152">
        <f t="shared" si="2"/>
        <v>385.61992155319342</v>
      </c>
      <c r="L28" s="156">
        <f t="shared" si="3"/>
        <v>6866.3410524031933</v>
      </c>
      <c r="M28" s="144"/>
      <c r="N28" s="151" t="s">
        <v>58</v>
      </c>
      <c r="O28" s="157">
        <v>243628.3</v>
      </c>
      <c r="P28" s="158">
        <v>5.20781673531256E-2</v>
      </c>
      <c r="Q28" s="156">
        <f>IF(Calculation_RIS!L28=0,O28*P28,0)</f>
        <v>0</v>
      </c>
      <c r="R28" s="147"/>
      <c r="S28" s="159">
        <f>Calculation_RIS!L28+Q28</f>
        <v>6866.3410524031933</v>
      </c>
    </row>
    <row r="29" spans="1:19" ht="15.75" customHeight="1">
      <c r="A29" s="162" t="s">
        <v>59</v>
      </c>
      <c r="B29" s="163">
        <f>(Salaires_bruts!B26*B$11)/1000</f>
        <v>248442.39869611</v>
      </c>
      <c r="C29" s="163">
        <f>(Salaires_bruts!C26*C$11)/1000</f>
        <v>14574.90832076</v>
      </c>
      <c r="D29" s="164">
        <f>(Salaires_bruts!D26*D$11)/1000</f>
        <v>131949.64703627001</v>
      </c>
      <c r="E29" s="163">
        <f>(Salaires_bruts!E26*E$11)/1000</f>
        <v>7538.7739105839419</v>
      </c>
      <c r="F29" s="163">
        <f>(Salaires_bruts!F26*F$11)/1000</f>
        <v>0</v>
      </c>
      <c r="G29" s="163">
        <f>(Salaires_bruts!G26*G$11)/1000</f>
        <v>0</v>
      </c>
      <c r="H29" s="165">
        <f>(Salaires_bruts!H26*H$11)/1000</f>
        <v>0</v>
      </c>
      <c r="I29" s="163">
        <f t="shared" si="0"/>
        <v>154063.32926761394</v>
      </c>
      <c r="J29" s="166">
        <f t="shared" si="1"/>
        <v>1</v>
      </c>
      <c r="K29" s="163">
        <f t="shared" si="2"/>
        <v>154063.32926761394</v>
      </c>
      <c r="L29" s="167">
        <f t="shared" si="3"/>
        <v>402505.72796372394</v>
      </c>
      <c r="M29" s="144"/>
      <c r="N29" s="162" t="s">
        <v>59</v>
      </c>
      <c r="O29" s="168">
        <v>6674850</v>
      </c>
      <c r="P29" s="169">
        <v>8.1147363264928801E-2</v>
      </c>
      <c r="Q29" s="167">
        <f>IF(Calculation_RIS!L29=0,O29*P29,0)</f>
        <v>0</v>
      </c>
      <c r="R29" s="147"/>
      <c r="S29" s="170">
        <f>Calculation_RIS!L29+Q29</f>
        <v>402505.72796372394</v>
      </c>
    </row>
    <row r="30" spans="1:19" ht="15.75" customHeight="1">
      <c r="A30" s="151" t="s">
        <v>60</v>
      </c>
      <c r="B30" s="152">
        <f>(Salaires_bruts!B27*B$11)/1000</f>
        <v>0</v>
      </c>
      <c r="C30" s="152">
        <f>(Salaires_bruts!C27*C$11)/1000</f>
        <v>0</v>
      </c>
      <c r="D30" s="153">
        <f>(Salaires_bruts!D27*D$11)/1000</f>
        <v>0</v>
      </c>
      <c r="E30" s="152">
        <f>(Salaires_bruts!E27*E$11)/1000</f>
        <v>0</v>
      </c>
      <c r="F30" s="152">
        <f>(Salaires_bruts!F27*F$11)/1000</f>
        <v>0</v>
      </c>
      <c r="G30" s="152">
        <f>(Salaires_bruts!G27*G$11)/1000</f>
        <v>0</v>
      </c>
      <c r="H30" s="154">
        <f>(Salaires_bruts!H27*H$11)/1000</f>
        <v>0</v>
      </c>
      <c r="I30" s="152">
        <f t="shared" si="0"/>
        <v>0</v>
      </c>
      <c r="J30" s="155">
        <f t="shared" si="1"/>
        <v>1</v>
      </c>
      <c r="K30" s="152">
        <f t="shared" si="2"/>
        <v>0</v>
      </c>
      <c r="L30" s="156">
        <f t="shared" si="3"/>
        <v>0</v>
      </c>
      <c r="M30" s="144"/>
      <c r="N30" s="151" t="s">
        <v>60</v>
      </c>
      <c r="O30" s="157">
        <v>2912208.8</v>
      </c>
      <c r="P30" s="158">
        <v>0.108165659475259</v>
      </c>
      <c r="Q30" s="156">
        <f>IF(Calculation_RIS!L30=0,O30*P30,0)</f>
        <v>315000.9853816526</v>
      </c>
      <c r="R30" s="147"/>
      <c r="S30" s="159">
        <f>Calculation_RIS!L30+Q30</f>
        <v>315000.9853816526</v>
      </c>
    </row>
    <row r="31" spans="1:19" ht="15.75" customHeight="1">
      <c r="A31" s="162" t="s">
        <v>61</v>
      </c>
      <c r="B31" s="163">
        <f>(Salaires_bruts!B28*B$11)/1000</f>
        <v>332740.66686800006</v>
      </c>
      <c r="C31" s="163">
        <f>(Salaires_bruts!C28*C$11)/1000</f>
        <v>0</v>
      </c>
      <c r="D31" s="164">
        <f>(Salaires_bruts!D28*D$11)/1000</f>
        <v>0</v>
      </c>
      <c r="E31" s="163">
        <f>(Salaires_bruts!E28*E$11)/1000</f>
        <v>96808.462226277363</v>
      </c>
      <c r="F31" s="163">
        <f>(Salaires_bruts!F28*F$11)/1000</f>
        <v>0</v>
      </c>
      <c r="G31" s="163">
        <f>(Salaires_bruts!G28*G$11)/1000</f>
        <v>0</v>
      </c>
      <c r="H31" s="165">
        <f>(Salaires_bruts!H28*H$11)/1000</f>
        <v>0</v>
      </c>
      <c r="I31" s="163">
        <f t="shared" si="0"/>
        <v>96808.462226277363</v>
      </c>
      <c r="J31" s="166">
        <f t="shared" si="1"/>
        <v>1</v>
      </c>
      <c r="K31" s="163">
        <f t="shared" si="2"/>
        <v>96808.462226277363</v>
      </c>
      <c r="L31" s="167">
        <f t="shared" si="3"/>
        <v>429549.12909427739</v>
      </c>
      <c r="M31" s="144"/>
      <c r="N31" s="162" t="s">
        <v>61</v>
      </c>
      <c r="O31" s="168">
        <v>10299501.4</v>
      </c>
      <c r="P31" s="169">
        <v>6.0211655859777502E-2</v>
      </c>
      <c r="Q31" s="167">
        <f>IF(Calculation_RIS!L31=0,O31*P31,0)</f>
        <v>0</v>
      </c>
      <c r="R31" s="147"/>
      <c r="S31" s="170">
        <f>Calculation_RIS!L31+Q31</f>
        <v>429549.12909427739</v>
      </c>
    </row>
    <row r="32" spans="1:19" ht="15.75" customHeight="1">
      <c r="A32" s="151" t="s">
        <v>62</v>
      </c>
      <c r="B32" s="152">
        <f>(Salaires_bruts!B29*B$11)/1000</f>
        <v>131276.21594371001</v>
      </c>
      <c r="C32" s="152">
        <f>(Salaires_bruts!C29*C$11)/1000</f>
        <v>2968.5691439500006</v>
      </c>
      <c r="D32" s="153">
        <f>(Salaires_bruts!D29*D$11)/1000</f>
        <v>5073.6014714175008</v>
      </c>
      <c r="E32" s="152">
        <f>(Salaires_bruts!E29*E$11)/1000</f>
        <v>31327.518214051095</v>
      </c>
      <c r="F32" s="152">
        <f>(Salaires_bruts!F29*F$11)/1000</f>
        <v>0</v>
      </c>
      <c r="G32" s="152">
        <f>(Salaires_bruts!G29*G$11)/1000</f>
        <v>0</v>
      </c>
      <c r="H32" s="154">
        <f>(Salaires_bruts!H29*H$11)/1000</f>
        <v>0</v>
      </c>
      <c r="I32" s="152">
        <f t="shared" si="0"/>
        <v>39369.688829418599</v>
      </c>
      <c r="J32" s="155">
        <f t="shared" si="1"/>
        <v>1</v>
      </c>
      <c r="K32" s="152">
        <f t="shared" si="2"/>
        <v>39369.688829418599</v>
      </c>
      <c r="L32" s="156">
        <f t="shared" si="3"/>
        <v>170645.9047731286</v>
      </c>
      <c r="M32" s="144"/>
      <c r="N32" s="151" t="s">
        <v>62</v>
      </c>
      <c r="O32" s="157">
        <v>3545123.1</v>
      </c>
      <c r="P32" s="158">
        <v>7.0016411693405098E-2</v>
      </c>
      <c r="Q32" s="156">
        <f>IF(Calculation_RIS!L32=0,O32*P32,0)</f>
        <v>0</v>
      </c>
      <c r="R32" s="147"/>
      <c r="S32" s="159">
        <f>Calculation_RIS!L32+Q32</f>
        <v>170645.9047731286</v>
      </c>
    </row>
    <row r="33" spans="1:19" ht="15.75" customHeight="1">
      <c r="A33" s="162" t="s">
        <v>63</v>
      </c>
      <c r="B33" s="163">
        <f>(Salaires_bruts!B30*B$11)/1000</f>
        <v>303605.93450599996</v>
      </c>
      <c r="C33" s="163">
        <f>(Salaires_bruts!C30*C$11)/1000</f>
        <v>26968.745243000001</v>
      </c>
      <c r="D33" s="164">
        <f>(Salaires_bruts!D30*D$11)/1000</f>
        <v>0</v>
      </c>
      <c r="E33" s="163">
        <f>(Salaires_bruts!E30*E$11)/1000</f>
        <v>0</v>
      </c>
      <c r="F33" s="163">
        <f>(Salaires_bruts!F30*F$11)/1000</f>
        <v>0</v>
      </c>
      <c r="G33" s="163">
        <f>(Salaires_bruts!G30*G$11)/1000</f>
        <v>0</v>
      </c>
      <c r="H33" s="165">
        <f>(Salaires_bruts!H30*H$11)/1000</f>
        <v>523193.66224980005</v>
      </c>
      <c r="I33" s="163">
        <f t="shared" si="0"/>
        <v>550162.40749280003</v>
      </c>
      <c r="J33" s="166">
        <f t="shared" si="1"/>
        <v>1</v>
      </c>
      <c r="K33" s="163">
        <f t="shared" si="2"/>
        <v>550162.40749280003</v>
      </c>
      <c r="L33" s="167">
        <f t="shared" si="3"/>
        <v>853768.34199879994</v>
      </c>
      <c r="M33" s="144"/>
      <c r="N33" s="162" t="s">
        <v>63</v>
      </c>
      <c r="O33" s="168">
        <v>5523101.7000000002</v>
      </c>
      <c r="P33" s="169">
        <v>0.177647263817373</v>
      </c>
      <c r="Q33" s="167">
        <f>IF(Calculation_RIS!L33=0,O33*P33,0)</f>
        <v>0</v>
      </c>
      <c r="R33" s="147"/>
      <c r="S33" s="170">
        <f>Calculation_RIS!L33+Q33</f>
        <v>853768.34199879994</v>
      </c>
    </row>
    <row r="34" spans="1:19" ht="15.75" customHeight="1">
      <c r="A34" s="151" t="s">
        <v>64</v>
      </c>
      <c r="B34" s="152">
        <f>(Salaires_bruts!B31*B$11)/1000</f>
        <v>597383.40853995003</v>
      </c>
      <c r="C34" s="152">
        <f>(Salaires_bruts!C31*C$11)/1000</f>
        <v>0</v>
      </c>
      <c r="D34" s="153">
        <f>(Salaires_bruts!D31*D$11)/1000</f>
        <v>0</v>
      </c>
      <c r="E34" s="152">
        <f>(Salaires_bruts!E31*E$11)/1000</f>
        <v>0</v>
      </c>
      <c r="F34" s="152">
        <f>(Salaires_bruts!F31*F$11)/1000</f>
        <v>0</v>
      </c>
      <c r="G34" s="152">
        <f>(Salaires_bruts!G31*G$11)/1000</f>
        <v>175308.82784671534</v>
      </c>
      <c r="H34" s="154">
        <f>(Salaires_bruts!H31*H$11)/1000</f>
        <v>0</v>
      </c>
      <c r="I34" s="152">
        <f t="shared" si="0"/>
        <v>175308.82784671534</v>
      </c>
      <c r="J34" s="155">
        <f t="shared" si="1"/>
        <v>1</v>
      </c>
      <c r="K34" s="152">
        <f t="shared" si="2"/>
        <v>175308.82784671534</v>
      </c>
      <c r="L34" s="156">
        <f t="shared" si="3"/>
        <v>772692.23638666538</v>
      </c>
      <c r="M34" s="144"/>
      <c r="N34" s="151" t="s">
        <v>64</v>
      </c>
      <c r="O34" s="157">
        <v>13435840.6</v>
      </c>
      <c r="P34" s="158">
        <v>8.9550390741085895E-2</v>
      </c>
      <c r="Q34" s="156">
        <f>IF(Calculation_RIS!L34=0,O34*P34,0)</f>
        <v>0</v>
      </c>
      <c r="R34" s="147"/>
      <c r="S34" s="159">
        <f>Calculation_RIS!L34+Q34</f>
        <v>772692.23638666538</v>
      </c>
    </row>
    <row r="35" spans="1:19" ht="15.75" customHeight="1">
      <c r="A35" s="162" t="s">
        <v>65</v>
      </c>
      <c r="B35" s="163">
        <f>(Salaires_bruts!B32*B$11)/1000</f>
        <v>266059.16035242</v>
      </c>
      <c r="C35" s="163">
        <f>(Salaires_bruts!C32*C$11)/1000</f>
        <v>1259.3611083999999</v>
      </c>
      <c r="D35" s="164">
        <f>(Salaires_bruts!D32*D$11)/1000</f>
        <v>0</v>
      </c>
      <c r="E35" s="163">
        <f>(Salaires_bruts!E32*E$11)/1000</f>
        <v>0</v>
      </c>
      <c r="F35" s="163">
        <f>(Salaires_bruts!F32*F$11)/1000</f>
        <v>0</v>
      </c>
      <c r="G35" s="163">
        <f>(Salaires_bruts!G32*G$11)/1000</f>
        <v>8404.9281558394159</v>
      </c>
      <c r="H35" s="165">
        <f>(Salaires_bruts!H32*H$11)/1000</f>
        <v>9770.4656637120006</v>
      </c>
      <c r="I35" s="163">
        <f t="shared" si="0"/>
        <v>19434.754927951417</v>
      </c>
      <c r="J35" s="166">
        <f t="shared" si="1"/>
        <v>1</v>
      </c>
      <c r="K35" s="163">
        <f t="shared" si="2"/>
        <v>19434.754927951417</v>
      </c>
      <c r="L35" s="167">
        <f t="shared" si="3"/>
        <v>285493.91528037144</v>
      </c>
      <c r="M35" s="144"/>
      <c r="N35" s="162" t="s">
        <v>65</v>
      </c>
      <c r="O35" s="168">
        <v>4185755.2</v>
      </c>
      <c r="P35" s="169">
        <v>8.3721578669557595E-2</v>
      </c>
      <c r="Q35" s="167">
        <f>IF(Calculation_RIS!L35=0,O35*P35,0)</f>
        <v>0</v>
      </c>
      <c r="R35" s="147"/>
      <c r="S35" s="170">
        <f>Calculation_RIS!L35+Q35</f>
        <v>285493.91528037144</v>
      </c>
    </row>
    <row r="36" spans="1:19" ht="15.75" customHeight="1">
      <c r="A36" s="151" t="s">
        <v>66</v>
      </c>
      <c r="B36" s="152">
        <f>(Salaires_bruts!B33*B$11)/1000</f>
        <v>127006.69504091001</v>
      </c>
      <c r="C36" s="152">
        <f>(Salaires_bruts!C33*C$11)/1000</f>
        <v>1570.815521</v>
      </c>
      <c r="D36" s="153">
        <f>(Salaires_bruts!D33*D$11)/1000</f>
        <v>0</v>
      </c>
      <c r="E36" s="152">
        <f>(Salaires_bruts!E33*E$11)/1000</f>
        <v>0</v>
      </c>
      <c r="F36" s="152">
        <f>(Salaires_bruts!F33*F$11)/1000</f>
        <v>0</v>
      </c>
      <c r="G36" s="152">
        <f>(Salaires_bruts!G33*G$11)/1000</f>
        <v>84575.642846715331</v>
      </c>
      <c r="H36" s="154">
        <f>(Salaires_bruts!H33*H$11)/1000</f>
        <v>0</v>
      </c>
      <c r="I36" s="152">
        <f t="shared" si="0"/>
        <v>86146.458367715328</v>
      </c>
      <c r="J36" s="155">
        <f t="shared" si="1"/>
        <v>1</v>
      </c>
      <c r="K36" s="152">
        <f t="shared" si="2"/>
        <v>86146.458367715328</v>
      </c>
      <c r="L36" s="156">
        <f t="shared" si="3"/>
        <v>213153.15340862534</v>
      </c>
      <c r="M36" s="144"/>
      <c r="N36" s="151" t="s">
        <v>66</v>
      </c>
      <c r="O36" s="157">
        <v>2628539</v>
      </c>
      <c r="P36" s="158">
        <v>8.9854717719169197E-2</v>
      </c>
      <c r="Q36" s="156">
        <f>IF(Calculation_RIS!L36=0,O36*P36,0)</f>
        <v>0</v>
      </c>
      <c r="R36" s="147"/>
      <c r="S36" s="159">
        <f>Calculation_RIS!L36+Q36</f>
        <v>213153.15340862534</v>
      </c>
    </row>
    <row r="37" spans="1:19" ht="15.75" customHeight="1">
      <c r="A37" s="162" t="s">
        <v>67</v>
      </c>
      <c r="B37" s="163">
        <f>(Salaires_bruts!B34*B$11)/1000</f>
        <v>614456.55591300002</v>
      </c>
      <c r="C37" s="163">
        <f>(Salaires_bruts!C34*C$11)/1000</f>
        <v>0</v>
      </c>
      <c r="D37" s="164">
        <f>(Salaires_bruts!D34*D$11)/1000</f>
        <v>0</v>
      </c>
      <c r="E37" s="163">
        <f>(Salaires_bruts!E34*E$11)/1000</f>
        <v>0</v>
      </c>
      <c r="F37" s="163">
        <f>(Salaires_bruts!F34*F$11)/1000</f>
        <v>1339087.3161304747</v>
      </c>
      <c r="G37" s="163">
        <f>(Salaires_bruts!G34*G$11)/1000</f>
        <v>0</v>
      </c>
      <c r="H37" s="165">
        <f>(Salaires_bruts!H34*H$11)/1000</f>
        <v>0</v>
      </c>
      <c r="I37" s="163">
        <f t="shared" si="0"/>
        <v>1339087.3161304747</v>
      </c>
      <c r="J37" s="166">
        <f t="shared" si="1"/>
        <v>1</v>
      </c>
      <c r="K37" s="163">
        <f t="shared" si="2"/>
        <v>1339087.3161304747</v>
      </c>
      <c r="L37" s="167">
        <f t="shared" si="3"/>
        <v>1953543.8720434746</v>
      </c>
      <c r="M37" s="144"/>
      <c r="N37" s="162" t="s">
        <v>67</v>
      </c>
      <c r="O37" s="168">
        <v>10657592.4</v>
      </c>
      <c r="P37" s="169">
        <v>0.20038646084343001</v>
      </c>
      <c r="Q37" s="167">
        <f>IF(Calculation_RIS!L37=0,O37*P37,0)</f>
        <v>0</v>
      </c>
      <c r="R37" s="147"/>
      <c r="S37" s="170">
        <f>Calculation_RIS!L37+Q37</f>
        <v>1953543.8720434746</v>
      </c>
    </row>
    <row r="38" spans="1:19" ht="15.75" customHeight="1">
      <c r="A38" s="224" t="s">
        <v>104</v>
      </c>
      <c r="B38" s="223">
        <f>(Salaires_bruts!B35*B$11)/1000</f>
        <v>23721.913084168089</v>
      </c>
      <c r="C38" s="172">
        <f>(Salaires_bruts!C35*C$11)/1000</f>
        <v>1064.8057644</v>
      </c>
      <c r="D38" s="173">
        <f>(Salaires_bruts!D35*D$11)/1000</f>
        <v>0</v>
      </c>
      <c r="E38" s="172">
        <f>(Salaires_bruts!E35*E$11)/1000</f>
        <v>400.72785766423351</v>
      </c>
      <c r="F38" s="172">
        <f>(Salaires_bruts!F35*F$11)/1000</f>
        <v>0</v>
      </c>
      <c r="G38" s="172">
        <f>(Salaires_bruts!G35*G$11)/1000</f>
        <v>49742.718832116792</v>
      </c>
      <c r="H38" s="174">
        <f>(Salaires_bruts!H35*H$11)/1000</f>
        <v>0</v>
      </c>
      <c r="I38" s="172">
        <f t="shared" si="0"/>
        <v>51208.252454181027</v>
      </c>
      <c r="J38" s="175">
        <f t="shared" si="1"/>
        <v>1</v>
      </c>
      <c r="K38" s="172">
        <f t="shared" si="2"/>
        <v>51208.252454181027</v>
      </c>
      <c r="L38" s="222">
        <f t="shared" si="3"/>
        <v>74930.165538349116</v>
      </c>
      <c r="M38" s="144"/>
      <c r="N38" s="171" t="s">
        <v>68</v>
      </c>
      <c r="O38" s="177">
        <v>838804.7</v>
      </c>
      <c r="P38" s="178">
        <v>0.10322234669467099</v>
      </c>
      <c r="Q38" s="176">
        <f>IF(Calculation_RIS!L38=0,O38*P38,0)</f>
        <v>0</v>
      </c>
      <c r="R38" s="147"/>
      <c r="S38" s="221">
        <f>Calculation_RIS!L38+Q38</f>
        <v>74930.165538349116</v>
      </c>
    </row>
    <row r="39" spans="1:19" ht="15.75" customHeight="1">
      <c r="A39" s="179" t="s">
        <v>69</v>
      </c>
      <c r="B39" s="180">
        <f t="shared" ref="B39:I39" si="4">SUM(B13:B38)</f>
        <v>5885536.7665769178</v>
      </c>
      <c r="C39" s="180">
        <f t="shared" si="4"/>
        <v>143141.97345061004</v>
      </c>
      <c r="D39" s="181">
        <f t="shared" si="4"/>
        <v>143474.15374830127</v>
      </c>
      <c r="E39" s="180">
        <f t="shared" si="4"/>
        <v>493508.65882828465</v>
      </c>
      <c r="F39" s="180">
        <f t="shared" si="4"/>
        <v>1339087.3161304747</v>
      </c>
      <c r="G39" s="180">
        <f t="shared" si="4"/>
        <v>706100.44297335763</v>
      </c>
      <c r="H39" s="182">
        <f t="shared" si="4"/>
        <v>532964.12791351206</v>
      </c>
      <c r="I39" s="180">
        <f t="shared" si="4"/>
        <v>3358276.67304454</v>
      </c>
      <c r="J39" s="183">
        <v>1</v>
      </c>
      <c r="K39" s="180">
        <f t="shared" si="2"/>
        <v>3358276.67304454</v>
      </c>
      <c r="L39" s="184">
        <f t="shared" si="3"/>
        <v>9243813.4396214578</v>
      </c>
      <c r="M39" s="144"/>
      <c r="N39" s="179" t="s">
        <v>69</v>
      </c>
      <c r="O39" s="185">
        <f>SUM(O13:O38)</f>
        <v>141290437.80000001</v>
      </c>
      <c r="P39" s="186"/>
      <c r="Q39" s="184">
        <f>SUM(Q13:Q38)</f>
        <v>315000.9853816526</v>
      </c>
      <c r="R39" s="147"/>
      <c r="S39" s="187">
        <f>SUM(S13:S38)</f>
        <v>9558814.4250031095</v>
      </c>
    </row>
    <row r="40" spans="1:19">
      <c r="A40" s="225" t="s">
        <v>105</v>
      </c>
    </row>
  </sheetData>
  <mergeCells count="17">
    <mergeCell ref="D9:H9"/>
    <mergeCell ref="C9:C10"/>
    <mergeCell ref="B9:B10"/>
    <mergeCell ref="A4:L4"/>
    <mergeCell ref="A1:F1"/>
    <mergeCell ref="I9:I10"/>
    <mergeCell ref="Q8:Q10"/>
    <mergeCell ref="N4:Q4"/>
    <mergeCell ref="S8:S10"/>
    <mergeCell ref="U12:V12"/>
    <mergeCell ref="U11:V11"/>
    <mergeCell ref="U10:V10"/>
    <mergeCell ref="L9:L10"/>
    <mergeCell ref="K9:K10"/>
    <mergeCell ref="J9:J10"/>
    <mergeCell ref="P8:P10"/>
    <mergeCell ref="O8:O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&amp;C&amp;10&amp;P/&amp;N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Salaires_bruts</vt:lpstr>
      <vt:lpstr>Gamma</vt:lpstr>
      <vt:lpstr>Calculation_RIS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2011-12-23T17:07:19Z</cp:lastPrinted>
  <dcterms:created xsi:type="dcterms:W3CDTF">2006-06-26T16:01:42Z</dcterms:created>
  <dcterms:modified xsi:type="dcterms:W3CDTF">2012-05-18T13:23:54Z</dcterms:modified>
</cp:coreProperties>
</file>