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E11"/>
  <c r="C11"/>
  <c r="U10"/>
  <c r="V9"/>
  <c r="O8"/>
  <c r="D7"/>
  <c r="A4"/>
  <c r="L3"/>
  <c r="A2"/>
  <c r="A1"/>
  <c r="C7" i="3"/>
  <c r="C6"/>
  <c r="B6"/>
  <c r="C3"/>
  <c r="A2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1"/>
  <c r="A5" i="1"/>
  <c r="A4"/>
  <c r="C38" i="4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C25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H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F11"/>
  <c r="D11"/>
  <c r="C14"/>
  <c r="G14"/>
  <c r="C15"/>
  <c r="G15"/>
  <c r="C17"/>
  <c r="G17"/>
  <c r="C19"/>
  <c r="G19"/>
  <c r="C21"/>
  <c r="G21"/>
  <c r="C23"/>
  <c r="G23"/>
  <c r="E14"/>
  <c r="E15"/>
  <c r="E17"/>
  <c r="E19"/>
  <c r="E21"/>
  <c r="E23"/>
  <c r="H37" l="1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H39" s="1"/>
  <c r="C39"/>
  <c r="G39"/>
  <c r="F37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D37"/>
  <c r="D35"/>
  <c r="I35" s="1"/>
  <c r="K35" s="1"/>
  <c r="L35" s="1"/>
  <c r="D33"/>
  <c r="D31"/>
  <c r="I31" s="1"/>
  <c r="K31" s="1"/>
  <c r="L31" s="1"/>
  <c r="D29"/>
  <c r="D27"/>
  <c r="I27" s="1"/>
  <c r="K27" s="1"/>
  <c r="L27" s="1"/>
  <c r="D25"/>
  <c r="D23"/>
  <c r="D21"/>
  <c r="I21" s="1"/>
  <c r="K21" s="1"/>
  <c r="L21" s="1"/>
  <c r="D19"/>
  <c r="D17"/>
  <c r="I17" s="1"/>
  <c r="K17" s="1"/>
  <c r="L17" s="1"/>
  <c r="D15"/>
  <c r="D14"/>
  <c r="I14" s="1"/>
  <c r="K14" s="1"/>
  <c r="L14" s="1"/>
  <c r="D38"/>
  <c r="I38" s="1"/>
  <c r="K38" s="1"/>
  <c r="L38" s="1"/>
  <c r="D36"/>
  <c r="D34"/>
  <c r="I34" s="1"/>
  <c r="K34" s="1"/>
  <c r="L34" s="1"/>
  <c r="D32"/>
  <c r="D30"/>
  <c r="I30" s="1"/>
  <c r="K30" s="1"/>
  <c r="L30" s="1"/>
  <c r="D28"/>
  <c r="D26"/>
  <c r="I26" s="1"/>
  <c r="K26" s="1"/>
  <c r="L26" s="1"/>
  <c r="D24"/>
  <c r="D22"/>
  <c r="I22" s="1"/>
  <c r="K22" s="1"/>
  <c r="L22" s="1"/>
  <c r="D20"/>
  <c r="D18"/>
  <c r="I18" s="1"/>
  <c r="K18" s="1"/>
  <c r="L18" s="1"/>
  <c r="D16"/>
  <c r="D13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I23"/>
  <c r="K23" s="1"/>
  <c r="L23" s="1"/>
  <c r="I19"/>
  <c r="K19" s="1"/>
  <c r="L19" s="1"/>
  <c r="I15"/>
  <c r="K15" s="1"/>
  <c r="L15" s="1"/>
  <c r="E39"/>
  <c r="I25"/>
  <c r="K25" s="1"/>
  <c r="L25" s="1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Q18" l="1"/>
  <c r="S18" s="1"/>
  <c r="Q26"/>
  <c r="S26" s="1"/>
  <c r="Q34"/>
  <c r="S34" s="1"/>
  <c r="S14"/>
  <c r="Q14"/>
  <c r="S17"/>
  <c r="Q17"/>
  <c r="S21"/>
  <c r="Q21"/>
  <c r="Q22"/>
  <c r="S22" s="1"/>
  <c r="Q30"/>
  <c r="S30" s="1"/>
  <c r="Q38"/>
  <c r="S38" s="1"/>
  <c r="S27"/>
  <c r="Q27"/>
  <c r="S31"/>
  <c r="Q31"/>
  <c r="S35"/>
  <c r="Q35"/>
  <c r="Q32"/>
  <c r="S32" s="1"/>
  <c r="Q16"/>
  <c r="S16" s="1"/>
  <c r="Q36"/>
  <c r="S36" s="1"/>
  <c r="Q28"/>
  <c r="S28" s="1"/>
  <c r="Q20"/>
  <c r="S20" s="1"/>
  <c r="S37"/>
  <c r="Q37"/>
  <c r="S29"/>
  <c r="Q29"/>
  <c r="S19"/>
  <c r="Q19"/>
  <c r="B39"/>
  <c r="D39"/>
  <c r="F39"/>
  <c r="I13"/>
  <c r="Q24"/>
  <c r="S24" s="1"/>
  <c r="S33"/>
  <c r="Q33"/>
  <c r="S25"/>
  <c r="Q25"/>
  <c r="S15"/>
  <c r="Q15"/>
  <c r="S23"/>
  <c r="Q23"/>
  <c r="K13" l="1"/>
  <c r="L13" s="1"/>
  <c r="I39"/>
  <c r="K39" s="1"/>
  <c r="L39" s="1"/>
  <c r="Q13" l="1"/>
  <c r="Q39" s="1"/>
  <c r="S13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<sst xmlns="http://schemas.openxmlformats.org/spreadsheetml/2006/main" count="215" uniqueCount="107">
  <si>
    <t>Revenu déterminant pour</t>
  </si>
  <si>
    <t>l'imposition à la source (RIS)</t>
  </si>
  <si>
    <t>Informations</t>
  </si>
  <si>
    <t>Environnement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</si>
  <si>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</si>
  <si>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</si>
  <si>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</si>
  <si>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</si>
  <si>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</si>
  <si>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</si>
  <si>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</si>
  <si>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</si>
  <si>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</si>
  <si>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</si>
  <si>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</si>
  <si>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</si>
  <si>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</si>
  <si>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</si>
  <si>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</si>
  <si>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</si>
  <si>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</si>
  <si>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</si>
  <si>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</si>
  <si>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</si>
  <si>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</si>
  <si>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</si>
  <si>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</si>
  <si>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</si>
  <si>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</si>
  <si>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</si>
  <si>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</si>
  <si>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</si>
  <si>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</si>
  <si>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</si>
  <si>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</si>
  <si>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</si>
  <si>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</si>
  <si>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</si>
  <si>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</si>
  <si>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</si>
  <si>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</si>
  <si>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</si>
  <si>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</si>
  <si>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</si>
  <si>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</si>
  <si>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</si>
  <si>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</si>
  <si>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</si>
  <si>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</si>
  <si>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</si>
  <si>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</si>
  <si>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</si>
  <si>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</si>
  <si>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</si>
  <si>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</si>
  <si>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</si>
  <si>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</si>
  <si>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</si>
  <si>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</si>
  <si>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</si>
  <si>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</si>
  <si>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</si>
  <si>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</si>
  <si>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</si>
  <si>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</si>
  <si>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</si>
  <si>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</si>
  <si>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</si>
  <si>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</si>
  <si>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</si>
  <si>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</si>
  <si>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</si>
  <si>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</si>
  <si>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</si>
  <si>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</si>
  <si>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</si>
  <si>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</si>
  <si>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</si>
  <si>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</si>
  <si>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</si>
  <si>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</si>
  <si>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</si>
  <si>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</si>
  <si>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</si>
  <si>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</si>
  <si>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</si>
  <si>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</si>
  <si>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</si>
  <si>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</si>
  <si>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</si>
  <si>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</si>
  <si>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</si>
  <si>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</si>
  <si>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</si>
  <si>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</si>
  <si>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</si>
  <si>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</si>
  <si>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</si>
  <si>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</si>
  <si>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</si>
  <si>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</si>
  <si>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</si>
  <si>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</si>
  <si>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</si>
  <si>
    <t>Jura*</t>
  </si>
  <si>
    <t xml:space="preserve">* Correction </t>
  </si>
  <si>
    <t>* Correction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</si>
</sst>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9CDE4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5" fillId="0" borderId="4" xfId="0" applyNumberFormat="1" applyFont="1" applyFill="1" applyBorder="1" applyAlignment="1" applyProtection="1">
      <alignment horizontal="left" vertical="top"/>
      <protection locked="0"/>
    </xf>
    <xf numFmtId="1" fontId="25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5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vertical="center"/>
    </xf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166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26" fillId="2" borderId="20" xfId="0" applyFont="1" applyFill="1" applyBorder="1"/>
    <xf numFmtId="0" fontId="13" fillId="0" borderId="0" xfId="0" applyFont="1" applyFill="1"/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89" t="s">
        <v>0</v>
      </c>
      <c r="B1" s="189"/>
      <c r="C1" s="189"/>
      <c r="D1" s="189"/>
      <c r="E1" s="2"/>
    </row>
    <row r="2" spans="1:5" ht="27.75" customHeight="1">
      <c r="A2" s="189" t="s">
        <v>1</v>
      </c>
      <c r="B2" s="189"/>
      <c r="C2" s="189"/>
      <c r="D2" s="189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88" t="str">
        <f>"Année de calcul "&amp;C31</f>
        <v>Année de calcul 2005</v>
      </c>
      <c r="B4" s="188"/>
      <c r="C4" s="188"/>
      <c r="D4" s="188"/>
      <c r="E4" s="4"/>
    </row>
    <row r="5" spans="1:5" ht="18" customHeight="1">
      <c r="A5" s="188" t="str">
        <f>"Année de référence "&amp;C30</f>
        <v>Année de référence 2010</v>
      </c>
      <c r="B5" s="188"/>
      <c r="C5" s="188"/>
      <c r="D5" s="188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2010</v>
      </c>
    </row>
    <row r="31" spans="2:3">
      <c r="B31" s="10" t="s">
        <v>12</v>
      </c>
      <c r="C31" s="11">
        <v>2005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195" t="str">
        <f>"Salaires bruts "&amp;Info!C31</f>
        <v>Salaires bruts 2005</v>
      </c>
      <c r="B1" s="195"/>
      <c r="C1" s="195"/>
      <c r="I1" s="13"/>
    </row>
    <row r="2" spans="1:9" ht="31.5" customHeight="1">
      <c r="A2" s="14" t="str">
        <f>"Année de référence "&amp;Info!C30</f>
        <v>Année de référence 2010</v>
      </c>
      <c r="B2" s="15"/>
      <c r="C2" s="15"/>
      <c r="D2" s="16"/>
      <c r="I2" s="17" t="str">
        <f>Info!C28</f>
        <v>FA_2010_20120518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196"/>
      <c r="B6" s="190" t="s">
        <v>30</v>
      </c>
      <c r="C6" s="190" t="s">
        <v>31</v>
      </c>
      <c r="D6" s="192" t="s">
        <v>32</v>
      </c>
      <c r="E6" s="193"/>
      <c r="F6" s="193"/>
      <c r="G6" s="193"/>
      <c r="H6" s="194"/>
      <c r="I6" s="198" t="s">
        <v>33</v>
      </c>
    </row>
    <row r="7" spans="1:9" ht="42.75" customHeight="1">
      <c r="A7" s="197"/>
      <c r="B7" s="191"/>
      <c r="C7" s="191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9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2955281856</v>
      </c>
      <c r="C10" s="50">
        <v>19155368</v>
      </c>
      <c r="D10" s="51">
        <v>0</v>
      </c>
      <c r="E10" s="50">
        <v>318334436</v>
      </c>
      <c r="F10" s="50">
        <v>0</v>
      </c>
      <c r="G10" s="50">
        <v>0</v>
      </c>
      <c r="H10" s="52">
        <v>0</v>
      </c>
      <c r="I10" s="53">
        <f t="shared" ref="I10:I36" si="0">SUM(B10:H10)</f>
        <v>3292771660</v>
      </c>
    </row>
    <row r="11" spans="1:9">
      <c r="A11" s="54" t="s">
        <v>44</v>
      </c>
      <c r="B11" s="55">
        <v>1049903721</v>
      </c>
      <c r="C11" s="55">
        <v>0</v>
      </c>
      <c r="D11" s="56">
        <v>0</v>
      </c>
      <c r="E11" s="55">
        <v>2781459</v>
      </c>
      <c r="F11" s="55">
        <v>0</v>
      </c>
      <c r="G11" s="55">
        <v>61180067</v>
      </c>
      <c r="H11" s="57">
        <v>0</v>
      </c>
      <c r="I11" s="58">
        <f t="shared" si="0"/>
        <v>1113865247</v>
      </c>
    </row>
    <row r="12" spans="1:9">
      <c r="A12" s="59" t="s">
        <v>45</v>
      </c>
      <c r="B12" s="60">
        <v>446801483</v>
      </c>
      <c r="C12" s="60">
        <v>0</v>
      </c>
      <c r="D12" s="61">
        <v>0</v>
      </c>
      <c r="E12" s="60">
        <v>3412547</v>
      </c>
      <c r="F12" s="60">
        <v>0</v>
      </c>
      <c r="G12" s="60">
        <v>0</v>
      </c>
      <c r="H12" s="62">
        <v>0</v>
      </c>
      <c r="I12" s="63">
        <f t="shared" si="0"/>
        <v>450214030</v>
      </c>
    </row>
    <row r="13" spans="1:9">
      <c r="A13" s="54" t="s">
        <v>46</v>
      </c>
      <c r="B13" s="55">
        <v>53903827</v>
      </c>
      <c r="C13" s="55">
        <v>0</v>
      </c>
      <c r="D13" s="56">
        <v>0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53903827</v>
      </c>
    </row>
    <row r="14" spans="1:9">
      <c r="A14" s="59" t="s">
        <v>47</v>
      </c>
      <c r="B14" s="60">
        <v>146366602</v>
      </c>
      <c r="C14" s="60">
        <v>20453047</v>
      </c>
      <c r="D14" s="61">
        <v>0</v>
      </c>
      <c r="E14" s="60">
        <v>545752</v>
      </c>
      <c r="F14" s="60">
        <v>0</v>
      </c>
      <c r="G14" s="60">
        <v>0</v>
      </c>
      <c r="H14" s="62">
        <v>0</v>
      </c>
      <c r="I14" s="63">
        <f t="shared" si="0"/>
        <v>167365401</v>
      </c>
    </row>
    <row r="15" spans="1:9">
      <c r="A15" s="54" t="s">
        <v>48</v>
      </c>
      <c r="B15" s="55">
        <v>59443136</v>
      </c>
      <c r="C15" s="55">
        <v>0</v>
      </c>
      <c r="D15" s="56">
        <v>0</v>
      </c>
      <c r="E15" s="55">
        <v>0</v>
      </c>
      <c r="F15" s="55">
        <v>0</v>
      </c>
      <c r="G15" s="55">
        <v>0</v>
      </c>
      <c r="H15" s="57">
        <v>0</v>
      </c>
      <c r="I15" s="58">
        <f t="shared" si="0"/>
        <v>59443136</v>
      </c>
    </row>
    <row r="16" spans="1:9">
      <c r="A16" s="59" t="s">
        <v>49</v>
      </c>
      <c r="B16" s="60">
        <v>50646135.549999997</v>
      </c>
      <c r="C16" s="60">
        <v>0</v>
      </c>
      <c r="D16" s="61">
        <v>0</v>
      </c>
      <c r="E16" s="60">
        <v>95412</v>
      </c>
      <c r="F16" s="60">
        <v>0</v>
      </c>
      <c r="G16" s="60">
        <v>0</v>
      </c>
      <c r="H16" s="62">
        <v>0</v>
      </c>
      <c r="I16" s="63">
        <f t="shared" si="0"/>
        <v>50741547.549999997</v>
      </c>
    </row>
    <row r="17" spans="1:9">
      <c r="A17" s="54" t="s">
        <v>50</v>
      </c>
      <c r="B17" s="55">
        <v>48954215.700000003</v>
      </c>
      <c r="C17" s="55">
        <v>0</v>
      </c>
      <c r="D17" s="56">
        <v>0</v>
      </c>
      <c r="E17" s="55">
        <v>0</v>
      </c>
      <c r="F17" s="55">
        <v>0</v>
      </c>
      <c r="G17" s="55">
        <v>0</v>
      </c>
      <c r="H17" s="57">
        <v>0</v>
      </c>
      <c r="I17" s="58">
        <f t="shared" si="0"/>
        <v>48954215.700000003</v>
      </c>
    </row>
    <row r="18" spans="1:9">
      <c r="A18" s="59" t="s">
        <v>51</v>
      </c>
      <c r="B18" s="60">
        <v>228238262</v>
      </c>
      <c r="C18" s="60">
        <v>0</v>
      </c>
      <c r="D18" s="61">
        <v>0</v>
      </c>
      <c r="E18" s="60">
        <v>2107122</v>
      </c>
      <c r="F18" s="60">
        <v>0</v>
      </c>
      <c r="G18" s="60">
        <v>0</v>
      </c>
      <c r="H18" s="62">
        <v>0</v>
      </c>
      <c r="I18" s="63">
        <f t="shared" si="0"/>
        <v>230345384</v>
      </c>
    </row>
    <row r="19" spans="1:9">
      <c r="A19" s="54" t="s">
        <v>52</v>
      </c>
      <c r="B19" s="55">
        <v>374493791</v>
      </c>
      <c r="C19" s="55">
        <v>0</v>
      </c>
      <c r="D19" s="56">
        <v>0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374493791</v>
      </c>
    </row>
    <row r="20" spans="1:9">
      <c r="A20" s="59" t="s">
        <v>53</v>
      </c>
      <c r="B20" s="60">
        <v>215680718</v>
      </c>
      <c r="C20" s="60">
        <v>2638733</v>
      </c>
      <c r="D20" s="61">
        <v>0</v>
      </c>
      <c r="E20" s="60">
        <v>19497402</v>
      </c>
      <c r="F20" s="60">
        <v>0</v>
      </c>
      <c r="G20" s="60">
        <v>69759000</v>
      </c>
      <c r="H20" s="62">
        <v>0</v>
      </c>
      <c r="I20" s="63">
        <f t="shared" si="0"/>
        <v>307575853</v>
      </c>
    </row>
    <row r="21" spans="1:9">
      <c r="A21" s="54" t="s">
        <v>54</v>
      </c>
      <c r="B21" s="55">
        <v>519519491.80000001</v>
      </c>
      <c r="C21" s="55">
        <v>117596435</v>
      </c>
      <c r="D21" s="56">
        <v>0</v>
      </c>
      <c r="E21" s="55">
        <v>1027991040.1</v>
      </c>
      <c r="F21" s="55">
        <v>0</v>
      </c>
      <c r="G21" s="55">
        <v>1387257651</v>
      </c>
      <c r="H21" s="57">
        <v>0</v>
      </c>
      <c r="I21" s="58">
        <f t="shared" si="0"/>
        <v>3052364617.9000001</v>
      </c>
    </row>
    <row r="22" spans="1:9">
      <c r="A22" s="59" t="s">
        <v>55</v>
      </c>
      <c r="B22" s="60">
        <v>280696553</v>
      </c>
      <c r="C22" s="60">
        <v>39164968</v>
      </c>
      <c r="D22" s="61">
        <v>0</v>
      </c>
      <c r="E22" s="60">
        <v>389630878</v>
      </c>
      <c r="F22" s="60">
        <v>0</v>
      </c>
      <c r="G22" s="60">
        <v>818262126</v>
      </c>
      <c r="H22" s="62">
        <v>0</v>
      </c>
      <c r="I22" s="63">
        <f t="shared" si="0"/>
        <v>1527754525</v>
      </c>
    </row>
    <row r="23" spans="1:9">
      <c r="A23" s="54" t="s">
        <v>56</v>
      </c>
      <c r="B23" s="55">
        <v>156346866.69999999</v>
      </c>
      <c r="C23" s="55">
        <v>0</v>
      </c>
      <c r="D23" s="56">
        <v>66396.5</v>
      </c>
      <c r="E23" s="55">
        <v>264121677.59999999</v>
      </c>
      <c r="F23" s="55">
        <v>0</v>
      </c>
      <c r="G23" s="55">
        <v>0</v>
      </c>
      <c r="H23" s="57">
        <v>0</v>
      </c>
      <c r="I23" s="58">
        <f t="shared" si="0"/>
        <v>420534940.79999995</v>
      </c>
    </row>
    <row r="24" spans="1:9">
      <c r="A24" s="59" t="s">
        <v>57</v>
      </c>
      <c r="B24" s="60">
        <v>57510249.100000001</v>
      </c>
      <c r="C24" s="60">
        <v>1013464.8</v>
      </c>
      <c r="D24" s="61">
        <v>9946830.6500000004</v>
      </c>
      <c r="E24" s="60">
        <v>1437774.15</v>
      </c>
      <c r="F24" s="60">
        <v>0</v>
      </c>
      <c r="G24" s="60">
        <v>0</v>
      </c>
      <c r="H24" s="62">
        <v>0</v>
      </c>
      <c r="I24" s="63">
        <f t="shared" si="0"/>
        <v>69908318.700000003</v>
      </c>
    </row>
    <row r="25" spans="1:9">
      <c r="A25" s="54" t="s">
        <v>58</v>
      </c>
      <c r="B25" s="55">
        <v>14545802.65</v>
      </c>
      <c r="C25" s="55">
        <v>0</v>
      </c>
      <c r="D25" s="56">
        <v>1045991.4</v>
      </c>
      <c r="E25" s="55">
        <v>568720.94999999995</v>
      </c>
      <c r="F25" s="55">
        <v>0</v>
      </c>
      <c r="G25" s="55">
        <v>0</v>
      </c>
      <c r="H25" s="57">
        <v>0</v>
      </c>
      <c r="I25" s="58">
        <f t="shared" si="0"/>
        <v>16160515</v>
      </c>
    </row>
    <row r="26" spans="1:9">
      <c r="A26" s="59" t="s">
        <v>59</v>
      </c>
      <c r="B26" s="60">
        <v>552900348.70000005</v>
      </c>
      <c r="C26" s="60">
        <v>34621654.549999997</v>
      </c>
      <c r="D26" s="61">
        <v>374495415</v>
      </c>
      <c r="E26" s="60">
        <v>42003228</v>
      </c>
      <c r="F26" s="60">
        <v>0</v>
      </c>
      <c r="G26" s="60">
        <v>0</v>
      </c>
      <c r="H26" s="62">
        <v>0</v>
      </c>
      <c r="I26" s="63">
        <f t="shared" si="0"/>
        <v>1004020646.25</v>
      </c>
    </row>
    <row r="27" spans="1:9">
      <c r="A27" s="54" t="s">
        <v>60</v>
      </c>
      <c r="B27" s="55">
        <v>0</v>
      </c>
      <c r="C27" s="55">
        <v>0</v>
      </c>
      <c r="D27" s="56">
        <v>0</v>
      </c>
      <c r="E27" s="55">
        <v>0</v>
      </c>
      <c r="F27" s="55">
        <v>0</v>
      </c>
      <c r="G27" s="55">
        <v>0</v>
      </c>
      <c r="H27" s="57">
        <v>0</v>
      </c>
      <c r="I27" s="58">
        <f t="shared" si="0"/>
        <v>0</v>
      </c>
    </row>
    <row r="28" spans="1:9">
      <c r="A28" s="59" t="s">
        <v>61</v>
      </c>
      <c r="B28" s="60">
        <v>796227794</v>
      </c>
      <c r="C28" s="60">
        <v>0</v>
      </c>
      <c r="D28" s="61">
        <v>0</v>
      </c>
      <c r="E28" s="60">
        <v>541027332</v>
      </c>
      <c r="F28" s="60">
        <v>0</v>
      </c>
      <c r="G28" s="60">
        <v>0</v>
      </c>
      <c r="H28" s="62">
        <v>0</v>
      </c>
      <c r="I28" s="63">
        <f t="shared" si="0"/>
        <v>1337255126</v>
      </c>
    </row>
    <row r="29" spans="1:9">
      <c r="A29" s="54" t="s">
        <v>62</v>
      </c>
      <c r="B29" s="55">
        <v>287372247.23000002</v>
      </c>
      <c r="C29" s="55">
        <v>6731376.25</v>
      </c>
      <c r="D29" s="56">
        <v>15167795.710000001</v>
      </c>
      <c r="E29" s="55">
        <v>176509750.06</v>
      </c>
      <c r="F29" s="55">
        <v>0</v>
      </c>
      <c r="G29" s="55">
        <v>0</v>
      </c>
      <c r="H29" s="57">
        <v>0</v>
      </c>
      <c r="I29" s="58">
        <f t="shared" si="0"/>
        <v>485781169.25</v>
      </c>
    </row>
    <row r="30" spans="1:9">
      <c r="A30" s="59" t="s">
        <v>63</v>
      </c>
      <c r="B30" s="60">
        <v>766599205</v>
      </c>
      <c r="C30" s="60">
        <v>57377689</v>
      </c>
      <c r="D30" s="61">
        <v>0</v>
      </c>
      <c r="E30" s="60">
        <v>0</v>
      </c>
      <c r="F30" s="60">
        <v>0</v>
      </c>
      <c r="G30" s="60">
        <v>0</v>
      </c>
      <c r="H30" s="62">
        <v>1855211969</v>
      </c>
      <c r="I30" s="63">
        <f t="shared" si="0"/>
        <v>2679188863</v>
      </c>
    </row>
    <row r="31" spans="1:9">
      <c r="A31" s="54" t="s">
        <v>64</v>
      </c>
      <c r="B31" s="55">
        <v>1351311138.5</v>
      </c>
      <c r="C31" s="55">
        <v>0</v>
      </c>
      <c r="D31" s="56">
        <v>0</v>
      </c>
      <c r="E31" s="55">
        <v>0</v>
      </c>
      <c r="F31" s="55">
        <v>0</v>
      </c>
      <c r="G31" s="55">
        <v>965848049.64999998</v>
      </c>
      <c r="H31" s="57">
        <v>0</v>
      </c>
      <c r="I31" s="58">
        <f t="shared" si="0"/>
        <v>2317159188.1500001</v>
      </c>
    </row>
    <row r="32" spans="1:9">
      <c r="A32" s="59" t="s">
        <v>65</v>
      </c>
      <c r="B32" s="60">
        <v>644160929</v>
      </c>
      <c r="C32" s="60">
        <v>1021254</v>
      </c>
      <c r="D32" s="61">
        <v>0</v>
      </c>
      <c r="E32" s="60">
        <v>0</v>
      </c>
      <c r="F32" s="60">
        <v>0</v>
      </c>
      <c r="G32" s="60">
        <v>46178594</v>
      </c>
      <c r="H32" s="62">
        <v>41669250</v>
      </c>
      <c r="I32" s="63">
        <f t="shared" si="0"/>
        <v>733030027</v>
      </c>
    </row>
    <row r="33" spans="1:9">
      <c r="A33" s="54" t="s">
        <v>66</v>
      </c>
      <c r="B33" s="55">
        <v>297215008</v>
      </c>
      <c r="C33" s="55">
        <v>3870966</v>
      </c>
      <c r="D33" s="56">
        <v>0</v>
      </c>
      <c r="E33" s="55">
        <v>0</v>
      </c>
      <c r="F33" s="55">
        <v>0</v>
      </c>
      <c r="G33" s="55">
        <v>443798564</v>
      </c>
      <c r="H33" s="57">
        <v>0</v>
      </c>
      <c r="I33" s="58">
        <f t="shared" si="0"/>
        <v>744884538</v>
      </c>
    </row>
    <row r="34" spans="1:9">
      <c r="A34" s="59" t="s">
        <v>67</v>
      </c>
      <c r="B34" s="60">
        <v>1347063170.6500001</v>
      </c>
      <c r="C34" s="60">
        <v>0</v>
      </c>
      <c r="D34" s="61">
        <v>0</v>
      </c>
      <c r="E34" s="60">
        <v>0</v>
      </c>
      <c r="F34" s="60">
        <v>4563561572.6499996</v>
      </c>
      <c r="G34" s="60">
        <v>0</v>
      </c>
      <c r="H34" s="62">
        <v>0</v>
      </c>
      <c r="I34" s="63">
        <f t="shared" si="0"/>
        <v>5910624743.2999992</v>
      </c>
    </row>
    <row r="35" spans="1:9">
      <c r="A35" s="64" t="s">
        <v>104</v>
      </c>
      <c r="B35" s="219">
        <v>51385284.798731498</v>
      </c>
      <c r="C35" s="65">
        <v>3059319.15</v>
      </c>
      <c r="D35" s="66">
        <v>0</v>
      </c>
      <c r="E35" s="65">
        <v>740937.8</v>
      </c>
      <c r="F35" s="65">
        <v>0</v>
      </c>
      <c r="G35" s="65">
        <v>273195178</v>
      </c>
      <c r="H35" s="67">
        <v>0</v>
      </c>
      <c r="I35" s="220">
        <f t="shared" si="0"/>
        <v>328380719.74873149</v>
      </c>
    </row>
    <row r="36" spans="1:9">
      <c r="A36" s="5" t="s">
        <v>69</v>
      </c>
      <c r="B36" s="68">
        <f t="shared" ref="B36:H36" si="1">SUM(B10:B35)</f>
        <v>12752567836.378731</v>
      </c>
      <c r="C36" s="68">
        <f t="shared" si="1"/>
        <v>306704274.75</v>
      </c>
      <c r="D36" s="69">
        <f t="shared" si="1"/>
        <v>400722429.25999999</v>
      </c>
      <c r="E36" s="68">
        <f t="shared" si="1"/>
        <v>2790805468.6600003</v>
      </c>
      <c r="F36" s="68">
        <f t="shared" si="1"/>
        <v>4563561572.6499996</v>
      </c>
      <c r="G36" s="68">
        <f t="shared" si="1"/>
        <v>4065479229.6500001</v>
      </c>
      <c r="H36" s="70">
        <f t="shared" si="1"/>
        <v>1896881219</v>
      </c>
      <c r="I36" s="71">
        <f t="shared" si="0"/>
        <v>26776722030.348732</v>
      </c>
    </row>
    <row r="37" spans="1:9">
      <c r="A37" s="218" t="s">
        <v>105</v>
      </c>
      <c r="B37" s="72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2005</v>
      </c>
      <c r="B1" s="4"/>
    </row>
    <row r="2" spans="1:4" ht="15.75" customHeight="1">
      <c r="A2" s="73" t="str">
        <f>Salaires_bruts!A2</f>
        <v>Année de référence 2010</v>
      </c>
      <c r="B2" s="73"/>
    </row>
    <row r="3" spans="1:4" ht="33" customHeight="1">
      <c r="C3" s="74" t="str">
        <f>Info!$C$28</f>
        <v>FA_2010_20120518</v>
      </c>
    </row>
    <row r="4" spans="1:4" ht="15.75" customHeight="1">
      <c r="B4" s="75" t="s">
        <v>70</v>
      </c>
      <c r="C4" s="76" t="s">
        <v>71</v>
      </c>
      <c r="D4" s="77"/>
    </row>
    <row r="5" spans="1:4">
      <c r="A5" s="72" t="s">
        <v>72</v>
      </c>
      <c r="B5" s="78" t="s">
        <v>73</v>
      </c>
      <c r="C5" s="79">
        <v>346246636</v>
      </c>
      <c r="D5" s="80"/>
    </row>
    <row r="6" spans="1:4">
      <c r="A6" s="81" t="s">
        <v>74</v>
      </c>
      <c r="B6" s="82" t="str">
        <f>"AFA_"&amp;Info!C30&amp;"_"&amp;Info!C31&amp;".xlsx"</f>
        <v>AFA_2010_2005.xlsx</v>
      </c>
      <c r="C6" s="83">
        <f>Calculation_RIS!O39</f>
        <v>142078662.50000003</v>
      </c>
      <c r="D6" s="80"/>
    </row>
    <row r="7" spans="1:4" ht="24.75" customHeight="1">
      <c r="A7" s="84" t="s">
        <v>75</v>
      </c>
      <c r="B7" s="84"/>
      <c r="C7" s="85">
        <f>ROUND(C6/C5,3)</f>
        <v>0.41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6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95" t="str">
        <f>"Revenu déterminant pour l'imposition à la source (RIS) "&amp;Info!C31</f>
        <v>Revenu déterminant pour l'imposition à la source (RIS) 2005</v>
      </c>
      <c r="B1" s="195"/>
      <c r="C1" s="195"/>
      <c r="D1" s="195"/>
      <c r="E1" s="195"/>
      <c r="F1" s="195"/>
      <c r="H1" s="13"/>
      <c r="R1" s="12"/>
    </row>
    <row r="2" spans="1:22" ht="18.75" customHeight="1">
      <c r="A2" s="87" t="str">
        <f>Info!A5</f>
        <v>Année de référence 2010</v>
      </c>
      <c r="B2" s="88"/>
      <c r="H2" s="86"/>
      <c r="R2" s="12"/>
    </row>
    <row r="3" spans="1:22" ht="18.75" customHeight="1">
      <c r="A3" s="89"/>
      <c r="B3" s="88"/>
      <c r="H3" s="86"/>
      <c r="L3" s="90" t="str">
        <f>Info!C28</f>
        <v>FA_2010_20120518</v>
      </c>
      <c r="R3" s="12"/>
    </row>
    <row r="4" spans="1:22" ht="37.5" customHeight="1">
      <c r="A4" s="215" t="str">
        <f>"Calculation sur la base des salaires bruts "&amp;Info!C31</f>
        <v>Calculation sur la base des salaires bruts 2005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  <c r="N4" s="204" t="s">
        <v>76</v>
      </c>
      <c r="O4" s="205"/>
      <c r="P4" s="205"/>
      <c r="Q4" s="206"/>
      <c r="S4" s="91"/>
    </row>
    <row r="5" spans="1:22" ht="16.5" customHeight="1">
      <c r="A5" s="92"/>
      <c r="B5" s="93"/>
      <c r="C5" s="93"/>
      <c r="D5" s="93"/>
      <c r="E5" s="93"/>
      <c r="F5" s="93"/>
      <c r="G5" s="93"/>
      <c r="H5" s="93"/>
      <c r="I5" s="92"/>
      <c r="J5" s="93"/>
      <c r="K5" s="93"/>
      <c r="N5" s="94"/>
    </row>
    <row r="6" spans="1:22" s="1" customFormat="1" ht="16.5" customHeight="1">
      <c r="A6" s="95" t="s">
        <v>13</v>
      </c>
      <c r="B6" s="96" t="s">
        <v>14</v>
      </c>
      <c r="C6" s="96" t="s">
        <v>15</v>
      </c>
      <c r="D6" s="96" t="s">
        <v>16</v>
      </c>
      <c r="E6" s="96" t="s">
        <v>17</v>
      </c>
      <c r="F6" s="96" t="s">
        <v>18</v>
      </c>
      <c r="G6" s="96" t="s">
        <v>19</v>
      </c>
      <c r="H6" s="96" t="s">
        <v>20</v>
      </c>
      <c r="I6" s="96" t="s">
        <v>77</v>
      </c>
      <c r="J6" s="96" t="s">
        <v>78</v>
      </c>
      <c r="K6" s="96" t="s">
        <v>79</v>
      </c>
      <c r="L6" s="97" t="s">
        <v>80</v>
      </c>
      <c r="M6" s="98"/>
      <c r="N6" s="99"/>
      <c r="O6" s="100" t="s">
        <v>81</v>
      </c>
      <c r="P6" s="100" t="s">
        <v>82</v>
      </c>
      <c r="Q6" s="101" t="s">
        <v>83</v>
      </c>
      <c r="R6" s="102"/>
      <c r="S6" s="103" t="s">
        <v>84</v>
      </c>
    </row>
    <row r="7" spans="1:22" s="37" customFormat="1" ht="16.5" customHeight="1">
      <c r="A7" s="104" t="s">
        <v>22</v>
      </c>
      <c r="B7" s="105" t="s">
        <v>85</v>
      </c>
      <c r="C7" s="105" t="s">
        <v>85</v>
      </c>
      <c r="D7" s="106" t="str">
        <f>IF(Info!C31&lt;2006,"0.03 / TFS","(1 - 0.125) * gamma")</f>
        <v>0.03 / TFS</v>
      </c>
      <c r="E7" s="107" t="s">
        <v>86</v>
      </c>
      <c r="F7" s="107" t="s">
        <v>87</v>
      </c>
      <c r="G7" s="107" t="s">
        <v>86</v>
      </c>
      <c r="H7" s="108" t="s">
        <v>88</v>
      </c>
      <c r="I7" s="107" t="s">
        <v>89</v>
      </c>
      <c r="J7" s="107"/>
      <c r="K7" s="107" t="s">
        <v>90</v>
      </c>
      <c r="L7" s="109" t="s">
        <v>91</v>
      </c>
      <c r="M7" s="110"/>
      <c r="N7" s="111" t="s">
        <v>22</v>
      </c>
      <c r="O7" s="112"/>
      <c r="P7" s="112"/>
      <c r="Q7" s="113" t="s">
        <v>92</v>
      </c>
      <c r="R7" s="114"/>
      <c r="S7" s="115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6"/>
      <c r="L8" s="31"/>
      <c r="M8" s="117"/>
      <c r="N8" s="32"/>
      <c r="O8" s="190" t="str">
        <f>"Revenu déterminant "&amp;Info!C31</f>
        <v>Revenu déterminant 2005</v>
      </c>
      <c r="P8" s="190" t="s">
        <v>94</v>
      </c>
      <c r="Q8" s="198" t="s">
        <v>95</v>
      </c>
      <c r="R8" s="118"/>
      <c r="S8" s="207" t="s">
        <v>96</v>
      </c>
    </row>
    <row r="9" spans="1:22" s="119" customFormat="1" ht="22.5" customHeight="1">
      <c r="A9" s="32"/>
      <c r="B9" s="190" t="s">
        <v>30</v>
      </c>
      <c r="C9" s="190" t="s">
        <v>31</v>
      </c>
      <c r="D9" s="192" t="s">
        <v>32</v>
      </c>
      <c r="E9" s="193"/>
      <c r="F9" s="193"/>
      <c r="G9" s="193"/>
      <c r="H9" s="194"/>
      <c r="I9" s="190" t="s">
        <v>97</v>
      </c>
      <c r="J9" s="190" t="s">
        <v>98</v>
      </c>
      <c r="K9" s="190" t="s">
        <v>99</v>
      </c>
      <c r="L9" s="198" t="s">
        <v>100</v>
      </c>
      <c r="M9" s="117"/>
      <c r="N9" s="120"/>
      <c r="O9" s="201"/>
      <c r="P9" s="201"/>
      <c r="Q9" s="200"/>
      <c r="R9" s="118"/>
      <c r="S9" s="208"/>
      <c r="V9" s="121" t="str">
        <f>Info!C28</f>
        <v>FA_2010_20120518</v>
      </c>
    </row>
    <row r="10" spans="1:22" s="119" customFormat="1" ht="56.25" customHeight="1">
      <c r="A10" s="33"/>
      <c r="B10" s="201"/>
      <c r="C10" s="201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1"/>
      <c r="J10" s="201"/>
      <c r="K10" s="201"/>
      <c r="L10" s="200"/>
      <c r="M10" s="117"/>
      <c r="N10" s="122"/>
      <c r="O10" s="202"/>
      <c r="P10" s="202"/>
      <c r="Q10" s="203"/>
      <c r="R10" s="118"/>
      <c r="S10" s="208"/>
      <c r="U10" s="213" t="str">
        <f>" Taux fiscal standardisé (TFS) "&amp;Info!C30-1</f>
        <v xml:space="preserve"> Taux fiscal standardisé (TFS) 2009</v>
      </c>
      <c r="V10" s="214"/>
    </row>
    <row r="11" spans="1:22" s="123" customFormat="1" ht="15" customHeight="1">
      <c r="A11" s="124" t="s">
        <v>101</v>
      </c>
      <c r="B11" s="125">
        <f>gamma</f>
        <v>0.41</v>
      </c>
      <c r="C11" s="125">
        <f>gamma</f>
        <v>0.41</v>
      </c>
      <c r="D11" s="126">
        <f>IF(Info!C31&lt;2006,0.03/sst,0.875*gamma)</f>
        <v>0.1094890510948905</v>
      </c>
      <c r="E11" s="125">
        <f>0.045/sst</f>
        <v>0.16423357664233576</v>
      </c>
      <c r="F11" s="125">
        <f>gamma-0.035/sst</f>
        <v>0.2822627737226277</v>
      </c>
      <c r="G11" s="125">
        <f>0.045/sst</f>
        <v>0.16423357664233576</v>
      </c>
      <c r="H11" s="127">
        <f>0.6*gamma</f>
        <v>0.24599999999999997</v>
      </c>
      <c r="I11" s="125"/>
      <c r="J11" s="125"/>
      <c r="K11" s="125"/>
      <c r="L11" s="128"/>
      <c r="M11" s="129"/>
      <c r="N11" s="130" t="s">
        <v>39</v>
      </c>
      <c r="O11" s="131" t="str">
        <f>" AFA_"&amp;Info!C30&amp;"_"&amp;Info!C31&amp;".xlsx"</f>
        <v xml:space="preserve"> AFA_2010_2005.xlsx</v>
      </c>
      <c r="R11" s="132"/>
      <c r="S11" s="133"/>
      <c r="U11" s="211" t="str">
        <f>"Source: PR_"&amp;Info!C30-1&amp;".xlsx"</f>
        <v>Source: PR_2009.xlsx</v>
      </c>
      <c r="V11" s="212"/>
    </row>
    <row r="12" spans="1:22" s="123" customFormat="1" ht="12.75">
      <c r="A12" s="124" t="s">
        <v>41</v>
      </c>
      <c r="B12" s="125" t="s">
        <v>71</v>
      </c>
      <c r="C12" s="125" t="s">
        <v>71</v>
      </c>
      <c r="D12" s="126" t="s">
        <v>71</v>
      </c>
      <c r="E12" s="125" t="s">
        <v>71</v>
      </c>
      <c r="F12" s="125" t="s">
        <v>71</v>
      </c>
      <c r="G12" s="125" t="s">
        <v>71</v>
      </c>
      <c r="H12" s="127" t="s">
        <v>71</v>
      </c>
      <c r="I12" s="125" t="s">
        <v>71</v>
      </c>
      <c r="J12" s="125"/>
      <c r="K12" s="125" t="s">
        <v>71</v>
      </c>
      <c r="L12" s="134" t="s">
        <v>71</v>
      </c>
      <c r="M12" s="129"/>
      <c r="N12" s="135" t="s">
        <v>41</v>
      </c>
      <c r="O12" s="125" t="s">
        <v>71</v>
      </c>
      <c r="P12" s="136"/>
      <c r="Q12" s="134" t="s">
        <v>71</v>
      </c>
      <c r="R12" s="132"/>
      <c r="S12" s="137" t="s">
        <v>71</v>
      </c>
      <c r="U12" s="209"/>
      <c r="V12" s="210"/>
    </row>
    <row r="13" spans="1:22" ht="15.75" customHeight="1">
      <c r="A13" s="138" t="s">
        <v>43</v>
      </c>
      <c r="B13" s="139">
        <f>(Salaires_bruts!B10*B$11)/1000</f>
        <v>1211665.5609600001</v>
      </c>
      <c r="C13" s="139">
        <f>(Salaires_bruts!C10*C$11)/1000</f>
        <v>7853.7008800000003</v>
      </c>
      <c r="D13" s="140">
        <f>(Salaires_bruts!D10*D$11)/1000</f>
        <v>0</v>
      </c>
      <c r="E13" s="139">
        <f>(Salaires_bruts!E10*E$11)/1000</f>
        <v>52281.202992700724</v>
      </c>
      <c r="F13" s="139">
        <f>(Salaires_bruts!F10*F$11)/1000</f>
        <v>0</v>
      </c>
      <c r="G13" s="139">
        <f>(Salaires_bruts!G10*G$11)/1000</f>
        <v>0</v>
      </c>
      <c r="H13" s="141">
        <f>(Salaires_bruts!H10*H$11)/1000</f>
        <v>0</v>
      </c>
      <c r="I13" s="139">
        <f t="shared" ref="I13:I38" si="0">SUM(C13:H13)</f>
        <v>60134.903872700728</v>
      </c>
      <c r="J13" s="142">
        <f t="shared" ref="J13:J38" si="1">$J$39</f>
        <v>1</v>
      </c>
      <c r="K13" s="139">
        <f t="shared" ref="K13:K39" si="2">I13*J13</f>
        <v>60134.903872700728</v>
      </c>
      <c r="L13" s="143">
        <f t="shared" ref="L13:L39" si="3">K13+B13</f>
        <v>1271800.4648327008</v>
      </c>
      <c r="M13" s="144"/>
      <c r="N13" s="138" t="s">
        <v>43</v>
      </c>
      <c r="O13" s="145">
        <v>30265007.899999999</v>
      </c>
      <c r="P13" s="146">
        <v>5.0890310885434102E-2</v>
      </c>
      <c r="Q13" s="143">
        <f>IF(Calculation_RIS!L13=0,O13*P13,0)</f>
        <v>0</v>
      </c>
      <c r="R13" s="147"/>
      <c r="S13" s="148">
        <f>Calculation_RIS!L13+Q13</f>
        <v>1271800.4648327008</v>
      </c>
      <c r="U13" s="149" t="s">
        <v>102</v>
      </c>
      <c r="V13" s="150">
        <v>0.27409390532560501</v>
      </c>
    </row>
    <row r="14" spans="1:22" ht="15.75" customHeight="1">
      <c r="A14" s="151" t="s">
        <v>44</v>
      </c>
      <c r="B14" s="152">
        <f>(Salaires_bruts!B11*B$11)/1000</f>
        <v>430460.52560999995</v>
      </c>
      <c r="C14" s="152">
        <f>(Salaires_bruts!C11*C$11)/1000</f>
        <v>0</v>
      </c>
      <c r="D14" s="153">
        <f>(Salaires_bruts!D11*D$11)/1000</f>
        <v>0</v>
      </c>
      <c r="E14" s="152">
        <f>(Salaires_bruts!E11*E$11)/1000</f>
        <v>456.80895985401457</v>
      </c>
      <c r="F14" s="152">
        <f>(Salaires_bruts!F11*F$11)/1000</f>
        <v>0</v>
      </c>
      <c r="G14" s="152">
        <f>(Salaires_bruts!G11*G$11)/1000</f>
        <v>10047.821222627737</v>
      </c>
      <c r="H14" s="154">
        <f>(Salaires_bruts!H11*H$11)/1000</f>
        <v>0</v>
      </c>
      <c r="I14" s="152">
        <f t="shared" si="0"/>
        <v>10504.630182481753</v>
      </c>
      <c r="J14" s="155">
        <f t="shared" si="1"/>
        <v>1</v>
      </c>
      <c r="K14" s="152">
        <f t="shared" si="2"/>
        <v>10504.630182481753</v>
      </c>
      <c r="L14" s="156">
        <f t="shared" si="3"/>
        <v>440965.15579248173</v>
      </c>
      <c r="M14" s="144"/>
      <c r="N14" s="151" t="s">
        <v>44</v>
      </c>
      <c r="O14" s="157">
        <v>14813420</v>
      </c>
      <c r="P14" s="158">
        <v>4.9252821437138897E-2</v>
      </c>
      <c r="Q14" s="156">
        <f>IF(Calculation_RIS!L14=0,O14*P14,0)</f>
        <v>0</v>
      </c>
      <c r="R14" s="147"/>
      <c r="S14" s="159">
        <f>Calculation_RIS!L14+Q14</f>
        <v>440965.15579248173</v>
      </c>
      <c r="U14" s="160" t="s">
        <v>103</v>
      </c>
      <c r="V14" s="161">
        <f>ROUND(V13,3)</f>
        <v>0.27400000000000002</v>
      </c>
    </row>
    <row r="15" spans="1:22" ht="15.75" customHeight="1">
      <c r="A15" s="162" t="s">
        <v>45</v>
      </c>
      <c r="B15" s="163">
        <f>(Salaires_bruts!B12*B$11)/1000</f>
        <v>183188.60803</v>
      </c>
      <c r="C15" s="163">
        <f>(Salaires_bruts!C12*C$11)/1000</f>
        <v>0</v>
      </c>
      <c r="D15" s="164">
        <f>(Salaires_bruts!D12*D$11)/1000</f>
        <v>0</v>
      </c>
      <c r="E15" s="163">
        <f>(Salaires_bruts!E12*E$11)/1000</f>
        <v>560.45479927007295</v>
      </c>
      <c r="F15" s="163">
        <f>(Salaires_bruts!F12*F$11)/1000</f>
        <v>0</v>
      </c>
      <c r="G15" s="163">
        <f>(Salaires_bruts!G12*G$11)/1000</f>
        <v>0</v>
      </c>
      <c r="H15" s="165">
        <f>(Salaires_bruts!H12*H$11)/1000</f>
        <v>0</v>
      </c>
      <c r="I15" s="163">
        <f t="shared" si="0"/>
        <v>560.45479927007295</v>
      </c>
      <c r="J15" s="166">
        <f t="shared" si="1"/>
        <v>1</v>
      </c>
      <c r="K15" s="163">
        <f t="shared" si="2"/>
        <v>560.45479927007295</v>
      </c>
      <c r="L15" s="167">
        <f t="shared" si="3"/>
        <v>183749.06282927009</v>
      </c>
      <c r="M15" s="144"/>
      <c r="N15" s="162" t="s">
        <v>45</v>
      </c>
      <c r="O15" s="168">
        <v>5657233.5</v>
      </c>
      <c r="P15" s="169">
        <v>5.36166450534254E-2</v>
      </c>
      <c r="Q15" s="167">
        <f>IF(Calculation_RIS!L15=0,O15*P15,0)</f>
        <v>0</v>
      </c>
      <c r="R15" s="147"/>
      <c r="S15" s="170">
        <f>Calculation_RIS!L15+Q15</f>
        <v>183749.06282927009</v>
      </c>
    </row>
    <row r="16" spans="1:22" ht="15.75" customHeight="1">
      <c r="A16" s="151" t="s">
        <v>46</v>
      </c>
      <c r="B16" s="152">
        <f>(Salaires_bruts!B13*B$11)/1000</f>
        <v>22100.569070000001</v>
      </c>
      <c r="C16" s="152">
        <f>(Salaires_bruts!C13*C$11)/1000</f>
        <v>0</v>
      </c>
      <c r="D16" s="153">
        <f>(Salaires_bruts!D13*D$11)/1000</f>
        <v>0</v>
      </c>
      <c r="E16" s="152">
        <f>(Salaires_bruts!E13*E$11)/1000</f>
        <v>0</v>
      </c>
      <c r="F16" s="152">
        <f>(Salaires_bruts!F13*F$11)/1000</f>
        <v>0</v>
      </c>
      <c r="G16" s="152">
        <f>(Salaires_bruts!G13*G$11)/1000</f>
        <v>0</v>
      </c>
      <c r="H16" s="154">
        <f>(Salaires_bruts!H13*H$11)/1000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22100.569070000001</v>
      </c>
      <c r="M16" s="144"/>
      <c r="N16" s="151" t="s">
        <v>46</v>
      </c>
      <c r="O16" s="157">
        <v>427487.7</v>
      </c>
      <c r="P16" s="158">
        <v>6.158915655734E-2</v>
      </c>
      <c r="Q16" s="156">
        <f>IF(Calculation_RIS!L16=0,O16*P16,0)</f>
        <v>0</v>
      </c>
      <c r="R16" s="147"/>
      <c r="S16" s="159">
        <f>Calculation_RIS!L16+Q16</f>
        <v>22100.569070000001</v>
      </c>
    </row>
    <row r="17" spans="1:19" ht="15.75" customHeight="1">
      <c r="A17" s="162" t="s">
        <v>47</v>
      </c>
      <c r="B17" s="163">
        <f>(Salaires_bruts!B14*B$11)/1000</f>
        <v>60010.306819999991</v>
      </c>
      <c r="C17" s="163">
        <f>(Salaires_bruts!C14*C$11)/1000</f>
        <v>8385.7492700000003</v>
      </c>
      <c r="D17" s="164">
        <f>(Salaires_bruts!D14*D$11)/1000</f>
        <v>0</v>
      </c>
      <c r="E17" s="163">
        <f>(Salaires_bruts!E14*E$11)/1000</f>
        <v>89.630802919708032</v>
      </c>
      <c r="F17" s="163">
        <f>(Salaires_bruts!F14*F$11)/1000</f>
        <v>0</v>
      </c>
      <c r="G17" s="163">
        <f>(Salaires_bruts!G14*G$11)/1000</f>
        <v>0</v>
      </c>
      <c r="H17" s="165">
        <f>(Salaires_bruts!H14*H$11)/1000</f>
        <v>0</v>
      </c>
      <c r="I17" s="163">
        <f t="shared" si="0"/>
        <v>8475.3800729197083</v>
      </c>
      <c r="J17" s="166">
        <f t="shared" si="1"/>
        <v>1</v>
      </c>
      <c r="K17" s="163">
        <f t="shared" si="2"/>
        <v>8475.3800729197083</v>
      </c>
      <c r="L17" s="167">
        <f t="shared" si="3"/>
        <v>68485.686892919693</v>
      </c>
      <c r="M17" s="144"/>
      <c r="N17" s="162" t="s">
        <v>47</v>
      </c>
      <c r="O17" s="168">
        <v>3668423</v>
      </c>
      <c r="P17" s="169">
        <v>3.2296590614614901E-2</v>
      </c>
      <c r="Q17" s="167">
        <f>IF(Calculation_RIS!L17=0,O17*P17,0)</f>
        <v>0</v>
      </c>
      <c r="R17" s="147"/>
      <c r="S17" s="170">
        <f>Calculation_RIS!L17+Q17</f>
        <v>68485.686892919693</v>
      </c>
    </row>
    <row r="18" spans="1:19" ht="15.75" customHeight="1">
      <c r="A18" s="151" t="s">
        <v>48</v>
      </c>
      <c r="B18" s="152">
        <f>(Salaires_bruts!B15*B$11)/1000</f>
        <v>24371.685759999997</v>
      </c>
      <c r="C18" s="152">
        <f>(Salaires_bruts!C15*C$11)/1000</f>
        <v>0</v>
      </c>
      <c r="D18" s="153">
        <f>(Salaires_bruts!D15*D$11)/1000</f>
        <v>0</v>
      </c>
      <c r="E18" s="152">
        <f>(Salaires_bruts!E15*E$11)/1000</f>
        <v>0</v>
      </c>
      <c r="F18" s="152">
        <f>(Salaires_bruts!F15*F$11)/1000</f>
        <v>0</v>
      </c>
      <c r="G18" s="152">
        <f>(Salaires_bruts!G15*G$11)/1000</f>
        <v>0</v>
      </c>
      <c r="H18" s="154">
        <f>(Salaires_bruts!H15*H$11)/1000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24371.685759999997</v>
      </c>
      <c r="M18" s="144"/>
      <c r="N18" s="151" t="s">
        <v>48</v>
      </c>
      <c r="O18" s="157">
        <v>497214.9</v>
      </c>
      <c r="P18" s="158">
        <v>5.4607286303387202E-2</v>
      </c>
      <c r="Q18" s="156">
        <f>IF(Calculation_RIS!L18=0,O18*P18,0)</f>
        <v>0</v>
      </c>
      <c r="R18" s="147"/>
      <c r="S18" s="159">
        <f>Calculation_RIS!L18+Q18</f>
        <v>24371.685759999997</v>
      </c>
    </row>
    <row r="19" spans="1:19" ht="15.75" customHeight="1">
      <c r="A19" s="162" t="s">
        <v>49</v>
      </c>
      <c r="B19" s="163">
        <f>(Salaires_bruts!B16*B$11)/1000</f>
        <v>20764.915575499996</v>
      </c>
      <c r="C19" s="163">
        <f>(Salaires_bruts!C16*C$11)/1000</f>
        <v>0</v>
      </c>
      <c r="D19" s="164">
        <f>(Salaires_bruts!D16*D$11)/1000</f>
        <v>0</v>
      </c>
      <c r="E19" s="163">
        <f>(Salaires_bruts!E16*E$11)/1000</f>
        <v>15.669854014598538</v>
      </c>
      <c r="F19" s="163">
        <f>(Salaires_bruts!F16*F$11)/1000</f>
        <v>0</v>
      </c>
      <c r="G19" s="163">
        <f>(Salaires_bruts!G16*G$11)/1000</f>
        <v>0</v>
      </c>
      <c r="H19" s="165">
        <f>(Salaires_bruts!H16*H$11)/1000</f>
        <v>0</v>
      </c>
      <c r="I19" s="163">
        <f t="shared" si="0"/>
        <v>15.669854014598538</v>
      </c>
      <c r="J19" s="166">
        <f t="shared" si="1"/>
        <v>1</v>
      </c>
      <c r="K19" s="163">
        <f t="shared" si="2"/>
        <v>15.669854014598538</v>
      </c>
      <c r="L19" s="167">
        <f t="shared" si="3"/>
        <v>20780.585429514595</v>
      </c>
      <c r="M19" s="144"/>
      <c r="N19" s="162" t="s">
        <v>49</v>
      </c>
      <c r="O19" s="168">
        <v>1103064.3999999999</v>
      </c>
      <c r="P19" s="169">
        <v>2.69980815888647E-2</v>
      </c>
      <c r="Q19" s="167">
        <f>IF(Calculation_RIS!L19=0,O19*P19,0)</f>
        <v>0</v>
      </c>
      <c r="R19" s="147"/>
      <c r="S19" s="170">
        <f>Calculation_RIS!L19+Q19</f>
        <v>20780.585429514595</v>
      </c>
    </row>
    <row r="20" spans="1:19" ht="15.75" customHeight="1">
      <c r="A20" s="151" t="s">
        <v>50</v>
      </c>
      <c r="B20" s="152">
        <f>(Salaires_bruts!B17*B$11)/1000</f>
        <v>20071.228436999998</v>
      </c>
      <c r="C20" s="152">
        <f>(Salaires_bruts!C17*C$11)/1000</f>
        <v>0</v>
      </c>
      <c r="D20" s="153">
        <f>(Salaires_bruts!D17*D$11)/1000</f>
        <v>0</v>
      </c>
      <c r="E20" s="152">
        <f>(Salaires_bruts!E17*E$11)/1000</f>
        <v>0</v>
      </c>
      <c r="F20" s="152">
        <f>(Salaires_bruts!F17*F$11)/1000</f>
        <v>0</v>
      </c>
      <c r="G20" s="152">
        <f>(Salaires_bruts!G17*G$11)/1000</f>
        <v>0</v>
      </c>
      <c r="H20" s="154">
        <f>(Salaires_bruts!H17*H$11)/1000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20071.228436999998</v>
      </c>
      <c r="M20" s="144"/>
      <c r="N20" s="151" t="s">
        <v>50</v>
      </c>
      <c r="O20" s="157">
        <v>517516.1</v>
      </c>
      <c r="P20" s="158">
        <v>5.8664054234835498E-2</v>
      </c>
      <c r="Q20" s="156">
        <f>IF(Calculation_RIS!L20=0,O20*P20,0)</f>
        <v>0</v>
      </c>
      <c r="R20" s="147"/>
      <c r="S20" s="159">
        <f>Calculation_RIS!L20+Q20</f>
        <v>20071.228436999998</v>
      </c>
    </row>
    <row r="21" spans="1:19" ht="15.75" customHeight="1">
      <c r="A21" s="162" t="s">
        <v>51</v>
      </c>
      <c r="B21" s="163">
        <f>(Salaires_bruts!B18*B$11)/1000</f>
        <v>93577.687420000002</v>
      </c>
      <c r="C21" s="163">
        <f>(Salaires_bruts!C18*C$11)/1000</f>
        <v>0</v>
      </c>
      <c r="D21" s="164">
        <f>(Salaires_bruts!D18*D$11)/1000</f>
        <v>0</v>
      </c>
      <c r="E21" s="163">
        <f>(Salaires_bruts!E18*E$11)/1000</f>
        <v>346.06018248175184</v>
      </c>
      <c r="F21" s="163">
        <f>(Salaires_bruts!F18*F$11)/1000</f>
        <v>0</v>
      </c>
      <c r="G21" s="163">
        <f>(Salaires_bruts!G18*G$11)/1000</f>
        <v>0</v>
      </c>
      <c r="H21" s="165">
        <f>(Salaires_bruts!H18*H$11)/1000</f>
        <v>0</v>
      </c>
      <c r="I21" s="163">
        <f t="shared" si="0"/>
        <v>346.06018248175184</v>
      </c>
      <c r="J21" s="166">
        <f t="shared" si="1"/>
        <v>1</v>
      </c>
      <c r="K21" s="163">
        <f t="shared" si="2"/>
        <v>346.06018248175184</v>
      </c>
      <c r="L21" s="167">
        <f t="shared" si="3"/>
        <v>93923.747602481759</v>
      </c>
      <c r="M21" s="144"/>
      <c r="N21" s="162" t="s">
        <v>51</v>
      </c>
      <c r="O21" s="168">
        <v>3613311</v>
      </c>
      <c r="P21" s="169">
        <v>4.1851687431996298E-2</v>
      </c>
      <c r="Q21" s="167">
        <f>IF(Calculation_RIS!L21=0,O21*P21,0)</f>
        <v>0</v>
      </c>
      <c r="R21" s="147"/>
      <c r="S21" s="170">
        <f>Calculation_RIS!L21+Q21</f>
        <v>93923.747602481759</v>
      </c>
    </row>
    <row r="22" spans="1:19" ht="15.75" customHeight="1">
      <c r="A22" s="151" t="s">
        <v>52</v>
      </c>
      <c r="B22" s="152">
        <f>(Salaires_bruts!B19*B$11)/1000</f>
        <v>153542.45431</v>
      </c>
      <c r="C22" s="152">
        <f>(Salaires_bruts!C19*C$11)/1000</f>
        <v>0</v>
      </c>
      <c r="D22" s="153">
        <f>(Salaires_bruts!D19*D$11)/1000</f>
        <v>0</v>
      </c>
      <c r="E22" s="152">
        <f>(Salaires_bruts!E19*E$11)/1000</f>
        <v>0</v>
      </c>
      <c r="F22" s="152">
        <f>(Salaires_bruts!F19*F$11)/1000</f>
        <v>0</v>
      </c>
      <c r="G22" s="152">
        <f>(Salaires_bruts!G19*G$11)/1000</f>
        <v>0</v>
      </c>
      <c r="H22" s="154">
        <f>(Salaires_bruts!H19*H$11)/1000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153542.45431</v>
      </c>
      <c r="M22" s="144"/>
      <c r="N22" s="151" t="s">
        <v>52</v>
      </c>
      <c r="O22" s="157">
        <v>3924395.6</v>
      </c>
      <c r="P22" s="158">
        <v>5.7410064242503403E-2</v>
      </c>
      <c r="Q22" s="156">
        <f>IF(Calculation_RIS!L22=0,O22*P22,0)</f>
        <v>0</v>
      </c>
      <c r="R22" s="147"/>
      <c r="S22" s="159">
        <f>Calculation_RIS!L22+Q22</f>
        <v>153542.45431</v>
      </c>
    </row>
    <row r="23" spans="1:19" ht="15.75" customHeight="1">
      <c r="A23" s="162" t="s">
        <v>53</v>
      </c>
      <c r="B23" s="163">
        <f>(Salaires_bruts!B20*B$11)/1000</f>
        <v>88429.094379999995</v>
      </c>
      <c r="C23" s="163">
        <f>(Salaires_bruts!C20*C$11)/1000</f>
        <v>1081.8805300000001</v>
      </c>
      <c r="D23" s="164">
        <f>(Salaires_bruts!D20*D$11)/1000</f>
        <v>0</v>
      </c>
      <c r="E23" s="163">
        <f>(Salaires_bruts!E20*E$11)/1000</f>
        <v>3202.1280656934305</v>
      </c>
      <c r="F23" s="163">
        <f>(Salaires_bruts!F20*F$11)/1000</f>
        <v>0</v>
      </c>
      <c r="G23" s="163">
        <f>(Salaires_bruts!G20*G$11)/1000</f>
        <v>11456.770072992702</v>
      </c>
      <c r="H23" s="165">
        <f>(Salaires_bruts!H20*H$11)/1000</f>
        <v>0</v>
      </c>
      <c r="I23" s="163">
        <f t="shared" si="0"/>
        <v>15740.778668686133</v>
      </c>
      <c r="J23" s="166">
        <f t="shared" si="1"/>
        <v>1</v>
      </c>
      <c r="K23" s="163">
        <f t="shared" si="2"/>
        <v>15740.778668686133</v>
      </c>
      <c r="L23" s="167">
        <f t="shared" si="3"/>
        <v>104169.87304868613</v>
      </c>
      <c r="M23" s="144"/>
      <c r="N23" s="162" t="s">
        <v>53</v>
      </c>
      <c r="O23" s="168">
        <v>4117187.1</v>
      </c>
      <c r="P23" s="169">
        <v>4.5082139845418603E-2</v>
      </c>
      <c r="Q23" s="167">
        <f>IF(Calculation_RIS!L23=0,O23*P23,0)</f>
        <v>0</v>
      </c>
      <c r="R23" s="147"/>
      <c r="S23" s="170">
        <f>Calculation_RIS!L23+Q23</f>
        <v>104169.87304868613</v>
      </c>
    </row>
    <row r="24" spans="1:19" ht="15.75" customHeight="1">
      <c r="A24" s="151" t="s">
        <v>54</v>
      </c>
      <c r="B24" s="152">
        <f>(Salaires_bruts!B21*B$11)/1000</f>
        <v>213002.99163799998</v>
      </c>
      <c r="C24" s="152">
        <f>(Salaires_bruts!C21*C$11)/1000</f>
        <v>48214.538349999995</v>
      </c>
      <c r="D24" s="153">
        <f>(Salaires_bruts!D21*D$11)/1000</f>
        <v>0</v>
      </c>
      <c r="E24" s="152">
        <f>(Salaires_bruts!E21*E$11)/1000</f>
        <v>168830.64527189778</v>
      </c>
      <c r="F24" s="152">
        <f>(Salaires_bruts!F21*F$11)/1000</f>
        <v>0</v>
      </c>
      <c r="G24" s="152">
        <f>(Salaires_bruts!G21*G$11)/1000</f>
        <v>227834.28574817517</v>
      </c>
      <c r="H24" s="154">
        <f>(Salaires_bruts!H21*H$11)/1000</f>
        <v>0</v>
      </c>
      <c r="I24" s="152">
        <f t="shared" si="0"/>
        <v>444879.46937007294</v>
      </c>
      <c r="J24" s="155">
        <f t="shared" si="1"/>
        <v>1</v>
      </c>
      <c r="K24" s="152">
        <f t="shared" si="2"/>
        <v>444879.46937007294</v>
      </c>
      <c r="L24" s="156">
        <f t="shared" si="3"/>
        <v>657882.46100807295</v>
      </c>
      <c r="M24" s="144"/>
      <c r="N24" s="151" t="s">
        <v>54</v>
      </c>
      <c r="O24" s="157">
        <v>3974123.7</v>
      </c>
      <c r="P24" s="158">
        <v>0.18227029787488999</v>
      </c>
      <c r="Q24" s="156">
        <f>IF(Calculation_RIS!L24=0,O24*P24,0)</f>
        <v>0</v>
      </c>
      <c r="R24" s="147"/>
      <c r="S24" s="159">
        <f>Calculation_RIS!L24+Q24</f>
        <v>657882.46100807295</v>
      </c>
    </row>
    <row r="25" spans="1:19" ht="15.75" customHeight="1">
      <c r="A25" s="162" t="s">
        <v>55</v>
      </c>
      <c r="B25" s="163">
        <f>(Salaires_bruts!B22*B$11)/1000</f>
        <v>115085.58673</v>
      </c>
      <c r="C25" s="163">
        <f>(Salaires_bruts!C22*C$11)/1000</f>
        <v>16057.636879999998</v>
      </c>
      <c r="D25" s="164">
        <f>(Salaires_bruts!D22*D$11)/1000</f>
        <v>0</v>
      </c>
      <c r="E25" s="163">
        <f>(Salaires_bruts!E22*E$11)/1000</f>
        <v>63990.472664233574</v>
      </c>
      <c r="F25" s="163">
        <f>(Salaires_bruts!F22*F$11)/1000</f>
        <v>0</v>
      </c>
      <c r="G25" s="163">
        <f>(Salaires_bruts!G22*G$11)/1000</f>
        <v>134386.1155839416</v>
      </c>
      <c r="H25" s="165">
        <f>(Salaires_bruts!H22*H$11)/1000</f>
        <v>0</v>
      </c>
      <c r="I25" s="163">
        <f t="shared" si="0"/>
        <v>214434.22512817517</v>
      </c>
      <c r="J25" s="166">
        <f t="shared" si="1"/>
        <v>1</v>
      </c>
      <c r="K25" s="163">
        <f t="shared" si="2"/>
        <v>214434.22512817517</v>
      </c>
      <c r="L25" s="167">
        <f t="shared" si="3"/>
        <v>329519.81185817515</v>
      </c>
      <c r="M25" s="144"/>
      <c r="N25" s="162" t="s">
        <v>55</v>
      </c>
      <c r="O25" s="168">
        <v>6012279.5999999996</v>
      </c>
      <c r="P25" s="169">
        <v>7.5999474646497506E-2</v>
      </c>
      <c r="Q25" s="167">
        <f>IF(Calculation_RIS!L25=0,O25*P25,0)</f>
        <v>0</v>
      </c>
      <c r="R25" s="147"/>
      <c r="S25" s="170">
        <f>Calculation_RIS!L25+Q25</f>
        <v>329519.81185817515</v>
      </c>
    </row>
    <row r="26" spans="1:19" ht="15.75" customHeight="1">
      <c r="A26" s="151" t="s">
        <v>56</v>
      </c>
      <c r="B26" s="152">
        <f>(Salaires_bruts!B23*B$11)/1000</f>
        <v>64102.21534699999</v>
      </c>
      <c r="C26" s="152">
        <f>(Salaires_bruts!C23*C$11)/1000</f>
        <v>0</v>
      </c>
      <c r="D26" s="153">
        <f>(Salaires_bruts!D23*D$11)/1000</f>
        <v>7.2696897810218974</v>
      </c>
      <c r="E26" s="152">
        <f>(Salaires_bruts!E23*E$11)/1000</f>
        <v>43377.647781021893</v>
      </c>
      <c r="F26" s="152">
        <f>(Salaires_bruts!F23*F$11)/1000</f>
        <v>0</v>
      </c>
      <c r="G26" s="152">
        <f>(Salaires_bruts!G23*G$11)/1000</f>
        <v>0</v>
      </c>
      <c r="H26" s="154">
        <f>(Salaires_bruts!H23*H$11)/1000</f>
        <v>0</v>
      </c>
      <c r="I26" s="152">
        <f t="shared" si="0"/>
        <v>43384.917470802917</v>
      </c>
      <c r="J26" s="155">
        <f t="shared" si="1"/>
        <v>1</v>
      </c>
      <c r="K26" s="152">
        <f t="shared" si="2"/>
        <v>43384.917470802917</v>
      </c>
      <c r="L26" s="156">
        <f t="shared" si="3"/>
        <v>107487.13281780291</v>
      </c>
      <c r="M26" s="144"/>
      <c r="N26" s="151" t="s">
        <v>56</v>
      </c>
      <c r="O26" s="157">
        <v>1179462.2</v>
      </c>
      <c r="P26" s="158">
        <v>8.9866427213632596E-2</v>
      </c>
      <c r="Q26" s="156">
        <f>IF(Calculation_RIS!L26=0,O26*P26,0)</f>
        <v>0</v>
      </c>
      <c r="R26" s="147"/>
      <c r="S26" s="159">
        <f>Calculation_RIS!L26+Q26</f>
        <v>107487.13281780291</v>
      </c>
    </row>
    <row r="27" spans="1:19" ht="15.75" customHeight="1">
      <c r="A27" s="162" t="s">
        <v>57</v>
      </c>
      <c r="B27" s="163">
        <f>(Salaires_bruts!B24*B$11)/1000</f>
        <v>23579.202131000002</v>
      </c>
      <c r="C27" s="163">
        <f>(Salaires_bruts!C24*C$11)/1000</f>
        <v>415.52056799999997</v>
      </c>
      <c r="D27" s="164">
        <f>(Salaires_bruts!D24*D$11)/1000</f>
        <v>1089.069049270073</v>
      </c>
      <c r="E27" s="163">
        <f>(Salaires_bruts!E24*E$11)/1000</f>
        <v>236.13079105839412</v>
      </c>
      <c r="F27" s="163">
        <f>(Salaires_bruts!F24*F$11)/1000</f>
        <v>0</v>
      </c>
      <c r="G27" s="163">
        <f>(Salaires_bruts!G24*G$11)/1000</f>
        <v>0</v>
      </c>
      <c r="H27" s="165">
        <f>(Salaires_bruts!H24*H$11)/1000</f>
        <v>0</v>
      </c>
      <c r="I27" s="163">
        <f t="shared" si="0"/>
        <v>1740.7204083284671</v>
      </c>
      <c r="J27" s="166">
        <f t="shared" si="1"/>
        <v>1</v>
      </c>
      <c r="K27" s="163">
        <f t="shared" si="2"/>
        <v>1740.7204083284671</v>
      </c>
      <c r="L27" s="167">
        <f t="shared" si="3"/>
        <v>25319.922539328469</v>
      </c>
      <c r="M27" s="144"/>
      <c r="N27" s="162" t="s">
        <v>57</v>
      </c>
      <c r="O27" s="168">
        <v>842177.5</v>
      </c>
      <c r="P27" s="169">
        <v>4.5379353359243403E-2</v>
      </c>
      <c r="Q27" s="167">
        <f>IF(Calculation_RIS!L27=0,O27*P27,0)</f>
        <v>0</v>
      </c>
      <c r="R27" s="147"/>
      <c r="S27" s="170">
        <f>Calculation_RIS!L27+Q27</f>
        <v>25319.922539328469</v>
      </c>
    </row>
    <row r="28" spans="1:19" ht="15.75" customHeight="1">
      <c r="A28" s="151" t="s">
        <v>58</v>
      </c>
      <c r="B28" s="152">
        <f>(Salaires_bruts!B25*B$11)/1000</f>
        <v>5963.7790865000006</v>
      </c>
      <c r="C28" s="152">
        <f>(Salaires_bruts!C25*C$11)/1000</f>
        <v>0</v>
      </c>
      <c r="D28" s="153">
        <f>(Salaires_bruts!D25*D$11)/1000</f>
        <v>114.52460583941605</v>
      </c>
      <c r="E28" s="152">
        <f>(Salaires_bruts!E25*E$11)/1000</f>
        <v>93.403075729926996</v>
      </c>
      <c r="F28" s="152">
        <f>(Salaires_bruts!F25*F$11)/1000</f>
        <v>0</v>
      </c>
      <c r="G28" s="152">
        <f>(Salaires_bruts!G25*G$11)/1000</f>
        <v>0</v>
      </c>
      <c r="H28" s="154">
        <f>(Salaires_bruts!H25*H$11)/1000</f>
        <v>0</v>
      </c>
      <c r="I28" s="152">
        <f t="shared" si="0"/>
        <v>207.92768156934306</v>
      </c>
      <c r="J28" s="155">
        <f t="shared" si="1"/>
        <v>1</v>
      </c>
      <c r="K28" s="152">
        <f t="shared" si="2"/>
        <v>207.92768156934306</v>
      </c>
      <c r="L28" s="156">
        <f t="shared" si="3"/>
        <v>6171.7067680693435</v>
      </c>
      <c r="M28" s="144"/>
      <c r="N28" s="151" t="s">
        <v>58</v>
      </c>
      <c r="O28" s="157">
        <v>252375.7</v>
      </c>
      <c r="P28" s="158">
        <v>4.1841476962582197E-2</v>
      </c>
      <c r="Q28" s="156">
        <f>IF(Calculation_RIS!L28=0,O28*P28,0)</f>
        <v>0</v>
      </c>
      <c r="R28" s="147"/>
      <c r="S28" s="159">
        <f>Calculation_RIS!L28+Q28</f>
        <v>6171.7067680693435</v>
      </c>
    </row>
    <row r="29" spans="1:19" ht="15.75" customHeight="1">
      <c r="A29" s="162" t="s">
        <v>59</v>
      </c>
      <c r="B29" s="163">
        <f>(Salaires_bruts!B26*B$11)/1000</f>
        <v>226689.14296700002</v>
      </c>
      <c r="C29" s="163">
        <f>(Salaires_bruts!C26*C$11)/1000</f>
        <v>14194.878365499997</v>
      </c>
      <c r="D29" s="164">
        <f>(Salaires_bruts!D26*D$11)/1000</f>
        <v>41003.147627737228</v>
      </c>
      <c r="E29" s="163">
        <f>(Salaires_bruts!E26*E$11)/1000</f>
        <v>6898.3403649635038</v>
      </c>
      <c r="F29" s="163">
        <f>(Salaires_bruts!F26*F$11)/1000</f>
        <v>0</v>
      </c>
      <c r="G29" s="163">
        <f>(Salaires_bruts!G26*G$11)/1000</f>
        <v>0</v>
      </c>
      <c r="H29" s="165">
        <f>(Salaires_bruts!H26*H$11)/1000</f>
        <v>0</v>
      </c>
      <c r="I29" s="163">
        <f t="shared" si="0"/>
        <v>62096.366358200728</v>
      </c>
      <c r="J29" s="166">
        <f t="shared" si="1"/>
        <v>1</v>
      </c>
      <c r="K29" s="163">
        <f t="shared" si="2"/>
        <v>62096.366358200728</v>
      </c>
      <c r="L29" s="167">
        <f t="shared" si="3"/>
        <v>288785.50932520075</v>
      </c>
      <c r="M29" s="144"/>
      <c r="N29" s="162" t="s">
        <v>59</v>
      </c>
      <c r="O29" s="168">
        <v>7054306.4000000004</v>
      </c>
      <c r="P29" s="169">
        <v>6.0654701647858099E-2</v>
      </c>
      <c r="Q29" s="167">
        <f>IF(Calculation_RIS!L29=0,O29*P29,0)</f>
        <v>0</v>
      </c>
      <c r="R29" s="147"/>
      <c r="S29" s="170">
        <f>Calculation_RIS!L29+Q29</f>
        <v>288785.50932520075</v>
      </c>
    </row>
    <row r="30" spans="1:19" ht="15.75" customHeight="1">
      <c r="A30" s="151" t="s">
        <v>60</v>
      </c>
      <c r="B30" s="152">
        <f>(Salaires_bruts!B27*B$11)/1000</f>
        <v>0</v>
      </c>
      <c r="C30" s="152">
        <f>(Salaires_bruts!C27*C$11)/1000</f>
        <v>0</v>
      </c>
      <c r="D30" s="153">
        <f>(Salaires_bruts!D27*D$11)/1000</f>
        <v>0</v>
      </c>
      <c r="E30" s="152">
        <f>(Salaires_bruts!E27*E$11)/1000</f>
        <v>0</v>
      </c>
      <c r="F30" s="152">
        <f>(Salaires_bruts!F27*F$11)/1000</f>
        <v>0</v>
      </c>
      <c r="G30" s="152">
        <f>(Salaires_bruts!G27*G$11)/1000</f>
        <v>0</v>
      </c>
      <c r="H30" s="154">
        <f>(Salaires_bruts!H27*H$11)/1000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60</v>
      </c>
      <c r="O30" s="157">
        <v>2986506.7</v>
      </c>
      <c r="P30" s="158">
        <v>0.101526326334493</v>
      </c>
      <c r="Q30" s="156">
        <f>IF(Calculation_RIS!L30=0,O30*P30,0)</f>
        <v>303209.05382434983</v>
      </c>
      <c r="R30" s="147"/>
      <c r="S30" s="159">
        <f>Calculation_RIS!L30+Q30</f>
        <v>303209.05382434983</v>
      </c>
    </row>
    <row r="31" spans="1:19" ht="15.75" customHeight="1">
      <c r="A31" s="162" t="s">
        <v>61</v>
      </c>
      <c r="B31" s="163">
        <f>(Salaires_bruts!B28*B$11)/1000</f>
        <v>326453.39553999994</v>
      </c>
      <c r="C31" s="163">
        <f>(Salaires_bruts!C28*C$11)/1000</f>
        <v>0</v>
      </c>
      <c r="D31" s="164">
        <f>(Salaires_bruts!D28*D$11)/1000</f>
        <v>0</v>
      </c>
      <c r="E31" s="163">
        <f>(Salaires_bruts!E28*E$11)/1000</f>
        <v>88854.853795620438</v>
      </c>
      <c r="F31" s="163">
        <f>(Salaires_bruts!F28*F$11)/1000</f>
        <v>0</v>
      </c>
      <c r="G31" s="163">
        <f>(Salaires_bruts!G28*G$11)/1000</f>
        <v>0</v>
      </c>
      <c r="H31" s="165">
        <f>(Salaires_bruts!H28*H$11)/1000</f>
        <v>0</v>
      </c>
      <c r="I31" s="163">
        <f t="shared" si="0"/>
        <v>88854.853795620438</v>
      </c>
      <c r="J31" s="166">
        <f t="shared" si="1"/>
        <v>1</v>
      </c>
      <c r="K31" s="163">
        <f t="shared" si="2"/>
        <v>88854.853795620438</v>
      </c>
      <c r="L31" s="167">
        <f t="shared" si="3"/>
        <v>415308.24933562038</v>
      </c>
      <c r="M31" s="144"/>
      <c r="N31" s="162" t="s">
        <v>61</v>
      </c>
      <c r="O31" s="168">
        <v>10528478.6</v>
      </c>
      <c r="P31" s="169">
        <v>5.1018663514664102E-2</v>
      </c>
      <c r="Q31" s="167">
        <f>IF(Calculation_RIS!L31=0,O31*P31,0)</f>
        <v>0</v>
      </c>
      <c r="R31" s="147"/>
      <c r="S31" s="170">
        <f>Calculation_RIS!L31+Q31</f>
        <v>415308.24933562038</v>
      </c>
    </row>
    <row r="32" spans="1:19" ht="15.75" customHeight="1">
      <c r="A32" s="151" t="s">
        <v>62</v>
      </c>
      <c r="B32" s="152">
        <f>(Salaires_bruts!B29*B$11)/1000</f>
        <v>117822.62136429999</v>
      </c>
      <c r="C32" s="152">
        <f>(Salaires_bruts!C29*C$11)/1000</f>
        <v>2759.8642624999998</v>
      </c>
      <c r="D32" s="153">
        <f>(Salaires_bruts!D29*D$11)/1000</f>
        <v>1660.7075594890512</v>
      </c>
      <c r="E32" s="152">
        <f>(Salaires_bruts!E29*E$11)/1000</f>
        <v>28988.827564598538</v>
      </c>
      <c r="F32" s="152">
        <f>(Salaires_bruts!F29*F$11)/1000</f>
        <v>0</v>
      </c>
      <c r="G32" s="152">
        <f>(Salaires_bruts!G29*G$11)/1000</f>
        <v>0</v>
      </c>
      <c r="H32" s="154">
        <f>(Salaires_bruts!H29*H$11)/1000</f>
        <v>0</v>
      </c>
      <c r="I32" s="152">
        <f t="shared" si="0"/>
        <v>33409.399386587589</v>
      </c>
      <c r="J32" s="155">
        <f t="shared" si="1"/>
        <v>1</v>
      </c>
      <c r="K32" s="152">
        <f t="shared" si="2"/>
        <v>33409.399386587589</v>
      </c>
      <c r="L32" s="156">
        <f t="shared" si="3"/>
        <v>151232.02075088758</v>
      </c>
      <c r="M32" s="144"/>
      <c r="N32" s="151" t="s">
        <v>62</v>
      </c>
      <c r="O32" s="157">
        <v>3607612.4</v>
      </c>
      <c r="P32" s="158">
        <v>6.0635729853078003E-2</v>
      </c>
      <c r="Q32" s="156">
        <f>IF(Calculation_RIS!L32=0,O32*P32,0)</f>
        <v>0</v>
      </c>
      <c r="R32" s="147"/>
      <c r="S32" s="159">
        <f>Calculation_RIS!L32+Q32</f>
        <v>151232.02075088758</v>
      </c>
    </row>
    <row r="33" spans="1:19" ht="15.75" customHeight="1">
      <c r="A33" s="162" t="s">
        <v>63</v>
      </c>
      <c r="B33" s="163">
        <f>(Salaires_bruts!B30*B$11)/1000</f>
        <v>314305.67404999997</v>
      </c>
      <c r="C33" s="163">
        <f>(Salaires_bruts!C30*C$11)/1000</f>
        <v>23524.852489999997</v>
      </c>
      <c r="D33" s="164">
        <f>(Salaires_bruts!D30*D$11)/1000</f>
        <v>0</v>
      </c>
      <c r="E33" s="163">
        <f>(Salaires_bruts!E30*E$11)/1000</f>
        <v>0</v>
      </c>
      <c r="F33" s="163">
        <f>(Salaires_bruts!F30*F$11)/1000</f>
        <v>0</v>
      </c>
      <c r="G33" s="163">
        <f>(Salaires_bruts!G30*G$11)/1000</f>
        <v>0</v>
      </c>
      <c r="H33" s="165">
        <f>(Salaires_bruts!H30*H$11)/1000</f>
        <v>456382.14437399997</v>
      </c>
      <c r="I33" s="163">
        <f t="shared" si="0"/>
        <v>479906.99686399999</v>
      </c>
      <c r="J33" s="166">
        <f t="shared" si="1"/>
        <v>1</v>
      </c>
      <c r="K33" s="163">
        <f t="shared" si="2"/>
        <v>479906.99686399999</v>
      </c>
      <c r="L33" s="167">
        <f t="shared" si="3"/>
        <v>794212.6709139999</v>
      </c>
      <c r="M33" s="144"/>
      <c r="N33" s="162" t="s">
        <v>63</v>
      </c>
      <c r="O33" s="168">
        <v>5410884.4000000004</v>
      </c>
      <c r="P33" s="169">
        <v>0.16602113895440601</v>
      </c>
      <c r="Q33" s="167">
        <f>IF(Calculation_RIS!L33=0,O33*P33,0)</f>
        <v>0</v>
      </c>
      <c r="R33" s="147"/>
      <c r="S33" s="170">
        <f>Calculation_RIS!L33+Q33</f>
        <v>794212.6709139999</v>
      </c>
    </row>
    <row r="34" spans="1:19" ht="15.75" customHeight="1">
      <c r="A34" s="151" t="s">
        <v>64</v>
      </c>
      <c r="B34" s="152">
        <f>(Salaires_bruts!B31*B$11)/1000</f>
        <v>554037.56678499992</v>
      </c>
      <c r="C34" s="152">
        <f>(Salaires_bruts!C31*C$11)/1000</f>
        <v>0</v>
      </c>
      <c r="D34" s="153">
        <f>(Salaires_bruts!D31*D$11)/1000</f>
        <v>0</v>
      </c>
      <c r="E34" s="152">
        <f>(Salaires_bruts!E31*E$11)/1000</f>
        <v>0</v>
      </c>
      <c r="F34" s="152">
        <f>(Salaires_bruts!F31*F$11)/1000</f>
        <v>0</v>
      </c>
      <c r="G34" s="152">
        <f>(Salaires_bruts!G31*G$11)/1000</f>
        <v>158624.6796870438</v>
      </c>
      <c r="H34" s="154">
        <f>(Salaires_bruts!H31*H$11)/1000</f>
        <v>0</v>
      </c>
      <c r="I34" s="152">
        <f t="shared" si="0"/>
        <v>158624.6796870438</v>
      </c>
      <c r="J34" s="155">
        <f t="shared" si="1"/>
        <v>1</v>
      </c>
      <c r="K34" s="152">
        <f t="shared" si="2"/>
        <v>158624.6796870438</v>
      </c>
      <c r="L34" s="156">
        <f t="shared" si="3"/>
        <v>712662.24647204368</v>
      </c>
      <c r="M34" s="144"/>
      <c r="N34" s="151" t="s">
        <v>64</v>
      </c>
      <c r="O34" s="157">
        <v>13266280.800000001</v>
      </c>
      <c r="P34" s="158">
        <v>8.0509578062909606E-2</v>
      </c>
      <c r="Q34" s="156">
        <f>IF(Calculation_RIS!L34=0,O34*P34,0)</f>
        <v>0</v>
      </c>
      <c r="R34" s="147"/>
      <c r="S34" s="159">
        <f>Calculation_RIS!L34+Q34</f>
        <v>712662.24647204368</v>
      </c>
    </row>
    <row r="35" spans="1:19" ht="15.75" customHeight="1">
      <c r="A35" s="162" t="s">
        <v>65</v>
      </c>
      <c r="B35" s="163">
        <f>(Salaires_bruts!B32*B$11)/1000</f>
        <v>264105.98089000001</v>
      </c>
      <c r="C35" s="163">
        <f>(Salaires_bruts!C32*C$11)/1000</f>
        <v>418.71413999999993</v>
      </c>
      <c r="D35" s="164">
        <f>(Salaires_bruts!D32*D$11)/1000</f>
        <v>0</v>
      </c>
      <c r="E35" s="163">
        <f>(Salaires_bruts!E32*E$11)/1000</f>
        <v>0</v>
      </c>
      <c r="F35" s="163">
        <f>(Salaires_bruts!F32*F$11)/1000</f>
        <v>0</v>
      </c>
      <c r="G35" s="163">
        <f>(Salaires_bruts!G32*G$11)/1000</f>
        <v>7584.0756569343057</v>
      </c>
      <c r="H35" s="165">
        <f>(Salaires_bruts!H32*H$11)/1000</f>
        <v>10250.635499999999</v>
      </c>
      <c r="I35" s="163">
        <f t="shared" si="0"/>
        <v>18253.425296934303</v>
      </c>
      <c r="J35" s="166">
        <f t="shared" si="1"/>
        <v>1</v>
      </c>
      <c r="K35" s="163">
        <f t="shared" si="2"/>
        <v>18253.425296934303</v>
      </c>
      <c r="L35" s="167">
        <f t="shared" si="3"/>
        <v>282359.40618693433</v>
      </c>
      <c r="M35" s="144"/>
      <c r="N35" s="162" t="s">
        <v>65</v>
      </c>
      <c r="O35" s="168">
        <v>4275523.5</v>
      </c>
      <c r="P35" s="169">
        <v>7.6155556319476403E-2</v>
      </c>
      <c r="Q35" s="167">
        <f>IF(Calculation_RIS!L35=0,O35*P35,0)</f>
        <v>0</v>
      </c>
      <c r="R35" s="147"/>
      <c r="S35" s="170">
        <f>Calculation_RIS!L35+Q35</f>
        <v>282359.40618693433</v>
      </c>
    </row>
    <row r="36" spans="1:19" ht="15.75" customHeight="1">
      <c r="A36" s="151" t="s">
        <v>66</v>
      </c>
      <c r="B36" s="152">
        <f>(Salaires_bruts!B33*B$11)/1000</f>
        <v>121858.15327999998</v>
      </c>
      <c r="C36" s="152">
        <f>(Salaires_bruts!C33*C$11)/1000</f>
        <v>1587.0960599999999</v>
      </c>
      <c r="D36" s="153">
        <f>(Salaires_bruts!D33*D$11)/1000</f>
        <v>0</v>
      </c>
      <c r="E36" s="152">
        <f>(Salaires_bruts!E33*E$11)/1000</f>
        <v>0</v>
      </c>
      <c r="F36" s="152">
        <f>(Salaires_bruts!F33*F$11)/1000</f>
        <v>0</v>
      </c>
      <c r="G36" s="152">
        <f>(Salaires_bruts!G33*G$11)/1000</f>
        <v>72886.62547445255</v>
      </c>
      <c r="H36" s="154">
        <f>(Salaires_bruts!H33*H$11)/1000</f>
        <v>0</v>
      </c>
      <c r="I36" s="152">
        <f t="shared" si="0"/>
        <v>74473.721534452547</v>
      </c>
      <c r="J36" s="155">
        <f t="shared" si="1"/>
        <v>1</v>
      </c>
      <c r="K36" s="152">
        <f t="shared" si="2"/>
        <v>74473.721534452547</v>
      </c>
      <c r="L36" s="156">
        <f t="shared" si="3"/>
        <v>196331.87481445255</v>
      </c>
      <c r="M36" s="144"/>
      <c r="N36" s="151" t="s">
        <v>66</v>
      </c>
      <c r="O36" s="157">
        <v>2724049.2</v>
      </c>
      <c r="P36" s="158">
        <v>7.85290923323234E-2</v>
      </c>
      <c r="Q36" s="156">
        <f>IF(Calculation_RIS!L36=0,O36*P36,0)</f>
        <v>0</v>
      </c>
      <c r="R36" s="147"/>
      <c r="S36" s="159">
        <f>Calculation_RIS!L36+Q36</f>
        <v>196331.87481445255</v>
      </c>
    </row>
    <row r="37" spans="1:19" ht="15.75" customHeight="1">
      <c r="A37" s="162" t="s">
        <v>67</v>
      </c>
      <c r="B37" s="163">
        <f>(Salaires_bruts!B34*B$11)/1000</f>
        <v>552295.8999665</v>
      </c>
      <c r="C37" s="163">
        <f>(Salaires_bruts!C34*C$11)/1000</f>
        <v>0</v>
      </c>
      <c r="D37" s="164">
        <f>(Salaires_bruts!D34*D$11)/1000</f>
        <v>0</v>
      </c>
      <c r="E37" s="163">
        <f>(Salaires_bruts!E34*E$11)/1000</f>
        <v>0</v>
      </c>
      <c r="F37" s="163">
        <f>(Salaires_bruts!F34*F$11)/1000</f>
        <v>1288123.5475501858</v>
      </c>
      <c r="G37" s="163">
        <f>(Salaires_bruts!G34*G$11)/1000</f>
        <v>0</v>
      </c>
      <c r="H37" s="165">
        <f>(Salaires_bruts!H34*H$11)/1000</f>
        <v>0</v>
      </c>
      <c r="I37" s="163">
        <f t="shared" si="0"/>
        <v>1288123.5475501858</v>
      </c>
      <c r="J37" s="166">
        <f t="shared" si="1"/>
        <v>1</v>
      </c>
      <c r="K37" s="163">
        <f t="shared" si="2"/>
        <v>1288123.5475501858</v>
      </c>
      <c r="L37" s="167">
        <f t="shared" si="3"/>
        <v>1840419.4475166858</v>
      </c>
      <c r="M37" s="144"/>
      <c r="N37" s="162" t="s">
        <v>67</v>
      </c>
      <c r="O37" s="168">
        <v>10481301.800000001</v>
      </c>
      <c r="P37" s="169">
        <v>0.190595667427407</v>
      </c>
      <c r="Q37" s="167">
        <f>IF(Calculation_RIS!L37=0,O37*P37,0)</f>
        <v>0</v>
      </c>
      <c r="R37" s="147"/>
      <c r="S37" s="170">
        <f>Calculation_RIS!L37+Q37</f>
        <v>1840419.4475166858</v>
      </c>
    </row>
    <row r="38" spans="1:19" ht="15.75" customHeight="1">
      <c r="A38" s="224" t="s">
        <v>104</v>
      </c>
      <c r="B38" s="221">
        <f>(Salaires_bruts!B35*B$11)/1000</f>
        <v>21067.966767479913</v>
      </c>
      <c r="C38" s="172">
        <f>(Salaires_bruts!C35*C$11)/1000</f>
        <v>1254.3208514999999</v>
      </c>
      <c r="D38" s="173">
        <f>(Salaires_bruts!D35*D$11)/1000</f>
        <v>0</v>
      </c>
      <c r="E38" s="172">
        <f>(Salaires_bruts!E35*E$11)/1000</f>
        <v>121.68686496350365</v>
      </c>
      <c r="F38" s="172">
        <f>(Salaires_bruts!F35*F$11)/1000</f>
        <v>0</v>
      </c>
      <c r="G38" s="172">
        <f>(Salaires_bruts!G35*G$11)/1000</f>
        <v>44867.821204379557</v>
      </c>
      <c r="H38" s="174">
        <f>(Salaires_bruts!H35*H$11)/1000</f>
        <v>0</v>
      </c>
      <c r="I38" s="172">
        <f t="shared" si="0"/>
        <v>46243.828920843058</v>
      </c>
      <c r="J38" s="175">
        <f t="shared" si="1"/>
        <v>1</v>
      </c>
      <c r="K38" s="172">
        <f t="shared" si="2"/>
        <v>46243.828920843058</v>
      </c>
      <c r="L38" s="222">
        <f t="shared" si="3"/>
        <v>67311.795688322978</v>
      </c>
      <c r="M38" s="144"/>
      <c r="N38" s="171" t="s">
        <v>68</v>
      </c>
      <c r="O38" s="177">
        <v>879038.8</v>
      </c>
      <c r="P38" s="178">
        <v>8.8938114869738294E-2</v>
      </c>
      <c r="Q38" s="176">
        <f>IF(Calculation_RIS!L38=0,O38*P38,0)</f>
        <v>0</v>
      </c>
      <c r="R38" s="147"/>
      <c r="S38" s="223">
        <f>Calculation_RIS!L38+Q38</f>
        <v>67311.795688322978</v>
      </c>
    </row>
    <row r="39" spans="1:19" ht="15.75" customHeight="1">
      <c r="A39" s="179" t="s">
        <v>69</v>
      </c>
      <c r="B39" s="180">
        <f t="shared" ref="B39:I39" si="4">SUM(B13:B38)</f>
        <v>5228552.8129152805</v>
      </c>
      <c r="C39" s="180">
        <f t="shared" si="4"/>
        <v>125748.7526475</v>
      </c>
      <c r="D39" s="181">
        <f t="shared" si="4"/>
        <v>43874.718532116785</v>
      </c>
      <c r="E39" s="180">
        <f t="shared" si="4"/>
        <v>458343.96383102186</v>
      </c>
      <c r="F39" s="180">
        <f t="shared" si="4"/>
        <v>1288123.5475501858</v>
      </c>
      <c r="G39" s="180">
        <f t="shared" si="4"/>
        <v>667688.19465054735</v>
      </c>
      <c r="H39" s="182">
        <f t="shared" si="4"/>
        <v>466632.77987399994</v>
      </c>
      <c r="I39" s="180">
        <f t="shared" si="4"/>
        <v>3050411.9570853719</v>
      </c>
      <c r="J39" s="183">
        <v>1</v>
      </c>
      <c r="K39" s="180">
        <f t="shared" si="2"/>
        <v>3050411.9570853719</v>
      </c>
      <c r="L39" s="184">
        <f t="shared" si="3"/>
        <v>8278964.7700006524</v>
      </c>
      <c r="M39" s="144"/>
      <c r="N39" s="179" t="s">
        <v>69</v>
      </c>
      <c r="O39" s="185">
        <f>SUM(O13:O38)</f>
        <v>142078662.50000003</v>
      </c>
      <c r="P39" s="186"/>
      <c r="Q39" s="184">
        <f>SUM(Q13:Q38)</f>
        <v>303209.05382434983</v>
      </c>
      <c r="R39" s="147"/>
      <c r="S39" s="187">
        <f>SUM(S13:S38)</f>
        <v>8582173.8238250017</v>
      </c>
    </row>
    <row r="40" spans="1:19">
      <c r="A40" s="225" t="s">
        <v>106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2011-12-23T17:07:19Z</cp:lastPrinted>
  <dcterms:created xsi:type="dcterms:W3CDTF">2006-06-26T16:01:42Z</dcterms:created>
  <dcterms:modified xsi:type="dcterms:W3CDTF">2012-05-18T13:22:50Z</dcterms:modified>
</cp:coreProperties>
</file>