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E11"/>
  <c r="C11"/>
  <c r="U10"/>
  <c r="V9"/>
  <c r="O8"/>
  <c r="D7"/>
  <c r="A4"/>
  <c r="L3"/>
  <c r="A2"/>
  <c r="A1"/>
  <c r="C7" i="3"/>
  <c r="C6"/>
  <c r="B6"/>
  <c r="C3"/>
  <c r="A2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1"/>
  <c r="A5" i="1"/>
  <c r="A4"/>
  <c r="C38" i="4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C25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H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F11"/>
  <c r="D11"/>
  <c r="C14"/>
  <c r="G14"/>
  <c r="C15"/>
  <c r="G15"/>
  <c r="C17"/>
  <c r="G17"/>
  <c r="C19"/>
  <c r="G19"/>
  <c r="C21"/>
  <c r="G21"/>
  <c r="C23"/>
  <c r="G23"/>
  <c r="E14"/>
  <c r="E15"/>
  <c r="E17"/>
  <c r="E19"/>
  <c r="E21"/>
  <c r="E23"/>
  <c r="F37" l="1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F39" s="1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H39" s="1"/>
  <c r="C39"/>
  <c r="D37"/>
  <c r="D35"/>
  <c r="I35" s="1"/>
  <c r="K35" s="1"/>
  <c r="L35" s="1"/>
  <c r="D33"/>
  <c r="D31"/>
  <c r="D29"/>
  <c r="D27"/>
  <c r="I27" s="1"/>
  <c r="K27" s="1"/>
  <c r="L27" s="1"/>
  <c r="D25"/>
  <c r="D23"/>
  <c r="I23" s="1"/>
  <c r="K23" s="1"/>
  <c r="L23" s="1"/>
  <c r="D21"/>
  <c r="D19"/>
  <c r="I19" s="1"/>
  <c r="K19" s="1"/>
  <c r="L19" s="1"/>
  <c r="D17"/>
  <c r="D15"/>
  <c r="I15" s="1"/>
  <c r="K15" s="1"/>
  <c r="L15" s="1"/>
  <c r="D14"/>
  <c r="D38"/>
  <c r="I38" s="1"/>
  <c r="K38" s="1"/>
  <c r="L38" s="1"/>
  <c r="D36"/>
  <c r="D34"/>
  <c r="D32"/>
  <c r="D30"/>
  <c r="I30" s="1"/>
  <c r="K30" s="1"/>
  <c r="L30" s="1"/>
  <c r="D28"/>
  <c r="D26"/>
  <c r="D24"/>
  <c r="D22"/>
  <c r="I22" s="1"/>
  <c r="K22" s="1"/>
  <c r="L22" s="1"/>
  <c r="D20"/>
  <c r="D18"/>
  <c r="D16"/>
  <c r="D13"/>
  <c r="D39" s="1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B39" s="1"/>
  <c r="I21"/>
  <c r="K21" s="1"/>
  <c r="L21" s="1"/>
  <c r="I17"/>
  <c r="K17" s="1"/>
  <c r="L17" s="1"/>
  <c r="I14"/>
  <c r="K14" s="1"/>
  <c r="L14" s="1"/>
  <c r="E39"/>
  <c r="G39"/>
  <c r="I31"/>
  <c r="K31" s="1"/>
  <c r="L31" s="1"/>
  <c r="I18"/>
  <c r="K18" s="1"/>
  <c r="L18" s="1"/>
  <c r="I26"/>
  <c r="K26" s="1"/>
  <c r="L26" s="1"/>
  <c r="I34"/>
  <c r="K34" s="1"/>
  <c r="L34" s="1"/>
  <c r="I25"/>
  <c r="K25" s="1"/>
  <c r="L25" s="1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Q22" l="1"/>
  <c r="S22"/>
  <c r="Q30"/>
  <c r="S30"/>
  <c r="Q38"/>
  <c r="S38"/>
  <c r="Q15"/>
  <c r="S15" s="1"/>
  <c r="Q19"/>
  <c r="S19" s="1"/>
  <c r="Q23"/>
  <c r="S23" s="1"/>
  <c r="Q27"/>
  <c r="S27" s="1"/>
  <c r="Q35"/>
  <c r="S35" s="1"/>
  <c r="Q32"/>
  <c r="S32"/>
  <c r="Q24"/>
  <c r="S24"/>
  <c r="Q16"/>
  <c r="S16"/>
  <c r="Q33"/>
  <c r="S33" s="1"/>
  <c r="Q25"/>
  <c r="S25" s="1"/>
  <c r="Q34"/>
  <c r="S34"/>
  <c r="Q26"/>
  <c r="S26"/>
  <c r="Q18"/>
  <c r="S18"/>
  <c r="Q31"/>
  <c r="S31" s="1"/>
  <c r="Q14"/>
  <c r="S14" s="1"/>
  <c r="Q17"/>
  <c r="S17" s="1"/>
  <c r="Q21"/>
  <c r="S21" s="1"/>
  <c r="Q36"/>
  <c r="S36"/>
  <c r="Q28"/>
  <c r="S28"/>
  <c r="Q20"/>
  <c r="S20"/>
  <c r="Q37"/>
  <c r="S37" s="1"/>
  <c r="Q29"/>
  <c r="S29" s="1"/>
  <c r="I13"/>
  <c r="K13" l="1"/>
  <c r="L13" s="1"/>
  <c r="I39"/>
  <c r="K39" s="1"/>
  <c r="L39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<sst xmlns="http://schemas.openxmlformats.org/spreadsheetml/2006/main" count="213" uniqueCount="104">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</sst>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9CDE4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6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13" xfId="0" applyNumberFormat="1" applyFont="1" applyFill="1" applyBorder="1" applyAlignment="1" applyProtection="1">
      <alignment horizontal="right"/>
      <protection locked="0"/>
    </xf>
    <xf numFmtId="166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13" xfId="0" applyNumberFormat="1" applyFont="1" applyFill="1" applyBorder="1" applyAlignment="1" applyProtection="1">
      <alignment horizontal="right"/>
      <protection locked="0"/>
    </xf>
    <xf numFmtId="166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21" xfId="0" applyNumberFormat="1" applyFont="1" applyFill="1" applyBorder="1" applyAlignment="1" applyProtection="1">
      <alignment horizontal="right"/>
      <protection locked="0"/>
    </xf>
    <xf numFmtId="166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8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7" fontId="12" fillId="0" borderId="9" xfId="0" applyNumberFormat="1" applyFont="1" applyFill="1" applyBorder="1"/>
    <xf numFmtId="0" fontId="0" fillId="0" borderId="9" xfId="0" applyFont="1" applyFill="1" applyBorder="1"/>
    <xf numFmtId="167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Protection="1">
      <protection locked="0"/>
    </xf>
    <xf numFmtId="167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7" fillId="2" borderId="0" xfId="0" applyNumberFormat="1" applyFont="1" applyFill="1" applyBorder="1" applyProtection="1">
      <protection locked="0"/>
    </xf>
    <xf numFmtId="167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7" fillId="0" borderId="0" xfId="0" applyNumberFormat="1" applyFont="1" applyFill="1" applyBorder="1" applyProtection="1">
      <protection locked="0"/>
    </xf>
    <xf numFmtId="167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7" fillId="2" borderId="8" xfId="0" applyNumberFormat="1" applyFont="1" applyFill="1" applyBorder="1" applyProtection="1">
      <protection locked="0"/>
    </xf>
    <xf numFmtId="167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1" t="s">
        <v>0</v>
      </c>
      <c r="B1" s="191"/>
      <c r="C1" s="191"/>
      <c r="D1" s="191"/>
      <c r="E1" s="2"/>
    </row>
    <row r="2" spans="1:5" ht="27.75" customHeight="1">
      <c r="A2" s="191" t="s">
        <v>1</v>
      </c>
      <c r="B2" s="191"/>
      <c r="C2" s="191"/>
      <c r="D2" s="191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0" t="str">
        <f>"Année de calcul "&amp;C31</f>
        <v>Année de calcul 2004</v>
      </c>
      <c r="B4" s="190"/>
      <c r="C4" s="190"/>
      <c r="D4" s="190"/>
      <c r="E4" s="4"/>
    </row>
    <row r="5" spans="1:5" ht="18" customHeight="1">
      <c r="A5" s="190" t="str">
        <f>"Année de référence "&amp;C30</f>
        <v>Année de référence 2010</v>
      </c>
      <c r="B5" s="190"/>
      <c r="C5" s="190"/>
      <c r="D5" s="190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2010</v>
      </c>
    </row>
    <row r="31" spans="2:3">
      <c r="B31" s="10" t="s">
        <v>12</v>
      </c>
      <c r="C31" s="11">
        <v>2004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197" t="str">
        <f>"Salaires bruts "&amp;Info!C31</f>
        <v>Salaires bruts 2004</v>
      </c>
      <c r="B1" s="197"/>
      <c r="C1" s="197"/>
      <c r="I1" s="13"/>
    </row>
    <row r="2" spans="1:9" ht="31.5" customHeight="1">
      <c r="A2" s="14" t="str">
        <f>"Année de référence "&amp;Info!C30</f>
        <v>Année de référence 2010</v>
      </c>
      <c r="B2" s="15"/>
      <c r="C2" s="15"/>
      <c r="D2" s="16"/>
      <c r="I2" s="17" t="str">
        <f>Info!C28</f>
        <v>FA_2010_20120518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198"/>
      <c r="B6" s="192" t="s">
        <v>30</v>
      </c>
      <c r="C6" s="192" t="s">
        <v>31</v>
      </c>
      <c r="D6" s="194" t="s">
        <v>32</v>
      </c>
      <c r="E6" s="195"/>
      <c r="F6" s="195"/>
      <c r="G6" s="195"/>
      <c r="H6" s="196"/>
      <c r="I6" s="200" t="s">
        <v>33</v>
      </c>
    </row>
    <row r="7" spans="1:9" ht="42.75" customHeight="1">
      <c r="A7" s="199"/>
      <c r="B7" s="193"/>
      <c r="C7" s="193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201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2583760480</v>
      </c>
      <c r="C10" s="50">
        <v>19287873</v>
      </c>
      <c r="D10" s="51">
        <v>0</v>
      </c>
      <c r="E10" s="50">
        <v>298614393</v>
      </c>
      <c r="F10" s="50">
        <v>0</v>
      </c>
      <c r="G10" s="50">
        <v>0</v>
      </c>
      <c r="H10" s="52">
        <v>0</v>
      </c>
      <c r="I10" s="53">
        <f t="shared" ref="I10:I36" si="0">SUM(B10:H10)</f>
        <v>2901662746</v>
      </c>
    </row>
    <row r="11" spans="1:9">
      <c r="A11" s="54" t="s">
        <v>44</v>
      </c>
      <c r="B11" s="55">
        <v>648190772</v>
      </c>
      <c r="C11" s="55">
        <v>0</v>
      </c>
      <c r="D11" s="56">
        <v>0</v>
      </c>
      <c r="E11" s="55">
        <v>908554</v>
      </c>
      <c r="F11" s="55">
        <v>0</v>
      </c>
      <c r="G11" s="55">
        <v>53371389</v>
      </c>
      <c r="H11" s="57">
        <v>0</v>
      </c>
      <c r="I11" s="58">
        <f t="shared" si="0"/>
        <v>702470715</v>
      </c>
    </row>
    <row r="12" spans="1:9">
      <c r="A12" s="59" t="s">
        <v>45</v>
      </c>
      <c r="B12" s="60">
        <v>419317181</v>
      </c>
      <c r="C12" s="60">
        <v>0</v>
      </c>
      <c r="D12" s="61">
        <v>0</v>
      </c>
      <c r="E12" s="60">
        <v>2716784</v>
      </c>
      <c r="F12" s="60">
        <v>0</v>
      </c>
      <c r="G12" s="60">
        <v>0</v>
      </c>
      <c r="H12" s="62">
        <v>0</v>
      </c>
      <c r="I12" s="63">
        <f t="shared" si="0"/>
        <v>422033965</v>
      </c>
    </row>
    <row r="13" spans="1:9">
      <c r="A13" s="54" t="s">
        <v>46</v>
      </c>
      <c r="B13" s="55">
        <v>49648739.399999999</v>
      </c>
      <c r="C13" s="55">
        <v>0</v>
      </c>
      <c r="D13" s="56">
        <v>0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49648739.399999999</v>
      </c>
    </row>
    <row r="14" spans="1:9">
      <c r="A14" s="59" t="s">
        <v>47</v>
      </c>
      <c r="B14" s="60">
        <v>148134376</v>
      </c>
      <c r="C14" s="60">
        <v>14285751</v>
      </c>
      <c r="D14" s="61">
        <v>0</v>
      </c>
      <c r="E14" s="60">
        <v>670532.19999999995</v>
      </c>
      <c r="F14" s="60">
        <v>0</v>
      </c>
      <c r="G14" s="60">
        <v>0</v>
      </c>
      <c r="H14" s="62">
        <v>0</v>
      </c>
      <c r="I14" s="63">
        <f t="shared" si="0"/>
        <v>163090659.19999999</v>
      </c>
    </row>
    <row r="15" spans="1:9">
      <c r="A15" s="54" t="s">
        <v>48</v>
      </c>
      <c r="B15" s="55">
        <v>55566696.700000003</v>
      </c>
      <c r="C15" s="55">
        <v>0</v>
      </c>
      <c r="D15" s="56">
        <v>0</v>
      </c>
      <c r="E15" s="55">
        <v>0</v>
      </c>
      <c r="F15" s="55">
        <v>0</v>
      </c>
      <c r="G15" s="55">
        <v>0</v>
      </c>
      <c r="H15" s="57">
        <v>0</v>
      </c>
      <c r="I15" s="58">
        <f t="shared" si="0"/>
        <v>55566696.700000003</v>
      </c>
    </row>
    <row r="16" spans="1:9">
      <c r="A16" s="59" t="s">
        <v>49</v>
      </c>
      <c r="B16" s="60">
        <v>52253281</v>
      </c>
      <c r="C16" s="60">
        <v>0</v>
      </c>
      <c r="D16" s="61">
        <v>0</v>
      </c>
      <c r="E16" s="60">
        <v>93996</v>
      </c>
      <c r="F16" s="60">
        <v>0</v>
      </c>
      <c r="G16" s="60">
        <v>0</v>
      </c>
      <c r="H16" s="62">
        <v>0</v>
      </c>
      <c r="I16" s="63">
        <f t="shared" si="0"/>
        <v>52347277</v>
      </c>
    </row>
    <row r="17" spans="1:9">
      <c r="A17" s="54" t="s">
        <v>50</v>
      </c>
      <c r="B17" s="55">
        <v>49363367.200000003</v>
      </c>
      <c r="C17" s="55">
        <v>0</v>
      </c>
      <c r="D17" s="56">
        <v>0</v>
      </c>
      <c r="E17" s="55">
        <v>0</v>
      </c>
      <c r="F17" s="55">
        <v>0</v>
      </c>
      <c r="G17" s="55">
        <v>0</v>
      </c>
      <c r="H17" s="57">
        <v>0</v>
      </c>
      <c r="I17" s="58">
        <f t="shared" si="0"/>
        <v>49363367.200000003</v>
      </c>
    </row>
    <row r="18" spans="1:9">
      <c r="A18" s="59" t="s">
        <v>51</v>
      </c>
      <c r="B18" s="60">
        <v>179595872</v>
      </c>
      <c r="C18" s="60">
        <v>0</v>
      </c>
      <c r="D18" s="61">
        <v>0</v>
      </c>
      <c r="E18" s="60">
        <v>2302037</v>
      </c>
      <c r="F18" s="60">
        <v>0</v>
      </c>
      <c r="G18" s="60">
        <v>0</v>
      </c>
      <c r="H18" s="62">
        <v>0</v>
      </c>
      <c r="I18" s="63">
        <f t="shared" si="0"/>
        <v>181897909</v>
      </c>
    </row>
    <row r="19" spans="1:9">
      <c r="A19" s="54" t="s">
        <v>52</v>
      </c>
      <c r="B19" s="55">
        <v>345099867.5</v>
      </c>
      <c r="C19" s="55">
        <v>0</v>
      </c>
      <c r="D19" s="56">
        <v>0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345099867.5</v>
      </c>
    </row>
    <row r="20" spans="1:9">
      <c r="A20" s="59" t="s">
        <v>53</v>
      </c>
      <c r="B20" s="60">
        <v>189862094</v>
      </c>
      <c r="C20" s="60">
        <v>2869882</v>
      </c>
      <c r="D20" s="61">
        <v>0</v>
      </c>
      <c r="E20" s="60">
        <v>14262720</v>
      </c>
      <c r="F20" s="60">
        <v>0</v>
      </c>
      <c r="G20" s="60">
        <v>67960530</v>
      </c>
      <c r="H20" s="62">
        <v>0</v>
      </c>
      <c r="I20" s="63">
        <f t="shared" si="0"/>
        <v>274955226</v>
      </c>
    </row>
    <row r="21" spans="1:9">
      <c r="A21" s="54" t="s">
        <v>54</v>
      </c>
      <c r="B21" s="55">
        <v>480921243.94999999</v>
      </c>
      <c r="C21" s="55">
        <v>103887980.5</v>
      </c>
      <c r="D21" s="56">
        <v>0</v>
      </c>
      <c r="E21" s="55">
        <v>983028143.70000005</v>
      </c>
      <c r="F21" s="55">
        <v>0</v>
      </c>
      <c r="G21" s="55">
        <v>1413854000</v>
      </c>
      <c r="H21" s="57">
        <v>0</v>
      </c>
      <c r="I21" s="58">
        <f t="shared" si="0"/>
        <v>2981691368.1500001</v>
      </c>
    </row>
    <row r="22" spans="1:9">
      <c r="A22" s="59" t="s">
        <v>55</v>
      </c>
      <c r="B22" s="60">
        <v>256795622</v>
      </c>
      <c r="C22" s="60">
        <v>33474717</v>
      </c>
      <c r="D22" s="61">
        <v>0</v>
      </c>
      <c r="E22" s="60">
        <v>370410696</v>
      </c>
      <c r="F22" s="60">
        <v>0</v>
      </c>
      <c r="G22" s="60">
        <v>824379648</v>
      </c>
      <c r="H22" s="62">
        <v>0</v>
      </c>
      <c r="I22" s="63">
        <f t="shared" si="0"/>
        <v>1485060683</v>
      </c>
    </row>
    <row r="23" spans="1:9">
      <c r="A23" s="54" t="s">
        <v>56</v>
      </c>
      <c r="B23" s="55">
        <v>148666876.22999999</v>
      </c>
      <c r="C23" s="55">
        <v>0</v>
      </c>
      <c r="D23" s="56">
        <v>49800</v>
      </c>
      <c r="E23" s="55">
        <v>256469236.80000001</v>
      </c>
      <c r="F23" s="55">
        <v>0</v>
      </c>
      <c r="G23" s="55">
        <v>0</v>
      </c>
      <c r="H23" s="57">
        <v>0</v>
      </c>
      <c r="I23" s="58">
        <f t="shared" si="0"/>
        <v>405185913.02999997</v>
      </c>
    </row>
    <row r="24" spans="1:9">
      <c r="A24" s="59" t="s">
        <v>57</v>
      </c>
      <c r="B24" s="60">
        <v>51843387.880000003</v>
      </c>
      <c r="C24" s="60">
        <v>977673.85</v>
      </c>
      <c r="D24" s="61">
        <v>10385149.300000001</v>
      </c>
      <c r="E24" s="60">
        <v>1254816.6499999999</v>
      </c>
      <c r="F24" s="60">
        <v>0</v>
      </c>
      <c r="G24" s="60">
        <v>0</v>
      </c>
      <c r="H24" s="62">
        <v>0</v>
      </c>
      <c r="I24" s="63">
        <f t="shared" si="0"/>
        <v>64461027.68</v>
      </c>
    </row>
    <row r="25" spans="1:9">
      <c r="A25" s="54" t="s">
        <v>58</v>
      </c>
      <c r="B25" s="55">
        <v>13637224.4</v>
      </c>
      <c r="C25" s="55">
        <v>0</v>
      </c>
      <c r="D25" s="56">
        <v>1063416.8</v>
      </c>
      <c r="E25" s="55">
        <v>563176.5</v>
      </c>
      <c r="F25" s="55">
        <v>0</v>
      </c>
      <c r="G25" s="55">
        <v>0</v>
      </c>
      <c r="H25" s="57">
        <v>0</v>
      </c>
      <c r="I25" s="58">
        <f t="shared" si="0"/>
        <v>15263817.700000001</v>
      </c>
    </row>
    <row r="26" spans="1:9">
      <c r="A26" s="59" t="s">
        <v>59</v>
      </c>
      <c r="B26" s="60">
        <v>507184316.41000003</v>
      </c>
      <c r="C26" s="60">
        <v>33340118.199999999</v>
      </c>
      <c r="D26" s="61">
        <v>378180516</v>
      </c>
      <c r="E26" s="60">
        <v>36840878.100000001</v>
      </c>
      <c r="F26" s="60">
        <v>0</v>
      </c>
      <c r="G26" s="60">
        <v>0</v>
      </c>
      <c r="H26" s="62">
        <v>0</v>
      </c>
      <c r="I26" s="63">
        <f t="shared" si="0"/>
        <v>955545828.71000004</v>
      </c>
    </row>
    <row r="27" spans="1:9">
      <c r="A27" s="54" t="s">
        <v>60</v>
      </c>
      <c r="B27" s="55">
        <v>561015495.47171903</v>
      </c>
      <c r="C27" s="55">
        <v>62193439.68</v>
      </c>
      <c r="D27" s="56">
        <v>21394218.48</v>
      </c>
      <c r="E27" s="55">
        <v>81192.479999999996</v>
      </c>
      <c r="F27" s="55">
        <v>0</v>
      </c>
      <c r="G27" s="55">
        <v>0</v>
      </c>
      <c r="H27" s="57">
        <v>84237198</v>
      </c>
      <c r="I27" s="58">
        <f t="shared" si="0"/>
        <v>728921544.11171901</v>
      </c>
    </row>
    <row r="28" spans="1:9">
      <c r="A28" s="59" t="s">
        <v>61</v>
      </c>
      <c r="B28" s="60">
        <v>757997199</v>
      </c>
      <c r="C28" s="60">
        <v>0</v>
      </c>
      <c r="D28" s="61">
        <v>0</v>
      </c>
      <c r="E28" s="60">
        <v>530332684</v>
      </c>
      <c r="F28" s="60">
        <v>0</v>
      </c>
      <c r="G28" s="60">
        <v>0</v>
      </c>
      <c r="H28" s="62">
        <v>0</v>
      </c>
      <c r="I28" s="63">
        <f t="shared" si="0"/>
        <v>1288329883</v>
      </c>
    </row>
    <row r="29" spans="1:9">
      <c r="A29" s="54" t="s">
        <v>62</v>
      </c>
      <c r="B29" s="55">
        <v>262547365</v>
      </c>
      <c r="C29" s="55">
        <v>6880259</v>
      </c>
      <c r="D29" s="56">
        <v>15340176</v>
      </c>
      <c r="E29" s="55">
        <v>174075272</v>
      </c>
      <c r="F29" s="55">
        <v>0</v>
      </c>
      <c r="G29" s="55">
        <v>0</v>
      </c>
      <c r="H29" s="57">
        <v>0</v>
      </c>
      <c r="I29" s="58">
        <f t="shared" si="0"/>
        <v>458843072</v>
      </c>
    </row>
    <row r="30" spans="1:9">
      <c r="A30" s="59" t="s">
        <v>63</v>
      </c>
      <c r="B30" s="60">
        <v>662077644</v>
      </c>
      <c r="C30" s="60">
        <v>52129979</v>
      </c>
      <c r="D30" s="61">
        <v>0</v>
      </c>
      <c r="E30" s="60">
        <v>0</v>
      </c>
      <c r="F30" s="60">
        <v>0</v>
      </c>
      <c r="G30" s="60">
        <v>0</v>
      </c>
      <c r="H30" s="62">
        <v>1685535989</v>
      </c>
      <c r="I30" s="63">
        <f t="shared" si="0"/>
        <v>2399743612</v>
      </c>
    </row>
    <row r="31" spans="1:9">
      <c r="A31" s="54" t="s">
        <v>64</v>
      </c>
      <c r="B31" s="55">
        <v>1190262542.25</v>
      </c>
      <c r="C31" s="55">
        <v>0</v>
      </c>
      <c r="D31" s="56">
        <v>0</v>
      </c>
      <c r="E31" s="55">
        <v>0</v>
      </c>
      <c r="F31" s="55">
        <v>0</v>
      </c>
      <c r="G31" s="55">
        <v>869842077.64999998</v>
      </c>
      <c r="H31" s="57">
        <v>0</v>
      </c>
      <c r="I31" s="58">
        <f t="shared" si="0"/>
        <v>2060104619.9000001</v>
      </c>
    </row>
    <row r="32" spans="1:9">
      <c r="A32" s="59" t="s">
        <v>65</v>
      </c>
      <c r="B32" s="60">
        <v>582319799.11000001</v>
      </c>
      <c r="C32" s="60">
        <v>520795.7</v>
      </c>
      <c r="D32" s="61">
        <v>0</v>
      </c>
      <c r="E32" s="60">
        <v>0</v>
      </c>
      <c r="F32" s="60">
        <v>0</v>
      </c>
      <c r="G32" s="60">
        <v>41911244.840000004</v>
      </c>
      <c r="H32" s="62">
        <v>41577351.399999999</v>
      </c>
      <c r="I32" s="63">
        <f t="shared" si="0"/>
        <v>666329191.05000007</v>
      </c>
    </row>
    <row r="33" spans="1:9">
      <c r="A33" s="54" t="s">
        <v>66</v>
      </c>
      <c r="B33" s="55">
        <v>247527462.97999999</v>
      </c>
      <c r="C33" s="55">
        <v>372182.17</v>
      </c>
      <c r="D33" s="56">
        <v>0</v>
      </c>
      <c r="E33" s="55">
        <v>0</v>
      </c>
      <c r="F33" s="55">
        <v>0</v>
      </c>
      <c r="G33" s="55">
        <v>391922306</v>
      </c>
      <c r="H33" s="57">
        <v>0</v>
      </c>
      <c r="I33" s="58">
        <f t="shared" si="0"/>
        <v>639821951.14999998</v>
      </c>
    </row>
    <row r="34" spans="1:9">
      <c r="A34" s="59" t="s">
        <v>67</v>
      </c>
      <c r="B34" s="60">
        <v>1340275029</v>
      </c>
      <c r="C34" s="60">
        <v>0</v>
      </c>
      <c r="D34" s="61">
        <v>0</v>
      </c>
      <c r="E34" s="60">
        <v>0</v>
      </c>
      <c r="F34" s="60">
        <v>4362956117</v>
      </c>
      <c r="G34" s="60">
        <v>0</v>
      </c>
      <c r="H34" s="62">
        <v>0</v>
      </c>
      <c r="I34" s="63">
        <f t="shared" si="0"/>
        <v>5703231146</v>
      </c>
    </row>
    <row r="35" spans="1:9">
      <c r="A35" s="64" t="s">
        <v>68</v>
      </c>
      <c r="B35" s="65">
        <v>51353693</v>
      </c>
      <c r="C35" s="65">
        <v>4587581</v>
      </c>
      <c r="D35" s="66">
        <v>0</v>
      </c>
      <c r="E35" s="65">
        <v>672724</v>
      </c>
      <c r="F35" s="65">
        <v>0</v>
      </c>
      <c r="G35" s="65">
        <v>255831601</v>
      </c>
      <c r="H35" s="67">
        <v>0</v>
      </c>
      <c r="I35" s="68">
        <f t="shared" si="0"/>
        <v>312445599</v>
      </c>
    </row>
    <row r="36" spans="1:9">
      <c r="A36" s="5" t="s">
        <v>69</v>
      </c>
      <c r="B36" s="69">
        <f t="shared" ref="B36:H36" si="1">SUM(B10:B35)</f>
        <v>11835217627.481716</v>
      </c>
      <c r="C36" s="69">
        <f t="shared" si="1"/>
        <v>334808232.09999996</v>
      </c>
      <c r="D36" s="70">
        <f t="shared" si="1"/>
        <v>426413276.58000004</v>
      </c>
      <c r="E36" s="69">
        <f t="shared" si="1"/>
        <v>2673297836.4300003</v>
      </c>
      <c r="F36" s="69">
        <f t="shared" si="1"/>
        <v>4362956117</v>
      </c>
      <c r="G36" s="69">
        <f t="shared" si="1"/>
        <v>3919072796.4900002</v>
      </c>
      <c r="H36" s="71">
        <f t="shared" si="1"/>
        <v>1811350538.4000001</v>
      </c>
      <c r="I36" s="72">
        <f t="shared" si="0"/>
        <v>25363116424.48172</v>
      </c>
    </row>
    <row r="37" spans="1:9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2004</v>
      </c>
      <c r="B1" s="4"/>
    </row>
    <row r="2" spans="1:4" ht="15.75" customHeight="1">
      <c r="A2" s="74" t="str">
        <f>Salaires_bruts!A2</f>
        <v>Année de référence 2010</v>
      </c>
      <c r="B2" s="74"/>
    </row>
    <row r="3" spans="1:4" ht="33" customHeight="1">
      <c r="C3" s="75" t="str">
        <f>Info!$C$28</f>
        <v>FA_2010_20120518</v>
      </c>
    </row>
    <row r="4" spans="1:4" ht="15.75" customHeight="1">
      <c r="B4" s="76" t="s">
        <v>70</v>
      </c>
      <c r="C4" s="77" t="s">
        <v>71</v>
      </c>
      <c r="D4" s="78"/>
    </row>
    <row r="5" spans="1:4">
      <c r="A5" s="73" t="s">
        <v>72</v>
      </c>
      <c r="B5" s="79" t="s">
        <v>73</v>
      </c>
      <c r="C5" s="80">
        <v>332188181</v>
      </c>
      <c r="D5" s="81"/>
    </row>
    <row r="6" spans="1:4">
      <c r="A6" s="82" t="s">
        <v>74</v>
      </c>
      <c r="B6" s="83" t="str">
        <f>"AFA_"&amp;Info!C30&amp;"_"&amp;Info!C31&amp;".xlsx"</f>
        <v>AFA_2010_2004.xlsx</v>
      </c>
      <c r="C6" s="84">
        <f>Calculation_RIS!O39</f>
        <v>137804175.85895231</v>
      </c>
      <c r="D6" s="81"/>
    </row>
    <row r="7" spans="1:4" ht="24.75" customHeight="1">
      <c r="A7" s="85" t="s">
        <v>75</v>
      </c>
      <c r="B7" s="85"/>
      <c r="C7" s="86">
        <f>ROUND(C6/C5,3)</f>
        <v>0.41499999999999998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97" t="str">
        <f>"Revenu déterminant pour l'imposition à la source (RIS) "&amp;Info!C31</f>
        <v>Revenu déterminant pour l'imposition à la source (RIS) 2004</v>
      </c>
      <c r="B1" s="197"/>
      <c r="C1" s="197"/>
      <c r="D1" s="197"/>
      <c r="E1" s="197"/>
      <c r="F1" s="197"/>
      <c r="H1" s="13"/>
      <c r="R1" s="12"/>
    </row>
    <row r="2" spans="1:22" ht="18.75" customHeight="1">
      <c r="A2" s="88" t="str">
        <f>Info!A5</f>
        <v>Année de référence 2010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FA_2010_20120518</v>
      </c>
      <c r="R3" s="12"/>
    </row>
    <row r="4" spans="1:22" ht="37.5" customHeight="1">
      <c r="A4" s="217" t="str">
        <f>"Calculation sur la base des salaires bruts "&amp;Info!C31</f>
        <v>Calculation sur la base des salaires bruts 2004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6" t="s">
        <v>76</v>
      </c>
      <c r="O4" s="207"/>
      <c r="P4" s="207"/>
      <c r="Q4" s="208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0.03 / TFS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2" t="str">
        <f>"Revenu déterminant "&amp;Info!C31</f>
        <v>Revenu déterminant 2004</v>
      </c>
      <c r="P8" s="192" t="s">
        <v>94</v>
      </c>
      <c r="Q8" s="200" t="s">
        <v>95</v>
      </c>
      <c r="R8" s="119"/>
      <c r="S8" s="209" t="s">
        <v>96</v>
      </c>
    </row>
    <row r="9" spans="1:22" s="120" customFormat="1" ht="22.5" customHeight="1">
      <c r="A9" s="32"/>
      <c r="B9" s="192" t="s">
        <v>30</v>
      </c>
      <c r="C9" s="192" t="s">
        <v>31</v>
      </c>
      <c r="D9" s="194" t="s">
        <v>32</v>
      </c>
      <c r="E9" s="195"/>
      <c r="F9" s="195"/>
      <c r="G9" s="195"/>
      <c r="H9" s="196"/>
      <c r="I9" s="192" t="s">
        <v>97</v>
      </c>
      <c r="J9" s="192" t="s">
        <v>98</v>
      </c>
      <c r="K9" s="192" t="s">
        <v>99</v>
      </c>
      <c r="L9" s="200" t="s">
        <v>100</v>
      </c>
      <c r="M9" s="118"/>
      <c r="N9" s="121"/>
      <c r="O9" s="203"/>
      <c r="P9" s="203"/>
      <c r="Q9" s="202"/>
      <c r="R9" s="119"/>
      <c r="S9" s="210"/>
      <c r="V9" s="122" t="str">
        <f>Info!C28</f>
        <v>FA_2010_20120518</v>
      </c>
    </row>
    <row r="10" spans="1:22" s="120" customFormat="1" ht="56.25" customHeight="1">
      <c r="A10" s="33"/>
      <c r="B10" s="203"/>
      <c r="C10" s="203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3"/>
      <c r="J10" s="203"/>
      <c r="K10" s="203"/>
      <c r="L10" s="202"/>
      <c r="M10" s="118"/>
      <c r="N10" s="123"/>
      <c r="O10" s="204"/>
      <c r="P10" s="204"/>
      <c r="Q10" s="205"/>
      <c r="R10" s="119"/>
      <c r="S10" s="210"/>
      <c r="U10" s="215" t="str">
        <f>" Taux fiscal standardisé (TFS) "&amp;Info!C30-1</f>
        <v xml:space="preserve"> Taux fiscal standardisé (TFS) 2009</v>
      </c>
      <c r="V10" s="216"/>
    </row>
    <row r="11" spans="1:22" s="124" customFormat="1" ht="15" customHeight="1">
      <c r="A11" s="125" t="s">
        <v>101</v>
      </c>
      <c r="B11" s="126">
        <f>gamma</f>
        <v>0.41499999999999998</v>
      </c>
      <c r="C11" s="126">
        <f>gamma</f>
        <v>0.41499999999999998</v>
      </c>
      <c r="D11" s="127">
        <f>IF(Info!C31&lt;2006,0.03/sst,0.875*gamma)</f>
        <v>0.1094890510948905</v>
      </c>
      <c r="E11" s="126">
        <f>0.045/sst</f>
        <v>0.16423357664233576</v>
      </c>
      <c r="F11" s="126">
        <f>gamma-0.035/sst</f>
        <v>0.28726277372262771</v>
      </c>
      <c r="G11" s="126">
        <f>0.045/sst</f>
        <v>0.16423357664233576</v>
      </c>
      <c r="H11" s="128">
        <f>0.6*gamma</f>
        <v>0.24899999999999997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AFA_2010_2004.xlsx</v>
      </c>
      <c r="R11" s="133"/>
      <c r="S11" s="134"/>
      <c r="U11" s="213" t="str">
        <f>"Source: PR_"&amp;Info!C30-1&amp;".xlsx"</f>
        <v>Source: PR_2009.xlsx</v>
      </c>
      <c r="V11" s="214"/>
    </row>
    <row r="12" spans="1:22" s="124" customFormat="1" ht="12.75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11"/>
      <c r="V12" s="212"/>
    </row>
    <row r="13" spans="1:22" ht="15.75" customHeight="1">
      <c r="A13" s="139" t="s">
        <v>43</v>
      </c>
      <c r="B13" s="140">
        <f>(Salaires_bruts!B10*B$11)/1000</f>
        <v>1072260.5991999998</v>
      </c>
      <c r="C13" s="140">
        <f>(Salaires_bruts!C10*C$11)/1000</f>
        <v>8004.4672950000004</v>
      </c>
      <c r="D13" s="141">
        <f>(Salaires_bruts!D10*D$11)/1000</f>
        <v>0</v>
      </c>
      <c r="E13" s="140">
        <f>(Salaires_bruts!E10*E$11)/1000</f>
        <v>49042.509799270068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57046.977094270071</v>
      </c>
      <c r="J13" s="143">
        <f t="shared" ref="J13:J38" si="1">$J$39</f>
        <v>1</v>
      </c>
      <c r="K13" s="140">
        <f t="shared" ref="K13:K39" si="2">I13*J13</f>
        <v>57046.977094270071</v>
      </c>
      <c r="L13" s="144">
        <f t="shared" ref="L13:L39" si="3">K13+B13</f>
        <v>1129307.5762942699</v>
      </c>
      <c r="M13" s="145"/>
      <c r="N13" s="139" t="s">
        <v>43</v>
      </c>
      <c r="O13" s="146">
        <v>28847644.300000001</v>
      </c>
      <c r="P13" s="147">
        <v>0</v>
      </c>
      <c r="Q13" s="144">
        <f>IF(Calculation_RIS!L13=0,O13*P13,0)</f>
        <v>0</v>
      </c>
      <c r="R13" s="148"/>
      <c r="S13" s="149">
        <f>Calculation_RIS!L13+Q13</f>
        <v>1129307.5762942699</v>
      </c>
      <c r="U13" s="150" t="s">
        <v>102</v>
      </c>
      <c r="V13" s="151">
        <v>0.27409390532560501</v>
      </c>
    </row>
    <row r="14" spans="1:22" ht="15.75" customHeight="1">
      <c r="A14" s="152" t="s">
        <v>44</v>
      </c>
      <c r="B14" s="153">
        <f>(Salaires_bruts!B11*B$11)/1000</f>
        <v>268999.17037999997</v>
      </c>
      <c r="C14" s="153">
        <f>(Salaires_bruts!C11*C$11)/1000</f>
        <v>0</v>
      </c>
      <c r="D14" s="154">
        <f>(Salaires_bruts!D11*D$11)/1000</f>
        <v>0</v>
      </c>
      <c r="E14" s="153">
        <f>(Salaires_bruts!E11*E$11)/1000</f>
        <v>149.21507299270073</v>
      </c>
      <c r="F14" s="153">
        <f>(Salaires_bruts!F11*F$11)/1000</f>
        <v>0</v>
      </c>
      <c r="G14" s="153">
        <f>(Salaires_bruts!G11*G$11)/1000</f>
        <v>8765.3741058394171</v>
      </c>
      <c r="H14" s="155">
        <f>(Salaires_bruts!H11*H$11)/1000</f>
        <v>0</v>
      </c>
      <c r="I14" s="153">
        <f t="shared" si="0"/>
        <v>8914.5891788321187</v>
      </c>
      <c r="J14" s="156">
        <f t="shared" si="1"/>
        <v>1</v>
      </c>
      <c r="K14" s="153">
        <f t="shared" si="2"/>
        <v>8914.5891788321187</v>
      </c>
      <c r="L14" s="157">
        <f t="shared" si="3"/>
        <v>277913.7595588321</v>
      </c>
      <c r="M14" s="145"/>
      <c r="N14" s="152" t="s">
        <v>44</v>
      </c>
      <c r="O14" s="158">
        <v>14316565.9</v>
      </c>
      <c r="P14" s="159">
        <v>0</v>
      </c>
      <c r="Q14" s="157">
        <f>IF(Calculation_RIS!L14=0,O14*P14,0)</f>
        <v>0</v>
      </c>
      <c r="R14" s="148"/>
      <c r="S14" s="160">
        <f>Calculation_RIS!L14+Q14</f>
        <v>277913.7595588321</v>
      </c>
      <c r="U14" s="161" t="s">
        <v>103</v>
      </c>
      <c r="V14" s="162">
        <f>ROUND(V13,3)</f>
        <v>0.27400000000000002</v>
      </c>
    </row>
    <row r="15" spans="1:22" ht="15.75" customHeight="1">
      <c r="A15" s="163" t="s">
        <v>45</v>
      </c>
      <c r="B15" s="164">
        <f>(Salaires_bruts!B12*B$11)/1000</f>
        <v>174016.63011499998</v>
      </c>
      <c r="C15" s="164">
        <f>(Salaires_bruts!C12*C$11)/1000</f>
        <v>0</v>
      </c>
      <c r="D15" s="165">
        <f>(Salaires_bruts!D12*D$11)/1000</f>
        <v>0</v>
      </c>
      <c r="E15" s="164">
        <f>(Salaires_bruts!E12*E$11)/1000</f>
        <v>446.18715328467152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446.18715328467152</v>
      </c>
      <c r="J15" s="167">
        <f t="shared" si="1"/>
        <v>1</v>
      </c>
      <c r="K15" s="164">
        <f t="shared" si="2"/>
        <v>446.18715328467152</v>
      </c>
      <c r="L15" s="168">
        <f t="shared" si="3"/>
        <v>174462.81726828465</v>
      </c>
      <c r="M15" s="145"/>
      <c r="N15" s="163" t="s">
        <v>45</v>
      </c>
      <c r="O15" s="169">
        <v>5360207.5</v>
      </c>
      <c r="P15" s="170">
        <v>0</v>
      </c>
      <c r="Q15" s="168">
        <f>IF(Calculation_RIS!L15=0,O15*P15,0)</f>
        <v>0</v>
      </c>
      <c r="R15" s="148"/>
      <c r="S15" s="171">
        <f>Calculation_RIS!L15+Q15</f>
        <v>174462.81726828465</v>
      </c>
    </row>
    <row r="16" spans="1:22" ht="15.75" customHeight="1">
      <c r="A16" s="152" t="s">
        <v>46</v>
      </c>
      <c r="B16" s="153">
        <f>(Salaires_bruts!B13*B$11)/1000</f>
        <v>20604.226850999999</v>
      </c>
      <c r="C16" s="153">
        <f>(Salaires_bruts!C13*C$11)/1000</f>
        <v>0</v>
      </c>
      <c r="D16" s="154">
        <f>(Salaires_bruts!D13*D$11)/1000</f>
        <v>0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0</v>
      </c>
      <c r="J16" s="156">
        <f t="shared" si="1"/>
        <v>1</v>
      </c>
      <c r="K16" s="153">
        <f t="shared" si="2"/>
        <v>0</v>
      </c>
      <c r="L16" s="157">
        <f t="shared" si="3"/>
        <v>20604.226850999999</v>
      </c>
      <c r="M16" s="145"/>
      <c r="N16" s="152" t="s">
        <v>46</v>
      </c>
      <c r="O16" s="158">
        <v>418442.9</v>
      </c>
      <c r="P16" s="159">
        <v>0</v>
      </c>
      <c r="Q16" s="157">
        <f>IF(Calculation_RIS!L16=0,O16*P16,0)</f>
        <v>0</v>
      </c>
      <c r="R16" s="148"/>
      <c r="S16" s="160">
        <f>Calculation_RIS!L16+Q16</f>
        <v>20604.226850999999</v>
      </c>
    </row>
    <row r="17" spans="1:19" ht="15.75" customHeight="1">
      <c r="A17" s="163" t="s">
        <v>47</v>
      </c>
      <c r="B17" s="164">
        <f>(Salaires_bruts!B14*B$11)/1000</f>
        <v>61475.766040000002</v>
      </c>
      <c r="C17" s="164">
        <f>(Salaires_bruts!C14*C$11)/1000</f>
        <v>5928.5866649999998</v>
      </c>
      <c r="D17" s="165">
        <f>(Salaires_bruts!D14*D$11)/1000</f>
        <v>0</v>
      </c>
      <c r="E17" s="164">
        <f>(Salaires_bruts!E14*E$11)/1000</f>
        <v>110.12390145985401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6038.7105664598539</v>
      </c>
      <c r="J17" s="167">
        <f t="shared" si="1"/>
        <v>1</v>
      </c>
      <c r="K17" s="164">
        <f t="shared" si="2"/>
        <v>6038.7105664598539</v>
      </c>
      <c r="L17" s="168">
        <f t="shared" si="3"/>
        <v>67514.476606459852</v>
      </c>
      <c r="M17" s="145"/>
      <c r="N17" s="163" t="s">
        <v>47</v>
      </c>
      <c r="O17" s="169">
        <v>3394333.8</v>
      </c>
      <c r="P17" s="170">
        <v>0</v>
      </c>
      <c r="Q17" s="168">
        <f>IF(Calculation_RIS!L17=0,O17*P17,0)</f>
        <v>0</v>
      </c>
      <c r="R17" s="148"/>
      <c r="S17" s="171">
        <f>Calculation_RIS!L17+Q17</f>
        <v>67514.476606459852</v>
      </c>
    </row>
    <row r="18" spans="1:19" ht="15.75" customHeight="1">
      <c r="A18" s="152" t="s">
        <v>48</v>
      </c>
      <c r="B18" s="153">
        <f>(Salaires_bruts!B15*B$11)/1000</f>
        <v>23060.179130500001</v>
      </c>
      <c r="C18" s="153">
        <f>(Salaires_bruts!C15*C$11)/1000</f>
        <v>0</v>
      </c>
      <c r="D18" s="154">
        <f>(Salaires_bruts!D15*D$11)/1000</f>
        <v>0</v>
      </c>
      <c r="E18" s="153">
        <f>(Salaires_bruts!E15*E$11)/1000</f>
        <v>0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0</v>
      </c>
      <c r="J18" s="156">
        <f t="shared" si="1"/>
        <v>1</v>
      </c>
      <c r="K18" s="153">
        <f t="shared" si="2"/>
        <v>0</v>
      </c>
      <c r="L18" s="157">
        <f t="shared" si="3"/>
        <v>23060.179130500001</v>
      </c>
      <c r="M18" s="145"/>
      <c r="N18" s="152" t="s">
        <v>48</v>
      </c>
      <c r="O18" s="158">
        <v>487473.4</v>
      </c>
      <c r="P18" s="159">
        <v>0</v>
      </c>
      <c r="Q18" s="157">
        <f>IF(Calculation_RIS!L18=0,O18*P18,0)</f>
        <v>0</v>
      </c>
      <c r="R18" s="148"/>
      <c r="S18" s="160">
        <f>Calculation_RIS!L18+Q18</f>
        <v>23060.179130500001</v>
      </c>
    </row>
    <row r="19" spans="1:19" ht="15.75" customHeight="1">
      <c r="A19" s="163" t="s">
        <v>49</v>
      </c>
      <c r="B19" s="164">
        <f>(Salaires_bruts!B16*B$11)/1000</f>
        <v>21685.111614999998</v>
      </c>
      <c r="C19" s="164">
        <f>(Salaires_bruts!C16*C$11)/1000</f>
        <v>0</v>
      </c>
      <c r="D19" s="165">
        <f>(Salaires_bruts!D16*D$11)/1000</f>
        <v>0</v>
      </c>
      <c r="E19" s="164">
        <f>(Salaires_bruts!E16*E$11)/1000</f>
        <v>15.437299270072993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15.437299270072993</v>
      </c>
      <c r="J19" s="167">
        <f t="shared" si="1"/>
        <v>1</v>
      </c>
      <c r="K19" s="164">
        <f t="shared" si="2"/>
        <v>15.437299270072993</v>
      </c>
      <c r="L19" s="168">
        <f t="shared" si="3"/>
        <v>21700.548914270072</v>
      </c>
      <c r="M19" s="145"/>
      <c r="N19" s="163" t="s">
        <v>49</v>
      </c>
      <c r="O19" s="169">
        <v>969394</v>
      </c>
      <c r="P19" s="170">
        <v>0</v>
      </c>
      <c r="Q19" s="168">
        <f>IF(Calculation_RIS!L19=0,O19*P19,0)</f>
        <v>0</v>
      </c>
      <c r="R19" s="148"/>
      <c r="S19" s="171">
        <f>Calculation_RIS!L19+Q19</f>
        <v>21700.548914270072</v>
      </c>
    </row>
    <row r="20" spans="1:19" ht="15.75" customHeight="1">
      <c r="A20" s="152" t="s">
        <v>50</v>
      </c>
      <c r="B20" s="153">
        <f>(Salaires_bruts!B17*B$11)/1000</f>
        <v>20485.797387999999</v>
      </c>
      <c r="C20" s="153">
        <f>(Salaires_bruts!C17*C$11)/1000</f>
        <v>0</v>
      </c>
      <c r="D20" s="154">
        <f>(Salaires_bruts!D17*D$11)/1000</f>
        <v>0</v>
      </c>
      <c r="E20" s="153">
        <f>(Salaires_bruts!E17*E$11)/1000</f>
        <v>0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0</v>
      </c>
      <c r="J20" s="156">
        <f t="shared" si="1"/>
        <v>1</v>
      </c>
      <c r="K20" s="153">
        <f t="shared" si="2"/>
        <v>0</v>
      </c>
      <c r="L20" s="157">
        <f t="shared" si="3"/>
        <v>20485.797387999999</v>
      </c>
      <c r="M20" s="145"/>
      <c r="N20" s="152" t="s">
        <v>50</v>
      </c>
      <c r="O20" s="158">
        <v>519748.8</v>
      </c>
      <c r="P20" s="159">
        <v>0</v>
      </c>
      <c r="Q20" s="157">
        <f>IF(Calculation_RIS!L20=0,O20*P20,0)</f>
        <v>0</v>
      </c>
      <c r="R20" s="148"/>
      <c r="S20" s="160">
        <f>Calculation_RIS!L20+Q20</f>
        <v>20485.797387999999</v>
      </c>
    </row>
    <row r="21" spans="1:19" ht="15.75" customHeight="1">
      <c r="A21" s="163" t="s">
        <v>51</v>
      </c>
      <c r="B21" s="164">
        <f>(Salaires_bruts!B18*B$11)/1000</f>
        <v>74532.28688</v>
      </c>
      <c r="C21" s="164">
        <f>(Salaires_bruts!C18*C$11)/1000</f>
        <v>0</v>
      </c>
      <c r="D21" s="165">
        <f>(Salaires_bruts!D18*D$11)/1000</f>
        <v>0</v>
      </c>
      <c r="E21" s="164">
        <f>(Salaires_bruts!E18*E$11)/1000</f>
        <v>378.07177007299265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378.07177007299265</v>
      </c>
      <c r="J21" s="167">
        <f t="shared" si="1"/>
        <v>1</v>
      </c>
      <c r="K21" s="164">
        <f t="shared" si="2"/>
        <v>378.07177007299265</v>
      </c>
      <c r="L21" s="168">
        <f t="shared" si="3"/>
        <v>74910.358650072987</v>
      </c>
      <c r="M21" s="145"/>
      <c r="N21" s="163" t="s">
        <v>51</v>
      </c>
      <c r="O21" s="169">
        <v>3383087.2</v>
      </c>
      <c r="P21" s="170">
        <v>0</v>
      </c>
      <c r="Q21" s="168">
        <f>IF(Calculation_RIS!L21=0,O21*P21,0)</f>
        <v>0</v>
      </c>
      <c r="R21" s="148"/>
      <c r="S21" s="171">
        <f>Calculation_RIS!L21+Q21</f>
        <v>74910.358650072987</v>
      </c>
    </row>
    <row r="22" spans="1:19" ht="15.75" customHeight="1">
      <c r="A22" s="152" t="s">
        <v>52</v>
      </c>
      <c r="B22" s="153">
        <f>(Salaires_bruts!B19*B$11)/1000</f>
        <v>143216.44501249999</v>
      </c>
      <c r="C22" s="153">
        <f>(Salaires_bruts!C19*C$11)/1000</f>
        <v>0</v>
      </c>
      <c r="D22" s="154">
        <f>(Salaires_bruts!D19*D$11)/1000</f>
        <v>0</v>
      </c>
      <c r="E22" s="153">
        <f>(Salaires_bruts!E19*E$11)/1000</f>
        <v>0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0</v>
      </c>
      <c r="J22" s="156">
        <f t="shared" si="1"/>
        <v>1</v>
      </c>
      <c r="K22" s="153">
        <f t="shared" si="2"/>
        <v>0</v>
      </c>
      <c r="L22" s="157">
        <f t="shared" si="3"/>
        <v>143216.44501249999</v>
      </c>
      <c r="M22" s="145"/>
      <c r="N22" s="152" t="s">
        <v>52</v>
      </c>
      <c r="O22" s="158">
        <v>3770504.1</v>
      </c>
      <c r="P22" s="159">
        <v>0</v>
      </c>
      <c r="Q22" s="157">
        <f>IF(Calculation_RIS!L22=0,O22*P22,0)</f>
        <v>0</v>
      </c>
      <c r="R22" s="148"/>
      <c r="S22" s="160">
        <f>Calculation_RIS!L22+Q22</f>
        <v>143216.44501249999</v>
      </c>
    </row>
    <row r="23" spans="1:19" ht="15.75" customHeight="1">
      <c r="A23" s="163" t="s">
        <v>53</v>
      </c>
      <c r="B23" s="164">
        <f>(Salaires_bruts!B20*B$11)/1000</f>
        <v>78792.769009999989</v>
      </c>
      <c r="C23" s="164">
        <f>(Salaires_bruts!C20*C$11)/1000</f>
        <v>1191.0010300000001</v>
      </c>
      <c r="D23" s="165">
        <f>(Salaires_bruts!D20*D$11)/1000</f>
        <v>0</v>
      </c>
      <c r="E23" s="164">
        <f>(Salaires_bruts!E20*E$11)/1000</f>
        <v>2342.4175182481754</v>
      </c>
      <c r="F23" s="164">
        <f>(Salaires_bruts!F20*F$11)/1000</f>
        <v>0</v>
      </c>
      <c r="G23" s="164">
        <f>(Salaires_bruts!G20*G$11)/1000</f>
        <v>11161.400912408759</v>
      </c>
      <c r="H23" s="166">
        <f>(Salaires_bruts!H20*H$11)/1000</f>
        <v>0</v>
      </c>
      <c r="I23" s="164">
        <f t="shared" si="0"/>
        <v>14694.819460656934</v>
      </c>
      <c r="J23" s="167">
        <f t="shared" si="1"/>
        <v>1</v>
      </c>
      <c r="K23" s="164">
        <f t="shared" si="2"/>
        <v>14694.819460656934</v>
      </c>
      <c r="L23" s="168">
        <f t="shared" si="3"/>
        <v>93487.58847065692</v>
      </c>
      <c r="M23" s="145"/>
      <c r="N23" s="163" t="s">
        <v>53</v>
      </c>
      <c r="O23" s="169">
        <v>4040949.5</v>
      </c>
      <c r="P23" s="170">
        <v>0</v>
      </c>
      <c r="Q23" s="168">
        <f>IF(Calculation_RIS!L23=0,O23*P23,0)</f>
        <v>0</v>
      </c>
      <c r="R23" s="148"/>
      <c r="S23" s="171">
        <f>Calculation_RIS!L23+Q23</f>
        <v>93487.58847065692</v>
      </c>
    </row>
    <row r="24" spans="1:19" ht="15.75" customHeight="1">
      <c r="A24" s="152" t="s">
        <v>54</v>
      </c>
      <c r="B24" s="153">
        <f>(Salaires_bruts!B21*B$11)/1000</f>
        <v>199582.31623924998</v>
      </c>
      <c r="C24" s="153">
        <f>(Salaires_bruts!C21*C$11)/1000</f>
        <v>43113.511907499997</v>
      </c>
      <c r="D24" s="154">
        <f>(Salaires_bruts!D21*D$11)/1000</f>
        <v>0</v>
      </c>
      <c r="E24" s="153">
        <f>(Salaires_bruts!E21*E$11)/1000</f>
        <v>161446.227979927</v>
      </c>
      <c r="F24" s="153">
        <f>(Salaires_bruts!F21*F$11)/1000</f>
        <v>0</v>
      </c>
      <c r="G24" s="153">
        <f>(Salaires_bruts!G21*G$11)/1000</f>
        <v>232202.29927007301</v>
      </c>
      <c r="H24" s="155">
        <f>(Salaires_bruts!H21*H$11)/1000</f>
        <v>0</v>
      </c>
      <c r="I24" s="153">
        <f t="shared" si="0"/>
        <v>436762.03915750002</v>
      </c>
      <c r="J24" s="156">
        <f t="shared" si="1"/>
        <v>1</v>
      </c>
      <c r="K24" s="153">
        <f t="shared" si="2"/>
        <v>436762.03915750002</v>
      </c>
      <c r="L24" s="157">
        <f t="shared" si="3"/>
        <v>636344.35539675003</v>
      </c>
      <c r="M24" s="145"/>
      <c r="N24" s="152" t="s">
        <v>54</v>
      </c>
      <c r="O24" s="158">
        <v>3947982.7</v>
      </c>
      <c r="P24" s="159">
        <v>0</v>
      </c>
      <c r="Q24" s="157">
        <f>IF(Calculation_RIS!L24=0,O24*P24,0)</f>
        <v>0</v>
      </c>
      <c r="R24" s="148"/>
      <c r="S24" s="160">
        <f>Calculation_RIS!L24+Q24</f>
        <v>636344.35539675003</v>
      </c>
    </row>
    <row r="25" spans="1:19" ht="15.75" customHeight="1">
      <c r="A25" s="163" t="s">
        <v>55</v>
      </c>
      <c r="B25" s="164">
        <f>(Salaires_bruts!B22*B$11)/1000</f>
        <v>106570.18312999999</v>
      </c>
      <c r="C25" s="164">
        <f>(Salaires_bruts!C22*C$11)/1000</f>
        <v>13892.007555</v>
      </c>
      <c r="D25" s="165">
        <f>(Salaires_bruts!D22*D$11)/1000</f>
        <v>0</v>
      </c>
      <c r="E25" s="164">
        <f>(Salaires_bruts!E22*E$11)/1000</f>
        <v>60833.873430656931</v>
      </c>
      <c r="F25" s="164">
        <f>(Salaires_bruts!F22*F$11)/1000</f>
        <v>0</v>
      </c>
      <c r="G25" s="164">
        <f>(Salaires_bruts!G22*G$11)/1000</f>
        <v>135390.81810218978</v>
      </c>
      <c r="H25" s="166">
        <f>(Salaires_bruts!H22*H$11)/1000</f>
        <v>0</v>
      </c>
      <c r="I25" s="164">
        <f t="shared" si="0"/>
        <v>210116.6990878467</v>
      </c>
      <c r="J25" s="167">
        <f t="shared" si="1"/>
        <v>1</v>
      </c>
      <c r="K25" s="164">
        <f t="shared" si="2"/>
        <v>210116.6990878467</v>
      </c>
      <c r="L25" s="168">
        <f t="shared" si="3"/>
        <v>316686.88221784669</v>
      </c>
      <c r="M25" s="145"/>
      <c r="N25" s="163" t="s">
        <v>55</v>
      </c>
      <c r="O25" s="169">
        <v>5919824.7999999998</v>
      </c>
      <c r="P25" s="170">
        <v>0</v>
      </c>
      <c r="Q25" s="168">
        <f>IF(Calculation_RIS!L25=0,O25*P25,0)</f>
        <v>0</v>
      </c>
      <c r="R25" s="148"/>
      <c r="S25" s="171">
        <f>Calculation_RIS!L25+Q25</f>
        <v>316686.88221784669</v>
      </c>
    </row>
    <row r="26" spans="1:19" ht="15.75" customHeight="1">
      <c r="A26" s="152" t="s">
        <v>56</v>
      </c>
      <c r="B26" s="153">
        <f>(Salaires_bruts!B23*B$11)/1000</f>
        <v>61696.75363544999</v>
      </c>
      <c r="C26" s="153">
        <f>(Salaires_bruts!C23*C$11)/1000</f>
        <v>0</v>
      </c>
      <c r="D26" s="154">
        <f>(Salaires_bruts!D23*D$11)/1000</f>
        <v>5.4525547445255471</v>
      </c>
      <c r="E26" s="153">
        <f>(Salaires_bruts!E23*E$11)/1000</f>
        <v>42120.860058394166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42126.312613138689</v>
      </c>
      <c r="J26" s="156">
        <f t="shared" si="1"/>
        <v>1</v>
      </c>
      <c r="K26" s="153">
        <f t="shared" si="2"/>
        <v>42126.312613138689</v>
      </c>
      <c r="L26" s="157">
        <f t="shared" si="3"/>
        <v>103823.06624858867</v>
      </c>
      <c r="M26" s="145"/>
      <c r="N26" s="152" t="s">
        <v>56</v>
      </c>
      <c r="O26" s="158">
        <v>1149343</v>
      </c>
      <c r="P26" s="159">
        <v>0</v>
      </c>
      <c r="Q26" s="157">
        <f>IF(Calculation_RIS!L26=0,O26*P26,0)</f>
        <v>0</v>
      </c>
      <c r="R26" s="148"/>
      <c r="S26" s="160">
        <f>Calculation_RIS!L26+Q26</f>
        <v>103823.06624858867</v>
      </c>
    </row>
    <row r="27" spans="1:19" ht="15.75" customHeight="1">
      <c r="A27" s="163" t="s">
        <v>57</v>
      </c>
      <c r="B27" s="164">
        <f>(Salaires_bruts!B24*B$11)/1000</f>
        <v>21515.0059702</v>
      </c>
      <c r="C27" s="164">
        <f>(Salaires_bruts!C24*C$11)/1000</f>
        <v>405.73464774999997</v>
      </c>
      <c r="D27" s="165">
        <f>(Salaires_bruts!D24*D$11)/1000</f>
        <v>1137.0601423357664</v>
      </c>
      <c r="E27" s="164">
        <f>(Salaires_bruts!E24*E$11)/1000</f>
        <v>206.08302645985398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1748.8778165456204</v>
      </c>
      <c r="J27" s="167">
        <f t="shared" si="1"/>
        <v>1</v>
      </c>
      <c r="K27" s="164">
        <f t="shared" si="2"/>
        <v>1748.8778165456204</v>
      </c>
      <c r="L27" s="168">
        <f t="shared" si="3"/>
        <v>23263.88378674562</v>
      </c>
      <c r="M27" s="145"/>
      <c r="N27" s="163" t="s">
        <v>57</v>
      </c>
      <c r="O27" s="169">
        <v>837652</v>
      </c>
      <c r="P27" s="170">
        <v>0</v>
      </c>
      <c r="Q27" s="168">
        <f>IF(Calculation_RIS!L27=0,O27*P27,0)</f>
        <v>0</v>
      </c>
      <c r="R27" s="148"/>
      <c r="S27" s="171">
        <f>Calculation_RIS!L27+Q27</f>
        <v>23263.88378674562</v>
      </c>
    </row>
    <row r="28" spans="1:19" ht="15.75" customHeight="1">
      <c r="A28" s="152" t="s">
        <v>58</v>
      </c>
      <c r="B28" s="153">
        <f>(Salaires_bruts!B25*B$11)/1000</f>
        <v>5659.4481260000002</v>
      </c>
      <c r="C28" s="153">
        <f>(Salaires_bruts!C25*C$11)/1000</f>
        <v>0</v>
      </c>
      <c r="D28" s="154">
        <f>(Salaires_bruts!D25*D$11)/1000</f>
        <v>116.43249635036496</v>
      </c>
      <c r="E28" s="153">
        <f>(Salaires_bruts!E25*E$11)/1000</f>
        <v>92.492490875912409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208.92498722627738</v>
      </c>
      <c r="J28" s="156">
        <f t="shared" si="1"/>
        <v>1</v>
      </c>
      <c r="K28" s="153">
        <f t="shared" si="2"/>
        <v>208.92498722627738</v>
      </c>
      <c r="L28" s="157">
        <f t="shared" si="3"/>
        <v>5868.3731132262774</v>
      </c>
      <c r="M28" s="145"/>
      <c r="N28" s="152" t="s">
        <v>58</v>
      </c>
      <c r="O28" s="158">
        <v>235581</v>
      </c>
      <c r="P28" s="159">
        <v>0</v>
      </c>
      <c r="Q28" s="157">
        <f>IF(Calculation_RIS!L28=0,O28*P28,0)</f>
        <v>0</v>
      </c>
      <c r="R28" s="148"/>
      <c r="S28" s="160">
        <f>Calculation_RIS!L28+Q28</f>
        <v>5868.3731132262774</v>
      </c>
    </row>
    <row r="29" spans="1:19" ht="15.75" customHeight="1">
      <c r="A29" s="163" t="s">
        <v>59</v>
      </c>
      <c r="B29" s="164">
        <f>(Salaires_bruts!B26*B$11)/1000</f>
        <v>210481.49131014998</v>
      </c>
      <c r="C29" s="164">
        <f>(Salaires_bruts!C26*C$11)/1000</f>
        <v>13836.149052999999</v>
      </c>
      <c r="D29" s="165">
        <f>(Salaires_bruts!D26*D$11)/1000</f>
        <v>41406.625839416054</v>
      </c>
      <c r="E29" s="164">
        <f>(Salaires_bruts!E26*E$11)/1000</f>
        <v>6050.5091770072986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61293.284069423353</v>
      </c>
      <c r="J29" s="167">
        <f t="shared" si="1"/>
        <v>1</v>
      </c>
      <c r="K29" s="164">
        <f t="shared" si="2"/>
        <v>61293.284069423353</v>
      </c>
      <c r="L29" s="168">
        <f t="shared" si="3"/>
        <v>271774.77537957334</v>
      </c>
      <c r="M29" s="145"/>
      <c r="N29" s="163" t="s">
        <v>59</v>
      </c>
      <c r="O29" s="169">
        <v>6922976.9000000004</v>
      </c>
      <c r="P29" s="170">
        <v>0</v>
      </c>
      <c r="Q29" s="168">
        <f>IF(Calculation_RIS!L29=0,O29*P29,0)</f>
        <v>0</v>
      </c>
      <c r="R29" s="148"/>
      <c r="S29" s="171">
        <f>Calculation_RIS!L29+Q29</f>
        <v>271774.77537957334</v>
      </c>
    </row>
    <row r="30" spans="1:19" ht="15.75" customHeight="1">
      <c r="A30" s="152" t="s">
        <v>60</v>
      </c>
      <c r="B30" s="153">
        <f>(Salaires_bruts!B27*B$11)/1000</f>
        <v>232821.43062076339</v>
      </c>
      <c r="C30" s="153">
        <f>(Salaires_bruts!C27*C$11)/1000</f>
        <v>25810.277467200001</v>
      </c>
      <c r="D30" s="154">
        <f>(Salaires_bruts!D27*D$11)/1000</f>
        <v>2342.4326802919709</v>
      </c>
      <c r="E30" s="153">
        <f>(Salaires_bruts!E27*E$11)/1000</f>
        <v>13.334531386861313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20975.062301999998</v>
      </c>
      <c r="I30" s="153">
        <f t="shared" si="0"/>
        <v>49141.106980878831</v>
      </c>
      <c r="J30" s="156">
        <f t="shared" si="1"/>
        <v>1</v>
      </c>
      <c r="K30" s="153">
        <f t="shared" si="2"/>
        <v>49141.106980878831</v>
      </c>
      <c r="L30" s="157">
        <f t="shared" si="3"/>
        <v>281962.53760164219</v>
      </c>
      <c r="M30" s="145"/>
      <c r="N30" s="152" t="s">
        <v>60</v>
      </c>
      <c r="O30" s="158">
        <v>2970502.9</v>
      </c>
      <c r="P30" s="159">
        <v>0</v>
      </c>
      <c r="Q30" s="157">
        <f>IF(Calculation_RIS!L30=0,O30*P30,0)</f>
        <v>0</v>
      </c>
      <c r="R30" s="148"/>
      <c r="S30" s="160">
        <f>Calculation_RIS!L30+Q30</f>
        <v>281962.53760164219</v>
      </c>
    </row>
    <row r="31" spans="1:19" ht="15.75" customHeight="1">
      <c r="A31" s="163" t="s">
        <v>61</v>
      </c>
      <c r="B31" s="164">
        <f>(Salaires_bruts!B28*B$11)/1000</f>
        <v>314568.83758499997</v>
      </c>
      <c r="C31" s="164">
        <f>(Salaires_bruts!C28*C$11)/1000</f>
        <v>0</v>
      </c>
      <c r="D31" s="165">
        <f>(Salaires_bruts!D28*D$11)/1000</f>
        <v>0</v>
      </c>
      <c r="E31" s="164">
        <f>(Salaires_bruts!E28*E$11)/1000</f>
        <v>87098.433503649634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87098.433503649634</v>
      </c>
      <c r="J31" s="167">
        <f t="shared" si="1"/>
        <v>1</v>
      </c>
      <c r="K31" s="164">
        <f t="shared" si="2"/>
        <v>87098.433503649634</v>
      </c>
      <c r="L31" s="168">
        <f t="shared" si="3"/>
        <v>401667.27108864964</v>
      </c>
      <c r="M31" s="145"/>
      <c r="N31" s="163" t="s">
        <v>61</v>
      </c>
      <c r="O31" s="169">
        <v>10151335.5</v>
      </c>
      <c r="P31" s="170">
        <v>0</v>
      </c>
      <c r="Q31" s="168">
        <f>IF(Calculation_RIS!L31=0,O31*P31,0)</f>
        <v>0</v>
      </c>
      <c r="R31" s="148"/>
      <c r="S31" s="171">
        <f>Calculation_RIS!L31+Q31</f>
        <v>401667.27108864964</v>
      </c>
    </row>
    <row r="32" spans="1:19" ht="15.75" customHeight="1">
      <c r="A32" s="152" t="s">
        <v>62</v>
      </c>
      <c r="B32" s="153">
        <f>(Salaires_bruts!B29*B$11)/1000</f>
        <v>108957.156475</v>
      </c>
      <c r="C32" s="153">
        <f>(Salaires_bruts!C29*C$11)/1000</f>
        <v>2855.3074849999998</v>
      </c>
      <c r="D32" s="154">
        <f>(Salaires_bruts!D29*D$11)/1000</f>
        <v>1679.5813138686131</v>
      </c>
      <c r="E32" s="153">
        <f>(Salaires_bruts!E29*E$11)/1000</f>
        <v>28589.004525547443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33123.893324416058</v>
      </c>
      <c r="J32" s="156">
        <f t="shared" si="1"/>
        <v>1</v>
      </c>
      <c r="K32" s="153">
        <f t="shared" si="2"/>
        <v>33123.893324416058</v>
      </c>
      <c r="L32" s="157">
        <f t="shared" si="3"/>
        <v>142081.04979941604</v>
      </c>
      <c r="M32" s="145"/>
      <c r="N32" s="152" t="s">
        <v>62</v>
      </c>
      <c r="O32" s="158">
        <v>3488679.4</v>
      </c>
      <c r="P32" s="159">
        <v>0</v>
      </c>
      <c r="Q32" s="157">
        <f>IF(Calculation_RIS!L32=0,O32*P32,0)</f>
        <v>0</v>
      </c>
      <c r="R32" s="148"/>
      <c r="S32" s="160">
        <f>Calculation_RIS!L32+Q32</f>
        <v>142081.04979941604</v>
      </c>
    </row>
    <row r="33" spans="1:19" ht="15.75" customHeight="1">
      <c r="A33" s="163" t="s">
        <v>63</v>
      </c>
      <c r="B33" s="164">
        <f>(Salaires_bruts!B30*B$11)/1000</f>
        <v>274762.22226000001</v>
      </c>
      <c r="C33" s="164">
        <f>(Salaires_bruts!C30*C$11)/1000</f>
        <v>21633.941285000001</v>
      </c>
      <c r="D33" s="165">
        <f>(Salaires_bruts!D30*D$11)/1000</f>
        <v>0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419698.46126099996</v>
      </c>
      <c r="I33" s="164">
        <f t="shared" si="0"/>
        <v>441332.40254599997</v>
      </c>
      <c r="J33" s="167">
        <f t="shared" si="1"/>
        <v>1</v>
      </c>
      <c r="K33" s="164">
        <f t="shared" si="2"/>
        <v>441332.40254599997</v>
      </c>
      <c r="L33" s="168">
        <f t="shared" si="3"/>
        <v>716094.62480599992</v>
      </c>
      <c r="M33" s="145"/>
      <c r="N33" s="163" t="s">
        <v>63</v>
      </c>
      <c r="O33" s="169">
        <v>5267482.9000000004</v>
      </c>
      <c r="P33" s="170">
        <v>0</v>
      </c>
      <c r="Q33" s="168">
        <f>IF(Calculation_RIS!L33=0,O33*P33,0)</f>
        <v>0</v>
      </c>
      <c r="R33" s="148"/>
      <c r="S33" s="171">
        <f>Calculation_RIS!L33+Q33</f>
        <v>716094.62480599992</v>
      </c>
    </row>
    <row r="34" spans="1:19" ht="15.75" customHeight="1">
      <c r="A34" s="152" t="s">
        <v>64</v>
      </c>
      <c r="B34" s="153">
        <f>(Salaires_bruts!B31*B$11)/1000</f>
        <v>493958.95503374998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142857.27552645985</v>
      </c>
      <c r="H34" s="155">
        <f>(Salaires_bruts!H31*H$11)/1000</f>
        <v>0</v>
      </c>
      <c r="I34" s="153">
        <f t="shared" si="0"/>
        <v>142857.27552645985</v>
      </c>
      <c r="J34" s="156">
        <f t="shared" si="1"/>
        <v>1</v>
      </c>
      <c r="K34" s="153">
        <f t="shared" si="2"/>
        <v>142857.27552645985</v>
      </c>
      <c r="L34" s="157">
        <f t="shared" si="3"/>
        <v>636816.23056020983</v>
      </c>
      <c r="M34" s="145"/>
      <c r="N34" s="152" t="s">
        <v>64</v>
      </c>
      <c r="O34" s="158">
        <v>13528357.9589523</v>
      </c>
      <c r="P34" s="159">
        <v>0</v>
      </c>
      <c r="Q34" s="157">
        <f>IF(Calculation_RIS!L34=0,O34*P34,0)</f>
        <v>0</v>
      </c>
      <c r="R34" s="148"/>
      <c r="S34" s="160">
        <f>Calculation_RIS!L34+Q34</f>
        <v>636816.23056020983</v>
      </c>
    </row>
    <row r="35" spans="1:19" ht="15.75" customHeight="1">
      <c r="A35" s="163" t="s">
        <v>65</v>
      </c>
      <c r="B35" s="164">
        <f>(Salaires_bruts!B32*B$11)/1000</f>
        <v>241662.71663064999</v>
      </c>
      <c r="C35" s="164">
        <f>(Salaires_bruts!C32*C$11)/1000</f>
        <v>216.13021549999999</v>
      </c>
      <c r="D35" s="165">
        <f>(Salaires_bruts!D32*D$11)/1000</f>
        <v>0</v>
      </c>
      <c r="E35" s="164">
        <f>(Salaires_bruts!E32*E$11)/1000</f>
        <v>0</v>
      </c>
      <c r="F35" s="164">
        <f>(Salaires_bruts!F32*F$11)/1000</f>
        <v>0</v>
      </c>
      <c r="G35" s="164">
        <f>(Salaires_bruts!G32*G$11)/1000</f>
        <v>6883.2336416058397</v>
      </c>
      <c r="H35" s="166">
        <f>(Salaires_bruts!H32*H$11)/1000</f>
        <v>10352.760498599999</v>
      </c>
      <c r="I35" s="164">
        <f t="shared" si="0"/>
        <v>17452.124355705841</v>
      </c>
      <c r="J35" s="167">
        <f t="shared" si="1"/>
        <v>1</v>
      </c>
      <c r="K35" s="164">
        <f t="shared" si="2"/>
        <v>17452.124355705841</v>
      </c>
      <c r="L35" s="168">
        <f t="shared" si="3"/>
        <v>259114.84098635582</v>
      </c>
      <c r="M35" s="145"/>
      <c r="N35" s="163" t="s">
        <v>65</v>
      </c>
      <c r="O35" s="169">
        <v>4142252.2</v>
      </c>
      <c r="P35" s="170">
        <v>0</v>
      </c>
      <c r="Q35" s="168">
        <f>IF(Calculation_RIS!L35=0,O35*P35,0)</f>
        <v>0</v>
      </c>
      <c r="R35" s="148"/>
      <c r="S35" s="171">
        <f>Calculation_RIS!L35+Q35</f>
        <v>259114.84098635582</v>
      </c>
    </row>
    <row r="36" spans="1:19" ht="15.75" customHeight="1">
      <c r="A36" s="152" t="s">
        <v>66</v>
      </c>
      <c r="B36" s="153">
        <f>(Salaires_bruts!B33*B$11)/1000</f>
        <v>102723.89713669999</v>
      </c>
      <c r="C36" s="153">
        <f>(Salaires_bruts!C33*C$11)/1000</f>
        <v>154.45560054999999</v>
      </c>
      <c r="D36" s="154">
        <f>(Salaires_bruts!D33*D$11)/1000</f>
        <v>0</v>
      </c>
      <c r="E36" s="153">
        <f>(Salaires_bruts!E33*E$11)/1000</f>
        <v>0</v>
      </c>
      <c r="F36" s="153">
        <f>(Salaires_bruts!F33*F$11)/1000</f>
        <v>0</v>
      </c>
      <c r="G36" s="153">
        <f>(Salaires_bruts!G33*G$11)/1000</f>
        <v>64366.802080291971</v>
      </c>
      <c r="H36" s="155">
        <f>(Salaires_bruts!H33*H$11)/1000</f>
        <v>0</v>
      </c>
      <c r="I36" s="153">
        <f t="shared" si="0"/>
        <v>64521.257680841969</v>
      </c>
      <c r="J36" s="156">
        <f t="shared" si="1"/>
        <v>1</v>
      </c>
      <c r="K36" s="153">
        <f t="shared" si="2"/>
        <v>64521.257680841969</v>
      </c>
      <c r="L36" s="157">
        <f t="shared" si="3"/>
        <v>167245.15481754194</v>
      </c>
      <c r="M36" s="145"/>
      <c r="N36" s="152" t="s">
        <v>66</v>
      </c>
      <c r="O36" s="158">
        <v>2665811</v>
      </c>
      <c r="P36" s="159">
        <v>0</v>
      </c>
      <c r="Q36" s="157">
        <f>IF(Calculation_RIS!L36=0,O36*P36,0)</f>
        <v>0</v>
      </c>
      <c r="R36" s="148"/>
      <c r="S36" s="160">
        <f>Calculation_RIS!L36+Q36</f>
        <v>167245.15481754194</v>
      </c>
    </row>
    <row r="37" spans="1:19" ht="15.75" customHeight="1">
      <c r="A37" s="163" t="s">
        <v>67</v>
      </c>
      <c r="B37" s="164">
        <f>(Salaires_bruts!B34*B$11)/1000</f>
        <v>556214.13703500002</v>
      </c>
      <c r="C37" s="164">
        <f>(Salaires_bruts!C34*C$11)/1000</f>
        <v>0</v>
      </c>
      <c r="D37" s="165">
        <f>(Salaires_bruts!D34*D$11)/1000</f>
        <v>0</v>
      </c>
      <c r="E37" s="164">
        <f>(Salaires_bruts!E34*E$11)/1000</f>
        <v>0</v>
      </c>
      <c r="F37" s="164">
        <f>(Salaires_bruts!F34*F$11)/1000</f>
        <v>1253314.8757995255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1253314.8757995255</v>
      </c>
      <c r="J37" s="167">
        <f t="shared" si="1"/>
        <v>1</v>
      </c>
      <c r="K37" s="164">
        <f t="shared" si="2"/>
        <v>1253314.8757995255</v>
      </c>
      <c r="L37" s="168">
        <f t="shared" si="3"/>
        <v>1809529.0128345257</v>
      </c>
      <c r="M37" s="145"/>
      <c r="N37" s="163" t="s">
        <v>67</v>
      </c>
      <c r="O37" s="169">
        <v>10217334.800000001</v>
      </c>
      <c r="P37" s="170">
        <v>0</v>
      </c>
      <c r="Q37" s="168">
        <f>IF(Calculation_RIS!L37=0,O37*P37,0)</f>
        <v>0</v>
      </c>
      <c r="R37" s="148"/>
      <c r="S37" s="171">
        <f>Calculation_RIS!L37+Q37</f>
        <v>1809529.0128345257</v>
      </c>
    </row>
    <row r="38" spans="1:19" ht="15.75" customHeight="1">
      <c r="A38" s="172" t="s">
        <v>68</v>
      </c>
      <c r="B38" s="173">
        <f>(Salaires_bruts!B35*B$11)/1000</f>
        <v>21311.782595000001</v>
      </c>
      <c r="C38" s="173">
        <f>(Salaires_bruts!C35*C$11)/1000</f>
        <v>1903.8461150000001</v>
      </c>
      <c r="D38" s="174">
        <f>(Salaires_bruts!D35*D$11)/1000</f>
        <v>0</v>
      </c>
      <c r="E38" s="173">
        <f>(Salaires_bruts!E35*E$11)/1000</f>
        <v>110.48386861313868</v>
      </c>
      <c r="F38" s="173">
        <f>(Salaires_bruts!F35*F$11)/1000</f>
        <v>0</v>
      </c>
      <c r="G38" s="173">
        <f>(Salaires_bruts!G35*G$11)/1000</f>
        <v>42016.138850364958</v>
      </c>
      <c r="H38" s="175">
        <f>(Salaires_bruts!H35*H$11)/1000</f>
        <v>0</v>
      </c>
      <c r="I38" s="173">
        <f t="shared" si="0"/>
        <v>44030.468833978099</v>
      </c>
      <c r="J38" s="176">
        <f t="shared" si="1"/>
        <v>1</v>
      </c>
      <c r="K38" s="173">
        <f t="shared" si="2"/>
        <v>44030.468833978099</v>
      </c>
      <c r="L38" s="177">
        <f t="shared" si="3"/>
        <v>65342.251428978096</v>
      </c>
      <c r="M38" s="145"/>
      <c r="N38" s="172" t="s">
        <v>68</v>
      </c>
      <c r="O38" s="178">
        <v>850707.4</v>
      </c>
      <c r="P38" s="179">
        <v>0</v>
      </c>
      <c r="Q38" s="177">
        <f>IF(Calculation_RIS!L38=0,O38*P38,0)</f>
        <v>0</v>
      </c>
      <c r="R38" s="148"/>
      <c r="S38" s="180">
        <f>Calculation_RIS!L38+Q38</f>
        <v>65342.251428978096</v>
      </c>
    </row>
    <row r="39" spans="1:19" ht="15.75" customHeight="1">
      <c r="A39" s="181" t="s">
        <v>69</v>
      </c>
      <c r="B39" s="182">
        <f t="shared" ref="B39:I39" si="4">SUM(B13:B38)</f>
        <v>4911615.3154049134</v>
      </c>
      <c r="C39" s="182">
        <f t="shared" si="4"/>
        <v>138945.41632149997</v>
      </c>
      <c r="D39" s="183">
        <f t="shared" si="4"/>
        <v>46687.585027007292</v>
      </c>
      <c r="E39" s="182">
        <f t="shared" si="4"/>
        <v>439045.26510711672</v>
      </c>
      <c r="F39" s="182">
        <f t="shared" si="4"/>
        <v>1253314.8757995255</v>
      </c>
      <c r="G39" s="182">
        <f t="shared" si="4"/>
        <v>643643.34248923359</v>
      </c>
      <c r="H39" s="184">
        <f t="shared" si="4"/>
        <v>451026.28406159999</v>
      </c>
      <c r="I39" s="182">
        <f t="shared" si="4"/>
        <v>2972662.7688059835</v>
      </c>
      <c r="J39" s="185">
        <v>1</v>
      </c>
      <c r="K39" s="182">
        <f t="shared" si="2"/>
        <v>2972662.7688059835</v>
      </c>
      <c r="L39" s="186">
        <f t="shared" si="3"/>
        <v>7884278.0842108969</v>
      </c>
      <c r="M39" s="145"/>
      <c r="N39" s="181" t="s">
        <v>69</v>
      </c>
      <c r="O39" s="187">
        <f>SUM(O13:O38)</f>
        <v>137804175.85895231</v>
      </c>
      <c r="P39" s="188"/>
      <c r="Q39" s="186">
        <f>SUM(Q13:Q38)</f>
        <v>0</v>
      </c>
      <c r="R39" s="148"/>
      <c r="S39" s="189">
        <f>SUM(S13:S38)</f>
        <v>7884278.0842108969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2011-12-23T17:07:19Z</cp:lastPrinted>
  <dcterms:created xsi:type="dcterms:W3CDTF">2006-06-26T16:01:42Z</dcterms:created>
  <dcterms:modified xsi:type="dcterms:W3CDTF">2012-05-18T13:21:18Z</dcterms:modified>
</cp:coreProperties>
</file>