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25260" windowHeight="5565"/>
  </bookViews>
  <sheets>
    <sheet name="Info" sheetId="1" r:id="rId1"/>
    <sheet name="PotR" sheetId="2" r:id="rId2"/>
    <sheet name="Population" sheetId="3" r:id="rId3"/>
    <sheet name="Taux_de_croissance" sheetId="4" r:id="rId4"/>
    <sheet name="Dotation_PR" sheetId="5" r:id="rId5"/>
    <sheet name="Montants_versés" sheetId="6" r:id="rId6"/>
    <sheet name="Montants_reçus" sheetId="7" r:id="rId7"/>
    <sheet name="RFS" sheetId="8" r:id="rId8"/>
  </sheets>
  <definedNames>
    <definedName name="A">Dotation_PR!$D$25</definedName>
    <definedName name="B">Montants_reçus!$K$12</definedName>
    <definedName name="BEV">Montants_reçus!$C$6:$C$31</definedName>
    <definedName name="_xlnm.Print_Area">Montants_reçus!$A$1:$H$32</definedName>
    <definedName name="p">Montants_reçus!$K$5</definedName>
    <definedName name="RI">Montants_reçus!$B$6:$B$31</definedName>
    <definedName name="RI_26">Montants_reçus!$K$7</definedName>
    <definedName name="RI_MIN">Montants_reçus!$K$8</definedName>
    <definedName name="solver_adj">Montants_reçus!$K$5</definedName>
    <definedName name="solver_cvg">0.0001</definedName>
    <definedName name="solver_drv">1</definedName>
    <definedName name="solver_est">1</definedName>
    <definedName name="solver_itr">1000</definedName>
    <definedName name="solver_lhs1">Montants_reçus!$K$8</definedName>
    <definedName name="solver_lin">2</definedName>
    <definedName name="solver_neg">2</definedName>
    <definedName name="solver_num">1</definedName>
    <definedName name="solver_nwt">1</definedName>
    <definedName name="solver_opt">Montants_reçus!$K$6</definedName>
    <definedName name="solver_pre">0.00000000000001</definedName>
    <definedName name="solver_rel1">2</definedName>
    <definedName name="solver_rhs1">Montants_reçus!$K$7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RFS!$J$42</definedName>
    <definedName name="SUM">Montants_reçus!$D$32</definedName>
  </definedNames>
  <calcPr calcId="125725"/>
</workbook>
</file>

<file path=xl/calcChain.xml><?xml version="1.0" encoding="utf-8"?>
<calcChain xmlns="http://schemas.openxmlformats.org/spreadsheetml/2006/main">
  <c r="J40" i="8"/>
  <c r="J36"/>
  <c r="F8" i="3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7"/>
  <c r="F8" i="2"/>
  <c r="F9"/>
  <c r="E9" i="4" s="1"/>
  <c r="F10" i="2"/>
  <c r="F11"/>
  <c r="E11" i="4" s="1"/>
  <c r="F12" i="2"/>
  <c r="F13"/>
  <c r="E13" i="4" s="1"/>
  <c r="F14" i="2"/>
  <c r="F15"/>
  <c r="E15" i="4" s="1"/>
  <c r="F16" i="2"/>
  <c r="F17"/>
  <c r="E17" i="4" s="1"/>
  <c r="F18" i="2"/>
  <c r="F19"/>
  <c r="E19" i="4" s="1"/>
  <c r="F20" i="2"/>
  <c r="F21"/>
  <c r="E21" i="4" s="1"/>
  <c r="F22" i="2"/>
  <c r="F23"/>
  <c r="E23" i="4" s="1"/>
  <c r="F24" i="2"/>
  <c r="F25"/>
  <c r="E25" i="4" s="1"/>
  <c r="F26" i="2"/>
  <c r="F27"/>
  <c r="E27" i="4" s="1"/>
  <c r="F28" i="2"/>
  <c r="F29"/>
  <c r="E29" i="4" s="1"/>
  <c r="F30" i="2"/>
  <c r="F31"/>
  <c r="E31" i="4" s="1"/>
  <c r="F32" i="2"/>
  <c r="F7"/>
  <c r="G40" i="8"/>
  <c r="H39"/>
  <c r="H40" s="1"/>
  <c r="G39"/>
  <c r="F39"/>
  <c r="F40" s="1"/>
  <c r="A35"/>
  <c r="J1"/>
  <c r="A1"/>
  <c r="H2" i="7"/>
  <c r="A1"/>
  <c r="F2" i="6"/>
  <c r="A1"/>
  <c r="C15" i="5"/>
  <c r="C13"/>
  <c r="G4"/>
  <c r="D12" s="1"/>
  <c r="G3"/>
  <c r="B1"/>
  <c r="D33" i="4"/>
  <c r="E5"/>
  <c r="H5" s="1"/>
  <c r="D5"/>
  <c r="G5" s="1"/>
  <c r="C4"/>
  <c r="I2"/>
  <c r="B1"/>
  <c r="E33" i="3"/>
  <c r="D33"/>
  <c r="C33"/>
  <c r="F33"/>
  <c r="J41" i="8" s="1"/>
  <c r="F5" i="3"/>
  <c r="F1"/>
  <c r="B1"/>
  <c r="E33" i="2"/>
  <c r="D33"/>
  <c r="C33"/>
  <c r="G32"/>
  <c r="E32" i="4"/>
  <c r="G31" i="2"/>
  <c r="G30"/>
  <c r="E30" i="4"/>
  <c r="G29" i="2"/>
  <c r="G28"/>
  <c r="E28" i="4"/>
  <c r="G27" i="2"/>
  <c r="G26"/>
  <c r="E26" i="4"/>
  <c r="G25" i="2"/>
  <c r="G24"/>
  <c r="E24" i="4"/>
  <c r="G23" i="2"/>
  <c r="G22"/>
  <c r="E22" i="4"/>
  <c r="G21" i="2"/>
  <c r="G20"/>
  <c r="E20" i="4"/>
  <c r="G19" i="2"/>
  <c r="C19" i="6" s="1"/>
  <c r="G18" i="2"/>
  <c r="E18" i="4"/>
  <c r="G17" i="2"/>
  <c r="G16"/>
  <c r="E16" i="4"/>
  <c r="G15" i="2"/>
  <c r="C15" i="6" s="1"/>
  <c r="G14" i="2"/>
  <c r="E14" i="4"/>
  <c r="G13" i="2"/>
  <c r="G12"/>
  <c r="C12" i="6" s="1"/>
  <c r="E12" i="4"/>
  <c r="G11" i="2"/>
  <c r="G10"/>
  <c r="C10" i="6" s="1"/>
  <c r="E10" i="4"/>
  <c r="G9" i="2"/>
  <c r="G8"/>
  <c r="C8" i="6" s="1"/>
  <c r="E8" i="4"/>
  <c r="G7" i="2"/>
  <c r="E5"/>
  <c r="D5"/>
  <c r="C5"/>
  <c r="E4"/>
  <c r="D4"/>
  <c r="C4"/>
  <c r="I1"/>
  <c r="B1"/>
  <c r="A5" i="1"/>
  <c r="G33" i="2" l="1"/>
  <c r="C32" i="7" s="1"/>
  <c r="F33" i="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E7" i="4"/>
  <c r="C4" i="5"/>
  <c r="B23"/>
  <c r="D6" i="8"/>
  <c r="C6" i="7"/>
  <c r="D7" i="8"/>
  <c r="C7" i="7"/>
  <c r="D8" i="8"/>
  <c r="C8" i="7"/>
  <c r="D9" i="8"/>
  <c r="C9" i="7"/>
  <c r="D10" i="8"/>
  <c r="C10" i="7"/>
  <c r="D11" i="8"/>
  <c r="C11" i="7"/>
  <c r="D12" i="8"/>
  <c r="C12" i="7"/>
  <c r="D13" i="8"/>
  <c r="C13" i="7"/>
  <c r="C14" i="6"/>
  <c r="D14" i="8"/>
  <c r="C14" i="7"/>
  <c r="D15" i="8"/>
  <c r="C15" i="7"/>
  <c r="C16" i="6"/>
  <c r="D16" i="8"/>
  <c r="C16" i="7"/>
  <c r="D17" i="8"/>
  <c r="C17" i="7"/>
  <c r="C18" i="6"/>
  <c r="D18" i="8"/>
  <c r="C18" i="7"/>
  <c r="D19" i="8"/>
  <c r="C19" i="7"/>
  <c r="C20" i="6"/>
  <c r="D20" i="8"/>
  <c r="C21" i="6"/>
  <c r="C20" i="7"/>
  <c r="D21" i="8"/>
  <c r="C21" i="7"/>
  <c r="C22" i="6"/>
  <c r="D22" i="8"/>
  <c r="C23" i="6"/>
  <c r="C22" i="7"/>
  <c r="D23" i="8"/>
  <c r="C23" i="7"/>
  <c r="C24" i="6"/>
  <c r="D24" i="8"/>
  <c r="C25" i="6"/>
  <c r="C24" i="7"/>
  <c r="D25" i="8"/>
  <c r="C25" i="7"/>
  <c r="C26" i="6"/>
  <c r="D26" i="8"/>
  <c r="C27" i="6"/>
  <c r="C26" i="7"/>
  <c r="D27" i="8"/>
  <c r="C27" i="7"/>
  <c r="C28" i="6"/>
  <c r="D28" i="8"/>
  <c r="C29" i="6"/>
  <c r="C28" i="7"/>
  <c r="D29" i="8"/>
  <c r="C29" i="7"/>
  <c r="C30" i="6"/>
  <c r="D30" i="8"/>
  <c r="C31" i="6"/>
  <c r="C30" i="7"/>
  <c r="D31" i="8"/>
  <c r="C31" i="7"/>
  <c r="C32" i="6"/>
  <c r="C7"/>
  <c r="C9"/>
  <c r="C11"/>
  <c r="C13"/>
  <c r="C17"/>
  <c r="J42" i="8"/>
  <c r="H33" i="2" l="1"/>
  <c r="J43" i="8" s="1"/>
  <c r="J44" s="1"/>
  <c r="E33" i="4"/>
  <c r="D5" i="5" s="1"/>
  <c r="E5" s="1"/>
  <c r="C30" i="8"/>
  <c r="E30" s="1"/>
  <c r="C28"/>
  <c r="E28" s="1"/>
  <c r="C26"/>
  <c r="E26" s="1"/>
  <c r="C24"/>
  <c r="E24" s="1"/>
  <c r="C22"/>
  <c r="E22" s="1"/>
  <c r="C20"/>
  <c r="E20" s="1"/>
  <c r="C18"/>
  <c r="E18" s="1"/>
  <c r="C16"/>
  <c r="E16" s="1"/>
  <c r="C14"/>
  <c r="E14" s="1"/>
  <c r="C12"/>
  <c r="E12" s="1"/>
  <c r="C10"/>
  <c r="E10" s="1"/>
  <c r="C8"/>
  <c r="E8" s="1"/>
  <c r="C6"/>
  <c r="C33" i="6"/>
  <c r="B31" i="5"/>
  <c r="C12"/>
  <c r="I32" i="2"/>
  <c r="I30"/>
  <c r="I28"/>
  <c r="I26"/>
  <c r="I24"/>
  <c r="I22"/>
  <c r="I20"/>
  <c r="I18"/>
  <c r="I16"/>
  <c r="I14"/>
  <c r="I12"/>
  <c r="I10"/>
  <c r="I8"/>
  <c r="D32" i="8"/>
  <c r="C7" l="1"/>
  <c r="E7" s="1"/>
  <c r="C9"/>
  <c r="E9" s="1"/>
  <c r="C11"/>
  <c r="E11" s="1"/>
  <c r="C13"/>
  <c r="E13" s="1"/>
  <c r="C15"/>
  <c r="E15" s="1"/>
  <c r="C17"/>
  <c r="E17" s="1"/>
  <c r="C19"/>
  <c r="E19" s="1"/>
  <c r="C21"/>
  <c r="E21" s="1"/>
  <c r="C23"/>
  <c r="E23" s="1"/>
  <c r="C25"/>
  <c r="E25" s="1"/>
  <c r="C27"/>
  <c r="E27" s="1"/>
  <c r="C29"/>
  <c r="E29" s="1"/>
  <c r="C31"/>
  <c r="E31" s="1"/>
  <c r="I7" i="2"/>
  <c r="I9"/>
  <c r="B8" i="8" s="1"/>
  <c r="I11" i="2"/>
  <c r="I13"/>
  <c r="B12" i="8" s="1"/>
  <c r="I15" i="2"/>
  <c r="I17"/>
  <c r="B16" i="8" s="1"/>
  <c r="I19" i="2"/>
  <c r="I21"/>
  <c r="B20" i="8" s="1"/>
  <c r="I23" i="2"/>
  <c r="I25"/>
  <c r="B24" i="8" s="1"/>
  <c r="I27" i="2"/>
  <c r="I29"/>
  <c r="B28" i="8" s="1"/>
  <c r="I31" i="2"/>
  <c r="I33"/>
  <c r="B7" i="8"/>
  <c r="B7" i="7"/>
  <c r="B8" i="6"/>
  <c r="C8" i="4"/>
  <c r="B9" i="8"/>
  <c r="B9" i="7"/>
  <c r="B10" i="6"/>
  <c r="C10" i="4"/>
  <c r="B11" i="8"/>
  <c r="B11" i="7"/>
  <c r="B12" i="6"/>
  <c r="C12" i="4"/>
  <c r="B13" i="8"/>
  <c r="B13" i="7"/>
  <c r="B14" i="6"/>
  <c r="C14" i="4"/>
  <c r="B15" i="8"/>
  <c r="B15" i="7"/>
  <c r="C16" i="4"/>
  <c r="B16" i="6"/>
  <c r="B17" i="8"/>
  <c r="B17" i="7"/>
  <c r="B18" i="6"/>
  <c r="C18" i="4"/>
  <c r="B19" i="8"/>
  <c r="B20" i="6"/>
  <c r="B19" i="7"/>
  <c r="C20" i="4"/>
  <c r="B21" i="8"/>
  <c r="B22" i="6"/>
  <c r="B21" i="7"/>
  <c r="C22" i="4"/>
  <c r="B23" i="8"/>
  <c r="B24" i="6"/>
  <c r="B23" i="7"/>
  <c r="C24" i="4"/>
  <c r="B25" i="8"/>
  <c r="B26" i="6"/>
  <c r="B25" i="7"/>
  <c r="C26" i="4"/>
  <c r="B27" i="8"/>
  <c r="B28" i="6"/>
  <c r="B27" i="7"/>
  <c r="C28" i="4"/>
  <c r="B29" i="8"/>
  <c r="B30" i="6"/>
  <c r="B29" i="7"/>
  <c r="C30" i="4"/>
  <c r="B31" i="8"/>
  <c r="B32" i="6"/>
  <c r="B31" i="7"/>
  <c r="C32" i="4"/>
  <c r="E6" i="8"/>
  <c r="D24" i="5"/>
  <c r="D15"/>
  <c r="D13"/>
  <c r="B6" i="8"/>
  <c r="B6" i="7"/>
  <c r="C7" i="4"/>
  <c r="B7" i="6"/>
  <c r="B8" i="7"/>
  <c r="B9" i="6"/>
  <c r="B10" i="8"/>
  <c r="B10" i="7"/>
  <c r="C11" i="4"/>
  <c r="B11" i="6"/>
  <c r="B12" i="7"/>
  <c r="B13" i="6"/>
  <c r="B14" i="8"/>
  <c r="B14" i="7"/>
  <c r="B15" i="6"/>
  <c r="C15" i="4"/>
  <c r="B16" i="7"/>
  <c r="C17" i="4"/>
  <c r="B18" i="8"/>
  <c r="B18" i="7"/>
  <c r="B19" i="6"/>
  <c r="C19" i="4"/>
  <c r="B20" i="7"/>
  <c r="C21" i="4"/>
  <c r="B22" i="8"/>
  <c r="B22" i="7"/>
  <c r="B23" i="6"/>
  <c r="C23" i="4"/>
  <c r="B24" i="7"/>
  <c r="C25" i="4"/>
  <c r="B26" i="8"/>
  <c r="B26" i="7"/>
  <c r="B27" i="6"/>
  <c r="C27" i="4"/>
  <c r="B28" i="7"/>
  <c r="C29" i="4"/>
  <c r="B30" i="8"/>
  <c r="B30" i="7"/>
  <c r="B31" i="6"/>
  <c r="C31" i="4"/>
  <c r="B32" i="8" l="1"/>
  <c r="B33" i="6"/>
  <c r="B32" i="7"/>
  <c r="C33" i="4"/>
  <c r="B29" i="6"/>
  <c r="E29" s="1"/>
  <c r="F29" s="1"/>
  <c r="B25"/>
  <c r="B21"/>
  <c r="D21" s="1"/>
  <c r="B17"/>
  <c r="C13" i="4"/>
  <c r="G13" s="1"/>
  <c r="C9"/>
  <c r="C32" i="8"/>
  <c r="E32" s="1"/>
  <c r="J20" s="1"/>
  <c r="J12"/>
  <c r="H31" i="4"/>
  <c r="G31"/>
  <c r="D30" i="7"/>
  <c r="E30"/>
  <c r="F30" s="1"/>
  <c r="H29" i="4"/>
  <c r="G29"/>
  <c r="D28" i="7"/>
  <c r="H27" i="4"/>
  <c r="G27"/>
  <c r="D26" i="7"/>
  <c r="H25" i="4"/>
  <c r="G25"/>
  <c r="D24" i="7"/>
  <c r="H23" i="4"/>
  <c r="G23"/>
  <c r="D22" i="7"/>
  <c r="H21" i="4"/>
  <c r="G21"/>
  <c r="D20" i="7"/>
  <c r="H19" i="4"/>
  <c r="G19"/>
  <c r="D18" i="7"/>
  <c r="E18"/>
  <c r="F18" s="1"/>
  <c r="H17" i="4"/>
  <c r="G17"/>
  <c r="D16" i="7"/>
  <c r="H15" i="4"/>
  <c r="G15"/>
  <c r="D14" i="7"/>
  <c r="E14"/>
  <c r="F14" s="1"/>
  <c r="D13" i="6"/>
  <c r="D12" i="7"/>
  <c r="E12"/>
  <c r="F12" s="1"/>
  <c r="D11" i="6"/>
  <c r="D10" i="7"/>
  <c r="E10"/>
  <c r="F10" s="1"/>
  <c r="E9" i="6"/>
  <c r="F9" s="1"/>
  <c r="D9"/>
  <c r="D8" i="7"/>
  <c r="D7" i="6"/>
  <c r="K7" i="7"/>
  <c r="D6"/>
  <c r="K13"/>
  <c r="D31"/>
  <c r="D29"/>
  <c r="E27"/>
  <c r="F27" s="1"/>
  <c r="D27"/>
  <c r="D25"/>
  <c r="D23"/>
  <c r="D21"/>
  <c r="D19"/>
  <c r="D18" i="6"/>
  <c r="H16" i="4"/>
  <c r="G16"/>
  <c r="E14" i="6"/>
  <c r="F14" s="1"/>
  <c r="D14"/>
  <c r="D12"/>
  <c r="E12"/>
  <c r="F12" s="1"/>
  <c r="D10"/>
  <c r="E10"/>
  <c r="F10" s="1"/>
  <c r="D8"/>
  <c r="E8"/>
  <c r="F8" s="1"/>
  <c r="D31"/>
  <c r="D29"/>
  <c r="D27"/>
  <c r="E25"/>
  <c r="F25" s="1"/>
  <c r="D25"/>
  <c r="E23"/>
  <c r="F23" s="1"/>
  <c r="D23"/>
  <c r="E21"/>
  <c r="F21" s="1"/>
  <c r="D19"/>
  <c r="D17"/>
  <c r="E17"/>
  <c r="F17" s="1"/>
  <c r="D15"/>
  <c r="H13" i="4"/>
  <c r="H11"/>
  <c r="G11"/>
  <c r="H9"/>
  <c r="G9"/>
  <c r="H7"/>
  <c r="G7"/>
  <c r="B33" i="8"/>
  <c r="H32" i="4"/>
  <c r="G32"/>
  <c r="D32" i="6"/>
  <c r="E32"/>
  <c r="F32" s="1"/>
  <c r="H30" i="4"/>
  <c r="G30"/>
  <c r="D30" i="6"/>
  <c r="H28" i="4"/>
  <c r="G28"/>
  <c r="D28" i="6"/>
  <c r="H26" i="4"/>
  <c r="G26"/>
  <c r="D26" i="6"/>
  <c r="E26"/>
  <c r="F26" s="1"/>
  <c r="H24" i="4"/>
  <c r="G24"/>
  <c r="D24" i="6"/>
  <c r="E24"/>
  <c r="F24" s="1"/>
  <c r="H22" i="4"/>
  <c r="G22"/>
  <c r="D22" i="6"/>
  <c r="E22"/>
  <c r="F22" s="1"/>
  <c r="H20" i="4"/>
  <c r="G20"/>
  <c r="D20" i="6"/>
  <c r="H18" i="4"/>
  <c r="G18"/>
  <c r="E17" i="7"/>
  <c r="F17" s="1"/>
  <c r="D17"/>
  <c r="E16" i="6"/>
  <c r="F16" s="1"/>
  <c r="D16"/>
  <c r="D15" i="7"/>
  <c r="H14" i="4"/>
  <c r="G14"/>
  <c r="D13" i="7"/>
  <c r="H12" i="4"/>
  <c r="G12"/>
  <c r="D11" i="7"/>
  <c r="H10" i="4"/>
  <c r="G10"/>
  <c r="D9" i="7"/>
  <c r="H8" i="4"/>
  <c r="G8"/>
  <c r="D7" i="7"/>
  <c r="J31" i="8"/>
  <c r="J27"/>
  <c r="J23"/>
  <c r="J19"/>
  <c r="J15"/>
  <c r="J11"/>
  <c r="J7"/>
  <c r="J10" l="1"/>
  <c r="J8"/>
  <c r="J18"/>
  <c r="J26"/>
  <c r="J30"/>
  <c r="J14"/>
  <c r="J22"/>
  <c r="J28"/>
  <c r="J9"/>
  <c r="J13"/>
  <c r="J17"/>
  <c r="J21"/>
  <c r="J25"/>
  <c r="J29"/>
  <c r="J6"/>
  <c r="G33" i="4"/>
  <c r="J32" i="8"/>
  <c r="J16"/>
  <c r="J24"/>
  <c r="D33" i="6"/>
  <c r="H33" i="4"/>
  <c r="D32" i="7"/>
  <c r="D6" i="5" l="1"/>
  <c r="E6" s="1"/>
  <c r="D14" l="1"/>
  <c r="D25"/>
  <c r="E27" i="6" l="1"/>
  <c r="F27" s="1"/>
  <c r="E30"/>
  <c r="F30" s="1"/>
  <c r="E20"/>
  <c r="F20" s="1"/>
  <c r="E13"/>
  <c r="F13" s="1"/>
  <c r="F12" i="8" s="1"/>
  <c r="G12" s="1"/>
  <c r="H12" s="1"/>
  <c r="E11" i="6"/>
  <c r="F11" s="1"/>
  <c r="F10" i="8" s="1"/>
  <c r="G10" s="1"/>
  <c r="H10" s="1"/>
  <c r="E7" i="6"/>
  <c r="F7" s="1"/>
  <c r="D26" i="5"/>
  <c r="E15" i="6"/>
  <c r="F15" s="1"/>
  <c r="F14" i="8" s="1"/>
  <c r="G14" s="1"/>
  <c r="H14" s="1"/>
  <c r="E18" i="6"/>
  <c r="F18" s="1"/>
  <c r="F17" i="8" s="1"/>
  <c r="G17" s="1"/>
  <c r="H17" s="1"/>
  <c r="E31" i="6"/>
  <c r="F31" s="1"/>
  <c r="F30" i="8" s="1"/>
  <c r="G30" s="1"/>
  <c r="H30" s="1"/>
  <c r="E19" i="6"/>
  <c r="F19" s="1"/>
  <c r="F18" i="8" s="1"/>
  <c r="G18" s="1"/>
  <c r="H18" s="1"/>
  <c r="E28" i="6"/>
  <c r="F28" s="1"/>
  <c r="F27" i="8" s="1"/>
  <c r="G27" s="1"/>
  <c r="H27" s="1"/>
  <c r="G10" i="7" l="1"/>
  <c r="H10" s="1"/>
  <c r="G17"/>
  <c r="H17" s="1"/>
  <c r="F33" i="6"/>
  <c r="K12" i="7"/>
  <c r="E6" s="1"/>
  <c r="F6" s="1"/>
  <c r="G12"/>
  <c r="H12" s="1"/>
  <c r="G14"/>
  <c r="H14" s="1"/>
  <c r="G18"/>
  <c r="H18" s="1"/>
  <c r="G30"/>
  <c r="H30" s="1"/>
  <c r="G27"/>
  <c r="H27" s="1"/>
  <c r="F6" i="8" l="1"/>
  <c r="G6" s="1"/>
  <c r="H6" s="1"/>
  <c r="G6" i="7"/>
  <c r="H6" s="1"/>
  <c r="E28"/>
  <c r="F28" s="1"/>
  <c r="E24"/>
  <c r="F24" s="1"/>
  <c r="E20"/>
  <c r="F20" s="1"/>
  <c r="E16"/>
  <c r="F16" s="1"/>
  <c r="E8"/>
  <c r="F8" s="1"/>
  <c r="E26"/>
  <c r="F26" s="1"/>
  <c r="E22"/>
  <c r="F22" s="1"/>
  <c r="E31"/>
  <c r="F31" s="1"/>
  <c r="E29"/>
  <c r="F29" s="1"/>
  <c r="E25"/>
  <c r="F25" s="1"/>
  <c r="E23"/>
  <c r="F23" s="1"/>
  <c r="E21"/>
  <c r="F21" s="1"/>
  <c r="E19"/>
  <c r="F19" s="1"/>
  <c r="E15"/>
  <c r="F15" s="1"/>
  <c r="E13"/>
  <c r="F13" s="1"/>
  <c r="E11"/>
  <c r="F11" s="1"/>
  <c r="E7"/>
  <c r="F7" s="1"/>
  <c r="E9"/>
  <c r="F9" s="1"/>
  <c r="K8"/>
  <c r="K6" s="1"/>
  <c r="F9" i="8" l="1"/>
  <c r="G9" s="1"/>
  <c r="H9" s="1"/>
  <c r="G9" i="7"/>
  <c r="H9" s="1"/>
  <c r="F11" i="8"/>
  <c r="G11" s="1"/>
  <c r="H11" s="1"/>
  <c r="G11" i="7"/>
  <c r="H11" s="1"/>
  <c r="F15" i="8"/>
  <c r="G15" s="1"/>
  <c r="H15" s="1"/>
  <c r="G15" i="7"/>
  <c r="H15" s="1"/>
  <c r="F21" i="8"/>
  <c r="G21" s="1"/>
  <c r="H21" s="1"/>
  <c r="G21" i="7"/>
  <c r="H21" s="1"/>
  <c r="F25" i="8"/>
  <c r="G25" s="1"/>
  <c r="H25" s="1"/>
  <c r="G25" i="7"/>
  <c r="H25" s="1"/>
  <c r="F31" i="8"/>
  <c r="G31" s="1"/>
  <c r="H31" s="1"/>
  <c r="G31" i="7"/>
  <c r="H31" s="1"/>
  <c r="F26" i="8"/>
  <c r="G26" s="1"/>
  <c r="H26" s="1"/>
  <c r="G26" i="7"/>
  <c r="H26" s="1"/>
  <c r="F16" i="8"/>
  <c r="G16" s="1"/>
  <c r="H16" s="1"/>
  <c r="G16" i="7"/>
  <c r="H16" s="1"/>
  <c r="F24" i="8"/>
  <c r="G24" s="1"/>
  <c r="H24" s="1"/>
  <c r="G24" i="7"/>
  <c r="H24" s="1"/>
  <c r="F7" i="8"/>
  <c r="G7" s="1"/>
  <c r="H7" s="1"/>
  <c r="F32" i="7"/>
  <c r="G7"/>
  <c r="H7" s="1"/>
  <c r="F13" i="8"/>
  <c r="G13" s="1"/>
  <c r="H13" s="1"/>
  <c r="G13" i="7"/>
  <c r="H13" s="1"/>
  <c r="F19" i="8"/>
  <c r="G19" s="1"/>
  <c r="H19" s="1"/>
  <c r="G19" i="7"/>
  <c r="H19" s="1"/>
  <c r="F23" i="8"/>
  <c r="G23" s="1"/>
  <c r="H23" s="1"/>
  <c r="G23" i="7"/>
  <c r="H23" s="1"/>
  <c r="F29" i="8"/>
  <c r="G29" s="1"/>
  <c r="H29" s="1"/>
  <c r="G29" i="7"/>
  <c r="H29" s="1"/>
  <c r="F22" i="8"/>
  <c r="G22" s="1"/>
  <c r="H22" s="1"/>
  <c r="G22" i="7"/>
  <c r="H22" s="1"/>
  <c r="F8" i="8"/>
  <c r="G8" s="1"/>
  <c r="H8" s="1"/>
  <c r="G8" i="7"/>
  <c r="H8" s="1"/>
  <c r="F20" i="8"/>
  <c r="G20" s="1"/>
  <c r="H20" s="1"/>
  <c r="G20" i="7"/>
  <c r="H20" s="1"/>
  <c r="F28" i="8"/>
  <c r="G28" s="1"/>
  <c r="H28" s="1"/>
  <c r="G28" i="7"/>
  <c r="H28" s="1"/>
  <c r="H32" l="1"/>
  <c r="G32"/>
  <c r="H33" i="8"/>
</calcChain>
</file>

<file path=xl/sharedStrings.xml><?xml version="1.0" encoding="utf-8"?>
<sst xmlns="http://schemas.openxmlformats.org/spreadsheetml/2006/main" count="389" uniqueCount="140">
  <si>
    <t>Péréquation des ressources</t>
  </si>
  <si>
    <t>(PR)</t>
  </si>
  <si>
    <t>Feuille d'excel</t>
  </si>
  <si>
    <t>Contenu</t>
  </si>
  <si>
    <t>PotR</t>
  </si>
  <si>
    <t>Potentiel de ressources et Indice de ressources</t>
  </si>
  <si>
    <t>Population</t>
  </si>
  <si>
    <t>Population déterminante</t>
  </si>
  <si>
    <t>Taux_de_croissance</t>
  </si>
  <si>
    <t>Croissance du potentiel de ressources</t>
  </si>
  <si>
    <t>Dotation_PR</t>
  </si>
  <si>
    <t>Progression des dotations de la péréquation des ressources</t>
  </si>
  <si>
    <t>Montants_versés</t>
  </si>
  <si>
    <t>Montants versés par les cantons à fort potentiel de ressources</t>
  </si>
  <si>
    <t>Montants_reçus</t>
  </si>
  <si>
    <t>Montants reçus par les cantons à faible potentiel de ressources</t>
  </si>
  <si>
    <t>RFS</t>
  </si>
  <si>
    <t>Recette fiscale standardisée et Taux fiscal standardisé</t>
  </si>
  <si>
    <t>Informations</t>
  </si>
  <si>
    <t>Environnement</t>
  </si>
  <si>
    <t>Produktion</t>
  </si>
  <si>
    <t>Type</t>
  </si>
  <si>
    <t>Test</t>
  </si>
  <si>
    <t>WS</t>
  </si>
  <si>
    <t>FA_2008_20120424</t>
  </si>
  <si>
    <t>SWS</t>
  </si>
  <si>
    <t>RA_2008_20120424</t>
  </si>
  <si>
    <t>AnRef</t>
  </si>
  <si>
    <t>Colonne</t>
  </si>
  <si>
    <t>C</t>
  </si>
  <si>
    <t>D</t>
  </si>
  <si>
    <t>E</t>
  </si>
  <si>
    <t>F</t>
  </si>
  <si>
    <t>G</t>
  </si>
  <si>
    <t>H</t>
  </si>
  <si>
    <t>I</t>
  </si>
  <si>
    <t>Formule</t>
  </si>
  <si>
    <t>F / G * 1000</t>
  </si>
  <si>
    <t>H / H[total] * 100</t>
  </si>
  <si>
    <t>Potentiel de ressources</t>
  </si>
  <si>
    <t>Potentiel de ressources par habitant</t>
  </si>
  <si>
    <t>Indice de ressources</t>
  </si>
  <si>
    <t>Source de données</t>
  </si>
  <si>
    <t>Unité</t>
  </si>
  <si>
    <t>CHF 1'000</t>
  </si>
  <si>
    <t>Personnes</t>
  </si>
  <si>
    <t>CHF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</si>
  <si>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</si>
  <si>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</si>
  <si>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</si>
  <si>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</si>
  <si>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</si>
  <si>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</si>
  <si>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</si>
  <si>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</si>
  <si>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</si>
  <si>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</si>
  <si>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</si>
  <si>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</si>
  <si>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</si>
  <si>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</si>
  <si>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</si>
  <si>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</si>
  <si>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</si>
  <si>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</si>
  <si>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</si>
  <si>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</si>
  <si>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</si>
  <si>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</si>
  <si>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</si>
  <si>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</si>
  <si>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</si>
  <si>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</si>
  <si>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</si>
  <si>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Population moyenne</t>
  </si>
  <si>
    <t>Source des données</t>
  </si>
  <si>
    <t>OFS</t>
  </si>
  <si>
    <t>Potentiel de ressources de tous les cantons</t>
  </si>
  <si>
    <t>Potentiel de ressources des cantons
à fortes ressources</t>
  </si>
  <si>
    <t>Taux de croissance</t>
  </si>
  <si>
    <t>Points</t>
  </si>
  <si>
    <t>%</t>
  </si>
  <si>
    <t>en CHF</t>
  </si>
  <si>
    <t>Dotations selon la progression</t>
  </si>
  <si>
    <t>Croissance</t>
  </si>
  <si>
    <t>Progression ordinaire</t>
  </si>
  <si>
    <t>Adaptation de la dotation</t>
  </si>
  <si>
    <t>Comp. verticale des ressources</t>
  </si>
  <si>
    <t>Comp. horizontale des ressources</t>
  </si>
  <si>
    <t>Fourchette CHR</t>
  </si>
  <si>
    <t>Limite supérieure (80% de la CVR)</t>
  </si>
  <si>
    <t>CHR en % de la CVR</t>
  </si>
  <si>
    <t>Limite inférieure (2/3 de la CVR)</t>
  </si>
  <si>
    <t>CHR: compensation horizontale des ressources</t>
  </si>
  <si>
    <t>CVR: compensation verticale des ressources</t>
  </si>
  <si>
    <t>Compensation totale des ressources</t>
  </si>
  <si>
    <t>* Après adaptation de la dotation</t>
  </si>
  <si>
    <t>B</t>
  </si>
  <si>
    <t>(B - 100) * C</t>
  </si>
  <si>
    <t>Dotation/D[total]*(B-100)</t>
  </si>
  <si>
    <t>E * C</t>
  </si>
  <si>
    <t>Somme des écarts pondérés</t>
  </si>
  <si>
    <t>Contribution par habitant</t>
  </si>
  <si>
    <t>Contribution</t>
  </si>
  <si>
    <t>dont compensation horizontale des ressources</t>
  </si>
  <si>
    <t>dont compensation verticale des ressources</t>
  </si>
  <si>
    <t>Itération de "p"</t>
  </si>
  <si>
    <t>Persones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</si>
  <si>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</si>
  <si>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</si>
  <si>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</si>
  <si>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</si>
  <si>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</si>
  <si>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</si>
  <si>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</si>
  <si>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</si>
  <si>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</si>
  <si>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Recette fiscale standardisée</t>
  </si>
  <si>
    <t>Recette fiscale standardisée par habitant  avant la compensation</t>
  </si>
  <si>
    <t>Compensation des ressources par habitant</t>
  </si>
  <si>
    <t>Recette fiscale standardisée par habitant  après la compensation</t>
  </si>
  <si>
    <t>Indice RFS après la compensation</t>
  </si>
  <si>
    <t>Différence RFS par habitant avant la compensation par rapport à la moyenne suisse</t>
  </si>
  <si>
    <t>Suisse</t>
  </si>
  <si>
    <t>Minimum</t>
  </si>
  <si>
    <t>A   Recettes fiscales des cantons et communes</t>
  </si>
  <si>
    <t>B   Recettes de l'impôt fédéral direct (IFD)</t>
  </si>
  <si>
    <t>C   17 % de part cantonale à l'IFD</t>
  </si>
  <si>
    <t>0,17 * B</t>
  </si>
  <si>
    <t>D   Total des recettes fiscales standardisées (RFS)</t>
  </si>
  <si>
    <t>A + C</t>
  </si>
  <si>
    <t>E   Population déterminante</t>
  </si>
  <si>
    <t>F   Recette fiscale standardisée (RFS) par habitant</t>
  </si>
  <si>
    <t>D / E * 1000</t>
  </si>
  <si>
    <t>G   Potentiel de ressources par habitant</t>
  </si>
  <si>
    <t>H   Taux fiscal standardisé (TFS)</t>
  </si>
  <si>
    <t>F / G</t>
  </si>
  <si>
    <t>(D + E) / 2</t>
  </si>
  <si>
    <t/>
  </si>
  <si>
    <t xml:space="preserve"> 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</si>
</sst>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19" fillId="0" borderId="0" xfId="0" applyFont="1" applyFill="1"/>
    <xf numFmtId="0" fontId="6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1" fontId="21" fillId="0" borderId="8" xfId="0" applyNumberFormat="1" applyFont="1" applyFill="1" applyBorder="1" applyAlignment="1" applyProtection="1">
      <alignment horizontal="left" vertical="top"/>
      <protection locked="0"/>
    </xf>
    <xf numFmtId="0" fontId="17" fillId="0" borderId="9" xfId="0" applyFont="1" applyFill="1" applyBorder="1"/>
    <xf numFmtId="0" fontId="0" fillId="0" borderId="0" xfId="0" applyFont="1" applyFill="1" applyAlignment="1">
      <alignment vertical="top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1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5" xfId="0" applyFont="1" applyFill="1" applyBorder="1"/>
    <xf numFmtId="0" fontId="1" fillId="0" borderId="9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0" fillId="0" borderId="15" xfId="0" applyFont="1" applyFill="1" applyBorder="1"/>
    <xf numFmtId="3" fontId="5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4" fontId="1" fillId="0" borderId="13" xfId="0" applyNumberFormat="1" applyFont="1" applyFill="1" applyBorder="1"/>
    <xf numFmtId="0" fontId="16" fillId="0" borderId="0" xfId="0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0" fillId="0" borderId="0" xfId="0" applyFont="1" applyFill="1" applyBorder="1"/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17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5" fillId="0" borderId="24" xfId="0" applyNumberFormat="1" applyFont="1" applyFill="1" applyBorder="1" applyProtection="1">
      <protection locked="0"/>
    </xf>
    <xf numFmtId="3" fontId="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5" fillId="3" borderId="26" xfId="0" applyNumberFormat="1" applyFont="1" applyFill="1" applyBorder="1" applyProtection="1">
      <protection locked="0"/>
    </xf>
    <xf numFmtId="3" fontId="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5" fillId="0" borderId="26" xfId="0" applyNumberFormat="1" applyFont="1" applyFill="1" applyBorder="1" applyProtection="1">
      <protection locked="0"/>
    </xf>
    <xf numFmtId="3" fontId="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0" fontId="1" fillId="0" borderId="0" xfId="0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164" fontId="2" fillId="0" borderId="9" xfId="0" applyNumberFormat="1" applyFont="1" applyFill="1" applyBorder="1"/>
    <xf numFmtId="165" fontId="5" fillId="0" borderId="24" xfId="0" applyNumberFormat="1" applyFont="1" applyFill="1" applyBorder="1" applyAlignment="1" applyProtection="1">
      <alignment horizontal="right"/>
      <protection locked="0"/>
    </xf>
    <xf numFmtId="165" fontId="0" fillId="0" borderId="9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2" fillId="3" borderId="0" xfId="0" applyNumberFormat="1" applyFont="1" applyFill="1" applyBorder="1"/>
    <xf numFmtId="165" fontId="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2" fillId="0" borderId="0" xfId="0" applyNumberFormat="1" applyFont="1" applyFill="1" applyBorder="1"/>
    <xf numFmtId="165" fontId="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2" fillId="3" borderId="19" xfId="0" applyNumberFormat="1" applyFont="1" applyFill="1" applyBorder="1"/>
    <xf numFmtId="165" fontId="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2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2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3" xfId="0" applyNumberFormat="1" applyFont="1" applyFill="1" applyBorder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/>
    <xf numFmtId="0" fontId="1" fillId="3" borderId="11" xfId="0" applyFont="1" applyFill="1" applyBorder="1"/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6" fontId="0" fillId="0" borderId="9" xfId="0" applyNumberFormat="1" applyFont="1" applyFill="1" applyBorder="1"/>
    <xf numFmtId="3" fontId="1" fillId="0" borderId="14" xfId="0" applyNumberFormat="1" applyFont="1" applyFill="1" applyBorder="1"/>
    <xf numFmtId="3" fontId="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9" xfId="0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0" fillId="5" borderId="11" xfId="0" applyFont="1" applyFill="1" applyBorder="1"/>
    <xf numFmtId="0" fontId="11" fillId="5" borderId="12" xfId="0" applyFont="1" applyFill="1" applyBorder="1"/>
    <xf numFmtId="0" fontId="10" fillId="5" borderId="13" xfId="0" applyFont="1" applyFill="1" applyBorder="1" applyAlignment="1">
      <alignment horizontal="center"/>
    </xf>
    <xf numFmtId="0" fontId="12" fillId="4" borderId="36" xfId="0" applyFont="1" applyFill="1" applyBorder="1"/>
    <xf numFmtId="0" fontId="12" fillId="4" borderId="0" xfId="0" applyFont="1" applyFill="1" applyBorder="1"/>
    <xf numFmtId="3" fontId="13" fillId="4" borderId="16" xfId="0" applyNumberFormat="1" applyFont="1" applyFill="1" applyBorder="1"/>
    <xf numFmtId="0" fontId="12" fillId="4" borderId="11" xfId="0" applyFont="1" applyFill="1" applyBorder="1"/>
    <xf numFmtId="0" fontId="12" fillId="4" borderId="12" xfId="0" applyFont="1" applyFill="1" applyBorder="1"/>
    <xf numFmtId="3" fontId="13" fillId="4" borderId="13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6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17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169" fontId="14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6" xfId="0" applyNumberFormat="1" applyFont="1" applyFill="1" applyBorder="1" applyAlignment="1">
      <alignment vertical="center"/>
    </xf>
    <xf numFmtId="164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7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167" fontId="9" fillId="0" borderId="9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9" xfId="0" applyNumberFormat="1" applyFont="1" applyFill="1" applyBorder="1"/>
    <xf numFmtId="3" fontId="0" fillId="0" borderId="9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1" xfId="0" applyFont="1" applyFill="1" applyBorder="1"/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0" fontId="18" fillId="0" borderId="39" xfId="0" applyFont="1" applyFill="1" applyBorder="1" applyAlignment="1">
      <alignment horizontal="right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5" fillId="0" borderId="11" xfId="0" applyNumberFormat="1" applyFont="1" applyFill="1" applyBorder="1" applyAlignment="1" applyProtection="1">
      <alignment horizontal="right"/>
      <protection locked="0"/>
    </xf>
    <xf numFmtId="3" fontId="5" fillId="0" borderId="12" xfId="0" applyNumberFormat="1" applyFont="1" applyFill="1" applyBorder="1" applyAlignment="1" applyProtection="1">
      <alignment horizontal="right"/>
      <protection locked="0"/>
    </xf>
    <xf numFmtId="3" fontId="5" fillId="0" borderId="13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9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2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1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20.28515625" style="2" customWidth="1"/>
    <col min="2" max="2" width="11.42578125" style="2" customWidth="1"/>
    <col min="3" max="3" width="22" style="2" customWidth="1"/>
    <col min="4" max="5" width="12.85546875" style="2" customWidth="1"/>
    <col min="6" max="6" width="11.42578125" style="2" customWidth="1"/>
    <col min="7" max="16384" width="11.42578125" style="2"/>
  </cols>
  <sheetData>
    <row r="1" spans="1:5" ht="27.75" customHeight="1">
      <c r="A1" s="299" t="s">
        <v>0</v>
      </c>
      <c r="B1" s="299"/>
      <c r="C1" s="299"/>
      <c r="D1" s="299"/>
      <c r="E1" s="299"/>
    </row>
    <row r="2" spans="1:5" ht="27.75" customHeight="1">
      <c r="A2" s="299" t="s">
        <v>1</v>
      </c>
      <c r="B2" s="299"/>
      <c r="C2" s="299"/>
      <c r="D2" s="299"/>
      <c r="E2" s="299"/>
    </row>
    <row r="3" spans="1:5" ht="24.75" customHeight="1">
      <c r="A3" s="3"/>
      <c r="B3" s="3"/>
      <c r="C3" s="3"/>
      <c r="D3" s="3"/>
      <c r="E3" s="3"/>
    </row>
    <row r="4" spans="1:5" ht="18" customHeight="1">
      <c r="A4" s="4"/>
      <c r="B4" s="4"/>
      <c r="C4" s="4"/>
      <c r="D4" s="4"/>
      <c r="E4" s="4"/>
    </row>
    <row r="5" spans="1:5" ht="18" customHeight="1">
      <c r="A5" s="300" t="str">
        <f>"Année de référence "&amp;C30</f>
        <v>Année de référence 2008</v>
      </c>
      <c r="B5" s="300"/>
      <c r="C5" s="300"/>
      <c r="D5" s="300"/>
      <c r="E5" s="300"/>
    </row>
    <row r="11" spans="1:5">
      <c r="A11" s="5" t="s">
        <v>2</v>
      </c>
      <c r="B11" s="5" t="s">
        <v>3</v>
      </c>
      <c r="C11" s="6"/>
      <c r="D11" s="6"/>
      <c r="E11" s="7"/>
    </row>
    <row r="12" spans="1:5">
      <c r="A12" s="8" t="s">
        <v>4</v>
      </c>
      <c r="B12" s="8" t="s">
        <v>5</v>
      </c>
      <c r="C12" s="9"/>
      <c r="D12" s="9"/>
      <c r="E12" s="10"/>
    </row>
    <row r="13" spans="1:5">
      <c r="A13" s="8" t="s">
        <v>6</v>
      </c>
      <c r="B13" s="8" t="s">
        <v>7</v>
      </c>
      <c r="C13" s="9"/>
      <c r="D13" s="9"/>
      <c r="E13" s="10"/>
    </row>
    <row r="14" spans="1:5">
      <c r="A14" s="8" t="s">
        <v>8</v>
      </c>
      <c r="B14" s="8" t="s">
        <v>9</v>
      </c>
      <c r="C14" s="9"/>
      <c r="D14" s="9"/>
      <c r="E14" s="10"/>
    </row>
    <row r="15" spans="1:5">
      <c r="A15" s="8" t="s">
        <v>10</v>
      </c>
      <c r="B15" s="8" t="s">
        <v>11</v>
      </c>
      <c r="C15" s="9"/>
      <c r="D15" s="9"/>
      <c r="E15" s="10"/>
    </row>
    <row r="16" spans="1:5">
      <c r="A16" s="8" t="s">
        <v>12</v>
      </c>
      <c r="B16" s="8" t="s">
        <v>13</v>
      </c>
      <c r="C16" s="9"/>
      <c r="D16" s="9"/>
      <c r="E16" s="10"/>
    </row>
    <row r="17" spans="1:5">
      <c r="A17" s="11" t="s">
        <v>14</v>
      </c>
      <c r="B17" s="8" t="s">
        <v>15</v>
      </c>
      <c r="C17" s="9"/>
      <c r="D17" s="9"/>
      <c r="E17" s="10"/>
    </row>
    <row r="18" spans="1:5">
      <c r="A18" s="11" t="s">
        <v>16</v>
      </c>
      <c r="B18" s="9" t="s">
        <v>17</v>
      </c>
      <c r="C18" s="9"/>
      <c r="D18" s="9"/>
      <c r="E18" s="10"/>
    </row>
    <row r="25" spans="1:5">
      <c r="B25" s="12" t="s">
        <v>18</v>
      </c>
      <c r="C25" s="13"/>
    </row>
    <row r="26" spans="1:5">
      <c r="B26" s="14" t="s">
        <v>19</v>
      </c>
      <c r="C26" s="15" t="s">
        <v>20</v>
      </c>
    </row>
    <row r="27" spans="1:5">
      <c r="B27" s="14" t="s">
        <v>21</v>
      </c>
      <c r="C27" s="16" t="s">
        <v>22</v>
      </c>
    </row>
    <row r="28" spans="1:5">
      <c r="B28" s="14" t="s">
        <v>23</v>
      </c>
      <c r="C28" s="16" t="s">
        <v>24</v>
      </c>
    </row>
    <row r="29" spans="1:5">
      <c r="B29" s="14" t="s">
        <v>25</v>
      </c>
      <c r="C29" s="16" t="s">
        <v>26</v>
      </c>
    </row>
    <row r="30" spans="1:5">
      <c r="B30" s="14" t="s">
        <v>27</v>
      </c>
      <c r="C30" s="17">
        <v>2008</v>
      </c>
    </row>
    <row r="31" spans="1:5">
      <c r="B31" s="18"/>
    </row>
  </sheetData>
  <mergeCells count="3">
    <mergeCell ref="A2:E2"/>
    <mergeCell ref="A1:E1"/>
    <mergeCell ref="A5:E5"/>
  </mergeCells>
  <conditionalFormatting sqref="C26:C30">
    <cfRule type="expression" dxfId="1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6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19" customWidth="1"/>
    <col min="2" max="5" width="16.42578125" style="2" customWidth="1"/>
    <col min="6" max="9" width="17.5703125" style="2" customWidth="1"/>
  </cols>
  <sheetData>
    <row r="1" spans="1:9" ht="39.75" customHeight="1">
      <c r="B1" s="20" t="str">
        <f>"Potentiel de ressources "&amp;Info!C30</f>
        <v>Potentiel de ressources 2008</v>
      </c>
      <c r="C1" s="20"/>
      <c r="D1" s="20"/>
      <c r="E1" s="21"/>
      <c r="F1" s="21"/>
      <c r="G1" s="21"/>
      <c r="H1" s="22"/>
      <c r="I1" s="23" t="str">
        <f>Info!$C$28</f>
        <v>FA_2008_20120424</v>
      </c>
    </row>
    <row r="2" spans="1:9" s="2" customFormat="1">
      <c r="A2" s="19"/>
      <c r="B2" s="24" t="s">
        <v>28</v>
      </c>
      <c r="C2" s="25" t="s">
        <v>29</v>
      </c>
      <c r="D2" s="25" t="s">
        <v>30</v>
      </c>
      <c r="E2" s="25" t="s">
        <v>31</v>
      </c>
      <c r="F2" s="25" t="s">
        <v>32</v>
      </c>
      <c r="G2" s="25" t="s">
        <v>33</v>
      </c>
      <c r="H2" s="25" t="s">
        <v>34</v>
      </c>
      <c r="I2" s="26" t="s">
        <v>35</v>
      </c>
    </row>
    <row r="3" spans="1:9" s="27" customFormat="1" ht="11.25" customHeight="1">
      <c r="A3" s="19"/>
      <c r="B3" s="28" t="s">
        <v>36</v>
      </c>
      <c r="C3" s="29"/>
      <c r="D3" s="29"/>
      <c r="E3" s="29"/>
      <c r="F3" s="30" t="s">
        <v>137</v>
      </c>
      <c r="G3" s="31"/>
      <c r="H3" s="30" t="s">
        <v>37</v>
      </c>
      <c r="I3" s="32" t="s">
        <v>38</v>
      </c>
    </row>
    <row r="4" spans="1:9" ht="38.25" customHeight="1">
      <c r="B4" s="33"/>
      <c r="C4" s="34" t="str">
        <f>"AFA "&amp;Info!C30-6</f>
        <v>AFA 2002</v>
      </c>
      <c r="D4" s="34" t="str">
        <f>"AFA "&amp;Info!C30-5</f>
        <v>AFA 2003</v>
      </c>
      <c r="E4" s="34" t="str">
        <f>"AFA "&amp;Info!C30-4</f>
        <v>AFA 2004</v>
      </c>
      <c r="F4" s="34" t="s">
        <v>39</v>
      </c>
      <c r="G4" s="34" t="s">
        <v>7</v>
      </c>
      <c r="H4" s="34" t="s">
        <v>40</v>
      </c>
      <c r="I4" s="35" t="s">
        <v>41</v>
      </c>
    </row>
    <row r="5" spans="1:9" s="36" customFormat="1" ht="11.25" customHeight="1">
      <c r="A5" s="19"/>
      <c r="B5" s="37" t="s">
        <v>42</v>
      </c>
      <c r="C5" s="38" t="str">
        <f>"AFA_"&amp;Info!$C$30&amp;"_"&amp;Info!$C$30-6</f>
        <v>AFA_2008_2002</v>
      </c>
      <c r="D5" s="38" t="str">
        <f>"AFA_"&amp;Info!$C$30&amp;"_"&amp;Info!$C$30-5</f>
        <v>AFA_2008_2003</v>
      </c>
      <c r="E5" s="38" t="str">
        <f>"AFA_"&amp;Info!$C$30&amp;"_"&amp;Info!$C$30-4</f>
        <v>AFA_2008_2004</v>
      </c>
      <c r="F5" s="39"/>
      <c r="G5" s="39"/>
      <c r="H5" s="39"/>
      <c r="I5" s="40"/>
    </row>
    <row r="6" spans="1:9" s="36" customFormat="1" ht="11.25" customHeight="1">
      <c r="A6" s="19"/>
      <c r="B6" s="41" t="s">
        <v>43</v>
      </c>
      <c r="C6" s="42" t="s">
        <v>44</v>
      </c>
      <c r="D6" s="42" t="s">
        <v>44</v>
      </c>
      <c r="E6" s="42" t="s">
        <v>44</v>
      </c>
      <c r="F6" s="42" t="s">
        <v>44</v>
      </c>
      <c r="G6" s="42" t="s">
        <v>45</v>
      </c>
      <c r="H6" s="42" t="s">
        <v>46</v>
      </c>
      <c r="I6" s="43"/>
    </row>
    <row r="7" spans="1:9">
      <c r="B7" s="44" t="s">
        <v>47</v>
      </c>
      <c r="C7" s="45">
        <v>0</v>
      </c>
      <c r="D7" s="45">
        <v>41041283.827889197</v>
      </c>
      <c r="E7" s="45">
        <v>45854788.880615398</v>
      </c>
      <c r="F7" s="46">
        <f>AVERAGE(D7:E7)</f>
        <v>43448036.354252294</v>
      </c>
      <c r="G7" s="47">
        <f>Population!F7</f>
        <v>1276014.5</v>
      </c>
      <c r="H7" s="47">
        <f t="shared" ref="H7:H33" si="0">F7/G7*1000</f>
        <v>34049.798301079099</v>
      </c>
      <c r="I7" s="48">
        <f t="shared" ref="I7:I33" si="1">ROUND(H7/H$33*100,1)</f>
        <v>126.5</v>
      </c>
    </row>
    <row r="8" spans="1:9">
      <c r="B8" s="49" t="s">
        <v>48</v>
      </c>
      <c r="C8" s="50">
        <v>0</v>
      </c>
      <c r="D8" s="50">
        <v>19657864.0086115</v>
      </c>
      <c r="E8" s="50">
        <v>20176961.3246704</v>
      </c>
      <c r="F8" s="51">
        <f t="shared" ref="F8:F32" si="2">AVERAGE(D8:E8)</f>
        <v>19917412.666640952</v>
      </c>
      <c r="G8" s="52">
        <f>Population!F8</f>
        <v>960146.5</v>
      </c>
      <c r="H8" s="52">
        <f t="shared" si="0"/>
        <v>20744.139219005592</v>
      </c>
      <c r="I8" s="53">
        <f t="shared" si="1"/>
        <v>77.099999999999994</v>
      </c>
    </row>
    <row r="9" spans="1:9">
      <c r="B9" s="33" t="s">
        <v>49</v>
      </c>
      <c r="C9" s="54">
        <v>0</v>
      </c>
      <c r="D9" s="54">
        <v>7229466.89518857</v>
      </c>
      <c r="E9" s="54">
        <v>7363524.4962789202</v>
      </c>
      <c r="F9" s="55">
        <f t="shared" si="2"/>
        <v>7296495.6957337447</v>
      </c>
      <c r="G9" s="56">
        <f>Population!F9</f>
        <v>353299.5</v>
      </c>
      <c r="H9" s="56">
        <f t="shared" si="0"/>
        <v>20652.437084495574</v>
      </c>
      <c r="I9" s="57">
        <f t="shared" si="1"/>
        <v>76.7</v>
      </c>
    </row>
    <row r="10" spans="1:9">
      <c r="B10" s="49" t="s">
        <v>50</v>
      </c>
      <c r="C10" s="50">
        <v>0</v>
      </c>
      <c r="D10" s="50">
        <v>584174.78708490299</v>
      </c>
      <c r="E10" s="50">
        <v>570806.46707061597</v>
      </c>
      <c r="F10" s="51">
        <f t="shared" si="2"/>
        <v>577490.62707775948</v>
      </c>
      <c r="G10" s="52">
        <f>Population!F10</f>
        <v>34752.5</v>
      </c>
      <c r="H10" s="52">
        <f t="shared" si="0"/>
        <v>16617.239826710582</v>
      </c>
      <c r="I10" s="53">
        <f t="shared" si="1"/>
        <v>61.8</v>
      </c>
    </row>
    <row r="11" spans="1:9">
      <c r="B11" s="33" t="s">
        <v>51</v>
      </c>
      <c r="C11" s="54">
        <v>0</v>
      </c>
      <c r="D11" s="54">
        <v>4391797.7274447503</v>
      </c>
      <c r="E11" s="54">
        <v>4584209.3343385598</v>
      </c>
      <c r="F11" s="55">
        <f t="shared" si="2"/>
        <v>4488003.530891655</v>
      </c>
      <c r="G11" s="56">
        <f>Population!F11</f>
        <v>134428</v>
      </c>
      <c r="H11" s="56">
        <f t="shared" si="0"/>
        <v>33385.928012703116</v>
      </c>
      <c r="I11" s="57">
        <f t="shared" si="1"/>
        <v>124.1</v>
      </c>
    </row>
    <row r="12" spans="1:9">
      <c r="B12" s="49" t="s">
        <v>52</v>
      </c>
      <c r="C12" s="50">
        <v>0</v>
      </c>
      <c r="D12" s="50">
        <v>583399.51166874997</v>
      </c>
      <c r="E12" s="50">
        <v>610549.48762116896</v>
      </c>
      <c r="F12" s="51">
        <f t="shared" si="2"/>
        <v>596974.49964495946</v>
      </c>
      <c r="G12" s="52">
        <f>Population!F12</f>
        <v>33032.5</v>
      </c>
      <c r="H12" s="52">
        <f t="shared" si="0"/>
        <v>18072.337838339801</v>
      </c>
      <c r="I12" s="53">
        <f t="shared" si="1"/>
        <v>67.2</v>
      </c>
    </row>
    <row r="13" spans="1:9">
      <c r="B13" s="33" t="s">
        <v>53</v>
      </c>
      <c r="C13" s="54">
        <v>0</v>
      </c>
      <c r="D13" s="54">
        <v>1286856.4194346501</v>
      </c>
      <c r="E13" s="54">
        <v>1315680.0891408101</v>
      </c>
      <c r="F13" s="55">
        <f t="shared" si="2"/>
        <v>1301268.25428773</v>
      </c>
      <c r="G13" s="56">
        <f>Population!F13</f>
        <v>38563</v>
      </c>
      <c r="H13" s="56">
        <f t="shared" si="0"/>
        <v>33743.958050144698</v>
      </c>
      <c r="I13" s="57">
        <f t="shared" si="1"/>
        <v>125.4</v>
      </c>
    </row>
    <row r="14" spans="1:9">
      <c r="B14" s="49" t="s">
        <v>54</v>
      </c>
      <c r="C14" s="50">
        <v>0</v>
      </c>
      <c r="D14" s="50">
        <v>701949.50777570298</v>
      </c>
      <c r="E14" s="50">
        <v>731186.18734088703</v>
      </c>
      <c r="F14" s="51">
        <f t="shared" si="2"/>
        <v>716567.84755829501</v>
      </c>
      <c r="G14" s="52">
        <f>Population!F14</f>
        <v>38278</v>
      </c>
      <c r="H14" s="52">
        <f t="shared" si="0"/>
        <v>18720.096336232171</v>
      </c>
      <c r="I14" s="53">
        <f t="shared" si="1"/>
        <v>69.599999999999994</v>
      </c>
    </row>
    <row r="15" spans="1:9">
      <c r="B15" s="33" t="s">
        <v>55</v>
      </c>
      <c r="C15" s="54">
        <v>0</v>
      </c>
      <c r="D15" s="54">
        <v>5705347.5176045801</v>
      </c>
      <c r="E15" s="54">
        <v>6313040.0005202498</v>
      </c>
      <c r="F15" s="55">
        <f t="shared" si="2"/>
        <v>6009193.759062415</v>
      </c>
      <c r="G15" s="56">
        <f>Population!F15</f>
        <v>103918</v>
      </c>
      <c r="H15" s="56">
        <f t="shared" si="0"/>
        <v>57826.303037610567</v>
      </c>
      <c r="I15" s="57">
        <f t="shared" si="1"/>
        <v>214.9</v>
      </c>
    </row>
    <row r="16" spans="1:9">
      <c r="B16" s="49" t="s">
        <v>56</v>
      </c>
      <c r="C16" s="50">
        <v>0</v>
      </c>
      <c r="D16" s="50">
        <v>5039382.4863315597</v>
      </c>
      <c r="E16" s="50">
        <v>5104441.0365455896</v>
      </c>
      <c r="F16" s="51">
        <f t="shared" si="2"/>
        <v>5071911.7614385746</v>
      </c>
      <c r="G16" s="52">
        <f>Population!F16</f>
        <v>250227</v>
      </c>
      <c r="H16" s="52">
        <f t="shared" si="0"/>
        <v>20269.242573497566</v>
      </c>
      <c r="I16" s="53">
        <f t="shared" si="1"/>
        <v>75.3</v>
      </c>
    </row>
    <row r="17" spans="2:9">
      <c r="B17" s="33" t="s">
        <v>57</v>
      </c>
      <c r="C17" s="54">
        <v>0</v>
      </c>
      <c r="D17" s="54">
        <v>4884954.4219253697</v>
      </c>
      <c r="E17" s="54">
        <v>5201450.5067290403</v>
      </c>
      <c r="F17" s="55">
        <f t="shared" si="2"/>
        <v>5043202.464327205</v>
      </c>
      <c r="G17" s="56">
        <f>Population!F17</f>
        <v>245906</v>
      </c>
      <c r="H17" s="56">
        <f t="shared" si="0"/>
        <v>20508.65966803252</v>
      </c>
      <c r="I17" s="57">
        <f t="shared" si="1"/>
        <v>76.2</v>
      </c>
    </row>
    <row r="18" spans="2:9">
      <c r="B18" s="49" t="s">
        <v>58</v>
      </c>
      <c r="C18" s="50">
        <v>0</v>
      </c>
      <c r="D18" s="50">
        <v>7180984.4585489603</v>
      </c>
      <c r="E18" s="50">
        <v>7172198.4376644101</v>
      </c>
      <c r="F18" s="51">
        <f t="shared" si="2"/>
        <v>7176591.4481066857</v>
      </c>
      <c r="G18" s="52">
        <f>Population!F18</f>
        <v>190833</v>
      </c>
      <c r="H18" s="52">
        <f t="shared" si="0"/>
        <v>37606.658429656745</v>
      </c>
      <c r="I18" s="53">
        <f t="shared" si="1"/>
        <v>139.80000000000001</v>
      </c>
    </row>
    <row r="19" spans="2:9">
      <c r="B19" s="33" t="s">
        <v>59</v>
      </c>
      <c r="C19" s="54">
        <v>0</v>
      </c>
      <c r="D19" s="54">
        <v>7235006.6967167798</v>
      </c>
      <c r="E19" s="54">
        <v>7481848.8133670101</v>
      </c>
      <c r="F19" s="55">
        <f t="shared" si="2"/>
        <v>7358427.7550418954</v>
      </c>
      <c r="G19" s="56">
        <f>Population!F19</f>
        <v>263470.5</v>
      </c>
      <c r="H19" s="56">
        <f t="shared" si="0"/>
        <v>27928.848789681939</v>
      </c>
      <c r="I19" s="57">
        <f t="shared" si="1"/>
        <v>103.8</v>
      </c>
    </row>
    <row r="20" spans="2:9">
      <c r="B20" s="49" t="s">
        <v>60</v>
      </c>
      <c r="C20" s="50">
        <v>0</v>
      </c>
      <c r="D20" s="50">
        <v>1881973.90528908</v>
      </c>
      <c r="E20" s="50">
        <v>1954271.7440428401</v>
      </c>
      <c r="F20" s="51">
        <f t="shared" si="2"/>
        <v>1918122.8246659599</v>
      </c>
      <c r="G20" s="52">
        <f>Population!F20</f>
        <v>74170</v>
      </c>
      <c r="H20" s="52">
        <f t="shared" si="0"/>
        <v>25861.167920533368</v>
      </c>
      <c r="I20" s="53">
        <f t="shared" si="1"/>
        <v>96.1</v>
      </c>
    </row>
    <row r="21" spans="2:9">
      <c r="B21" s="33" t="s">
        <v>61</v>
      </c>
      <c r="C21" s="54">
        <v>0</v>
      </c>
      <c r="D21" s="54">
        <v>1086077.25504146</v>
      </c>
      <c r="E21" s="54">
        <v>1106867.80625821</v>
      </c>
      <c r="F21" s="55">
        <f t="shared" si="2"/>
        <v>1096472.530649835</v>
      </c>
      <c r="G21" s="56">
        <f>Population!F21</f>
        <v>52620.5</v>
      </c>
      <c r="H21" s="56">
        <f t="shared" si="0"/>
        <v>20837.364347542025</v>
      </c>
      <c r="I21" s="57">
        <f t="shared" si="1"/>
        <v>77.400000000000006</v>
      </c>
    </row>
    <row r="22" spans="2:9">
      <c r="B22" s="49" t="s">
        <v>62</v>
      </c>
      <c r="C22" s="50">
        <v>0</v>
      </c>
      <c r="D22" s="50">
        <v>314145.24944461999</v>
      </c>
      <c r="E22" s="50">
        <v>314780.03298517998</v>
      </c>
      <c r="F22" s="51">
        <f t="shared" si="2"/>
        <v>314462.64121489995</v>
      </c>
      <c r="G22" s="52">
        <f>Population!F22</f>
        <v>14675.5</v>
      </c>
      <c r="H22" s="52">
        <f t="shared" si="0"/>
        <v>21427.729291329084</v>
      </c>
      <c r="I22" s="53">
        <f t="shared" si="1"/>
        <v>79.599999999999994</v>
      </c>
    </row>
    <row r="23" spans="2:9">
      <c r="B23" s="33" t="s">
        <v>63</v>
      </c>
      <c r="C23" s="54">
        <v>0</v>
      </c>
      <c r="D23" s="54">
        <v>9390238.6669588797</v>
      </c>
      <c r="E23" s="54">
        <v>10579836.3901799</v>
      </c>
      <c r="F23" s="55">
        <f t="shared" si="2"/>
        <v>9985037.5285693891</v>
      </c>
      <c r="G23" s="56">
        <f>Population!F23</f>
        <v>458628</v>
      </c>
      <c r="H23" s="56">
        <f t="shared" si="0"/>
        <v>21771.539305427035</v>
      </c>
      <c r="I23" s="57">
        <f t="shared" si="1"/>
        <v>80.900000000000006</v>
      </c>
    </row>
    <row r="24" spans="2:9">
      <c r="B24" s="49" t="s">
        <v>64</v>
      </c>
      <c r="C24" s="50">
        <v>0</v>
      </c>
      <c r="D24" s="50">
        <v>4129209.5347445402</v>
      </c>
      <c r="E24" s="50">
        <v>4273610.8305541296</v>
      </c>
      <c r="F24" s="51">
        <f t="shared" si="2"/>
        <v>4201410.1826493349</v>
      </c>
      <c r="G24" s="52">
        <f>Population!F24</f>
        <v>191407</v>
      </c>
      <c r="H24" s="52">
        <f t="shared" si="0"/>
        <v>21950.138619012549</v>
      </c>
      <c r="I24" s="53">
        <f t="shared" si="1"/>
        <v>81.599999999999994</v>
      </c>
    </row>
    <row r="25" spans="2:9">
      <c r="B25" s="33" t="s">
        <v>65</v>
      </c>
      <c r="C25" s="54">
        <v>0</v>
      </c>
      <c r="D25" s="54">
        <v>13400864.439298499</v>
      </c>
      <c r="E25" s="54">
        <v>13669514.5472057</v>
      </c>
      <c r="F25" s="55">
        <f t="shared" si="2"/>
        <v>13535189.493252099</v>
      </c>
      <c r="G25" s="56">
        <f>Population!F25</f>
        <v>561109.5</v>
      </c>
      <c r="H25" s="56">
        <f t="shared" si="0"/>
        <v>24122.189150695362</v>
      </c>
      <c r="I25" s="57">
        <f t="shared" si="1"/>
        <v>89.6</v>
      </c>
    </row>
    <row r="26" spans="2:9">
      <c r="B26" s="49" t="s">
        <v>66</v>
      </c>
      <c r="C26" s="50">
        <v>0</v>
      </c>
      <c r="D26" s="50">
        <v>4480232.49625949</v>
      </c>
      <c r="E26" s="50">
        <v>4765438.8520066496</v>
      </c>
      <c r="F26" s="51">
        <f t="shared" si="2"/>
        <v>4622835.6741330698</v>
      </c>
      <c r="G26" s="52">
        <f>Population!F26</f>
        <v>232207</v>
      </c>
      <c r="H26" s="52">
        <f t="shared" si="0"/>
        <v>19908.252869780281</v>
      </c>
      <c r="I26" s="53">
        <f t="shared" si="1"/>
        <v>74</v>
      </c>
    </row>
    <row r="27" spans="2:9">
      <c r="B27" s="33" t="s">
        <v>67</v>
      </c>
      <c r="C27" s="54">
        <v>0</v>
      </c>
      <c r="D27" s="54">
        <v>8250006.4538013004</v>
      </c>
      <c r="E27" s="54">
        <v>8375873.59129244</v>
      </c>
      <c r="F27" s="55">
        <f t="shared" si="2"/>
        <v>8312940.0225468706</v>
      </c>
      <c r="G27" s="56">
        <f>Population!F27</f>
        <v>317957.5</v>
      </c>
      <c r="H27" s="56">
        <f t="shared" si="0"/>
        <v>26144.81502259538</v>
      </c>
      <c r="I27" s="57">
        <f t="shared" si="1"/>
        <v>97.2</v>
      </c>
    </row>
    <row r="28" spans="2:9">
      <c r="B28" s="49" t="s">
        <v>68</v>
      </c>
      <c r="C28" s="50">
        <v>0</v>
      </c>
      <c r="D28" s="50">
        <v>17874484.861048099</v>
      </c>
      <c r="E28" s="50">
        <v>19155210.956985101</v>
      </c>
      <c r="F28" s="51">
        <f t="shared" si="2"/>
        <v>18514847.909016602</v>
      </c>
      <c r="G28" s="52">
        <f>Population!F28</f>
        <v>652465.5</v>
      </c>
      <c r="H28" s="52">
        <f t="shared" si="0"/>
        <v>28376.746217258387</v>
      </c>
      <c r="I28" s="53">
        <f t="shared" si="1"/>
        <v>105.5</v>
      </c>
    </row>
    <row r="29" spans="2:9">
      <c r="B29" s="33" t="s">
        <v>69</v>
      </c>
      <c r="C29" s="54">
        <v>0</v>
      </c>
      <c r="D29" s="54">
        <v>5173552.9564928804</v>
      </c>
      <c r="E29" s="54">
        <v>5418896.6453751801</v>
      </c>
      <c r="F29" s="55">
        <f t="shared" si="2"/>
        <v>5296224.8009340297</v>
      </c>
      <c r="G29" s="56">
        <f>Population!F29</f>
        <v>285069.5</v>
      </c>
      <c r="H29" s="56">
        <f t="shared" si="0"/>
        <v>18578.714316803551</v>
      </c>
      <c r="I29" s="57">
        <f t="shared" si="1"/>
        <v>69</v>
      </c>
    </row>
    <row r="30" spans="2:9">
      <c r="B30" s="49" t="s">
        <v>70</v>
      </c>
      <c r="C30" s="50">
        <v>0</v>
      </c>
      <c r="D30" s="50">
        <v>4232816.5160106299</v>
      </c>
      <c r="E30" s="50">
        <v>4512948.4034917904</v>
      </c>
      <c r="F30" s="51">
        <f t="shared" si="2"/>
        <v>4372882.4597512102</v>
      </c>
      <c r="G30" s="52">
        <f>Population!F30</f>
        <v>168423.5</v>
      </c>
      <c r="H30" s="52">
        <f t="shared" si="0"/>
        <v>25963.612321031269</v>
      </c>
      <c r="I30" s="53">
        <f t="shared" si="1"/>
        <v>96.5</v>
      </c>
    </row>
    <row r="31" spans="2:9">
      <c r="B31" s="33" t="s">
        <v>71</v>
      </c>
      <c r="C31" s="54">
        <v>0</v>
      </c>
      <c r="D31" s="54">
        <v>17446618.052056301</v>
      </c>
      <c r="E31" s="54">
        <v>17542921.903506301</v>
      </c>
      <c r="F31" s="55">
        <f t="shared" si="2"/>
        <v>17494769.977781303</v>
      </c>
      <c r="G31" s="56">
        <f>Population!F31</f>
        <v>430074.5</v>
      </c>
      <c r="H31" s="56">
        <f t="shared" si="0"/>
        <v>40678.463795880256</v>
      </c>
      <c r="I31" s="57">
        <f t="shared" si="1"/>
        <v>151.19999999999999</v>
      </c>
    </row>
    <row r="32" spans="2:9">
      <c r="B32" s="49" t="s">
        <v>72</v>
      </c>
      <c r="C32" s="50">
        <v>0</v>
      </c>
      <c r="D32" s="50">
        <v>1223364.31477312</v>
      </c>
      <c r="E32" s="50">
        <v>1284098.62751994</v>
      </c>
      <c r="F32" s="51">
        <f t="shared" si="2"/>
        <v>1253731.47114653</v>
      </c>
      <c r="G32" s="52">
        <f>Population!F32</f>
        <v>67904.5</v>
      </c>
      <c r="H32" s="52">
        <f t="shared" si="0"/>
        <v>18463.15739231612</v>
      </c>
      <c r="I32" s="53">
        <f t="shared" si="1"/>
        <v>68.599999999999994</v>
      </c>
    </row>
    <row r="33" spans="2:9">
      <c r="B33" s="58" t="s">
        <v>73</v>
      </c>
      <c r="C33" s="59">
        <f>SUM(C7:C32)</f>
        <v>0</v>
      </c>
      <c r="D33" s="59">
        <f>SUM(D7:D32)</f>
        <v>194406052.96744424</v>
      </c>
      <c r="E33" s="59">
        <f>SUM(E7:E32)</f>
        <v>205434955.39330643</v>
      </c>
      <c r="F33" s="59">
        <f>SUM(F7:F32)</f>
        <v>199920504.18037528</v>
      </c>
      <c r="G33" s="59">
        <f>SUM(G7:G32)</f>
        <v>7429581.5</v>
      </c>
      <c r="H33" s="59">
        <f t="shared" si="0"/>
        <v>26908.716753477336</v>
      </c>
      <c r="I33" s="60">
        <f t="shared" si="1"/>
        <v>100</v>
      </c>
    </row>
  </sheetData>
  <conditionalFormatting sqref="C7:F32">
    <cfRule type="expression" dxfId="14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>
      <c r="B1" s="20" t="str">
        <f>"Population déterminante "&amp;Info!C30</f>
        <v>Population déterminante 2008</v>
      </c>
      <c r="C1" s="20"/>
      <c r="D1" s="20"/>
      <c r="E1" s="21"/>
      <c r="F1" s="23" t="str">
        <f>Info!$C$28</f>
        <v>FA_2008_20120424</v>
      </c>
    </row>
    <row r="2" spans="1:6" s="2" customFormat="1">
      <c r="A2" s="61"/>
      <c r="B2" s="62" t="s">
        <v>28</v>
      </c>
      <c r="C2" s="63" t="s">
        <v>29</v>
      </c>
      <c r="D2" s="63" t="s">
        <v>30</v>
      </c>
      <c r="E2" s="63" t="s">
        <v>31</v>
      </c>
      <c r="F2" s="64" t="s">
        <v>32</v>
      </c>
    </row>
    <row r="3" spans="1:6" s="36" customFormat="1" ht="11.25" customHeight="1">
      <c r="A3" s="65"/>
      <c r="B3" s="66" t="s">
        <v>36</v>
      </c>
      <c r="C3" s="67"/>
      <c r="D3" s="67"/>
      <c r="E3" s="67"/>
      <c r="F3" s="68" t="s">
        <v>137</v>
      </c>
    </row>
    <row r="4" spans="1:6" ht="25.5" customHeight="1">
      <c r="A4" s="69"/>
      <c r="B4" s="70"/>
      <c r="C4" s="301" t="s">
        <v>74</v>
      </c>
      <c r="D4" s="302"/>
      <c r="E4" s="303"/>
      <c r="F4" s="71" t="s">
        <v>7</v>
      </c>
    </row>
    <row r="5" spans="1:6" ht="19.5" customHeight="1">
      <c r="A5" s="69"/>
      <c r="B5" s="72"/>
      <c r="C5" s="73" t="s">
        <v>139</v>
      </c>
      <c r="D5" s="74">
        <v>2003</v>
      </c>
      <c r="E5" s="75">
        <v>2004</v>
      </c>
      <c r="F5" s="76">
        <f>Info!C30</f>
        <v>2008</v>
      </c>
    </row>
    <row r="6" spans="1:6">
      <c r="A6" s="69"/>
      <c r="B6" s="77" t="s">
        <v>75</v>
      </c>
      <c r="C6" s="78" t="s">
        <v>76</v>
      </c>
      <c r="D6" s="79" t="s">
        <v>76</v>
      </c>
      <c r="E6" s="80" t="s">
        <v>76</v>
      </c>
      <c r="F6" s="81"/>
    </row>
    <row r="7" spans="1:6">
      <c r="A7" s="69"/>
      <c r="B7" s="44" t="s">
        <v>47</v>
      </c>
      <c r="C7" s="82">
        <v>0</v>
      </c>
      <c r="D7" s="45">
        <v>1271011</v>
      </c>
      <c r="E7" s="83">
        <v>1281018</v>
      </c>
      <c r="F7" s="84">
        <f>AVERAGE(D7:E7)</f>
        <v>1276014.5</v>
      </c>
    </row>
    <row r="8" spans="1:6">
      <c r="A8" s="69"/>
      <c r="B8" s="49" t="s">
        <v>48</v>
      </c>
      <c r="C8" s="85">
        <v>0</v>
      </c>
      <c r="D8" s="50">
        <v>958646</v>
      </c>
      <c r="E8" s="86">
        <v>961647</v>
      </c>
      <c r="F8" s="87">
        <f t="shared" ref="F8:F32" si="0">AVERAGE(D8:E8)</f>
        <v>960146.5</v>
      </c>
    </row>
    <row r="9" spans="1:6">
      <c r="A9" s="69"/>
      <c r="B9" s="33" t="s">
        <v>49</v>
      </c>
      <c r="C9" s="88">
        <v>0</v>
      </c>
      <c r="D9" s="54">
        <v>352708</v>
      </c>
      <c r="E9" s="89">
        <v>353891</v>
      </c>
      <c r="F9" s="90">
        <f t="shared" si="0"/>
        <v>353299.5</v>
      </c>
    </row>
    <row r="10" spans="1:6">
      <c r="A10" s="69"/>
      <c r="B10" s="49" t="s">
        <v>50</v>
      </c>
      <c r="C10" s="85">
        <v>0</v>
      </c>
      <c r="D10" s="50">
        <v>34740</v>
      </c>
      <c r="E10" s="86">
        <v>34765</v>
      </c>
      <c r="F10" s="87">
        <f t="shared" si="0"/>
        <v>34752.5</v>
      </c>
    </row>
    <row r="11" spans="1:6">
      <c r="A11" s="69"/>
      <c r="B11" s="33" t="s">
        <v>51</v>
      </c>
      <c r="C11" s="88">
        <v>0</v>
      </c>
      <c r="D11" s="54">
        <v>133681</v>
      </c>
      <c r="E11" s="89">
        <v>135175</v>
      </c>
      <c r="F11" s="90">
        <f t="shared" si="0"/>
        <v>134428</v>
      </c>
    </row>
    <row r="12" spans="1:6">
      <c r="A12" s="69"/>
      <c r="B12" s="49" t="s">
        <v>52</v>
      </c>
      <c r="C12" s="85">
        <v>0</v>
      </c>
      <c r="D12" s="50">
        <v>33015</v>
      </c>
      <c r="E12" s="86">
        <v>33050</v>
      </c>
      <c r="F12" s="87">
        <f t="shared" si="0"/>
        <v>33032.5</v>
      </c>
    </row>
    <row r="13" spans="1:6">
      <c r="A13" s="69"/>
      <c r="B13" s="33" t="s">
        <v>53</v>
      </c>
      <c r="C13" s="88">
        <v>0</v>
      </c>
      <c r="D13" s="54">
        <v>38385</v>
      </c>
      <c r="E13" s="89">
        <v>38741</v>
      </c>
      <c r="F13" s="90">
        <f t="shared" si="0"/>
        <v>38563</v>
      </c>
    </row>
    <row r="14" spans="1:6">
      <c r="A14" s="69"/>
      <c r="B14" s="49" t="s">
        <v>54</v>
      </c>
      <c r="C14" s="85">
        <v>0</v>
      </c>
      <c r="D14" s="50">
        <v>38283</v>
      </c>
      <c r="E14" s="86">
        <v>38273</v>
      </c>
      <c r="F14" s="87">
        <f t="shared" si="0"/>
        <v>38278</v>
      </c>
    </row>
    <row r="15" spans="1:6">
      <c r="A15" s="69"/>
      <c r="B15" s="33" t="s">
        <v>55</v>
      </c>
      <c r="C15" s="88">
        <v>0</v>
      </c>
      <c r="D15" s="54">
        <v>103156</v>
      </c>
      <c r="E15" s="89">
        <v>104680</v>
      </c>
      <c r="F15" s="90">
        <f t="shared" si="0"/>
        <v>103918</v>
      </c>
    </row>
    <row r="16" spans="1:6">
      <c r="A16" s="69"/>
      <c r="B16" s="49" t="s">
        <v>56</v>
      </c>
      <c r="C16" s="85">
        <v>0</v>
      </c>
      <c r="D16" s="50">
        <v>248511</v>
      </c>
      <c r="E16" s="86">
        <v>251943</v>
      </c>
      <c r="F16" s="87">
        <f t="shared" si="0"/>
        <v>250227</v>
      </c>
    </row>
    <row r="17" spans="1:6">
      <c r="A17" s="69"/>
      <c r="B17" s="33" t="s">
        <v>57</v>
      </c>
      <c r="C17" s="88">
        <v>0</v>
      </c>
      <c r="D17" s="54">
        <v>245673</v>
      </c>
      <c r="E17" s="89">
        <v>246139</v>
      </c>
      <c r="F17" s="90">
        <f t="shared" si="0"/>
        <v>245906</v>
      </c>
    </row>
    <row r="18" spans="1:6">
      <c r="A18" s="69"/>
      <c r="B18" s="49" t="s">
        <v>58</v>
      </c>
      <c r="C18" s="85">
        <v>0</v>
      </c>
      <c r="D18" s="50">
        <v>190718</v>
      </c>
      <c r="E18" s="86">
        <v>190948</v>
      </c>
      <c r="F18" s="87">
        <f t="shared" si="0"/>
        <v>190833</v>
      </c>
    </row>
    <row r="19" spans="1:6">
      <c r="A19" s="69"/>
      <c r="B19" s="33" t="s">
        <v>59</v>
      </c>
      <c r="C19" s="88">
        <v>0</v>
      </c>
      <c r="D19" s="54">
        <v>262913</v>
      </c>
      <c r="E19" s="89">
        <v>264028</v>
      </c>
      <c r="F19" s="90">
        <f t="shared" si="0"/>
        <v>263470.5</v>
      </c>
    </row>
    <row r="20" spans="1:6">
      <c r="A20" s="69"/>
      <c r="B20" s="49" t="s">
        <v>60</v>
      </c>
      <c r="C20" s="85">
        <v>0</v>
      </c>
      <c r="D20" s="50">
        <v>74175</v>
      </c>
      <c r="E20" s="86">
        <v>74165</v>
      </c>
      <c r="F20" s="87">
        <f t="shared" si="0"/>
        <v>74170</v>
      </c>
    </row>
    <row r="21" spans="1:6">
      <c r="A21" s="69"/>
      <c r="B21" s="33" t="s">
        <v>61</v>
      </c>
      <c r="C21" s="88">
        <v>0</v>
      </c>
      <c r="D21" s="54">
        <v>52701</v>
      </c>
      <c r="E21" s="89">
        <v>52540</v>
      </c>
      <c r="F21" s="90">
        <f t="shared" si="0"/>
        <v>52620.5</v>
      </c>
    </row>
    <row r="22" spans="1:6">
      <c r="A22" s="69"/>
      <c r="B22" s="49" t="s">
        <v>62</v>
      </c>
      <c r="C22" s="85">
        <v>0</v>
      </c>
      <c r="D22" s="50">
        <v>14676</v>
      </c>
      <c r="E22" s="86">
        <v>14675</v>
      </c>
      <c r="F22" s="87">
        <f t="shared" si="0"/>
        <v>14675.5</v>
      </c>
    </row>
    <row r="23" spans="1:6">
      <c r="A23" s="69"/>
      <c r="B23" s="33" t="s">
        <v>63</v>
      </c>
      <c r="C23" s="88">
        <v>0</v>
      </c>
      <c r="D23" s="54">
        <v>457879</v>
      </c>
      <c r="E23" s="89">
        <v>459377</v>
      </c>
      <c r="F23" s="90">
        <f t="shared" si="0"/>
        <v>458628</v>
      </c>
    </row>
    <row r="24" spans="1:6">
      <c r="A24" s="69"/>
      <c r="B24" s="49" t="s">
        <v>64</v>
      </c>
      <c r="C24" s="85">
        <v>0</v>
      </c>
      <c r="D24" s="50">
        <v>191196</v>
      </c>
      <c r="E24" s="86">
        <v>191618</v>
      </c>
      <c r="F24" s="87">
        <f t="shared" si="0"/>
        <v>191407</v>
      </c>
    </row>
    <row r="25" spans="1:6">
      <c r="A25" s="69"/>
      <c r="B25" s="33" t="s">
        <v>65</v>
      </c>
      <c r="C25" s="88">
        <v>0</v>
      </c>
      <c r="D25" s="54">
        <v>558885</v>
      </c>
      <c r="E25" s="89">
        <v>563334</v>
      </c>
      <c r="F25" s="90">
        <f t="shared" si="0"/>
        <v>561109.5</v>
      </c>
    </row>
    <row r="26" spans="1:6">
      <c r="A26" s="69"/>
      <c r="B26" s="49" t="s">
        <v>66</v>
      </c>
      <c r="C26" s="85">
        <v>0</v>
      </c>
      <c r="D26" s="50">
        <v>231461</v>
      </c>
      <c r="E26" s="86">
        <v>232953</v>
      </c>
      <c r="F26" s="87">
        <f t="shared" si="0"/>
        <v>232207</v>
      </c>
    </row>
    <row r="27" spans="1:6">
      <c r="A27" s="69"/>
      <c r="B27" s="33" t="s">
        <v>67</v>
      </c>
      <c r="C27" s="88">
        <v>0</v>
      </c>
      <c r="D27" s="54">
        <v>316521</v>
      </c>
      <c r="E27" s="89">
        <v>319394</v>
      </c>
      <c r="F27" s="90">
        <f t="shared" si="0"/>
        <v>317957.5</v>
      </c>
    </row>
    <row r="28" spans="1:6">
      <c r="A28" s="69"/>
      <c r="B28" s="49" t="s">
        <v>68</v>
      </c>
      <c r="C28" s="85">
        <v>0</v>
      </c>
      <c r="D28" s="50">
        <v>648526</v>
      </c>
      <c r="E28" s="86">
        <v>656405</v>
      </c>
      <c r="F28" s="87">
        <f t="shared" si="0"/>
        <v>652465.5</v>
      </c>
    </row>
    <row r="29" spans="1:6">
      <c r="A29" s="69"/>
      <c r="B29" s="33" t="s">
        <v>69</v>
      </c>
      <c r="C29" s="88">
        <v>0</v>
      </c>
      <c r="D29" s="54">
        <v>283590</v>
      </c>
      <c r="E29" s="89">
        <v>286549</v>
      </c>
      <c r="F29" s="90">
        <f t="shared" si="0"/>
        <v>285069.5</v>
      </c>
    </row>
    <row r="30" spans="1:6">
      <c r="A30" s="69"/>
      <c r="B30" s="49" t="s">
        <v>70</v>
      </c>
      <c r="C30" s="85">
        <v>0</v>
      </c>
      <c r="D30" s="50">
        <v>168171</v>
      </c>
      <c r="E30" s="86">
        <v>168676</v>
      </c>
      <c r="F30" s="87">
        <f t="shared" si="0"/>
        <v>168423.5</v>
      </c>
    </row>
    <row r="31" spans="1:6">
      <c r="A31" s="69"/>
      <c r="B31" s="33" t="s">
        <v>71</v>
      </c>
      <c r="C31" s="88">
        <v>0</v>
      </c>
      <c r="D31" s="54">
        <v>427914</v>
      </c>
      <c r="E31" s="89">
        <v>432235</v>
      </c>
      <c r="F31" s="90">
        <f t="shared" si="0"/>
        <v>430074.5</v>
      </c>
    </row>
    <row r="32" spans="1:6">
      <c r="A32" s="69"/>
      <c r="B32" s="49" t="s">
        <v>72</v>
      </c>
      <c r="C32" s="85">
        <v>0</v>
      </c>
      <c r="D32" s="50">
        <v>67916</v>
      </c>
      <c r="E32" s="86">
        <v>67893</v>
      </c>
      <c r="F32" s="87">
        <f t="shared" si="0"/>
        <v>67904.5</v>
      </c>
    </row>
    <row r="33" spans="1:6">
      <c r="A33" s="91"/>
      <c r="B33" s="58" t="s">
        <v>73</v>
      </c>
      <c r="C33" s="92">
        <f>SUM(C7:C32)</f>
        <v>0</v>
      </c>
      <c r="D33" s="59">
        <f>SUM(D7:D32)</f>
        <v>7405051</v>
      </c>
      <c r="E33" s="93">
        <f>SUM(E7:E32)</f>
        <v>7454112</v>
      </c>
      <c r="F33" s="94">
        <f>SUM(F7:F32)</f>
        <v>7429581.5</v>
      </c>
    </row>
  </sheetData>
  <mergeCells count="1">
    <mergeCell ref="C4:E4"/>
  </mergeCells>
  <conditionalFormatting sqref="C7:E32 C5:F5">
    <cfRule type="expression" dxfId="13" priority="1" stopIfTrue="1">
      <formula>ISBLANK(C5)</formula>
    </cfRule>
  </conditionalFormatting>
  <conditionalFormatting sqref="C7:E32 C5:F5">
    <cfRule type="expression" dxfId="12" priority="2" stopIfTrue="1">
      <formula>ISBLANK(C5)</formula>
    </cfRule>
  </conditionalFormatting>
  <conditionalFormatting sqref="C7:E32 C5:F5">
    <cfRule type="expression" dxfId="11" priority="3" stopIfTrue="1">
      <formula>ISBLANK(C5)</formula>
    </cfRule>
  </conditionalFormatting>
  <conditionalFormatting sqref="C5:E5">
    <cfRule type="expression" dxfId="10" priority="4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5.85546875" style="2" customWidth="1"/>
    <col min="3" max="3" width="14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>
      <c r="B1" s="95" t="str">
        <f>"Croissance du potentiel de ressources "&amp;Info!C30</f>
        <v>Croissance du potentiel de ressources 2008</v>
      </c>
      <c r="C1" s="95"/>
      <c r="D1" s="95"/>
      <c r="E1" s="95"/>
      <c r="F1" s="95"/>
      <c r="G1" s="95"/>
      <c r="H1" s="22"/>
      <c r="I1" s="1"/>
    </row>
    <row r="2" spans="1:9" ht="18.75" customHeight="1">
      <c r="G2" s="1"/>
      <c r="H2" s="1"/>
      <c r="I2" s="23" t="str">
        <f>Info!$C$28</f>
        <v>FA_2008_20120424</v>
      </c>
    </row>
    <row r="3" spans="1:9">
      <c r="B3" s="62" t="s">
        <v>28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3" t="s">
        <v>34</v>
      </c>
      <c r="I3" s="64" t="s">
        <v>35</v>
      </c>
    </row>
    <row r="4" spans="1:9" ht="25.5" customHeight="1">
      <c r="A4" s="69"/>
      <c r="B4" s="44"/>
      <c r="C4" s="304" t="str">
        <f>"Indice de ressources "&amp;Info!C30</f>
        <v>Indice de ressources 2008</v>
      </c>
      <c r="D4" s="308" t="s">
        <v>77</v>
      </c>
      <c r="E4" s="309"/>
      <c r="F4" s="310"/>
      <c r="G4" s="306" t="s">
        <v>78</v>
      </c>
      <c r="H4" s="306"/>
      <c r="I4" s="307"/>
    </row>
    <row r="5" spans="1:9" ht="25.5" customHeight="1">
      <c r="A5" s="69"/>
      <c r="B5" s="96"/>
      <c r="C5" s="305"/>
      <c r="D5" s="97">
        <f>Info!C30-1</f>
        <v>2007</v>
      </c>
      <c r="E5" s="98">
        <f>Info!C30</f>
        <v>2008</v>
      </c>
      <c r="F5" s="99" t="s">
        <v>79</v>
      </c>
      <c r="G5" s="98">
        <f>D5</f>
        <v>2007</v>
      </c>
      <c r="H5" s="98">
        <f>E5</f>
        <v>2008</v>
      </c>
      <c r="I5" s="100" t="s">
        <v>79</v>
      </c>
    </row>
    <row r="6" spans="1:9">
      <c r="A6" s="101"/>
      <c r="B6" s="77" t="s">
        <v>43</v>
      </c>
      <c r="C6" s="102" t="s">
        <v>80</v>
      </c>
      <c r="D6" s="103" t="s">
        <v>44</v>
      </c>
      <c r="E6" s="104" t="s">
        <v>44</v>
      </c>
      <c r="F6" s="105" t="s">
        <v>81</v>
      </c>
      <c r="G6" s="104" t="s">
        <v>44</v>
      </c>
      <c r="H6" s="104" t="s">
        <v>44</v>
      </c>
      <c r="I6" s="106" t="s">
        <v>81</v>
      </c>
    </row>
    <row r="7" spans="1:9">
      <c r="A7" s="101"/>
      <c r="B7" s="44" t="s">
        <v>47</v>
      </c>
      <c r="C7" s="107">
        <f>PotR!I7</f>
        <v>126.5</v>
      </c>
      <c r="D7" s="108">
        <v>0</v>
      </c>
      <c r="E7" s="109">
        <f>PotR!F7</f>
        <v>43448036.354252294</v>
      </c>
      <c r="F7" s="110">
        <v>0</v>
      </c>
      <c r="G7" s="47">
        <f t="shared" ref="G7:G32" si="0">IF($C7&gt;100,D7,"")</f>
        <v>0</v>
      </c>
      <c r="H7" s="47">
        <f t="shared" ref="H7:H32" si="1">IF($C7&gt;100,E7,"")</f>
        <v>43448036.354252294</v>
      </c>
      <c r="I7" s="111">
        <v>-2.2204460492503131E-16</v>
      </c>
    </row>
    <row r="8" spans="1:9">
      <c r="A8" s="101"/>
      <c r="B8" s="112" t="s">
        <v>48</v>
      </c>
      <c r="C8" s="113">
        <f>PotR!I8</f>
        <v>77.099999999999994</v>
      </c>
      <c r="D8" s="114">
        <v>0</v>
      </c>
      <c r="E8" s="115">
        <f>PotR!F8</f>
        <v>19917412.666640952</v>
      </c>
      <c r="F8" s="116">
        <v>-2.4424906541753444E-15</v>
      </c>
      <c r="G8" s="52" t="str">
        <f t="shared" si="0"/>
        <v/>
      </c>
      <c r="H8" s="52" t="str">
        <f t="shared" si="1"/>
        <v/>
      </c>
      <c r="I8" s="117" t="s">
        <v>138</v>
      </c>
    </row>
    <row r="9" spans="1:9">
      <c r="A9" s="101"/>
      <c r="B9" s="118" t="s">
        <v>49</v>
      </c>
      <c r="C9" s="119">
        <f>PotR!I9</f>
        <v>76.7</v>
      </c>
      <c r="D9" s="120">
        <v>0</v>
      </c>
      <c r="E9" s="121">
        <f>PotR!F9</f>
        <v>7296495.6957337447</v>
      </c>
      <c r="F9" s="122">
        <v>0</v>
      </c>
      <c r="G9" s="56" t="str">
        <f t="shared" si="0"/>
        <v/>
      </c>
      <c r="H9" s="56" t="str">
        <f t="shared" si="1"/>
        <v/>
      </c>
      <c r="I9" s="123" t="s">
        <v>138</v>
      </c>
    </row>
    <row r="10" spans="1:9">
      <c r="A10" s="101"/>
      <c r="B10" s="112" t="s">
        <v>50</v>
      </c>
      <c r="C10" s="113">
        <f>PotR!I10</f>
        <v>61.8</v>
      </c>
      <c r="D10" s="114">
        <v>0</v>
      </c>
      <c r="E10" s="115">
        <f>PotR!F10</f>
        <v>577490.62707775948</v>
      </c>
      <c r="F10" s="116">
        <v>0</v>
      </c>
      <c r="G10" s="52" t="str">
        <f t="shared" si="0"/>
        <v/>
      </c>
      <c r="H10" s="52" t="str">
        <f t="shared" si="1"/>
        <v/>
      </c>
      <c r="I10" s="117" t="s">
        <v>138</v>
      </c>
    </row>
    <row r="11" spans="1:9">
      <c r="A11" s="101"/>
      <c r="B11" s="118" t="s">
        <v>51</v>
      </c>
      <c r="C11" s="119">
        <f>PotR!I11</f>
        <v>124.1</v>
      </c>
      <c r="D11" s="120">
        <v>0</v>
      </c>
      <c r="E11" s="121">
        <f>PotR!F11</f>
        <v>4488003.530891655</v>
      </c>
      <c r="F11" s="122">
        <v>-9.9920072216264089E-16</v>
      </c>
      <c r="G11" s="56">
        <f t="shared" si="0"/>
        <v>0</v>
      </c>
      <c r="H11" s="56">
        <f t="shared" si="1"/>
        <v>4488003.530891655</v>
      </c>
      <c r="I11" s="123">
        <v>-9.9920072216264089E-16</v>
      </c>
    </row>
    <row r="12" spans="1:9">
      <c r="A12" s="101"/>
      <c r="B12" s="112" t="s">
        <v>52</v>
      </c>
      <c r="C12" s="113">
        <f>PotR!I12</f>
        <v>67.2</v>
      </c>
      <c r="D12" s="114">
        <v>0</v>
      </c>
      <c r="E12" s="115">
        <f>PotR!F12</f>
        <v>596974.49964495946</v>
      </c>
      <c r="F12" s="116">
        <v>-9.9920072216264089E-16</v>
      </c>
      <c r="G12" s="52" t="str">
        <f t="shared" si="0"/>
        <v/>
      </c>
      <c r="H12" s="52" t="str">
        <f t="shared" si="1"/>
        <v/>
      </c>
      <c r="I12" s="117" t="s">
        <v>138</v>
      </c>
    </row>
    <row r="13" spans="1:9">
      <c r="A13" s="101"/>
      <c r="B13" s="118" t="s">
        <v>53</v>
      </c>
      <c r="C13" s="119">
        <f>PotR!I13</f>
        <v>125.4</v>
      </c>
      <c r="D13" s="120">
        <v>0</v>
      </c>
      <c r="E13" s="121">
        <f>PotR!F13</f>
        <v>1301268.25428773</v>
      </c>
      <c r="F13" s="122">
        <v>0</v>
      </c>
      <c r="G13" s="56">
        <f t="shared" si="0"/>
        <v>0</v>
      </c>
      <c r="H13" s="56">
        <f t="shared" si="1"/>
        <v>1301268.25428773</v>
      </c>
      <c r="I13" s="123">
        <v>0</v>
      </c>
    </row>
    <row r="14" spans="1:9">
      <c r="A14" s="101"/>
      <c r="B14" s="112" t="s">
        <v>54</v>
      </c>
      <c r="C14" s="113">
        <f>PotR!I14</f>
        <v>69.599999999999994</v>
      </c>
      <c r="D14" s="114">
        <v>0</v>
      </c>
      <c r="E14" s="115">
        <f>PotR!F14</f>
        <v>716567.84755829501</v>
      </c>
      <c r="F14" s="116">
        <v>-1.4432899320127035E-15</v>
      </c>
      <c r="G14" s="52" t="str">
        <f t="shared" si="0"/>
        <v/>
      </c>
      <c r="H14" s="52" t="str">
        <f t="shared" si="1"/>
        <v/>
      </c>
      <c r="I14" s="117" t="s">
        <v>138</v>
      </c>
    </row>
    <row r="15" spans="1:9">
      <c r="A15" s="101"/>
      <c r="B15" s="118" t="s">
        <v>55</v>
      </c>
      <c r="C15" s="119">
        <f>PotR!I15</f>
        <v>214.9</v>
      </c>
      <c r="D15" s="120">
        <v>0</v>
      </c>
      <c r="E15" s="121">
        <f>PotR!F15</f>
        <v>6009193.759062415</v>
      </c>
      <c r="F15" s="122">
        <v>0</v>
      </c>
      <c r="G15" s="56">
        <f t="shared" si="0"/>
        <v>0</v>
      </c>
      <c r="H15" s="56">
        <f t="shared" si="1"/>
        <v>6009193.759062415</v>
      </c>
      <c r="I15" s="123">
        <v>6.6613381477509392E-16</v>
      </c>
    </row>
    <row r="16" spans="1:9">
      <c r="A16" s="101"/>
      <c r="B16" s="112" t="s">
        <v>56</v>
      </c>
      <c r="C16" s="113">
        <f>PotR!I16</f>
        <v>75.3</v>
      </c>
      <c r="D16" s="114">
        <v>0</v>
      </c>
      <c r="E16" s="115">
        <f>PotR!F16</f>
        <v>5071911.7614385746</v>
      </c>
      <c r="F16" s="116">
        <v>0</v>
      </c>
      <c r="G16" s="52" t="str">
        <f t="shared" si="0"/>
        <v/>
      </c>
      <c r="H16" s="52" t="str">
        <f t="shared" si="1"/>
        <v/>
      </c>
      <c r="I16" s="117" t="s">
        <v>138</v>
      </c>
    </row>
    <row r="17" spans="1:9">
      <c r="A17" s="101"/>
      <c r="B17" s="118" t="s">
        <v>57</v>
      </c>
      <c r="C17" s="119">
        <f>PotR!I17</f>
        <v>76.2</v>
      </c>
      <c r="D17" s="120">
        <v>0</v>
      </c>
      <c r="E17" s="121">
        <f>PotR!F17</f>
        <v>5043202.464327205</v>
      </c>
      <c r="F17" s="122">
        <v>-8.8817841970012523E-16</v>
      </c>
      <c r="G17" s="56" t="str">
        <f t="shared" si="0"/>
        <v/>
      </c>
      <c r="H17" s="56" t="str">
        <f t="shared" si="1"/>
        <v/>
      </c>
      <c r="I17" s="123" t="s">
        <v>138</v>
      </c>
    </row>
    <row r="18" spans="1:9">
      <c r="A18" s="101"/>
      <c r="B18" s="112" t="s">
        <v>58</v>
      </c>
      <c r="C18" s="113">
        <f>PotR!I18</f>
        <v>139.80000000000001</v>
      </c>
      <c r="D18" s="114">
        <v>0</v>
      </c>
      <c r="E18" s="115">
        <f>PotR!F18</f>
        <v>7176591.4481066857</v>
      </c>
      <c r="F18" s="116">
        <v>0</v>
      </c>
      <c r="G18" s="52">
        <f t="shared" si="0"/>
        <v>0</v>
      </c>
      <c r="H18" s="52">
        <f t="shared" si="1"/>
        <v>7176591.4481066857</v>
      </c>
      <c r="I18" s="117">
        <v>8.8817841970012523E-16</v>
      </c>
    </row>
    <row r="19" spans="1:9">
      <c r="A19" s="101"/>
      <c r="B19" s="118" t="s">
        <v>59</v>
      </c>
      <c r="C19" s="119">
        <f>PotR!I19</f>
        <v>103.8</v>
      </c>
      <c r="D19" s="120">
        <v>0</v>
      </c>
      <c r="E19" s="121">
        <f>PotR!F19</f>
        <v>7358427.7550418954</v>
      </c>
      <c r="F19" s="122">
        <v>0</v>
      </c>
      <c r="G19" s="56">
        <f t="shared" si="0"/>
        <v>0</v>
      </c>
      <c r="H19" s="56">
        <f t="shared" si="1"/>
        <v>7358427.7550418954</v>
      </c>
      <c r="I19" s="123">
        <v>-6.6613381477509392E-16</v>
      </c>
    </row>
    <row r="20" spans="1:9">
      <c r="A20" s="101"/>
      <c r="B20" s="112" t="s">
        <v>60</v>
      </c>
      <c r="C20" s="113">
        <f>PotR!I20</f>
        <v>96.1</v>
      </c>
      <c r="D20" s="114">
        <v>0</v>
      </c>
      <c r="E20" s="115">
        <f>PotR!F20</f>
        <v>1918122.8246659599</v>
      </c>
      <c r="F20" s="116">
        <v>0</v>
      </c>
      <c r="G20" s="52" t="str">
        <f t="shared" si="0"/>
        <v/>
      </c>
      <c r="H20" s="52" t="str">
        <f t="shared" si="1"/>
        <v/>
      </c>
      <c r="I20" s="117" t="s">
        <v>138</v>
      </c>
    </row>
    <row r="21" spans="1:9">
      <c r="A21" s="101"/>
      <c r="B21" s="118" t="s">
        <v>61</v>
      </c>
      <c r="C21" s="119">
        <f>PotR!I21</f>
        <v>77.400000000000006</v>
      </c>
      <c r="D21" s="120">
        <v>0</v>
      </c>
      <c r="E21" s="121">
        <f>PotR!F21</f>
        <v>1096472.530649835</v>
      </c>
      <c r="F21" s="122">
        <v>-4.4408920985006262E-15</v>
      </c>
      <c r="G21" s="56" t="str">
        <f t="shared" si="0"/>
        <v/>
      </c>
      <c r="H21" s="56" t="str">
        <f t="shared" si="1"/>
        <v/>
      </c>
      <c r="I21" s="123" t="s">
        <v>138</v>
      </c>
    </row>
    <row r="22" spans="1:9">
      <c r="A22" s="101"/>
      <c r="B22" s="112" t="s">
        <v>62</v>
      </c>
      <c r="C22" s="113">
        <f>PotR!I22</f>
        <v>79.599999999999994</v>
      </c>
      <c r="D22" s="114">
        <v>0</v>
      </c>
      <c r="E22" s="115">
        <f>PotR!F22</f>
        <v>314462.64121489995</v>
      </c>
      <c r="F22" s="116">
        <v>0</v>
      </c>
      <c r="G22" s="52" t="str">
        <f t="shared" si="0"/>
        <v/>
      </c>
      <c r="H22" s="52" t="str">
        <f t="shared" si="1"/>
        <v/>
      </c>
      <c r="I22" s="117" t="s">
        <v>138</v>
      </c>
    </row>
    <row r="23" spans="1:9">
      <c r="A23" s="101"/>
      <c r="B23" s="118" t="s">
        <v>63</v>
      </c>
      <c r="C23" s="119">
        <f>PotR!I23</f>
        <v>80.900000000000006</v>
      </c>
      <c r="D23" s="120">
        <v>0</v>
      </c>
      <c r="E23" s="121">
        <f>PotR!F23</f>
        <v>9985037.5285693891</v>
      </c>
      <c r="F23" s="122">
        <v>1.7763568394002505E-15</v>
      </c>
      <c r="G23" s="56" t="str">
        <f t="shared" si="0"/>
        <v/>
      </c>
      <c r="H23" s="56" t="str">
        <f t="shared" si="1"/>
        <v/>
      </c>
      <c r="I23" s="123" t="s">
        <v>138</v>
      </c>
    </row>
    <row r="24" spans="1:9">
      <c r="A24" s="101"/>
      <c r="B24" s="112" t="s">
        <v>64</v>
      </c>
      <c r="C24" s="113">
        <f>PotR!I24</f>
        <v>81.599999999999994</v>
      </c>
      <c r="D24" s="114">
        <v>0</v>
      </c>
      <c r="E24" s="115">
        <f>PotR!F24</f>
        <v>4201410.1826493349</v>
      </c>
      <c r="F24" s="116">
        <v>-1.1102230246251565E-15</v>
      </c>
      <c r="G24" s="52" t="str">
        <f t="shared" si="0"/>
        <v/>
      </c>
      <c r="H24" s="52" t="str">
        <f t="shared" si="1"/>
        <v/>
      </c>
      <c r="I24" s="117" t="s">
        <v>138</v>
      </c>
    </row>
    <row r="25" spans="1:9">
      <c r="A25" s="101"/>
      <c r="B25" s="118" t="s">
        <v>65</v>
      </c>
      <c r="C25" s="119">
        <f>PotR!I25</f>
        <v>89.6</v>
      </c>
      <c r="D25" s="120">
        <v>0</v>
      </c>
      <c r="E25" s="121">
        <f>PotR!F25</f>
        <v>13535189.493252099</v>
      </c>
      <c r="F25" s="122">
        <v>0</v>
      </c>
      <c r="G25" s="56" t="str">
        <f t="shared" si="0"/>
        <v/>
      </c>
      <c r="H25" s="56" t="str">
        <f t="shared" si="1"/>
        <v/>
      </c>
      <c r="I25" s="123" t="s">
        <v>138</v>
      </c>
    </row>
    <row r="26" spans="1:9">
      <c r="A26" s="101"/>
      <c r="B26" s="112" t="s">
        <v>66</v>
      </c>
      <c r="C26" s="113">
        <f>PotR!I26</f>
        <v>74</v>
      </c>
      <c r="D26" s="114">
        <v>0</v>
      </c>
      <c r="E26" s="115">
        <f>PotR!F26</f>
        <v>4622835.6741330698</v>
      </c>
      <c r="F26" s="116">
        <v>0</v>
      </c>
      <c r="G26" s="52" t="str">
        <f t="shared" si="0"/>
        <v/>
      </c>
      <c r="H26" s="52" t="str">
        <f t="shared" si="1"/>
        <v/>
      </c>
      <c r="I26" s="117" t="s">
        <v>138</v>
      </c>
    </row>
    <row r="27" spans="1:9">
      <c r="A27" s="101"/>
      <c r="B27" s="118" t="s">
        <v>67</v>
      </c>
      <c r="C27" s="119">
        <f>PotR!I27</f>
        <v>97.2</v>
      </c>
      <c r="D27" s="120">
        <v>0</v>
      </c>
      <c r="E27" s="121">
        <f>PotR!F27</f>
        <v>8312940.0225468706</v>
      </c>
      <c r="F27" s="122">
        <v>0</v>
      </c>
      <c r="G27" s="56" t="str">
        <f t="shared" si="0"/>
        <v/>
      </c>
      <c r="H27" s="56" t="str">
        <f t="shared" si="1"/>
        <v/>
      </c>
      <c r="I27" s="123" t="s">
        <v>138</v>
      </c>
    </row>
    <row r="28" spans="1:9">
      <c r="A28" s="101"/>
      <c r="B28" s="112" t="s">
        <v>68</v>
      </c>
      <c r="C28" s="113">
        <f>PotR!I28</f>
        <v>105.5</v>
      </c>
      <c r="D28" s="114">
        <v>0</v>
      </c>
      <c r="E28" s="115">
        <f>PotR!F28</f>
        <v>18514847.909016602</v>
      </c>
      <c r="F28" s="116">
        <v>0</v>
      </c>
      <c r="G28" s="52">
        <f t="shared" si="0"/>
        <v>0</v>
      </c>
      <c r="H28" s="52">
        <f t="shared" si="1"/>
        <v>18514847.909016602</v>
      </c>
      <c r="I28" s="117">
        <v>0</v>
      </c>
    </row>
    <row r="29" spans="1:9">
      <c r="A29" s="101"/>
      <c r="B29" s="118" t="s">
        <v>69</v>
      </c>
      <c r="C29" s="119">
        <f>PotR!I29</f>
        <v>69</v>
      </c>
      <c r="D29" s="120">
        <v>0</v>
      </c>
      <c r="E29" s="121">
        <f>PotR!F29</f>
        <v>5296224.8009340297</v>
      </c>
      <c r="F29" s="122">
        <v>0</v>
      </c>
      <c r="G29" s="56" t="str">
        <f t="shared" si="0"/>
        <v/>
      </c>
      <c r="H29" s="56" t="str">
        <f t="shared" si="1"/>
        <v/>
      </c>
      <c r="I29" s="123" t="s">
        <v>138</v>
      </c>
    </row>
    <row r="30" spans="1:9">
      <c r="A30" s="101"/>
      <c r="B30" s="112" t="s">
        <v>70</v>
      </c>
      <c r="C30" s="113">
        <f>PotR!I30</f>
        <v>96.5</v>
      </c>
      <c r="D30" s="114">
        <v>0</v>
      </c>
      <c r="E30" s="115">
        <f>PotR!F30</f>
        <v>4372882.4597512102</v>
      </c>
      <c r="F30" s="116">
        <v>0</v>
      </c>
      <c r="G30" s="52" t="str">
        <f t="shared" si="0"/>
        <v/>
      </c>
      <c r="H30" s="52" t="str">
        <f t="shared" si="1"/>
        <v/>
      </c>
      <c r="I30" s="117" t="s">
        <v>138</v>
      </c>
    </row>
    <row r="31" spans="1:9">
      <c r="A31" s="101"/>
      <c r="B31" s="118" t="s">
        <v>71</v>
      </c>
      <c r="C31" s="119">
        <f>PotR!I31</f>
        <v>151.19999999999999</v>
      </c>
      <c r="D31" s="120">
        <v>0</v>
      </c>
      <c r="E31" s="121">
        <f>PotR!F31</f>
        <v>17494769.977781303</v>
      </c>
      <c r="F31" s="122">
        <v>0</v>
      </c>
      <c r="G31" s="56">
        <f t="shared" si="0"/>
        <v>0</v>
      </c>
      <c r="H31" s="56">
        <f t="shared" si="1"/>
        <v>17494769.977781303</v>
      </c>
      <c r="I31" s="123">
        <v>2.2204460492503131E-16</v>
      </c>
    </row>
    <row r="32" spans="1:9">
      <c r="A32" s="124"/>
      <c r="B32" s="125" t="s">
        <v>72</v>
      </c>
      <c r="C32" s="126">
        <f>PotR!I32</f>
        <v>68.599999999999994</v>
      </c>
      <c r="D32" s="127">
        <v>0</v>
      </c>
      <c r="E32" s="128">
        <f>PotR!F32</f>
        <v>1253731.47114653</v>
      </c>
      <c r="F32" s="129">
        <v>0</v>
      </c>
      <c r="G32" s="130" t="str">
        <f t="shared" si="0"/>
        <v/>
      </c>
      <c r="H32" s="130" t="str">
        <f t="shared" si="1"/>
        <v/>
      </c>
      <c r="I32" s="131" t="s">
        <v>138</v>
      </c>
    </row>
    <row r="33" spans="1:9">
      <c r="B33" s="58" t="s">
        <v>73</v>
      </c>
      <c r="C33" s="132">
        <f>PotR!I33</f>
        <v>100</v>
      </c>
      <c r="D33" s="133">
        <f>SUM(D7:D32)</f>
        <v>0</v>
      </c>
      <c r="E33" s="134">
        <f>SUM(E7:E32)</f>
        <v>199920504.18037528</v>
      </c>
      <c r="F33" s="135">
        <v>0</v>
      </c>
      <c r="G33" s="59">
        <f>SUM(G7:G32)</f>
        <v>0</v>
      </c>
      <c r="H33" s="59">
        <f>SUM(H7:H32)</f>
        <v>105791138.98844057</v>
      </c>
      <c r="I33" s="136">
        <v>0</v>
      </c>
    </row>
    <row r="34" spans="1:9">
      <c r="A34" s="137"/>
      <c r="B34" s="69"/>
      <c r="C34" s="69"/>
      <c r="D34" s="69"/>
    </row>
    <row r="35" spans="1:9">
      <c r="B35" s="69"/>
      <c r="C35" s="69"/>
      <c r="D35" s="69"/>
    </row>
  </sheetData>
  <mergeCells count="3">
    <mergeCell ref="C4:C5"/>
    <mergeCell ref="G4:I4"/>
    <mergeCell ref="D4:F4"/>
  </mergeCells>
  <conditionalFormatting sqref="G5:H5 D5:E5 C33 D7:E33">
    <cfRule type="expression" dxfId="9" priority="1" stopIfTrue="1">
      <formula>ISBLANK(C5)</formula>
    </cfRule>
  </conditionalFormatting>
  <conditionalFormatting sqref="G5:H5 D5:E5 C33 D7:E33">
    <cfRule type="expression" dxfId="8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5"/>
  <sheetViews>
    <sheetView showGridLines="0" workbookViewId="0"/>
  </sheetViews>
  <sheetFormatPr baseColWidth="10" defaultColWidth="11.42578125" defaultRowHeight="12.75"/>
  <cols>
    <col min="1" max="1" width="1.7109375" style="2" customWidth="1"/>
    <col min="2" max="2" width="33.28515625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>
      <c r="B1" s="4" t="str">
        <f>"Progression des dotations de la péréquation des ressources "&amp;Info!C30</f>
        <v>Progression des dotations de la péréquation des ressources 2008</v>
      </c>
      <c r="C1" s="1"/>
      <c r="D1" s="1"/>
      <c r="E1" s="1"/>
      <c r="F1" s="1"/>
    </row>
    <row r="2" spans="2:8">
      <c r="B2" s="138" t="s">
        <v>82</v>
      </c>
      <c r="C2" s="1"/>
      <c r="D2" s="1"/>
      <c r="E2" s="1"/>
      <c r="F2" s="1"/>
      <c r="H2" s="69"/>
    </row>
    <row r="3" spans="2:8">
      <c r="B3" s="1"/>
      <c r="C3" s="1"/>
      <c r="D3" s="1"/>
      <c r="E3" s="1"/>
      <c r="F3" s="1"/>
      <c r="G3" s="23" t="str">
        <f>Info!C28</f>
        <v>FA_2008_20120424</v>
      </c>
      <c r="H3" s="69"/>
    </row>
    <row r="4" spans="2:8" ht="24.75" customHeight="1">
      <c r="B4" s="139" t="s">
        <v>83</v>
      </c>
      <c r="C4" s="140">
        <f>G4-1</f>
        <v>2007</v>
      </c>
      <c r="D4" s="141" t="s">
        <v>84</v>
      </c>
      <c r="E4" s="142" t="s">
        <v>85</v>
      </c>
      <c r="F4" s="142" t="s">
        <v>86</v>
      </c>
      <c r="G4" s="143">
        <f>Info!C30</f>
        <v>2008</v>
      </c>
      <c r="H4" s="69"/>
    </row>
    <row r="5" spans="2:8">
      <c r="B5" s="44" t="s">
        <v>87</v>
      </c>
      <c r="C5" s="45">
        <v>0</v>
      </c>
      <c r="D5" s="144">
        <f>Taux_de_croissance!F33</f>
        <v>0</v>
      </c>
      <c r="E5" s="47">
        <f>C5*(1+D5)</f>
        <v>0</v>
      </c>
      <c r="F5" s="45">
        <v>0</v>
      </c>
      <c r="G5" s="145">
        <v>1798568507</v>
      </c>
      <c r="H5" s="69"/>
    </row>
    <row r="6" spans="2:8">
      <c r="B6" s="96" t="s">
        <v>88</v>
      </c>
      <c r="C6" s="146">
        <v>0</v>
      </c>
      <c r="D6" s="147">
        <f>Taux_de_croissance!I33</f>
        <v>0</v>
      </c>
      <c r="E6" s="148">
        <f>C6*(1+D6)</f>
        <v>0</v>
      </c>
      <c r="F6" s="146">
        <v>0</v>
      </c>
      <c r="G6" s="149">
        <v>1258997955</v>
      </c>
      <c r="H6" s="69"/>
    </row>
    <row r="7" spans="2:8">
      <c r="B7" s="150"/>
      <c r="C7" s="69"/>
      <c r="D7" s="69"/>
      <c r="E7" s="1"/>
      <c r="F7" s="1"/>
      <c r="H7" s="69"/>
    </row>
    <row r="8" spans="2:8">
      <c r="B8" s="1"/>
      <c r="C8" s="1"/>
      <c r="D8" s="1"/>
      <c r="E8" s="1"/>
      <c r="F8" s="1"/>
    </row>
    <row r="9" spans="2:8">
      <c r="B9" s="1"/>
      <c r="C9" s="1"/>
      <c r="D9" s="1"/>
      <c r="E9" s="1"/>
      <c r="F9" s="1"/>
    </row>
    <row r="10" spans="2:8">
      <c r="B10" s="1"/>
      <c r="C10" s="1"/>
      <c r="D10" s="1"/>
      <c r="E10" s="151"/>
      <c r="F10" s="1"/>
    </row>
    <row r="11" spans="2:8">
      <c r="B11" s="138"/>
      <c r="C11" s="152"/>
      <c r="D11" s="152"/>
      <c r="E11" s="151"/>
      <c r="F11" s="153"/>
      <c r="G11" s="153"/>
    </row>
    <row r="12" spans="2:8">
      <c r="B12" s="139" t="s">
        <v>89</v>
      </c>
      <c r="C12" s="154">
        <f>C4</f>
        <v>2007</v>
      </c>
      <c r="D12" s="155">
        <f>G4</f>
        <v>2008</v>
      </c>
      <c r="E12" s="151"/>
      <c r="F12" s="153"/>
      <c r="G12" s="153"/>
    </row>
    <row r="13" spans="2:8">
      <c r="B13" s="118" t="s">
        <v>90</v>
      </c>
      <c r="C13" s="56">
        <f>0.8*C$5</f>
        <v>0</v>
      </c>
      <c r="D13" s="90">
        <f>0.8*G5</f>
        <v>1438854805.6000001</v>
      </c>
      <c r="E13" s="151"/>
      <c r="F13" s="153"/>
      <c r="G13" s="153"/>
    </row>
    <row r="14" spans="2:8">
      <c r="B14" s="156" t="s">
        <v>91</v>
      </c>
      <c r="C14" s="157"/>
      <c r="D14" s="158">
        <f>G6/G5</f>
        <v>0.70000000005559981</v>
      </c>
      <c r="E14" s="1"/>
      <c r="F14" s="1"/>
    </row>
    <row r="15" spans="2:8">
      <c r="B15" s="96" t="s">
        <v>92</v>
      </c>
      <c r="C15" s="148">
        <f>(2/3)*C$5</f>
        <v>0</v>
      </c>
      <c r="D15" s="159">
        <f>(2/3)*G5</f>
        <v>1199045671.3333333</v>
      </c>
      <c r="E15" s="1"/>
      <c r="F15" s="1"/>
    </row>
    <row r="16" spans="2:8">
      <c r="B16" s="160" t="s">
        <v>93</v>
      </c>
      <c r="E16" s="1"/>
      <c r="F16" s="1"/>
    </row>
    <row r="17" spans="2:6">
      <c r="B17" s="161" t="s">
        <v>94</v>
      </c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38"/>
      <c r="C22" s="1"/>
      <c r="D22" s="1"/>
      <c r="E22" s="1"/>
      <c r="F22" s="1"/>
    </row>
    <row r="23" spans="2:6" ht="15.75" customHeight="1">
      <c r="B23" s="162" t="str">
        <f>"Dotations "&amp;G4</f>
        <v>Dotations 2008</v>
      </c>
      <c r="C23" s="163"/>
      <c r="D23" s="164"/>
      <c r="E23" s="1"/>
      <c r="F23" s="1"/>
    </row>
    <row r="24" spans="2:6" ht="15.75" customHeight="1">
      <c r="B24" s="165" t="s">
        <v>87</v>
      </c>
      <c r="C24" s="166"/>
      <c r="D24" s="167">
        <f>G5</f>
        <v>1798568507</v>
      </c>
      <c r="E24" s="1"/>
      <c r="F24" s="1"/>
    </row>
    <row r="25" spans="2:6" ht="15.75" customHeight="1">
      <c r="B25" s="165" t="s">
        <v>88</v>
      </c>
      <c r="C25" s="166"/>
      <c r="D25" s="167">
        <f>IF(G6&gt;D13,D13,IF(G6&lt;D15,D15,G6))</f>
        <v>1258997955</v>
      </c>
      <c r="E25" s="1"/>
      <c r="F25" s="1"/>
    </row>
    <row r="26" spans="2:6" ht="20.25" customHeight="1">
      <c r="B26" s="168" t="s">
        <v>95</v>
      </c>
      <c r="C26" s="169"/>
      <c r="D26" s="170">
        <f>D24+D25</f>
        <v>3057566462</v>
      </c>
      <c r="E26" s="1"/>
      <c r="F26" s="1"/>
    </row>
    <row r="27" spans="2:6">
      <c r="B27" s="1"/>
      <c r="C27" s="1"/>
      <c r="D27" s="1"/>
      <c r="E27" s="1"/>
      <c r="F27" s="1"/>
    </row>
    <row r="28" spans="2:6" hidden="1">
      <c r="B28" s="1"/>
      <c r="C28" s="1"/>
      <c r="D28" s="1"/>
      <c r="E28" s="1"/>
      <c r="F28" s="1"/>
    </row>
    <row r="29" spans="2:6" hidden="1">
      <c r="B29" s="1"/>
      <c r="C29" s="1"/>
      <c r="D29" s="1"/>
      <c r="E29" s="1"/>
      <c r="F29" s="1"/>
    </row>
    <row r="30" spans="2:6">
      <c r="B30" s="1"/>
      <c r="C30" s="1"/>
      <c r="D30" s="1"/>
      <c r="E30" s="1"/>
      <c r="F30" s="1"/>
    </row>
    <row r="31" spans="2:6">
      <c r="B31" s="311" t="str">
        <f>"Taux de croissance effectif* "&amp;C4&amp;"-"&amp;G4</f>
        <v>Taux de croissance effectif* 2007-2008</v>
      </c>
      <c r="C31" s="312"/>
      <c r="D31" s="1"/>
      <c r="E31" s="1"/>
      <c r="F31" s="1"/>
    </row>
    <row r="32" spans="2:6">
      <c r="B32" s="171" t="s">
        <v>87</v>
      </c>
      <c r="C32" s="111">
        <v>0</v>
      </c>
      <c r="D32" s="1"/>
      <c r="E32" s="1"/>
      <c r="F32" s="1"/>
    </row>
    <row r="33" spans="2:6">
      <c r="B33" s="172" t="s">
        <v>88</v>
      </c>
      <c r="C33" s="173">
        <v>0</v>
      </c>
      <c r="D33" s="1"/>
      <c r="E33" s="1"/>
      <c r="F33" s="1"/>
    </row>
    <row r="34" spans="2:6" ht="17.25" customHeight="1">
      <c r="B34" s="174" t="s">
        <v>95</v>
      </c>
      <c r="C34" s="175">
        <v>0</v>
      </c>
      <c r="D34" s="1"/>
      <c r="E34" s="1"/>
      <c r="F34" s="1"/>
    </row>
    <row r="35" spans="2:6">
      <c r="B35" s="36" t="s">
        <v>96</v>
      </c>
      <c r="C35" s="1"/>
      <c r="D35" s="1"/>
      <c r="E35" s="1"/>
      <c r="F35" s="1"/>
    </row>
  </sheetData>
  <mergeCells count="1">
    <mergeCell ref="B31:C31"/>
  </mergeCells>
  <conditionalFormatting sqref="C5:C6 F5:F6">
    <cfRule type="expression" dxfId="7" priority="1" stopIfTrue="1">
      <formula>ISBLANK(C5)</formula>
    </cfRule>
  </conditionalFormatting>
  <conditionalFormatting sqref="C5:C6 F5:F6">
    <cfRule type="expression" dxfId="6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2.7109375" style="2" customWidth="1"/>
    <col min="3" max="3" width="16.42578125" style="2" customWidth="1"/>
    <col min="4" max="4" width="22.85546875" style="2" customWidth="1"/>
    <col min="5" max="5" width="20.140625" style="2" customWidth="1"/>
    <col min="6" max="6" width="23.7109375" style="2" customWidth="1"/>
  </cols>
  <sheetData>
    <row r="1" spans="1:6" ht="26.25" customHeight="1">
      <c r="A1" s="95" t="str">
        <f>"Montants versés par les cantons à fort potentiel de ressources "&amp;Info!C30</f>
        <v>Montants versés par les cantons à fort potentiel de ressources 2008</v>
      </c>
      <c r="B1" s="95"/>
      <c r="C1" s="95"/>
      <c r="D1" s="95"/>
      <c r="E1" s="95"/>
      <c r="F1" s="95"/>
    </row>
    <row r="2" spans="1:6" ht="18.75" customHeight="1">
      <c r="F2" s="23" t="str">
        <f>Info!$C$28</f>
        <v>FA_2008_20120424</v>
      </c>
    </row>
    <row r="3" spans="1:6" s="2" customFormat="1">
      <c r="A3" s="62" t="s">
        <v>28</v>
      </c>
      <c r="B3" s="176" t="s">
        <v>97</v>
      </c>
      <c r="C3" s="63" t="s">
        <v>29</v>
      </c>
      <c r="D3" s="63" t="s">
        <v>30</v>
      </c>
      <c r="E3" s="63" t="s">
        <v>31</v>
      </c>
      <c r="F3" s="64" t="s">
        <v>32</v>
      </c>
    </row>
    <row r="4" spans="1:6" s="36" customFormat="1" ht="11.25" customHeight="1">
      <c r="A4" s="177" t="s">
        <v>36</v>
      </c>
      <c r="B4" s="178"/>
      <c r="C4" s="179"/>
      <c r="D4" s="179" t="s">
        <v>98</v>
      </c>
      <c r="E4" s="179" t="s">
        <v>99</v>
      </c>
      <c r="F4" s="180" t="s">
        <v>100</v>
      </c>
    </row>
    <row r="5" spans="1:6" ht="28.5" customHeight="1">
      <c r="A5" s="181"/>
      <c r="B5" s="182" t="s">
        <v>41</v>
      </c>
      <c r="C5" s="182" t="s">
        <v>7</v>
      </c>
      <c r="D5" s="183" t="s">
        <v>101</v>
      </c>
      <c r="E5" s="183" t="s">
        <v>102</v>
      </c>
      <c r="F5" s="184" t="s">
        <v>103</v>
      </c>
    </row>
    <row r="6" spans="1:6">
      <c r="A6" s="77" t="s">
        <v>43</v>
      </c>
      <c r="B6" s="185" t="s">
        <v>80</v>
      </c>
      <c r="C6" s="104" t="s">
        <v>45</v>
      </c>
      <c r="D6" s="104"/>
      <c r="E6" s="104" t="s">
        <v>46</v>
      </c>
      <c r="F6" s="186" t="s">
        <v>46</v>
      </c>
    </row>
    <row r="7" spans="1:6" s="187" customFormat="1" ht="15" customHeight="1">
      <c r="A7" s="188" t="s">
        <v>47</v>
      </c>
      <c r="B7" s="189">
        <f>PotR!I7</f>
        <v>126.5</v>
      </c>
      <c r="C7" s="190">
        <f>PotR!G7</f>
        <v>1276014.5</v>
      </c>
      <c r="D7" s="191">
        <f t="shared" ref="D7:D32" si="0">IF(B7&gt;100,(B7-100)*C7,0)</f>
        <v>33814384.25</v>
      </c>
      <c r="E7" s="191">
        <f t="shared" ref="E7:E32" si="1">IF(B7&gt;100,A/$D$33*(B7-100),0)</f>
        <v>396.34168372393322</v>
      </c>
      <c r="F7" s="192">
        <f t="shared" ref="F7:F32" si="2">E7*C7</f>
        <v>505737735.3861528</v>
      </c>
    </row>
    <row r="8" spans="1:6" s="187" customFormat="1" ht="15" customHeight="1">
      <c r="A8" s="193" t="s">
        <v>48</v>
      </c>
      <c r="B8" s="194">
        <f>PotR!I8</f>
        <v>77.099999999999994</v>
      </c>
      <c r="C8" s="195">
        <f>PotR!G8</f>
        <v>960146.5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>
      <c r="A9" s="188" t="s">
        <v>49</v>
      </c>
      <c r="B9" s="189">
        <f>PotR!I9</f>
        <v>76.7</v>
      </c>
      <c r="C9" s="190">
        <f>PotR!G9</f>
        <v>353299.5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>
      <c r="A10" s="193" t="s">
        <v>50</v>
      </c>
      <c r="B10" s="194">
        <f>PotR!I10</f>
        <v>61.8</v>
      </c>
      <c r="C10" s="195">
        <f>PotR!G10</f>
        <v>34752.5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>
      <c r="A11" s="188" t="s">
        <v>51</v>
      </c>
      <c r="B11" s="189">
        <f>PotR!I11</f>
        <v>124.1</v>
      </c>
      <c r="C11" s="190">
        <f>PotR!G11</f>
        <v>134428</v>
      </c>
      <c r="D11" s="191">
        <f t="shared" si="0"/>
        <v>3239714.7999999993</v>
      </c>
      <c r="E11" s="191">
        <f t="shared" si="1"/>
        <v>360.44658783950143</v>
      </c>
      <c r="F11" s="192">
        <f t="shared" si="2"/>
        <v>48454113.910088502</v>
      </c>
    </row>
    <row r="12" spans="1:6" s="187" customFormat="1" ht="15" customHeight="1">
      <c r="A12" s="193" t="s">
        <v>52</v>
      </c>
      <c r="B12" s="194">
        <f>PotR!I12</f>
        <v>67.2</v>
      </c>
      <c r="C12" s="195">
        <f>PotR!G12</f>
        <v>33032.5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>
      <c r="A13" s="188" t="s">
        <v>53</v>
      </c>
      <c r="B13" s="189">
        <f>PotR!I13</f>
        <v>125.4</v>
      </c>
      <c r="C13" s="190">
        <f>PotR!G13</f>
        <v>38563</v>
      </c>
      <c r="D13" s="191">
        <f t="shared" si="0"/>
        <v>979500.20000000019</v>
      </c>
      <c r="E13" s="191">
        <f t="shared" si="1"/>
        <v>379.8897647769021</v>
      </c>
      <c r="F13" s="192">
        <f t="shared" si="2"/>
        <v>14649688.999091676</v>
      </c>
    </row>
    <row r="14" spans="1:6" s="187" customFormat="1" ht="15" customHeight="1">
      <c r="A14" s="193" t="s">
        <v>54</v>
      </c>
      <c r="B14" s="194">
        <f>PotR!I14</f>
        <v>69.599999999999994</v>
      </c>
      <c r="C14" s="195">
        <f>PotR!G14</f>
        <v>38278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>
      <c r="A15" s="188" t="s">
        <v>55</v>
      </c>
      <c r="B15" s="189">
        <f>PotR!I15</f>
        <v>214.9</v>
      </c>
      <c r="C15" s="190">
        <f>PotR!G15</f>
        <v>103918</v>
      </c>
      <c r="D15" s="191">
        <f t="shared" si="0"/>
        <v>11940178.200000001</v>
      </c>
      <c r="E15" s="191">
        <f t="shared" si="1"/>
        <v>1718.4777154671669</v>
      </c>
      <c r="F15" s="192">
        <f t="shared" si="2"/>
        <v>178580767.23591706</v>
      </c>
    </row>
    <row r="16" spans="1:6" s="187" customFormat="1" ht="15" customHeight="1">
      <c r="A16" s="193" t="s">
        <v>56</v>
      </c>
      <c r="B16" s="194">
        <f>PotR!I16</f>
        <v>75.3</v>
      </c>
      <c r="C16" s="195">
        <f>PotR!G16</f>
        <v>250227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>
      <c r="A17" s="188" t="s">
        <v>57</v>
      </c>
      <c r="B17" s="189">
        <f>PotR!I17</f>
        <v>76.2</v>
      </c>
      <c r="C17" s="190">
        <f>PotR!G17</f>
        <v>245906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>
      <c r="A18" s="193" t="s">
        <v>58</v>
      </c>
      <c r="B18" s="194">
        <f>PotR!I18</f>
        <v>139.80000000000001</v>
      </c>
      <c r="C18" s="195">
        <f>PotR!G18</f>
        <v>190833</v>
      </c>
      <c r="D18" s="196">
        <f t="shared" si="0"/>
        <v>7595153.4000000022</v>
      </c>
      <c r="E18" s="196">
        <f t="shared" si="1"/>
        <v>595.26034008349234</v>
      </c>
      <c r="F18" s="197">
        <f t="shared" si="2"/>
        <v>113595316.4791531</v>
      </c>
    </row>
    <row r="19" spans="1:6" s="187" customFormat="1" ht="15" customHeight="1">
      <c r="A19" s="188" t="s">
        <v>59</v>
      </c>
      <c r="B19" s="189">
        <f>PotR!I19</f>
        <v>103.8</v>
      </c>
      <c r="C19" s="190">
        <f>PotR!G19</f>
        <v>263470.5</v>
      </c>
      <c r="D19" s="191">
        <f t="shared" si="0"/>
        <v>1001187.8999999992</v>
      </c>
      <c r="E19" s="191">
        <f t="shared" si="1"/>
        <v>56.833901817016795</v>
      </c>
      <c r="F19" s="192">
        <f t="shared" si="2"/>
        <v>14974056.528680323</v>
      </c>
    </row>
    <row r="20" spans="1:6" s="187" customFormat="1" ht="15" customHeight="1">
      <c r="A20" s="193" t="s">
        <v>60</v>
      </c>
      <c r="B20" s="194">
        <f>PotR!I20</f>
        <v>96.1</v>
      </c>
      <c r="C20" s="195">
        <f>PotR!G20</f>
        <v>74170</v>
      </c>
      <c r="D20" s="196">
        <f t="shared" si="0"/>
        <v>0</v>
      </c>
      <c r="E20" s="196">
        <f t="shared" si="1"/>
        <v>0</v>
      </c>
      <c r="F20" s="197">
        <f t="shared" si="2"/>
        <v>0</v>
      </c>
    </row>
    <row r="21" spans="1:6" s="187" customFormat="1" ht="15" customHeight="1">
      <c r="A21" s="188" t="s">
        <v>61</v>
      </c>
      <c r="B21" s="189">
        <f>PotR!I21</f>
        <v>77.400000000000006</v>
      </c>
      <c r="C21" s="190">
        <f>PotR!G21</f>
        <v>52620.5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>
      <c r="A22" s="193" t="s">
        <v>62</v>
      </c>
      <c r="B22" s="194">
        <f>PotR!I22</f>
        <v>79.599999999999994</v>
      </c>
      <c r="C22" s="195">
        <f>PotR!G22</f>
        <v>14675.5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>
      <c r="A23" s="188" t="s">
        <v>63</v>
      </c>
      <c r="B23" s="189">
        <f>PotR!I23</f>
        <v>80.900000000000006</v>
      </c>
      <c r="C23" s="190">
        <f>PotR!G23</f>
        <v>458628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>
      <c r="A24" s="193" t="s">
        <v>64</v>
      </c>
      <c r="B24" s="194">
        <f>PotR!I24</f>
        <v>81.599999999999994</v>
      </c>
      <c r="C24" s="195">
        <f>PotR!G24</f>
        <v>191407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>
      <c r="A25" s="188" t="s">
        <v>65</v>
      </c>
      <c r="B25" s="189">
        <f>PotR!I25</f>
        <v>89.6</v>
      </c>
      <c r="C25" s="190">
        <f>PotR!G25</f>
        <v>561109.5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>
      <c r="A26" s="193" t="s">
        <v>66</v>
      </c>
      <c r="B26" s="194">
        <f>PotR!I26</f>
        <v>74</v>
      </c>
      <c r="C26" s="195">
        <f>PotR!G26</f>
        <v>232207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>
      <c r="A27" s="188" t="s">
        <v>67</v>
      </c>
      <c r="B27" s="189">
        <f>PotR!I27</f>
        <v>97.2</v>
      </c>
      <c r="C27" s="190">
        <f>PotR!G27</f>
        <v>317957.5</v>
      </c>
      <c r="D27" s="191">
        <f t="shared" si="0"/>
        <v>0</v>
      </c>
      <c r="E27" s="191">
        <f t="shared" si="1"/>
        <v>0</v>
      </c>
      <c r="F27" s="192">
        <f t="shared" si="2"/>
        <v>0</v>
      </c>
    </row>
    <row r="28" spans="1:6" s="187" customFormat="1" ht="15" customHeight="1">
      <c r="A28" s="193" t="s">
        <v>68</v>
      </c>
      <c r="B28" s="194">
        <f>PotR!I28</f>
        <v>105.5</v>
      </c>
      <c r="C28" s="195">
        <f>PotR!G28</f>
        <v>652465.5</v>
      </c>
      <c r="D28" s="196">
        <f t="shared" si="0"/>
        <v>3588560.25</v>
      </c>
      <c r="E28" s="196">
        <f t="shared" si="1"/>
        <v>82.259594735155943</v>
      </c>
      <c r="F28" s="197">
        <f t="shared" si="2"/>
        <v>53671547.60867089</v>
      </c>
    </row>
    <row r="29" spans="1:6" s="187" customFormat="1" ht="15" customHeight="1">
      <c r="A29" s="188" t="s">
        <v>69</v>
      </c>
      <c r="B29" s="189">
        <f>PotR!I29</f>
        <v>69</v>
      </c>
      <c r="C29" s="190">
        <f>PotR!G29</f>
        <v>285069.5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>
      <c r="A30" s="193" t="s">
        <v>70</v>
      </c>
      <c r="B30" s="194">
        <f>PotR!I30</f>
        <v>96.5</v>
      </c>
      <c r="C30" s="195">
        <f>PotR!G30</f>
        <v>168423.5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>
      <c r="A31" s="188" t="s">
        <v>71</v>
      </c>
      <c r="B31" s="189">
        <f>PotR!I31</f>
        <v>151.19999999999999</v>
      </c>
      <c r="C31" s="190">
        <f>PotR!G31</f>
        <v>430074.5</v>
      </c>
      <c r="D31" s="191">
        <f t="shared" si="0"/>
        <v>22019814.399999995</v>
      </c>
      <c r="E31" s="191">
        <f t="shared" si="1"/>
        <v>765.76204553454249</v>
      </c>
      <c r="F31" s="192">
        <f t="shared" si="2"/>
        <v>329334728.85224557</v>
      </c>
    </row>
    <row r="32" spans="1:6" s="187" customFormat="1" ht="15" customHeight="1">
      <c r="A32" s="193" t="s">
        <v>72</v>
      </c>
      <c r="B32" s="194">
        <f>PotR!I32</f>
        <v>68.599999999999994</v>
      </c>
      <c r="C32" s="195">
        <f>PotR!G32</f>
        <v>67904.5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>
      <c r="A33" s="198" t="s">
        <v>73</v>
      </c>
      <c r="B33" s="199">
        <f>PotR!I33</f>
        <v>100</v>
      </c>
      <c r="C33" s="200">
        <f>SUM(BEV)</f>
        <v>7429581.5</v>
      </c>
      <c r="D33" s="200">
        <f>SUM(D7:D32)</f>
        <v>84178493.400000006</v>
      </c>
      <c r="E33" s="200"/>
      <c r="F33" s="201">
        <f>SUM(F7:F32)</f>
        <v>1258997955</v>
      </c>
    </row>
  </sheetData>
  <conditionalFormatting sqref="B33">
    <cfRule type="expression" dxfId="5" priority="1" stopIfTrue="1">
      <formula>ISBLANK(B33)</formula>
    </cfRule>
  </conditionalFormatting>
  <conditionalFormatting sqref="B33">
    <cfRule type="expression" dxfId="4" priority="2" stopIfTrue="1">
      <formula>ISBLANK(B33)</formula>
    </cfRule>
  </conditionalFormatting>
  <conditionalFormatting sqref="B33">
    <cfRule type="expression" dxfId="3" priority="3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6" width="13.7109375" style="2" customWidth="1"/>
    <col min="7" max="7" width="14.140625" style="2" customWidth="1"/>
    <col min="8" max="8" width="16.855468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>
      <c r="A1" s="95" t="str">
        <f>"Montants reçus par les cantons à faible potentiel de ressources "&amp;Info!C30</f>
        <v>Montants reçus par les cantons à faible potentiel de ressources 2008</v>
      </c>
      <c r="B1" s="95"/>
      <c r="C1" s="95"/>
      <c r="D1" s="95"/>
      <c r="E1" s="95"/>
      <c r="F1" s="95"/>
      <c r="G1" s="95"/>
      <c r="H1" s="95"/>
      <c r="J1" s="1"/>
      <c r="K1" s="1"/>
    </row>
    <row r="2" spans="1:12" ht="18.75" customHeight="1">
      <c r="G2" s="1"/>
      <c r="H2" s="23" t="str">
        <f>Info!$C$28</f>
        <v>FA_2008_20120424</v>
      </c>
      <c r="I2" s="2"/>
      <c r="J2" s="1"/>
      <c r="K2" s="1"/>
    </row>
    <row r="3" spans="1:12" s="2" customFormat="1">
      <c r="A3" s="62" t="s">
        <v>28</v>
      </c>
      <c r="B3" s="176" t="s">
        <v>97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4" t="s">
        <v>34</v>
      </c>
    </row>
    <row r="4" spans="1:12" ht="45" customHeight="1">
      <c r="A4" s="181"/>
      <c r="B4" s="183" t="s">
        <v>41</v>
      </c>
      <c r="C4" s="183" t="s">
        <v>7</v>
      </c>
      <c r="D4" s="183" t="s">
        <v>101</v>
      </c>
      <c r="E4" s="183" t="s">
        <v>102</v>
      </c>
      <c r="F4" s="202" t="s">
        <v>103</v>
      </c>
      <c r="G4" s="203" t="s">
        <v>104</v>
      </c>
      <c r="H4" s="204" t="s">
        <v>105</v>
      </c>
      <c r="J4" s="313" t="s">
        <v>106</v>
      </c>
      <c r="K4" s="314"/>
    </row>
    <row r="5" spans="1:12" s="187" customFormat="1">
      <c r="A5" s="77" t="s">
        <v>43</v>
      </c>
      <c r="B5" s="185" t="s">
        <v>80</v>
      </c>
      <c r="C5" s="104" t="s">
        <v>107</v>
      </c>
      <c r="D5" s="104"/>
      <c r="E5" s="104" t="s">
        <v>46</v>
      </c>
      <c r="F5" s="104" t="s">
        <v>46</v>
      </c>
      <c r="G5" s="104" t="s">
        <v>46</v>
      </c>
      <c r="H5" s="186" t="s">
        <v>46</v>
      </c>
      <c r="J5" s="205" t="s">
        <v>108</v>
      </c>
      <c r="K5" s="206">
        <v>0.54630464468588003</v>
      </c>
      <c r="L5" s="207"/>
    </row>
    <row r="6" spans="1:12" s="187" customFormat="1" ht="15" customHeight="1">
      <c r="A6" s="208" t="s">
        <v>47</v>
      </c>
      <c r="B6" s="209">
        <f>PotR!I7</f>
        <v>126.5</v>
      </c>
      <c r="C6" s="191">
        <f>PotR!G7</f>
        <v>1276014.5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Dotation_PR!$D$25/Dotation_PR!$D$26*F6</f>
        <v>0</v>
      </c>
      <c r="H6" s="212">
        <f t="shared" ref="H6:H31" si="2">F6-G6</f>
        <v>0</v>
      </c>
      <c r="J6" s="205" t="s">
        <v>109</v>
      </c>
      <c r="K6" s="213">
        <f>(RI_26/RI_MIN)*p</f>
        <v>0.54630464382212418</v>
      </c>
    </row>
    <row r="7" spans="1:12" s="187" customFormat="1" ht="15" customHeight="1">
      <c r="A7" s="193" t="s">
        <v>48</v>
      </c>
      <c r="B7" s="214">
        <f>PotR!I8</f>
        <v>77.099999999999994</v>
      </c>
      <c r="C7" s="196">
        <f>PotR!G8</f>
        <v>960146.5</v>
      </c>
      <c r="D7" s="196">
        <f>IF(B7&lt;100,(100-B7)^(1+p)*BEV,0)</f>
        <v>121634682.39751153</v>
      </c>
      <c r="E7" s="196">
        <f t="shared" si="0"/>
        <v>838.5882137759578</v>
      </c>
      <c r="F7" s="215">
        <f t="shared" si="1"/>
        <v>805167538.39823771</v>
      </c>
      <c r="G7" s="216">
        <f>Dotation_PR!$D$25/Dotation_PR!$D$26*F7</f>
        <v>331539574.65005887</v>
      </c>
      <c r="H7" s="217">
        <f t="shared" si="2"/>
        <v>473627963.74817884</v>
      </c>
      <c r="J7" s="205" t="s">
        <v>110</v>
      </c>
      <c r="K7" s="218">
        <f>MIN(B6:B31)</f>
        <v>61.8</v>
      </c>
    </row>
    <row r="8" spans="1:12" s="187" customFormat="1" ht="15" customHeight="1">
      <c r="A8" s="188" t="s">
        <v>49</v>
      </c>
      <c r="B8" s="209">
        <f>PotR!I9</f>
        <v>76.7</v>
      </c>
      <c r="C8" s="191">
        <f>PotR!G9</f>
        <v>353299.5</v>
      </c>
      <c r="D8" s="191">
        <f t="shared" ref="D8:D31" si="3">IF(B8&lt;100,(100-RI)^(1+p)*BEV,0)</f>
        <v>45971834.486222066</v>
      </c>
      <c r="E8" s="191">
        <f t="shared" si="0"/>
        <v>861.34600436528262</v>
      </c>
      <c r="F8" s="210">
        <f t="shared" si="1"/>
        <v>304313112.66925216</v>
      </c>
      <c r="G8" s="211">
        <f>Dotation_PR!$D$25/Dotation_PR!$D$26*F8</f>
        <v>125305399.34025253</v>
      </c>
      <c r="H8" s="212">
        <f t="shared" si="2"/>
        <v>179007713.32899964</v>
      </c>
      <c r="J8" s="205" t="s">
        <v>111</v>
      </c>
      <c r="K8" s="218">
        <f>100-((sse*SUM)/((1+p)*B*100))^(1/p)</f>
        <v>61.800000097711248</v>
      </c>
    </row>
    <row r="9" spans="1:12" s="187" customFormat="1" ht="15" customHeight="1">
      <c r="A9" s="193" t="s">
        <v>50</v>
      </c>
      <c r="B9" s="214">
        <f>PotR!I10</f>
        <v>61.8</v>
      </c>
      <c r="C9" s="196">
        <f>PotR!G10</f>
        <v>34752.5</v>
      </c>
      <c r="D9" s="196">
        <f t="shared" si="3"/>
        <v>9712655.3508495223</v>
      </c>
      <c r="E9" s="196">
        <f t="shared" si="0"/>
        <v>1850.0384648482757</v>
      </c>
      <c r="F9" s="215">
        <f t="shared" si="1"/>
        <v>64293461.749639697</v>
      </c>
      <c r="G9" s="216">
        <f>Dotation_PR!$D$25/Dotation_PR!$D$26*F9</f>
        <v>26473778.368735623</v>
      </c>
      <c r="H9" s="217">
        <f t="shared" si="2"/>
        <v>37819683.380904078</v>
      </c>
      <c r="J9" s="219"/>
      <c r="K9" s="220"/>
    </row>
    <row r="10" spans="1:12" s="187" customFormat="1" ht="15" customHeight="1">
      <c r="A10" s="188" t="s">
        <v>51</v>
      </c>
      <c r="B10" s="209">
        <f>PotR!I11</f>
        <v>124.1</v>
      </c>
      <c r="C10" s="191">
        <f>PotR!G11</f>
        <v>134428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Dotation_PR!$D$25/Dotation_PR!$D$26*F10</f>
        <v>0</v>
      </c>
      <c r="H10" s="212">
        <f t="shared" si="2"/>
        <v>0</v>
      </c>
      <c r="J10" s="219"/>
      <c r="K10" s="220"/>
    </row>
    <row r="11" spans="1:12" s="187" customFormat="1" ht="15" customHeight="1">
      <c r="A11" s="193" t="s">
        <v>52</v>
      </c>
      <c r="B11" s="214">
        <f>PotR!I12</f>
        <v>67.2</v>
      </c>
      <c r="C11" s="196">
        <f>PotR!G12</f>
        <v>33032.5</v>
      </c>
      <c r="D11" s="196">
        <f t="shared" si="3"/>
        <v>7293638.0750785088</v>
      </c>
      <c r="E11" s="196">
        <f t="shared" si="0"/>
        <v>1461.6103076425354</v>
      </c>
      <c r="F11" s="215">
        <f t="shared" si="1"/>
        <v>48280642.487202048</v>
      </c>
      <c r="G11" s="216">
        <f>Dotation_PR!$D$25/Dotation_PR!$D$26*F11</f>
        <v>19880264.554482643</v>
      </c>
      <c r="H11" s="217">
        <f t="shared" si="2"/>
        <v>28400377.932719406</v>
      </c>
      <c r="J11" s="219"/>
      <c r="K11" s="220"/>
    </row>
    <row r="12" spans="1:12" s="187" customFormat="1" ht="15" customHeight="1">
      <c r="A12" s="188" t="s">
        <v>53</v>
      </c>
      <c r="B12" s="209">
        <f>PotR!I13</f>
        <v>125.4</v>
      </c>
      <c r="C12" s="191">
        <f>PotR!G13</f>
        <v>38563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Dotation_PR!$D$25/Dotation_PR!$D$26*F12</f>
        <v>0</v>
      </c>
      <c r="H12" s="212">
        <f t="shared" si="2"/>
        <v>0</v>
      </c>
      <c r="J12" s="205" t="s">
        <v>97</v>
      </c>
      <c r="K12" s="221">
        <f>Dotation_PR!D26</f>
        <v>3057566462</v>
      </c>
    </row>
    <row r="13" spans="1:12" s="187" customFormat="1" ht="15" customHeight="1">
      <c r="A13" s="193" t="s">
        <v>54</v>
      </c>
      <c r="B13" s="214">
        <f>PotR!I14</f>
        <v>69.599999999999994</v>
      </c>
      <c r="C13" s="196">
        <f>PotR!G14</f>
        <v>38278</v>
      </c>
      <c r="D13" s="196">
        <f t="shared" si="3"/>
        <v>7514905.9190258002</v>
      </c>
      <c r="E13" s="196">
        <f t="shared" si="0"/>
        <v>1299.5803666413649</v>
      </c>
      <c r="F13" s="215">
        <f t="shared" si="1"/>
        <v>49745337.274298169</v>
      </c>
      <c r="G13" s="216">
        <f>Dotation_PR!$D$25/Dotation_PR!$D$26*F13</f>
        <v>20483374.17272687</v>
      </c>
      <c r="H13" s="217">
        <f t="shared" si="2"/>
        <v>29261963.101571299</v>
      </c>
      <c r="J13" s="205" t="s">
        <v>16</v>
      </c>
      <c r="K13" s="221">
        <f>RFS!E32</f>
        <v>7488.8038404316603</v>
      </c>
    </row>
    <row r="14" spans="1:12" s="187" customFormat="1" ht="15" customHeight="1">
      <c r="A14" s="188" t="s">
        <v>55</v>
      </c>
      <c r="B14" s="209">
        <f>PotR!I15</f>
        <v>214.9</v>
      </c>
      <c r="C14" s="191">
        <f>PotR!G15</f>
        <v>103918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Dotation_PR!$D$25/Dotation_PR!$D$26*F14</f>
        <v>0</v>
      </c>
      <c r="H14" s="212">
        <f t="shared" si="2"/>
        <v>0</v>
      </c>
    </row>
    <row r="15" spans="1:12" s="187" customFormat="1" ht="15" customHeight="1">
      <c r="A15" s="193" t="s">
        <v>56</v>
      </c>
      <c r="B15" s="214">
        <f>PotR!I16</f>
        <v>75.3</v>
      </c>
      <c r="C15" s="196">
        <f>PotR!G16</f>
        <v>250227</v>
      </c>
      <c r="D15" s="196">
        <f t="shared" si="3"/>
        <v>35634275.767625444</v>
      </c>
      <c r="E15" s="196">
        <f t="shared" si="0"/>
        <v>942.67632332210735</v>
      </c>
      <c r="F15" s="215">
        <f t="shared" si="1"/>
        <v>235883068.35592097</v>
      </c>
      <c r="G15" s="216">
        <f>Dotation_PR!$D$25/Dotation_PR!$D$26*F15</f>
        <v>97128322.268740833</v>
      </c>
      <c r="H15" s="217">
        <f t="shared" si="2"/>
        <v>138754746.08718014</v>
      </c>
    </row>
    <row r="16" spans="1:12" s="187" customFormat="1" ht="15" customHeight="1">
      <c r="A16" s="188" t="s">
        <v>57</v>
      </c>
      <c r="B16" s="209">
        <f>PotR!I17</f>
        <v>76.2</v>
      </c>
      <c r="C16" s="191">
        <f>PotR!G17</f>
        <v>245906</v>
      </c>
      <c r="D16" s="191">
        <f t="shared" si="3"/>
        <v>33065604.584958006</v>
      </c>
      <c r="E16" s="191">
        <f t="shared" si="0"/>
        <v>890.09461640508971</v>
      </c>
      <c r="F16" s="210">
        <f t="shared" si="1"/>
        <v>218879606.74170998</v>
      </c>
      <c r="G16" s="211">
        <f>Dotation_PR!$D$25/Dotation_PR!$D$26*F16</f>
        <v>90126896.89785625</v>
      </c>
      <c r="H16" s="212">
        <f t="shared" si="2"/>
        <v>128752709.84385373</v>
      </c>
    </row>
    <row r="17" spans="1:8" s="187" customFormat="1" ht="15" customHeight="1">
      <c r="A17" s="193" t="s">
        <v>58</v>
      </c>
      <c r="B17" s="214">
        <f>PotR!I18</f>
        <v>139.80000000000001</v>
      </c>
      <c r="C17" s="196">
        <f>PotR!G18</f>
        <v>190833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Dotation_PR!$D$25/Dotation_PR!$D$26*F17</f>
        <v>0</v>
      </c>
      <c r="H17" s="217">
        <f t="shared" si="2"/>
        <v>0</v>
      </c>
    </row>
    <row r="18" spans="1:8" s="187" customFormat="1" ht="15" customHeight="1">
      <c r="A18" s="188" t="s">
        <v>59</v>
      </c>
      <c r="B18" s="209">
        <f>PotR!I19</f>
        <v>103.8</v>
      </c>
      <c r="C18" s="191">
        <f>PotR!G19</f>
        <v>263470.5</v>
      </c>
      <c r="D18" s="191">
        <f t="shared" si="3"/>
        <v>0</v>
      </c>
      <c r="E18" s="191">
        <f t="shared" si="0"/>
        <v>0</v>
      </c>
      <c r="F18" s="210">
        <f t="shared" si="1"/>
        <v>0</v>
      </c>
      <c r="G18" s="211">
        <f>Dotation_PR!$D$25/Dotation_PR!$D$26*F18</f>
        <v>0</v>
      </c>
      <c r="H18" s="212">
        <f t="shared" si="2"/>
        <v>0</v>
      </c>
    </row>
    <row r="19" spans="1:8" s="187" customFormat="1" ht="15" customHeight="1">
      <c r="A19" s="193" t="s">
        <v>60</v>
      </c>
      <c r="B19" s="214">
        <f>PotR!I20</f>
        <v>96.1</v>
      </c>
      <c r="C19" s="196">
        <f>PotR!G20</f>
        <v>74170</v>
      </c>
      <c r="D19" s="196">
        <f t="shared" si="3"/>
        <v>608407.03362254903</v>
      </c>
      <c r="E19" s="196">
        <f t="shared" si="0"/>
        <v>54.299368523452898</v>
      </c>
      <c r="F19" s="215">
        <f t="shared" si="1"/>
        <v>4027384.1633845014</v>
      </c>
      <c r="G19" s="216">
        <f>Dotation_PR!$D$25/Dotation_PR!$D$26*F19</f>
        <v>1658334.655588747</v>
      </c>
      <c r="H19" s="217">
        <f t="shared" si="2"/>
        <v>2369049.5077957544</v>
      </c>
    </row>
    <row r="20" spans="1:8" s="187" customFormat="1" ht="15" customHeight="1">
      <c r="A20" s="188" t="s">
        <v>61</v>
      </c>
      <c r="B20" s="209">
        <f>PotR!I21</f>
        <v>77.400000000000006</v>
      </c>
      <c r="C20" s="191">
        <f>PotR!G21</f>
        <v>52620.5</v>
      </c>
      <c r="D20" s="191">
        <f t="shared" si="3"/>
        <v>6531593.3665447244</v>
      </c>
      <c r="E20" s="191">
        <f t="shared" si="0"/>
        <v>821.66161853885853</v>
      </c>
      <c r="F20" s="210">
        <f t="shared" si="1"/>
        <v>43236245.198324002</v>
      </c>
      <c r="G20" s="211">
        <f>Dotation_PR!$D$25/Dotation_PR!$D$26*F20</f>
        <v>17803159.788376987</v>
      </c>
      <c r="H20" s="212">
        <f t="shared" si="2"/>
        <v>25433085.409947015</v>
      </c>
    </row>
    <row r="21" spans="1:8" s="187" customFormat="1" ht="15" customHeight="1">
      <c r="A21" s="193" t="s">
        <v>62</v>
      </c>
      <c r="B21" s="214">
        <f>PotR!I22</f>
        <v>79.599999999999994</v>
      </c>
      <c r="C21" s="196">
        <f>PotR!G22</f>
        <v>14675.5</v>
      </c>
      <c r="D21" s="196">
        <f t="shared" si="3"/>
        <v>1554819.9965714074</v>
      </c>
      <c r="E21" s="196">
        <f t="shared" si="0"/>
        <v>701.31970673807643</v>
      </c>
      <c r="F21" s="215">
        <f t="shared" si="1"/>
        <v>10292217.35623464</v>
      </c>
      <c r="G21" s="216">
        <f>Dotation_PR!$D$25/Dotation_PR!$D$26*F21</f>
        <v>4237971.8527652137</v>
      </c>
      <c r="H21" s="217">
        <f t="shared" si="2"/>
        <v>6054245.5034694262</v>
      </c>
    </row>
    <row r="22" spans="1:8" s="187" customFormat="1" ht="15" customHeight="1">
      <c r="A22" s="188" t="s">
        <v>63</v>
      </c>
      <c r="B22" s="209">
        <f>PotR!I23</f>
        <v>80.900000000000006</v>
      </c>
      <c r="C22" s="191">
        <f>PotR!G23</f>
        <v>458628</v>
      </c>
      <c r="D22" s="191">
        <f t="shared" si="3"/>
        <v>43886243.79696174</v>
      </c>
      <c r="E22" s="191">
        <f t="shared" si="0"/>
        <v>633.42715495363257</v>
      </c>
      <c r="F22" s="210">
        <f t="shared" si="1"/>
        <v>290507429.22207457</v>
      </c>
      <c r="G22" s="211">
        <f>Dotation_PR!$D$25/Dotation_PR!$D$26*F22</f>
        <v>119620706.15585499</v>
      </c>
      <c r="H22" s="212">
        <f t="shared" si="2"/>
        <v>170886723.06621957</v>
      </c>
    </row>
    <row r="23" spans="1:8" s="187" customFormat="1" ht="15" customHeight="1">
      <c r="A23" s="193" t="s">
        <v>64</v>
      </c>
      <c r="B23" s="214">
        <f>PotR!I24</f>
        <v>81.599999999999994</v>
      </c>
      <c r="C23" s="196">
        <f>PotR!G24</f>
        <v>191407</v>
      </c>
      <c r="D23" s="196">
        <f t="shared" si="3"/>
        <v>17288268.18104323</v>
      </c>
      <c r="E23" s="196">
        <f t="shared" si="0"/>
        <v>597.89167478416175</v>
      </c>
      <c r="F23" s="215">
        <f t="shared" si="1"/>
        <v>114440651.79541205</v>
      </c>
      <c r="G23" s="216">
        <f>Dotation_PR!$D$25/Dotation_PR!$D$26*F23</f>
        <v>47122621.329724297</v>
      </c>
      <c r="H23" s="217">
        <f t="shared" si="2"/>
        <v>67318030.465687752</v>
      </c>
    </row>
    <row r="24" spans="1:8" s="187" customFormat="1" ht="15" customHeight="1">
      <c r="A24" s="188" t="s">
        <v>65</v>
      </c>
      <c r="B24" s="209">
        <f>PotR!I25</f>
        <v>89.6</v>
      </c>
      <c r="C24" s="191">
        <f>PotR!G25</f>
        <v>561109.5</v>
      </c>
      <c r="D24" s="191">
        <f t="shared" si="3"/>
        <v>20974470.121655032</v>
      </c>
      <c r="E24" s="191">
        <f t="shared" si="0"/>
        <v>247.44131110611252</v>
      </c>
      <c r="F24" s="210">
        <f t="shared" si="1"/>
        <v>138841670.35409525</v>
      </c>
      <c r="G24" s="211">
        <f>Dotation_PR!$D$25/Dotation_PR!$D$26*F24</f>
        <v>57170099.56023977</v>
      </c>
      <c r="H24" s="212">
        <f t="shared" si="2"/>
        <v>81671570.793855488</v>
      </c>
    </row>
    <row r="25" spans="1:8" s="187" customFormat="1" ht="15" customHeight="1">
      <c r="A25" s="193" t="s">
        <v>66</v>
      </c>
      <c r="B25" s="214">
        <f>PotR!I26</f>
        <v>74</v>
      </c>
      <c r="C25" s="196">
        <f>PotR!G26</f>
        <v>232207</v>
      </c>
      <c r="D25" s="196">
        <f t="shared" si="3"/>
        <v>35797703.590423949</v>
      </c>
      <c r="E25" s="196">
        <f t="shared" si="0"/>
        <v>1020.4898556430884</v>
      </c>
      <c r="F25" s="215">
        <f t="shared" si="1"/>
        <v>236964887.90931463</v>
      </c>
      <c r="G25" s="216">
        <f>Dotation_PR!$D$25/Dotation_PR!$D$26*F25</f>
        <v>97573777.378982574</v>
      </c>
      <c r="H25" s="217">
        <f t="shared" si="2"/>
        <v>139391110.53033206</v>
      </c>
    </row>
    <row r="26" spans="1:8" s="187" customFormat="1" ht="15" customHeight="1">
      <c r="A26" s="188" t="s">
        <v>67</v>
      </c>
      <c r="B26" s="209">
        <f>PotR!I27</f>
        <v>97.2</v>
      </c>
      <c r="C26" s="191">
        <f>PotR!G27</f>
        <v>317957.5</v>
      </c>
      <c r="D26" s="191">
        <f t="shared" si="3"/>
        <v>1562469.7369887123</v>
      </c>
      <c r="E26" s="191">
        <f t="shared" si="0"/>
        <v>32.529049442022831</v>
      </c>
      <c r="F26" s="210">
        <f t="shared" si="1"/>
        <v>10342855.237961974</v>
      </c>
      <c r="G26" s="211">
        <f>Dotation_PR!$D$25/Dotation_PR!$D$26*F26</f>
        <v>4258822.7452421486</v>
      </c>
      <c r="H26" s="212">
        <f t="shared" si="2"/>
        <v>6084032.4927198254</v>
      </c>
    </row>
    <row r="27" spans="1:8" s="187" customFormat="1" ht="15" customHeight="1">
      <c r="A27" s="193" t="s">
        <v>68</v>
      </c>
      <c r="B27" s="214">
        <f>PotR!I28</f>
        <v>105.5</v>
      </c>
      <c r="C27" s="196">
        <f>PotR!G28</f>
        <v>652465.5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Dotation_PR!$D$25/Dotation_PR!$D$26*F27</f>
        <v>0</v>
      </c>
      <c r="H27" s="217">
        <f t="shared" si="2"/>
        <v>0</v>
      </c>
    </row>
    <row r="28" spans="1:8" s="187" customFormat="1" ht="15" customHeight="1">
      <c r="A28" s="188" t="s">
        <v>69</v>
      </c>
      <c r="B28" s="209">
        <f>PotR!I29</f>
        <v>69</v>
      </c>
      <c r="C28" s="191">
        <f>PotR!G29</f>
        <v>285069.5</v>
      </c>
      <c r="D28" s="191">
        <f t="shared" si="3"/>
        <v>57683322.597354099</v>
      </c>
      <c r="E28" s="191">
        <f t="shared" si="0"/>
        <v>1339.4556728613741</v>
      </c>
      <c r="F28" s="210">
        <f t="shared" si="1"/>
        <v>381837958.9347555</v>
      </c>
      <c r="G28" s="211">
        <f>Dotation_PR!$D$25/Dotation_PR!$D$26*F28</f>
        <v>157227394.86283362</v>
      </c>
      <c r="H28" s="212">
        <f t="shared" si="2"/>
        <v>224610564.07192189</v>
      </c>
    </row>
    <row r="29" spans="1:8" s="187" customFormat="1" ht="15" customHeight="1">
      <c r="A29" s="193" t="s">
        <v>70</v>
      </c>
      <c r="B29" s="214">
        <f>PotR!I30</f>
        <v>96.5</v>
      </c>
      <c r="C29" s="196">
        <f>PotR!G30</f>
        <v>168423.5</v>
      </c>
      <c r="D29" s="196">
        <f t="shared" si="3"/>
        <v>1168685.4365712376</v>
      </c>
      <c r="E29" s="196">
        <f t="shared" si="0"/>
        <v>45.932890492714733</v>
      </c>
      <c r="F29" s="215">
        <f t="shared" si="1"/>
        <v>7736178.1818997404</v>
      </c>
      <c r="G29" s="216">
        <f>Dotation_PR!$D$25/Dotation_PR!$D$26*F29</f>
        <v>3185485.1338722566</v>
      </c>
      <c r="H29" s="217">
        <f t="shared" si="2"/>
        <v>4550693.0480274837</v>
      </c>
    </row>
    <row r="30" spans="1:8" s="187" customFormat="1" ht="15" customHeight="1">
      <c r="A30" s="188" t="s">
        <v>71</v>
      </c>
      <c r="B30" s="209">
        <f>PotR!I31</f>
        <v>151.19999999999999</v>
      </c>
      <c r="C30" s="191">
        <f>PotR!G31</f>
        <v>430074.5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Dotation_PR!$D$25/Dotation_PR!$D$26*F30</f>
        <v>0</v>
      </c>
      <c r="H30" s="212">
        <f t="shared" si="2"/>
        <v>0</v>
      </c>
    </row>
    <row r="31" spans="1:8" s="187" customFormat="1" ht="15" customHeight="1">
      <c r="A31" s="193" t="s">
        <v>72</v>
      </c>
      <c r="B31" s="214">
        <f>PotR!I32</f>
        <v>68.599999999999994</v>
      </c>
      <c r="C31" s="196">
        <f>PotR!G32</f>
        <v>67904.5</v>
      </c>
      <c r="D31" s="196">
        <f t="shared" si="3"/>
        <v>14015475.072477123</v>
      </c>
      <c r="E31" s="196">
        <f t="shared" si="0"/>
        <v>1366.274929795266</v>
      </c>
      <c r="F31" s="215">
        <f t="shared" si="1"/>
        <v>92776215.970282644</v>
      </c>
      <c r="G31" s="216">
        <f>Dotation_PR!$D$25/Dotation_PR!$D$26*F31</f>
        <v>38201971.283665985</v>
      </c>
      <c r="H31" s="217">
        <f t="shared" si="2"/>
        <v>54574244.686616659</v>
      </c>
    </row>
    <row r="32" spans="1:8">
      <c r="A32" s="198" t="s">
        <v>73</v>
      </c>
      <c r="B32" s="222">
        <f>PotR!I33</f>
        <v>100</v>
      </c>
      <c r="C32" s="200">
        <f>PotR!G33</f>
        <v>7429581.5</v>
      </c>
      <c r="D32" s="200">
        <f>SUM(D6:D31)</f>
        <v>461899055.51148468</v>
      </c>
      <c r="E32" s="200"/>
      <c r="F32" s="200">
        <f>SUM(F6:F31)</f>
        <v>3057566461.9999995</v>
      </c>
      <c r="G32" s="223">
        <f>SUM(G6:G31)</f>
        <v>1258997955</v>
      </c>
      <c r="H32" s="224">
        <f>SUM(H6:H31)</f>
        <v>1798568507.0000002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>
      <c r="A1" s="20" t="str">
        <f>"Recette fiscale standardisée (RFS) "&amp;Info!C30</f>
        <v>Recette fiscale standardisée (RFS) 2008</v>
      </c>
      <c r="B1" s="20"/>
      <c r="C1" s="20"/>
      <c r="D1" s="20"/>
      <c r="E1" s="20"/>
      <c r="F1" s="20"/>
      <c r="G1" s="20"/>
      <c r="H1" s="20"/>
      <c r="I1" s="1"/>
      <c r="J1" s="23" t="str">
        <f>Info!$C$28</f>
        <v>FA_2008_20120424</v>
      </c>
    </row>
    <row r="2" spans="1:10" s="2" customFormat="1">
      <c r="A2" s="62" t="s">
        <v>28</v>
      </c>
      <c r="B2" s="176" t="s">
        <v>97</v>
      </c>
      <c r="C2" s="63" t="s">
        <v>29</v>
      </c>
      <c r="D2" s="63" t="s">
        <v>30</v>
      </c>
      <c r="E2" s="63" t="s">
        <v>31</v>
      </c>
      <c r="F2" s="63" t="s">
        <v>32</v>
      </c>
      <c r="G2" s="63" t="s">
        <v>33</v>
      </c>
      <c r="H2" s="64" t="s">
        <v>34</v>
      </c>
      <c r="J2" s="225" t="s">
        <v>112</v>
      </c>
    </row>
    <row r="3" spans="1:10" s="27" customFormat="1" ht="11.25" customHeight="1">
      <c r="A3" s="66" t="s">
        <v>36</v>
      </c>
      <c r="B3" s="226"/>
      <c r="C3" s="67"/>
      <c r="D3" s="67"/>
      <c r="E3" s="67" t="s">
        <v>113</v>
      </c>
      <c r="F3" s="67"/>
      <c r="G3" s="67" t="s">
        <v>114</v>
      </c>
      <c r="H3" s="227" t="s">
        <v>115</v>
      </c>
      <c r="J3" s="228" t="s">
        <v>116</v>
      </c>
    </row>
    <row r="4" spans="1:10" ht="69" customHeight="1">
      <c r="A4" s="181"/>
      <c r="B4" s="229" t="s">
        <v>41</v>
      </c>
      <c r="C4" s="229" t="s">
        <v>117</v>
      </c>
      <c r="D4" s="202" t="s">
        <v>7</v>
      </c>
      <c r="E4" s="229" t="s">
        <v>118</v>
      </c>
      <c r="F4" s="202" t="s">
        <v>119</v>
      </c>
      <c r="G4" s="229" t="s">
        <v>120</v>
      </c>
      <c r="H4" s="184" t="s">
        <v>121</v>
      </c>
      <c r="I4" s="230"/>
      <c r="J4" s="231" t="s">
        <v>122</v>
      </c>
    </row>
    <row r="5" spans="1:10" s="36" customFormat="1" ht="11.25" customHeight="1">
      <c r="A5" s="77" t="s">
        <v>43</v>
      </c>
      <c r="B5" s="185" t="s">
        <v>80</v>
      </c>
      <c r="C5" s="104" t="s">
        <v>46</v>
      </c>
      <c r="D5" s="104" t="s">
        <v>45</v>
      </c>
      <c r="E5" s="104" t="s">
        <v>46</v>
      </c>
      <c r="F5" s="232" t="s">
        <v>46</v>
      </c>
      <c r="G5" s="233" t="s">
        <v>46</v>
      </c>
      <c r="H5" s="234" t="s">
        <v>80</v>
      </c>
      <c r="I5" s="235"/>
      <c r="J5" s="236" t="s">
        <v>46</v>
      </c>
    </row>
    <row r="6" spans="1:10">
      <c r="A6" s="237" t="s">
        <v>47</v>
      </c>
      <c r="B6" s="238">
        <f>PotR!I7</f>
        <v>126.5</v>
      </c>
      <c r="C6" s="47">
        <f>PotR!H7/PotR!$H$33*sse*D6</f>
        <v>12091762847.326853</v>
      </c>
      <c r="D6" s="239">
        <f>PotR!G7</f>
        <v>1276014.5</v>
      </c>
      <c r="E6" s="47">
        <f t="shared" ref="E6:E32" si="0">C6/D6</f>
        <v>9476.1954878466131</v>
      </c>
      <c r="F6" s="47">
        <f>IF(B6&gt;100,-Montants_versés!F7,Montants_reçus!F6)/D6</f>
        <v>-396.34168372393322</v>
      </c>
      <c r="G6" s="47">
        <f t="shared" ref="G6:G31" si="1">E6+F6</f>
        <v>9079.8538041226802</v>
      </c>
      <c r="H6" s="48">
        <f t="shared" ref="H6:H31" si="2">ROUND(G6/E$32*100,1)</f>
        <v>121.2</v>
      </c>
      <c r="J6" s="240">
        <f t="shared" ref="J6:J32" si="3">E6-E$32</f>
        <v>1987.3916474149528</v>
      </c>
    </row>
    <row r="7" spans="1:10">
      <c r="A7" s="241" t="s">
        <v>48</v>
      </c>
      <c r="B7" s="242">
        <f>PotR!I8</f>
        <v>77.099999999999994</v>
      </c>
      <c r="C7" s="52">
        <f>PotR!H8/PotR!$H$33*sse*D7</f>
        <v>5543095861.3114738</v>
      </c>
      <c r="D7" s="243">
        <f>PotR!G8</f>
        <v>960146.5</v>
      </c>
      <c r="E7" s="52">
        <f t="shared" si="0"/>
        <v>5773.1771779738547</v>
      </c>
      <c r="F7" s="52">
        <f>IF(B7&gt;100,-Montants_versés!F8,Montants_reçus!F7)/D7</f>
        <v>838.5882137759578</v>
      </c>
      <c r="G7" s="52">
        <f t="shared" si="1"/>
        <v>6611.7653917498128</v>
      </c>
      <c r="H7" s="53">
        <f t="shared" si="2"/>
        <v>88.3</v>
      </c>
      <c r="J7" s="244">
        <f t="shared" si="3"/>
        <v>-1715.6266624578057</v>
      </c>
    </row>
    <row r="8" spans="1:10">
      <c r="A8" s="245" t="s">
        <v>49</v>
      </c>
      <c r="B8" s="246">
        <f>PotR!I9</f>
        <v>76.7</v>
      </c>
      <c r="C8" s="56">
        <f>PotR!H9/PotR!$H$33*sse*D8</f>
        <v>2030644028.4203703</v>
      </c>
      <c r="D8" s="247">
        <f>PotR!G9</f>
        <v>353299.5</v>
      </c>
      <c r="E8" s="56">
        <f t="shared" si="0"/>
        <v>5747.6561059961032</v>
      </c>
      <c r="F8" s="56">
        <f>IF(B8&gt;100,-Montants_versés!F9,Montants_reçus!F8)/D8</f>
        <v>861.34600436528262</v>
      </c>
      <c r="G8" s="56">
        <f t="shared" si="1"/>
        <v>6609.0021103613853</v>
      </c>
      <c r="H8" s="57">
        <f t="shared" si="2"/>
        <v>88.3</v>
      </c>
      <c r="J8" s="248">
        <f t="shared" si="3"/>
        <v>-1741.1477344355571</v>
      </c>
    </row>
    <row r="9" spans="1:10">
      <c r="A9" s="241" t="s">
        <v>50</v>
      </c>
      <c r="B9" s="242">
        <f>PotR!I10</f>
        <v>61.8</v>
      </c>
      <c r="C9" s="52">
        <f>PotR!H10/PotR!$H$33*sse*D9</f>
        <v>160717958.62633777</v>
      </c>
      <c r="D9" s="243">
        <f>PotR!G10</f>
        <v>34752.5</v>
      </c>
      <c r="E9" s="52">
        <f t="shared" si="0"/>
        <v>4624.6445184184668</v>
      </c>
      <c r="F9" s="52">
        <f>IF(B9&gt;100,-Montants_versés!F10,Montants_reçus!F9)/D9</f>
        <v>1850.0384648482757</v>
      </c>
      <c r="G9" s="52">
        <f t="shared" si="1"/>
        <v>6474.6829832667427</v>
      </c>
      <c r="H9" s="53">
        <f t="shared" si="2"/>
        <v>86.5</v>
      </c>
      <c r="J9" s="244">
        <f t="shared" si="3"/>
        <v>-2864.1593220131936</v>
      </c>
    </row>
    <row r="10" spans="1:10">
      <c r="A10" s="245" t="s">
        <v>51</v>
      </c>
      <c r="B10" s="246">
        <f>PotR!I11</f>
        <v>124.1</v>
      </c>
      <c r="C10" s="56">
        <f>PotR!H11/PotR!$H$33*sse*D10</f>
        <v>1249029390.2130792</v>
      </c>
      <c r="D10" s="247">
        <f>PotR!G11</f>
        <v>134428</v>
      </c>
      <c r="E10" s="56">
        <f t="shared" si="0"/>
        <v>9291.4377228931407</v>
      </c>
      <c r="F10" s="56">
        <f>IF(B10&gt;100,-Montants_versés!F11,Montants_reçus!F10)/D10</f>
        <v>-360.44658783950143</v>
      </c>
      <c r="G10" s="56">
        <f t="shared" si="1"/>
        <v>8930.9911350536386</v>
      </c>
      <c r="H10" s="57">
        <f t="shared" si="2"/>
        <v>119.3</v>
      </c>
      <c r="J10" s="248">
        <f t="shared" si="3"/>
        <v>1802.6338824614804</v>
      </c>
    </row>
    <row r="11" spans="1:10">
      <c r="A11" s="241" t="s">
        <v>52</v>
      </c>
      <c r="B11" s="242">
        <f>PotR!I12</f>
        <v>67.2</v>
      </c>
      <c r="C11" s="52">
        <f>PotR!H12/PotR!$H$33*sse*D11</f>
        <v>166140398.53844813</v>
      </c>
      <c r="D11" s="243">
        <f>PotR!G12</f>
        <v>33032.5</v>
      </c>
      <c r="E11" s="52">
        <f t="shared" si="0"/>
        <v>5029.6041334579013</v>
      </c>
      <c r="F11" s="52">
        <f>IF(B11&gt;100,-Montants_versés!F12,Montants_reçus!F11)/D11</f>
        <v>1461.6103076425354</v>
      </c>
      <c r="G11" s="52">
        <f t="shared" si="1"/>
        <v>6491.2144411004365</v>
      </c>
      <c r="H11" s="53">
        <f t="shared" si="2"/>
        <v>86.7</v>
      </c>
      <c r="J11" s="244">
        <f t="shared" si="3"/>
        <v>-2459.199706973759</v>
      </c>
    </row>
    <row r="12" spans="1:10">
      <c r="A12" s="245" t="s">
        <v>53</v>
      </c>
      <c r="B12" s="246">
        <f>PotR!I13</f>
        <v>125.4</v>
      </c>
      <c r="C12" s="56">
        <f>PotR!H13/PotR!$H$33*sse*D12</f>
        <v>362148176.34818804</v>
      </c>
      <c r="D12" s="247">
        <f>PotR!G13</f>
        <v>38563</v>
      </c>
      <c r="E12" s="56">
        <f t="shared" si="0"/>
        <v>9391.0789188649233</v>
      </c>
      <c r="F12" s="56">
        <f>IF(B12&gt;100,-Montants_versés!F13,Montants_reçus!F12)/D12</f>
        <v>-379.8897647769021</v>
      </c>
      <c r="G12" s="56">
        <f t="shared" si="1"/>
        <v>9011.1891540880206</v>
      </c>
      <c r="H12" s="57">
        <f t="shared" si="2"/>
        <v>120.3</v>
      </c>
      <c r="J12" s="248">
        <f t="shared" si="3"/>
        <v>1902.2750784332629</v>
      </c>
    </row>
    <row r="13" spans="1:10">
      <c r="A13" s="241" t="s">
        <v>54</v>
      </c>
      <c r="B13" s="242">
        <f>PotR!I14</f>
        <v>69.599999999999994</v>
      </c>
      <c r="C13" s="52">
        <f>PotR!H14/PotR!$H$33*sse*D13</f>
        <v>199423707.11642888</v>
      </c>
      <c r="D13" s="243">
        <f>PotR!G14</f>
        <v>38278</v>
      </c>
      <c r="E13" s="52">
        <f t="shared" si="0"/>
        <v>5209.8779224731934</v>
      </c>
      <c r="F13" s="52">
        <f>IF(B13&gt;100,-Montants_versés!F14,Montants_reçus!F13)/D13</f>
        <v>1299.5803666413649</v>
      </c>
      <c r="G13" s="52">
        <f t="shared" si="1"/>
        <v>6509.4582891145583</v>
      </c>
      <c r="H13" s="53">
        <f t="shared" si="2"/>
        <v>86.9</v>
      </c>
      <c r="J13" s="244">
        <f t="shared" si="3"/>
        <v>-2278.9259179584669</v>
      </c>
    </row>
    <row r="14" spans="1:10">
      <c r="A14" s="245" t="s">
        <v>55</v>
      </c>
      <c r="B14" s="246">
        <f>PotR!I15</f>
        <v>214.9</v>
      </c>
      <c r="C14" s="56">
        <f>PotR!H15/PotR!$H$33*sse*D14</f>
        <v>1672382734.3029699</v>
      </c>
      <c r="D14" s="247">
        <f>PotR!G15</f>
        <v>103918</v>
      </c>
      <c r="E14" s="56">
        <f t="shared" si="0"/>
        <v>16093.292156344136</v>
      </c>
      <c r="F14" s="56">
        <f>IF(B14&gt;100,-Montants_versés!F15,Montants_reçus!F14)/D14</f>
        <v>-1718.4777154671669</v>
      </c>
      <c r="G14" s="56">
        <f t="shared" si="1"/>
        <v>14374.814440876969</v>
      </c>
      <c r="H14" s="57">
        <f t="shared" si="2"/>
        <v>192</v>
      </c>
      <c r="J14" s="248">
        <f t="shared" si="3"/>
        <v>8604.4883159124765</v>
      </c>
    </row>
    <row r="15" spans="1:10">
      <c r="A15" s="241" t="s">
        <v>56</v>
      </c>
      <c r="B15" s="242">
        <f>PotR!I16</f>
        <v>75.3</v>
      </c>
      <c r="C15" s="52">
        <f>PotR!H16/PotR!$H$33*sse*D15</f>
        <v>1411533393.6347346</v>
      </c>
      <c r="D15" s="243">
        <f>PotR!G16</f>
        <v>250227</v>
      </c>
      <c r="E15" s="52">
        <f t="shared" si="0"/>
        <v>5641.0115360641921</v>
      </c>
      <c r="F15" s="52">
        <f>IF(B15&gt;100,-Montants_versés!F16,Montants_reçus!F15)/D15</f>
        <v>942.67632332210746</v>
      </c>
      <c r="G15" s="52">
        <f t="shared" si="1"/>
        <v>6583.6878593862994</v>
      </c>
      <c r="H15" s="53">
        <f t="shared" si="2"/>
        <v>87.9</v>
      </c>
      <c r="J15" s="244">
        <f t="shared" si="3"/>
        <v>-1847.7923043674682</v>
      </c>
    </row>
    <row r="16" spans="1:10">
      <c r="A16" s="245" t="s">
        <v>57</v>
      </c>
      <c r="B16" s="246">
        <f>PotR!I17</f>
        <v>76.2</v>
      </c>
      <c r="C16" s="56">
        <f>PotR!H17/PotR!$H$33*sse*D16</f>
        <v>1403543481.0560925</v>
      </c>
      <c r="D16" s="247">
        <f>PotR!G17</f>
        <v>245906</v>
      </c>
      <c r="E16" s="56">
        <f t="shared" si="0"/>
        <v>5707.6422741051156</v>
      </c>
      <c r="F16" s="56">
        <f>IF(B16&gt;100,-Montants_versés!F17,Montants_reçus!F16)/D16</f>
        <v>890.09461640508971</v>
      </c>
      <c r="G16" s="56">
        <f t="shared" si="1"/>
        <v>6597.7368905102048</v>
      </c>
      <c r="H16" s="57">
        <f t="shared" si="2"/>
        <v>88.1</v>
      </c>
      <c r="J16" s="248">
        <f t="shared" si="3"/>
        <v>-1781.1615663265447</v>
      </c>
    </row>
    <row r="17" spans="1:10">
      <c r="A17" s="241" t="s">
        <v>58</v>
      </c>
      <c r="B17" s="242">
        <f>PotR!I18</f>
        <v>139.80000000000001</v>
      </c>
      <c r="C17" s="52">
        <f>PotR!H18/PotR!$H$33*sse*D17</f>
        <v>1997274195.2046132</v>
      </c>
      <c r="D17" s="243">
        <f>PotR!G18</f>
        <v>190833</v>
      </c>
      <c r="E17" s="52">
        <f t="shared" si="0"/>
        <v>10466.083933096546</v>
      </c>
      <c r="F17" s="52">
        <f>IF(B17&gt;100,-Montants_versés!F18,Montants_reçus!F17)/D17</f>
        <v>-595.26034008349234</v>
      </c>
      <c r="G17" s="52">
        <f t="shared" si="1"/>
        <v>9870.8235930130541</v>
      </c>
      <c r="H17" s="53">
        <f t="shared" si="2"/>
        <v>131.80000000000001</v>
      </c>
      <c r="J17" s="244">
        <f t="shared" si="3"/>
        <v>2977.2800926648861</v>
      </c>
    </row>
    <row r="18" spans="1:10">
      <c r="A18" s="245" t="s">
        <v>59</v>
      </c>
      <c r="B18" s="246">
        <f>PotR!I19</f>
        <v>103.8</v>
      </c>
      <c r="C18" s="56">
        <f>PotR!H19/PotR!$H$33*sse*D18</f>
        <v>2047879969.0206513</v>
      </c>
      <c r="D18" s="247">
        <f>PotR!G19</f>
        <v>263470.5</v>
      </c>
      <c r="E18" s="56">
        <f t="shared" si="0"/>
        <v>7772.7106792625791</v>
      </c>
      <c r="F18" s="56">
        <f>IF(B18&gt;100,-Montants_versés!F19,Montants_reçus!F18)/D18</f>
        <v>-56.833901817016795</v>
      </c>
      <c r="G18" s="56">
        <f t="shared" si="1"/>
        <v>7715.8767774455628</v>
      </c>
      <c r="H18" s="57">
        <f t="shared" si="2"/>
        <v>103</v>
      </c>
      <c r="J18" s="248">
        <f t="shared" si="3"/>
        <v>283.90683883091879</v>
      </c>
    </row>
    <row r="19" spans="1:10">
      <c r="A19" s="241" t="s">
        <v>60</v>
      </c>
      <c r="B19" s="242">
        <f>PotR!I20</f>
        <v>96.1</v>
      </c>
      <c r="C19" s="52">
        <f>PotR!H20/PotR!$H$33*sse*D19</f>
        <v>533821278.33806068</v>
      </c>
      <c r="D19" s="243">
        <f>PotR!G20</f>
        <v>74170</v>
      </c>
      <c r="E19" s="52">
        <f t="shared" si="0"/>
        <v>7197.2667970616239</v>
      </c>
      <c r="F19" s="52">
        <f>IF(B19&gt;100,-Montants_versés!F20,Montants_reçus!F19)/D19</f>
        <v>54.299368523452898</v>
      </c>
      <c r="G19" s="52">
        <f t="shared" si="1"/>
        <v>7251.5661655850772</v>
      </c>
      <c r="H19" s="53">
        <f t="shared" si="2"/>
        <v>96.8</v>
      </c>
      <c r="J19" s="244">
        <f t="shared" si="3"/>
        <v>-291.53704337003637</v>
      </c>
    </row>
    <row r="20" spans="1:10">
      <c r="A20" s="245" t="s">
        <v>61</v>
      </c>
      <c r="B20" s="246">
        <f>PotR!I21</f>
        <v>77.400000000000006</v>
      </c>
      <c r="C20" s="56">
        <f>PotR!H21/PotR!$H$33*sse*D20</f>
        <v>305152704.74193776</v>
      </c>
      <c r="D20" s="247">
        <f>PotR!G21</f>
        <v>52620.5</v>
      </c>
      <c r="E20" s="56">
        <f t="shared" si="0"/>
        <v>5799.1221052999826</v>
      </c>
      <c r="F20" s="56">
        <f>IF(B20&gt;100,-Montants_versés!F21,Montants_reçus!F20)/D20</f>
        <v>821.66161853885842</v>
      </c>
      <c r="G20" s="56">
        <f t="shared" si="1"/>
        <v>6620.7837238388411</v>
      </c>
      <c r="H20" s="57">
        <f t="shared" si="2"/>
        <v>88.4</v>
      </c>
      <c r="J20" s="248">
        <f t="shared" si="3"/>
        <v>-1689.6817351316777</v>
      </c>
    </row>
    <row r="21" spans="1:10">
      <c r="A21" s="241" t="s">
        <v>62</v>
      </c>
      <c r="B21" s="242">
        <f>PotR!I22</f>
        <v>79.599999999999994</v>
      </c>
      <c r="C21" s="52">
        <f>PotR!H22/PotR!$H$33*sse*D21</f>
        <v>87516214.79304108</v>
      </c>
      <c r="D21" s="243">
        <f>PotR!G22</f>
        <v>14675.5</v>
      </c>
      <c r="E21" s="52">
        <f t="shared" si="0"/>
        <v>5963.4230379231431</v>
      </c>
      <c r="F21" s="52">
        <f>IF(B21&gt;100,-Montants_versés!F22,Montants_reçus!F21)/D21</f>
        <v>701.31970673807643</v>
      </c>
      <c r="G21" s="52">
        <f t="shared" si="1"/>
        <v>6664.7427446612191</v>
      </c>
      <c r="H21" s="53">
        <f t="shared" si="2"/>
        <v>89</v>
      </c>
      <c r="J21" s="244">
        <f t="shared" si="3"/>
        <v>-1525.3808025085173</v>
      </c>
    </row>
    <row r="22" spans="1:10">
      <c r="A22" s="245" t="s">
        <v>63</v>
      </c>
      <c r="B22" s="246">
        <f>PotR!I23</f>
        <v>80.900000000000006</v>
      </c>
      <c r="C22" s="56">
        <f>PotR!H23/PotR!$H$33*sse*D22</f>
        <v>2778876007.9442134</v>
      </c>
      <c r="D22" s="247">
        <f>PotR!G23</f>
        <v>458628</v>
      </c>
      <c r="E22" s="56">
        <f t="shared" si="0"/>
        <v>6059.1067443422844</v>
      </c>
      <c r="F22" s="56">
        <f>IF(B22&gt;100,-Montants_versés!F23,Montants_reçus!F22)/D22</f>
        <v>633.42715495363245</v>
      </c>
      <c r="G22" s="56">
        <f t="shared" si="1"/>
        <v>6692.5338992959169</v>
      </c>
      <c r="H22" s="57">
        <f t="shared" si="2"/>
        <v>89.4</v>
      </c>
      <c r="J22" s="248">
        <f t="shared" si="3"/>
        <v>-1429.6970960893759</v>
      </c>
    </row>
    <row r="23" spans="1:10">
      <c r="A23" s="241" t="s">
        <v>64</v>
      </c>
      <c r="B23" s="242">
        <f>PotR!I24</f>
        <v>81.599999999999994</v>
      </c>
      <c r="C23" s="52">
        <f>PotR!H24/PotR!$H$33*sse*D23</f>
        <v>1169269311.4764409</v>
      </c>
      <c r="D23" s="243">
        <f>PotR!G24</f>
        <v>191407</v>
      </c>
      <c r="E23" s="52">
        <f t="shared" si="0"/>
        <v>6108.8116499210628</v>
      </c>
      <c r="F23" s="52">
        <f>IF(B23&gt;100,-Montants_versés!F24,Montants_reçus!F23)/D23</f>
        <v>597.89167478416175</v>
      </c>
      <c r="G23" s="52">
        <f t="shared" si="1"/>
        <v>6706.7033247052241</v>
      </c>
      <c r="H23" s="53">
        <f t="shared" si="2"/>
        <v>89.6</v>
      </c>
      <c r="J23" s="244">
        <f t="shared" si="3"/>
        <v>-1379.9921905105975</v>
      </c>
    </row>
    <row r="24" spans="1:10">
      <c r="A24" s="245" t="s">
        <v>65</v>
      </c>
      <c r="B24" s="246">
        <f>PotR!I25</f>
        <v>89.6</v>
      </c>
      <c r="C24" s="56">
        <f>PotR!H25/PotR!$H$33*sse*D24</f>
        <v>3766897544.2664986</v>
      </c>
      <c r="D24" s="247">
        <f>PotR!G25</f>
        <v>561109.5</v>
      </c>
      <c r="E24" s="56">
        <f t="shared" si="0"/>
        <v>6713.3020279758202</v>
      </c>
      <c r="F24" s="56">
        <f>IF(B24&gt;100,-Montants_versés!F25,Montants_reçus!F24)/D24</f>
        <v>247.44131110611252</v>
      </c>
      <c r="G24" s="56">
        <f t="shared" si="1"/>
        <v>6960.7433390819324</v>
      </c>
      <c r="H24" s="57">
        <f t="shared" si="2"/>
        <v>92.9</v>
      </c>
      <c r="J24" s="248">
        <f t="shared" si="3"/>
        <v>-775.50181245584008</v>
      </c>
    </row>
    <row r="25" spans="1:10">
      <c r="A25" s="241" t="s">
        <v>66</v>
      </c>
      <c r="B25" s="242">
        <f>PotR!I26</f>
        <v>74</v>
      </c>
      <c r="C25" s="52">
        <f>PotR!H26/PotR!$H$33*sse*D25</f>
        <v>1286553716.6746693</v>
      </c>
      <c r="D25" s="243">
        <f>PotR!G26</f>
        <v>232207</v>
      </c>
      <c r="E25" s="52">
        <f t="shared" si="0"/>
        <v>5540.5466530925823</v>
      </c>
      <c r="F25" s="52">
        <f>IF(B25&gt;100,-Montants_versés!F26,Montants_reçus!F25)/D25</f>
        <v>1020.4898556430884</v>
      </c>
      <c r="G25" s="52">
        <f t="shared" si="1"/>
        <v>6561.0365087356704</v>
      </c>
      <c r="H25" s="53">
        <f t="shared" si="2"/>
        <v>87.6</v>
      </c>
      <c r="J25" s="244">
        <f t="shared" si="3"/>
        <v>-1948.257187339078</v>
      </c>
    </row>
    <row r="26" spans="1:10">
      <c r="A26" s="245" t="s">
        <v>67</v>
      </c>
      <c r="B26" s="246">
        <f>PotR!I27</f>
        <v>97.2</v>
      </c>
      <c r="C26" s="56">
        <f>PotR!H27/PotR!$H$33*sse*D26</f>
        <v>2313524562.9311604</v>
      </c>
      <c r="D26" s="247">
        <f>PotR!G27</f>
        <v>317957.5</v>
      </c>
      <c r="E26" s="56">
        <f t="shared" si="0"/>
        <v>7276.2069236648313</v>
      </c>
      <c r="F26" s="56">
        <f>IF(B26&gt;100,-Montants_versés!F27,Montants_reçus!F26)/D26</f>
        <v>32.529049442022831</v>
      </c>
      <c r="G26" s="56">
        <f t="shared" si="1"/>
        <v>7308.7359731068545</v>
      </c>
      <c r="H26" s="57">
        <f t="shared" si="2"/>
        <v>97.6</v>
      </c>
      <c r="J26" s="248">
        <f t="shared" si="3"/>
        <v>-212.59691676682905</v>
      </c>
    </row>
    <row r="27" spans="1:10">
      <c r="A27" s="241" t="s">
        <v>68</v>
      </c>
      <c r="B27" s="242">
        <f>PotR!I28</f>
        <v>105.5</v>
      </c>
      <c r="C27" s="52">
        <f>PotR!H28/PotR!$H$33*sse*D27</f>
        <v>5152756461.6448584</v>
      </c>
      <c r="D27" s="243">
        <f>PotR!G28</f>
        <v>652465.5</v>
      </c>
      <c r="E27" s="52">
        <f t="shared" si="0"/>
        <v>7897.3623304908206</v>
      </c>
      <c r="F27" s="52">
        <f>IF(B27&gt;100,-Montants_versés!F28,Montants_reçus!F27)/D27</f>
        <v>-82.259594735155943</v>
      </c>
      <c r="G27" s="52">
        <f t="shared" si="1"/>
        <v>7815.102735755665</v>
      </c>
      <c r="H27" s="53">
        <f t="shared" si="2"/>
        <v>104.4</v>
      </c>
      <c r="J27" s="244">
        <f t="shared" si="3"/>
        <v>408.55849005916025</v>
      </c>
    </row>
    <row r="28" spans="1:10">
      <c r="A28" s="245" t="s">
        <v>69</v>
      </c>
      <c r="B28" s="246">
        <f>PotR!I29</f>
        <v>69</v>
      </c>
      <c r="C28" s="56">
        <f>PotR!H29/PotR!$H$33*sse*D28</f>
        <v>1473960612.5549896</v>
      </c>
      <c r="D28" s="247">
        <f>PotR!G29</f>
        <v>285069.5</v>
      </c>
      <c r="E28" s="56">
        <f t="shared" si="0"/>
        <v>5170.5307391881261</v>
      </c>
      <c r="F28" s="56">
        <f>IF(B28&gt;100,-Montants_versés!F29,Montants_reçus!F28)/D28</f>
        <v>1339.4556728613741</v>
      </c>
      <c r="G28" s="56">
        <f t="shared" si="1"/>
        <v>6509.9864120495004</v>
      </c>
      <c r="H28" s="57">
        <f t="shared" si="2"/>
        <v>86.9</v>
      </c>
      <c r="J28" s="248">
        <f t="shared" si="3"/>
        <v>-2318.2731012435343</v>
      </c>
    </row>
    <row r="29" spans="1:10">
      <c r="A29" s="241" t="s">
        <v>70</v>
      </c>
      <c r="B29" s="242">
        <f>PotR!I30</f>
        <v>96.5</v>
      </c>
      <c r="C29" s="52">
        <f>PotR!H30/PotR!$H$33*sse*D29</f>
        <v>1216990734.2054582</v>
      </c>
      <c r="D29" s="243">
        <f>PotR!G30</f>
        <v>168423.5</v>
      </c>
      <c r="E29" s="52">
        <f t="shared" si="0"/>
        <v>7225.777484765832</v>
      </c>
      <c r="F29" s="52">
        <f>IF(B29&gt;100,-Montants_versés!F30,Montants_reçus!F29)/D29</f>
        <v>45.932890492714733</v>
      </c>
      <c r="G29" s="52">
        <f t="shared" si="1"/>
        <v>7271.7103752585472</v>
      </c>
      <c r="H29" s="53">
        <f t="shared" si="2"/>
        <v>97.1</v>
      </c>
      <c r="J29" s="244">
        <f t="shared" si="3"/>
        <v>-263.02635566582831</v>
      </c>
    </row>
    <row r="30" spans="1:10">
      <c r="A30" s="245" t="s">
        <v>71</v>
      </c>
      <c r="B30" s="246">
        <f>PotR!I31</f>
        <v>151.19999999999999</v>
      </c>
      <c r="C30" s="56">
        <f>PotR!H31/PotR!$H$33*sse*D30</f>
        <v>4868864680.443984</v>
      </c>
      <c r="D30" s="247">
        <f>PotR!G31</f>
        <v>430074.5</v>
      </c>
      <c r="E30" s="56">
        <f t="shared" si="0"/>
        <v>11320.979691760343</v>
      </c>
      <c r="F30" s="56">
        <f>IF(B30&gt;100,-Montants_versés!F31,Montants_reçus!F30)/D30</f>
        <v>-765.76204553454238</v>
      </c>
      <c r="G30" s="56">
        <f t="shared" si="1"/>
        <v>10555.217646225801</v>
      </c>
      <c r="H30" s="57">
        <f t="shared" si="2"/>
        <v>140.9</v>
      </c>
      <c r="J30" s="248">
        <f t="shared" si="3"/>
        <v>3832.1758513286832</v>
      </c>
    </row>
    <row r="31" spans="1:10">
      <c r="A31" s="241" t="s">
        <v>72</v>
      </c>
      <c r="B31" s="249">
        <f>PotR!I32</f>
        <v>68.599999999999994</v>
      </c>
      <c r="C31" s="130">
        <f>PotR!H32/PotR!$H$33*sse*D31</f>
        <v>348918498.86445659</v>
      </c>
      <c r="D31" s="250">
        <f>PotR!G32</f>
        <v>67904.5</v>
      </c>
      <c r="E31" s="130">
        <f t="shared" si="0"/>
        <v>5138.3707834452298</v>
      </c>
      <c r="F31" s="130">
        <f>IF(B31&gt;100,-Montants_versés!F32,Montants_reçus!F31)/D31</f>
        <v>1366.274929795266</v>
      </c>
      <c r="G31" s="130">
        <f t="shared" si="1"/>
        <v>6504.6457132404958</v>
      </c>
      <c r="H31" s="251">
        <f t="shared" si="2"/>
        <v>86.9</v>
      </c>
      <c r="J31" s="252">
        <f t="shared" si="3"/>
        <v>-2350.4330569864305</v>
      </c>
    </row>
    <row r="32" spans="1:10" s="187" customFormat="1" ht="15" customHeight="1">
      <c r="A32" s="198" t="s">
        <v>123</v>
      </c>
      <c r="B32" s="222">
        <f>PotR!I33</f>
        <v>100</v>
      </c>
      <c r="C32" s="200">
        <f>SUM(C6:C31)</f>
        <v>55638678470.000015</v>
      </c>
      <c r="D32" s="253">
        <f>SUM(D6:D31)</f>
        <v>7429581.5</v>
      </c>
      <c r="E32" s="200">
        <f t="shared" si="0"/>
        <v>7488.8038404316603</v>
      </c>
      <c r="F32" s="200"/>
      <c r="G32" s="200"/>
      <c r="H32" s="254"/>
      <c r="J32" s="255">
        <f t="shared" si="3"/>
        <v>0</v>
      </c>
    </row>
    <row r="33" spans="1:10" s="256" customFormat="1" ht="18.75" customHeight="1">
      <c r="A33" s="257" t="s">
        <v>124</v>
      </c>
      <c r="B33" s="258">
        <f>MIN(B6:B31)</f>
        <v>61.8</v>
      </c>
      <c r="C33" s="258"/>
      <c r="D33" s="259"/>
      <c r="E33" s="260"/>
      <c r="F33" s="260"/>
      <c r="G33" s="260"/>
      <c r="H33" s="261">
        <f>MIN(H6:H31)</f>
        <v>86.5</v>
      </c>
    </row>
    <row r="34" spans="1:10" s="2" customFormat="1" ht="14.25" customHeight="1">
      <c r="A34" s="91"/>
      <c r="B34" s="262"/>
      <c r="C34" s="262"/>
      <c r="D34" s="263"/>
      <c r="E34" s="69"/>
      <c r="F34" s="69"/>
      <c r="G34" s="69"/>
      <c r="H34" s="262"/>
    </row>
    <row r="35" spans="1:10" ht="26.25" customHeight="1">
      <c r="A35" s="315" t="str">
        <f>"Taux fiscal standardisé "&amp;Info!C30</f>
        <v>Taux fiscal standardisé 2008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>
      <c r="A36" s="181"/>
      <c r="B36" s="264"/>
      <c r="C36" s="264"/>
      <c r="D36" s="265" t="s">
        <v>43</v>
      </c>
      <c r="E36" s="66" t="s">
        <v>36</v>
      </c>
      <c r="F36" s="266">
        <v>2002</v>
      </c>
      <c r="G36" s="267">
        <v>2003</v>
      </c>
      <c r="H36" s="268">
        <v>2004</v>
      </c>
      <c r="I36" s="269"/>
      <c r="J36" s="270" t="str">
        <f>G36&amp;" - "&amp;H36</f>
        <v>2003 - 2004</v>
      </c>
    </row>
    <row r="37" spans="1:10" ht="15" customHeight="1">
      <c r="A37" s="271" t="s">
        <v>125</v>
      </c>
      <c r="B37" s="264"/>
      <c r="C37" s="264"/>
      <c r="D37" s="272" t="s">
        <v>44</v>
      </c>
      <c r="E37" s="273"/>
      <c r="F37" s="274">
        <v>0</v>
      </c>
      <c r="G37" s="275">
        <v>52772854</v>
      </c>
      <c r="H37" s="276">
        <v>54386868</v>
      </c>
      <c r="I37" s="277"/>
      <c r="J37" s="278"/>
    </row>
    <row r="38" spans="1:10" ht="15" customHeight="1">
      <c r="A38" s="271" t="s">
        <v>126</v>
      </c>
      <c r="B38" s="264"/>
      <c r="C38" s="264"/>
      <c r="D38" s="272" t="s">
        <v>44</v>
      </c>
      <c r="E38" s="273"/>
      <c r="F38" s="274">
        <v>0</v>
      </c>
      <c r="G38" s="275">
        <v>12399642</v>
      </c>
      <c r="H38" s="276">
        <v>11821740</v>
      </c>
      <c r="I38" s="279"/>
      <c r="J38" s="280"/>
    </row>
    <row r="39" spans="1:10" ht="15" customHeight="1">
      <c r="A39" s="271" t="s">
        <v>127</v>
      </c>
      <c r="B39" s="264"/>
      <c r="C39" s="264"/>
      <c r="D39" s="272" t="s">
        <v>44</v>
      </c>
      <c r="E39" s="273" t="s">
        <v>128</v>
      </c>
      <c r="F39" s="281">
        <f>0.17*F38</f>
        <v>0</v>
      </c>
      <c r="G39" s="282">
        <f>0.17*G38</f>
        <v>2107939.14</v>
      </c>
      <c r="H39" s="283">
        <f>0.17*H38</f>
        <v>2009695.8</v>
      </c>
      <c r="I39" s="284"/>
      <c r="J39" s="285"/>
    </row>
    <row r="40" spans="1:10" ht="15.75" customHeight="1">
      <c r="A40" s="286" t="s">
        <v>129</v>
      </c>
      <c r="B40" s="287"/>
      <c r="C40" s="287"/>
      <c r="D40" s="288" t="s">
        <v>44</v>
      </c>
      <c r="E40" s="289" t="s">
        <v>130</v>
      </c>
      <c r="F40" s="290">
        <f>F37+F39</f>
        <v>0</v>
      </c>
      <c r="G40" s="291">
        <f>G37+G39</f>
        <v>54880793.140000001</v>
      </c>
      <c r="H40" s="291">
        <f>H37+H39</f>
        <v>56396563.799999997</v>
      </c>
      <c r="I40" s="141"/>
      <c r="J40" s="292">
        <f>AVERAGE(G40:H40)</f>
        <v>55638678.469999999</v>
      </c>
    </row>
    <row r="41" spans="1:10" ht="15" customHeight="1">
      <c r="A41" s="271" t="s">
        <v>131</v>
      </c>
      <c r="B41" s="264"/>
      <c r="C41" s="264"/>
      <c r="D41" s="293" t="s">
        <v>45</v>
      </c>
      <c r="E41" s="273"/>
      <c r="F41" s="281"/>
      <c r="G41" s="282"/>
      <c r="H41" s="282"/>
      <c r="I41" s="294"/>
      <c r="J41" s="283">
        <f>Population!F33</f>
        <v>7429581.5</v>
      </c>
    </row>
    <row r="42" spans="1:10" ht="15.75" customHeight="1">
      <c r="A42" s="286" t="s">
        <v>132</v>
      </c>
      <c r="B42" s="287"/>
      <c r="C42" s="287"/>
      <c r="D42" s="288" t="s">
        <v>46</v>
      </c>
      <c r="E42" s="289" t="s">
        <v>133</v>
      </c>
      <c r="F42" s="295"/>
      <c r="G42" s="141"/>
      <c r="H42" s="141"/>
      <c r="I42" s="141"/>
      <c r="J42" s="296">
        <f>J40/J41*1000</f>
        <v>7488.8038404316585</v>
      </c>
    </row>
    <row r="43" spans="1:10" ht="15" customHeight="1">
      <c r="A43" s="271" t="s">
        <v>134</v>
      </c>
      <c r="B43" s="264"/>
      <c r="C43" s="264"/>
      <c r="D43" s="272" t="s">
        <v>46</v>
      </c>
      <c r="E43" s="273"/>
      <c r="F43" s="269"/>
      <c r="G43" s="294"/>
      <c r="H43" s="294"/>
      <c r="I43" s="294"/>
      <c r="J43" s="283">
        <f>PotR!H33</f>
        <v>26908.716753477336</v>
      </c>
    </row>
    <row r="44" spans="1:10" ht="15.75" customHeight="1">
      <c r="A44" s="286" t="s">
        <v>135</v>
      </c>
      <c r="B44" s="287"/>
      <c r="C44" s="287"/>
      <c r="D44" s="288" t="s">
        <v>81</v>
      </c>
      <c r="E44" s="289" t="s">
        <v>136</v>
      </c>
      <c r="F44" s="295"/>
      <c r="G44" s="141"/>
      <c r="H44" s="141"/>
      <c r="I44" s="141"/>
      <c r="J44" s="297">
        <f>sse/J43</f>
        <v>0.27830401237784413</v>
      </c>
    </row>
    <row r="48" spans="1:10">
      <c r="A48" s="298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PotR</vt:lpstr>
      <vt:lpstr>Population</vt:lpstr>
      <vt:lpstr>Taux_de_croissance</vt:lpstr>
      <vt:lpstr>Dotation_PR</vt:lpstr>
      <vt:lpstr>Montants_versés</vt:lpstr>
      <vt:lpstr>Montants_reçus</vt:lpstr>
      <vt:lpstr>RFS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2011-12-23T16:40:47Z</cp:lastPrinted>
  <dcterms:created xsi:type="dcterms:W3CDTF">2010-11-03T16:06:04Z</dcterms:created>
  <dcterms:modified xsi:type="dcterms:W3CDTF">2012-05-15T08:52:18Z</dcterms:modified>
</cp:coreProperties>
</file>