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O:\Fbr-daten\FBR-FA\01_Allgemeines\PR\Homepage\2017\Datenbank\Dateien\E\"/>
    </mc:Choice>
  </mc:AlternateContent>
  <bookViews>
    <workbookView xWindow="-15" yWindow="-120" windowWidth="20730" windowHeight="6060"/>
  </bookViews>
  <sheets>
    <sheet name="Info" sheetId="1" r:id="rId1"/>
    <sheet name="PFR" sheetId="2" r:id="rId2"/>
    <sheet name="Population" sheetId="3" r:id="rId3"/>
    <sheet name="Growth_rates" sheetId="4" r:id="rId4"/>
    <sheet name="Endowment" sheetId="5" r:id="rId5"/>
    <sheet name="Inpayment" sheetId="6" r:id="rId6"/>
    <sheet name="Outpayment" sheetId="7" r:id="rId7"/>
    <sheet name="STR" sheetId="8" r:id="rId8"/>
  </sheets>
  <externalReferences>
    <externalReference r:id="rId9"/>
  </externalReferences>
  <definedNames>
    <definedName name="A">Endowment!$D$25</definedName>
    <definedName name="B">Outpayment!$K$12</definedName>
    <definedName name="BEV">Outpayment!$C$6:$C$31</definedName>
    <definedName name="_xlnm.Print_Area">Outpayment!$A$1:$H$32</definedName>
    <definedName name="_xlnm.Print_Titles">#REF!</definedName>
    <definedName name="gamma">[1]Gamma!$C$7</definedName>
    <definedName name="p">Outpayment!$K$5</definedName>
    <definedName name="RI">Outpayment!$B$6:$B$31</definedName>
    <definedName name="RI_26">Outpayment!$K$7</definedName>
    <definedName name="RI_MIN">Outpayment!$K$8</definedName>
    <definedName name="solver_adj">Outpayment!$K$5</definedName>
    <definedName name="solver_cvg">0.0001</definedName>
    <definedName name="solver_drv">1</definedName>
    <definedName name="solver_est">1</definedName>
    <definedName name="solver_itr">1000</definedName>
    <definedName name="solver_lhs1">Outpayment!$K$8</definedName>
    <definedName name="solver_lin">2</definedName>
    <definedName name="solver_neg">2</definedName>
    <definedName name="solver_num">1</definedName>
    <definedName name="solver_nwt">1</definedName>
    <definedName name="solver_opt">Outpayment!$K$6</definedName>
    <definedName name="solver_pre">0.00000000000001</definedName>
    <definedName name="solver_rel1">2</definedName>
    <definedName name="solver_rhs1">Outpayment!$K$7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STR!$J$42</definedName>
    <definedName name="SUM">Outpayment!$D$32</definedName>
  </definedNames>
  <calcPr calcId="152511"/>
</workbook>
</file>

<file path=xl/calcChain.xml><?xml version="1.0" encoding="utf-8"?>
<calcChain xmlns="http://schemas.openxmlformats.org/spreadsheetml/2006/main">
  <c r="H40" i="8" l="1"/>
  <c r="H39" i="8"/>
  <c r="G39" i="8"/>
  <c r="G40" i="8" s="1"/>
  <c r="F39" i="8"/>
  <c r="F40" i="8" s="1"/>
  <c r="J36" i="8"/>
  <c r="A35" i="8"/>
  <c r="J1" i="8"/>
  <c r="A1" i="8"/>
  <c r="C15" i="7"/>
  <c r="H2" i="7"/>
  <c r="A1" i="7"/>
  <c r="C24" i="6"/>
  <c r="C12" i="6"/>
  <c r="F2" i="6"/>
  <c r="A1" i="6"/>
  <c r="C15" i="5"/>
  <c r="C14" i="5"/>
  <c r="C13" i="5"/>
  <c r="G4" i="5"/>
  <c r="G3" i="5"/>
  <c r="B1" i="5"/>
  <c r="D33" i="4"/>
  <c r="E29" i="4"/>
  <c r="F29" i="4" s="1"/>
  <c r="E25" i="4"/>
  <c r="F25" i="4" s="1"/>
  <c r="E21" i="4"/>
  <c r="F21" i="4" s="1"/>
  <c r="E17" i="4"/>
  <c r="F17" i="4" s="1"/>
  <c r="E13" i="4"/>
  <c r="F13" i="4" s="1"/>
  <c r="E9" i="4"/>
  <c r="F9" i="4" s="1"/>
  <c r="G5" i="4"/>
  <c r="E5" i="4"/>
  <c r="H5" i="4" s="1"/>
  <c r="D5" i="4"/>
  <c r="C4" i="4"/>
  <c r="I2" i="4"/>
  <c r="B1" i="4"/>
  <c r="E33" i="3"/>
  <c r="D33" i="3"/>
  <c r="C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5" i="3"/>
  <c r="F1" i="3"/>
  <c r="B1" i="3"/>
  <c r="E33" i="2"/>
  <c r="D33" i="2"/>
  <c r="C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C23" i="6" s="1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D15" i="8" s="1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5" i="2"/>
  <c r="D5" i="2"/>
  <c r="C5" i="2"/>
  <c r="E4" i="2"/>
  <c r="D4" i="2"/>
  <c r="C4" i="2"/>
  <c r="I1" i="2"/>
  <c r="B1" i="2"/>
  <c r="A5" i="1"/>
  <c r="D6" i="8" l="1"/>
  <c r="C6" i="7"/>
  <c r="C7" i="6"/>
  <c r="D10" i="8"/>
  <c r="C10" i="7"/>
  <c r="D12" i="8"/>
  <c r="C12" i="7"/>
  <c r="D14" i="8"/>
  <c r="C14" i="7"/>
  <c r="C18" i="7"/>
  <c r="D18" i="8"/>
  <c r="C19" i="6"/>
  <c r="C21" i="6"/>
  <c r="D20" i="8"/>
  <c r="C20" i="7"/>
  <c r="C25" i="6"/>
  <c r="D24" i="8"/>
  <c r="C24" i="7"/>
  <c r="C26" i="7"/>
  <c r="D26" i="8"/>
  <c r="C27" i="6"/>
  <c r="C30" i="7"/>
  <c r="D30" i="8"/>
  <c r="C31" i="6"/>
  <c r="E10" i="4"/>
  <c r="F10" i="4" s="1"/>
  <c r="H10" i="2"/>
  <c r="E14" i="4"/>
  <c r="F14" i="4" s="1"/>
  <c r="H14" i="2"/>
  <c r="E18" i="4"/>
  <c r="F18" i="4" s="1"/>
  <c r="H18" i="2"/>
  <c r="E20" i="4"/>
  <c r="F20" i="4" s="1"/>
  <c r="H20" i="2"/>
  <c r="E24" i="4"/>
  <c r="F24" i="4" s="1"/>
  <c r="H24" i="2"/>
  <c r="E28" i="4"/>
  <c r="F28" i="4" s="1"/>
  <c r="H28" i="2"/>
  <c r="E32" i="4"/>
  <c r="F32" i="4" s="1"/>
  <c r="H32" i="2"/>
  <c r="C15" i="6"/>
  <c r="F33" i="2"/>
  <c r="H7" i="2"/>
  <c r="H9" i="2"/>
  <c r="H11" i="2"/>
  <c r="H13" i="2"/>
  <c r="H15" i="2"/>
  <c r="H17" i="2"/>
  <c r="H19" i="2"/>
  <c r="H21" i="2"/>
  <c r="H23" i="2"/>
  <c r="H25" i="2"/>
  <c r="H27" i="2"/>
  <c r="H29" i="2"/>
  <c r="H31" i="2"/>
  <c r="F33" i="3"/>
  <c r="J41" i="8" s="1"/>
  <c r="B23" i="5"/>
  <c r="D12" i="5"/>
  <c r="C16" i="6"/>
  <c r="D8" i="8"/>
  <c r="C8" i="7"/>
  <c r="C9" i="6"/>
  <c r="C17" i="6"/>
  <c r="D16" i="8"/>
  <c r="C16" i="7"/>
  <c r="C22" i="7"/>
  <c r="D22" i="8"/>
  <c r="C29" i="6"/>
  <c r="D28" i="8"/>
  <c r="C28" i="7"/>
  <c r="E8" i="4"/>
  <c r="F8" i="4" s="1"/>
  <c r="H8" i="2"/>
  <c r="E12" i="4"/>
  <c r="F12" i="4" s="1"/>
  <c r="H12" i="2"/>
  <c r="E16" i="4"/>
  <c r="F16" i="4" s="1"/>
  <c r="H16" i="2"/>
  <c r="E22" i="4"/>
  <c r="F22" i="4" s="1"/>
  <c r="H22" i="2"/>
  <c r="E26" i="4"/>
  <c r="F26" i="4" s="1"/>
  <c r="H26" i="2"/>
  <c r="E30" i="4"/>
  <c r="F30" i="4" s="1"/>
  <c r="H30" i="2"/>
  <c r="D7" i="8"/>
  <c r="C7" i="7"/>
  <c r="C8" i="6"/>
  <c r="D9" i="8"/>
  <c r="C10" i="6"/>
  <c r="C9" i="7"/>
  <c r="C11" i="7"/>
  <c r="D11" i="8"/>
  <c r="D13" i="8"/>
  <c r="C14" i="6"/>
  <c r="C13" i="7"/>
  <c r="C17" i="7"/>
  <c r="D17" i="8"/>
  <c r="C18" i="6"/>
  <c r="D19" i="8"/>
  <c r="C19" i="7"/>
  <c r="C20" i="6"/>
  <c r="C21" i="7"/>
  <c r="D21" i="8"/>
  <c r="C22" i="6"/>
  <c r="C23" i="7"/>
  <c r="D23" i="8"/>
  <c r="C25" i="7"/>
  <c r="D25" i="8"/>
  <c r="C26" i="6"/>
  <c r="D27" i="8"/>
  <c r="C27" i="7"/>
  <c r="C28" i="6"/>
  <c r="C29" i="7"/>
  <c r="D29" i="8"/>
  <c r="C30" i="6"/>
  <c r="C31" i="7"/>
  <c r="D31" i="8"/>
  <c r="G33" i="2"/>
  <c r="C32" i="7" s="1"/>
  <c r="E7" i="4"/>
  <c r="E11" i="4"/>
  <c r="F11" i="4" s="1"/>
  <c r="E15" i="4"/>
  <c r="F15" i="4" s="1"/>
  <c r="E19" i="4"/>
  <c r="F19" i="4" s="1"/>
  <c r="E23" i="4"/>
  <c r="F23" i="4" s="1"/>
  <c r="E27" i="4"/>
  <c r="F27" i="4" s="1"/>
  <c r="E31" i="4"/>
  <c r="F31" i="4" s="1"/>
  <c r="C4" i="5"/>
  <c r="C11" i="6"/>
  <c r="C13" i="6"/>
  <c r="C32" i="6"/>
  <c r="J40" i="8"/>
  <c r="J42" i="8" s="1"/>
  <c r="C10" i="8" l="1"/>
  <c r="E10" i="8" s="1"/>
  <c r="C12" i="5"/>
  <c r="B28" i="5"/>
  <c r="C7" i="8"/>
  <c r="E7" i="8" s="1"/>
  <c r="C8" i="8"/>
  <c r="E8" i="8" s="1"/>
  <c r="C17" i="8"/>
  <c r="E17" i="8" s="1"/>
  <c r="C33" i="6"/>
  <c r="I30" i="2"/>
  <c r="I12" i="2"/>
  <c r="I21" i="2"/>
  <c r="H33" i="2"/>
  <c r="C27" i="8"/>
  <c r="E27" i="8" s="1"/>
  <c r="I20" i="2"/>
  <c r="C13" i="8"/>
  <c r="E13" i="8" s="1"/>
  <c r="E33" i="4"/>
  <c r="F33" i="4" s="1"/>
  <c r="D5" i="5" s="1"/>
  <c r="E5" i="5" s="1"/>
  <c r="G5" i="5" s="1"/>
  <c r="F7" i="4"/>
  <c r="C18" i="8"/>
  <c r="E18" i="8" s="1"/>
  <c r="I16" i="2"/>
  <c r="C24" i="8"/>
  <c r="E24" i="8" s="1"/>
  <c r="I32" i="2"/>
  <c r="C9" i="8"/>
  <c r="E9" i="8" s="1"/>
  <c r="I31" i="2"/>
  <c r="C22" i="8"/>
  <c r="E22" i="8" s="1"/>
  <c r="I15" i="2"/>
  <c r="C6" i="8"/>
  <c r="D32" i="8"/>
  <c r="B20" i="8" l="1"/>
  <c r="B20" i="7"/>
  <c r="C21" i="4"/>
  <c r="B21" i="6"/>
  <c r="B11" i="8"/>
  <c r="B11" i="7"/>
  <c r="C12" i="4"/>
  <c r="B12" i="6"/>
  <c r="B29" i="7"/>
  <c r="B29" i="8"/>
  <c r="B30" i="6"/>
  <c r="C30" i="4"/>
  <c r="B14" i="8"/>
  <c r="B15" i="6"/>
  <c r="C15" i="4"/>
  <c r="B14" i="7"/>
  <c r="B30" i="8"/>
  <c r="B30" i="7"/>
  <c r="B31" i="6"/>
  <c r="C31" i="4"/>
  <c r="B15" i="8"/>
  <c r="B15" i="7"/>
  <c r="B16" i="6"/>
  <c r="C16" i="4"/>
  <c r="B19" i="8"/>
  <c r="B19" i="7"/>
  <c r="C20" i="4"/>
  <c r="B20" i="6"/>
  <c r="J43" i="8"/>
  <c r="J44" i="8" s="1"/>
  <c r="I33" i="2"/>
  <c r="C20" i="8"/>
  <c r="E20" i="8" s="1"/>
  <c r="C11" i="8"/>
  <c r="E11" i="8" s="1"/>
  <c r="C29" i="8"/>
  <c r="E29" i="8" s="1"/>
  <c r="I24" i="2"/>
  <c r="I17" i="2"/>
  <c r="I26" i="2"/>
  <c r="I27" i="2"/>
  <c r="C14" i="8"/>
  <c r="E14" i="8" s="1"/>
  <c r="C30" i="8"/>
  <c r="E30" i="8" s="1"/>
  <c r="C31" i="8"/>
  <c r="E31" i="8" s="1"/>
  <c r="C15" i="8"/>
  <c r="E15" i="8" s="1"/>
  <c r="C19" i="8"/>
  <c r="E19" i="8" s="1"/>
  <c r="I13" i="2"/>
  <c r="I7" i="2"/>
  <c r="I23" i="2"/>
  <c r="I10" i="2"/>
  <c r="I25" i="2"/>
  <c r="I19" i="2"/>
  <c r="I14" i="2"/>
  <c r="I28" i="2"/>
  <c r="C12" i="8"/>
  <c r="E12" i="8" s="1"/>
  <c r="C28" i="8"/>
  <c r="E28" i="8" s="1"/>
  <c r="C21" i="8"/>
  <c r="E21" i="8" s="1"/>
  <c r="I18" i="2"/>
  <c r="I9" i="2"/>
  <c r="I8" i="2"/>
  <c r="I11" i="2"/>
  <c r="E6" i="8"/>
  <c r="B31" i="8"/>
  <c r="B32" i="6"/>
  <c r="B31" i="7"/>
  <c r="C32" i="4"/>
  <c r="D24" i="5"/>
  <c r="D15" i="5"/>
  <c r="D13" i="5"/>
  <c r="I29" i="2"/>
  <c r="I22" i="2"/>
  <c r="C23" i="8"/>
  <c r="E23" i="8" s="1"/>
  <c r="C16" i="8"/>
  <c r="E16" i="8" s="1"/>
  <c r="C25" i="8"/>
  <c r="E25" i="8" s="1"/>
  <c r="C26" i="8"/>
  <c r="E26" i="8" s="1"/>
  <c r="I32" i="4" l="1"/>
  <c r="G32" i="4"/>
  <c r="H32" i="4"/>
  <c r="C32" i="8"/>
  <c r="E32" i="8" s="1"/>
  <c r="J31" i="8" s="1"/>
  <c r="B8" i="8"/>
  <c r="B8" i="7"/>
  <c r="C9" i="4"/>
  <c r="B9" i="6"/>
  <c r="B24" i="8"/>
  <c r="B24" i="7"/>
  <c r="B25" i="6"/>
  <c r="C25" i="4"/>
  <c r="J30" i="8"/>
  <c r="D16" i="6"/>
  <c r="E16" i="6"/>
  <c r="F16" i="6" s="1"/>
  <c r="G15" i="4"/>
  <c r="H15" i="4"/>
  <c r="I15" i="4"/>
  <c r="D30" i="6"/>
  <c r="E30" i="6"/>
  <c r="F30" i="6" s="1"/>
  <c r="G21" i="4"/>
  <c r="H21" i="4"/>
  <c r="I21" i="4"/>
  <c r="D31" i="7"/>
  <c r="B17" i="8"/>
  <c r="B18" i="6"/>
  <c r="B17" i="7"/>
  <c r="C18" i="4"/>
  <c r="B27" i="8"/>
  <c r="B27" i="7"/>
  <c r="B28" i="6"/>
  <c r="C28" i="4"/>
  <c r="B9" i="8"/>
  <c r="B9" i="7"/>
  <c r="B10" i="6"/>
  <c r="C10" i="4"/>
  <c r="B23" i="8"/>
  <c r="B23" i="7"/>
  <c r="B24" i="6"/>
  <c r="C24" i="4"/>
  <c r="D19" i="7"/>
  <c r="D15" i="7"/>
  <c r="D30" i="7"/>
  <c r="E30" i="7"/>
  <c r="F30" i="7" s="1"/>
  <c r="D15" i="6"/>
  <c r="D11" i="7"/>
  <c r="E11" i="7"/>
  <c r="F11" i="7" s="1"/>
  <c r="D20" i="7"/>
  <c r="J23" i="8"/>
  <c r="D32" i="6"/>
  <c r="E32" i="6"/>
  <c r="F32" i="6" s="1"/>
  <c r="B10" i="8"/>
  <c r="B10" i="7"/>
  <c r="B11" i="6"/>
  <c r="C11" i="4"/>
  <c r="B13" i="8"/>
  <c r="B13" i="7"/>
  <c r="B14" i="6"/>
  <c r="C14" i="4"/>
  <c r="B22" i="8"/>
  <c r="B22" i="7"/>
  <c r="B23" i="6"/>
  <c r="C23" i="4"/>
  <c r="J15" i="8"/>
  <c r="B26" i="8"/>
  <c r="B27" i="6"/>
  <c r="C27" i="4"/>
  <c r="B26" i="7"/>
  <c r="B21" i="7"/>
  <c r="B21" i="8"/>
  <c r="B22" i="6"/>
  <c r="C22" i="4"/>
  <c r="C29" i="5"/>
  <c r="B7" i="8"/>
  <c r="B7" i="7"/>
  <c r="C8" i="4"/>
  <c r="B8" i="6"/>
  <c r="J28" i="8"/>
  <c r="B18" i="8"/>
  <c r="B19" i="6"/>
  <c r="C19" i="4"/>
  <c r="B18" i="7"/>
  <c r="B6" i="8"/>
  <c r="B6" i="7"/>
  <c r="B7" i="6"/>
  <c r="C7" i="4"/>
  <c r="B25" i="7"/>
  <c r="B25" i="8"/>
  <c r="B26" i="6"/>
  <c r="C26" i="4"/>
  <c r="J11" i="8"/>
  <c r="D20" i="6"/>
  <c r="E20" i="6"/>
  <c r="F20" i="6" s="1"/>
  <c r="I16" i="4"/>
  <c r="G16" i="4"/>
  <c r="H16" i="4"/>
  <c r="G31" i="4"/>
  <c r="H31" i="4"/>
  <c r="I31" i="4"/>
  <c r="D14" i="7"/>
  <c r="E14" i="7"/>
  <c r="F14" i="7" s="1"/>
  <c r="I30" i="4"/>
  <c r="H30" i="4"/>
  <c r="G30" i="4"/>
  <c r="D12" i="6"/>
  <c r="D21" i="6"/>
  <c r="E21" i="6"/>
  <c r="F21" i="6" s="1"/>
  <c r="B28" i="8"/>
  <c r="B28" i="7"/>
  <c r="C29" i="4"/>
  <c r="B29" i="6"/>
  <c r="B12" i="8"/>
  <c r="C13" i="4"/>
  <c r="B12" i="7"/>
  <c r="B13" i="6"/>
  <c r="B16" i="8"/>
  <c r="B16" i="7"/>
  <c r="B17" i="6"/>
  <c r="C17" i="4"/>
  <c r="I20" i="4"/>
  <c r="G20" i="4"/>
  <c r="H20" i="4"/>
  <c r="D31" i="6"/>
  <c r="G12" i="4"/>
  <c r="H12" i="4"/>
  <c r="I12" i="4" s="1"/>
  <c r="J6" i="8"/>
  <c r="B32" i="8"/>
  <c r="B32" i="7"/>
  <c r="B33" i="6"/>
  <c r="C33" i="4"/>
  <c r="J29" i="8"/>
  <c r="D29" i="7"/>
  <c r="G29" i="4" l="1"/>
  <c r="H29" i="4"/>
  <c r="I29" i="4"/>
  <c r="G7" i="4"/>
  <c r="H7" i="4"/>
  <c r="I7" i="4"/>
  <c r="D21" i="7"/>
  <c r="D28" i="6"/>
  <c r="E28" i="6"/>
  <c r="F28" i="6" s="1"/>
  <c r="D13" i="6"/>
  <c r="D28" i="7"/>
  <c r="D7" i="6"/>
  <c r="I22" i="4"/>
  <c r="H22" i="4"/>
  <c r="G22" i="4"/>
  <c r="G23" i="4"/>
  <c r="H23" i="4"/>
  <c r="I23" i="4"/>
  <c r="I14" i="4"/>
  <c r="G14" i="4"/>
  <c r="H14" i="4"/>
  <c r="G11" i="4"/>
  <c r="H11" i="4"/>
  <c r="I11" i="4"/>
  <c r="I24" i="4"/>
  <c r="G24" i="4"/>
  <c r="H24" i="4"/>
  <c r="D27" i="7"/>
  <c r="D18" i="6"/>
  <c r="G25" i="4"/>
  <c r="H25" i="4"/>
  <c r="I25" i="4"/>
  <c r="D9" i="6"/>
  <c r="E9" i="6"/>
  <c r="F9" i="6" s="1"/>
  <c r="J21" i="8"/>
  <c r="D16" i="7"/>
  <c r="G13" i="4"/>
  <c r="H13" i="4"/>
  <c r="I13" i="4" s="1"/>
  <c r="D29" i="6"/>
  <c r="E29" i="6"/>
  <c r="F29" i="6" s="1"/>
  <c r="E26" i="6"/>
  <c r="F26" i="6" s="1"/>
  <c r="D26" i="6"/>
  <c r="B33" i="8"/>
  <c r="I8" i="4"/>
  <c r="G8" i="4"/>
  <c r="H8" i="4"/>
  <c r="D26" i="7"/>
  <c r="D22" i="7"/>
  <c r="D13" i="7"/>
  <c r="D10" i="7"/>
  <c r="E10" i="7"/>
  <c r="F10" i="7" s="1"/>
  <c r="D23" i="7"/>
  <c r="I10" i="4"/>
  <c r="G10" i="4"/>
  <c r="H10" i="4"/>
  <c r="I28" i="4"/>
  <c r="G28" i="4"/>
  <c r="H28" i="4"/>
  <c r="H18" i="4"/>
  <c r="I18" i="4" s="1"/>
  <c r="G18" i="4"/>
  <c r="D24" i="7"/>
  <c r="D8" i="7"/>
  <c r="D18" i="7"/>
  <c r="D7" i="7"/>
  <c r="G27" i="4"/>
  <c r="H27" i="4"/>
  <c r="I27" i="4"/>
  <c r="D10" i="6"/>
  <c r="E10" i="6"/>
  <c r="F10" i="6" s="1"/>
  <c r="E17" i="7"/>
  <c r="F17" i="7" s="1"/>
  <c r="D17" i="7"/>
  <c r="G17" i="4"/>
  <c r="H17" i="4"/>
  <c r="I17" i="4"/>
  <c r="D25" i="7"/>
  <c r="G19" i="4"/>
  <c r="H19" i="4"/>
  <c r="I19" i="4"/>
  <c r="E27" i="6"/>
  <c r="F27" i="6" s="1"/>
  <c r="D27" i="6"/>
  <c r="D9" i="7"/>
  <c r="J32" i="8"/>
  <c r="K13" i="7"/>
  <c r="J22" i="8"/>
  <c r="J18" i="8"/>
  <c r="J8" i="8"/>
  <c r="J27" i="8"/>
  <c r="J24" i="8"/>
  <c r="J17" i="8"/>
  <c r="J13" i="8"/>
  <c r="J10" i="8"/>
  <c r="J9" i="8"/>
  <c r="J7" i="8"/>
  <c r="J19" i="8"/>
  <c r="D17" i="6"/>
  <c r="E17" i="6"/>
  <c r="F17" i="6" s="1"/>
  <c r="D12" i="7"/>
  <c r="E12" i="7"/>
  <c r="F12" i="7" s="1"/>
  <c r="J12" i="8"/>
  <c r="I26" i="4"/>
  <c r="G26" i="4"/>
  <c r="H26" i="4"/>
  <c r="K7" i="7"/>
  <c r="E6" i="7"/>
  <c r="F6" i="7" s="1"/>
  <c r="D6" i="7"/>
  <c r="E19" i="6"/>
  <c r="F19" i="6" s="1"/>
  <c r="D19" i="6"/>
  <c r="E8" i="6"/>
  <c r="F8" i="6" s="1"/>
  <c r="D8" i="6"/>
  <c r="D22" i="6"/>
  <c r="E22" i="6"/>
  <c r="F22" i="6" s="1"/>
  <c r="J26" i="8"/>
  <c r="E23" i="6"/>
  <c r="F23" i="6" s="1"/>
  <c r="D23" i="6"/>
  <c r="E14" i="6"/>
  <c r="F14" i="6" s="1"/>
  <c r="D14" i="6"/>
  <c r="D11" i="6"/>
  <c r="D24" i="6"/>
  <c r="E24" i="6"/>
  <c r="F24" i="6" s="1"/>
  <c r="J14" i="8"/>
  <c r="J16" i="8"/>
  <c r="J20" i="8"/>
  <c r="D25" i="6"/>
  <c r="E25" i="6"/>
  <c r="F25" i="6" s="1"/>
  <c r="G9" i="4"/>
  <c r="H9" i="4"/>
  <c r="I9" i="4"/>
  <c r="J25" i="8"/>
  <c r="D33" i="6" l="1"/>
  <c r="H33" i="4"/>
  <c r="I33" i="4" s="1"/>
  <c r="D6" i="5" s="1"/>
  <c r="E6" i="5" s="1"/>
  <c r="G6" i="5" s="1"/>
  <c r="D32" i="7"/>
  <c r="G33" i="4"/>
  <c r="D25" i="5" l="1"/>
  <c r="D14" i="5"/>
  <c r="G17" i="7" l="1"/>
  <c r="H17" i="7" s="1"/>
  <c r="G11" i="7"/>
  <c r="H11" i="7" s="1"/>
  <c r="C30" i="5"/>
  <c r="G14" i="7"/>
  <c r="H14" i="7" s="1"/>
  <c r="E15" i="6"/>
  <c r="F15" i="6" s="1"/>
  <c r="F14" i="8" s="1"/>
  <c r="G14" i="8" s="1"/>
  <c r="H14" i="8" s="1"/>
  <c r="E12" i="6"/>
  <c r="F12" i="6" s="1"/>
  <c r="F11" i="8" s="1"/>
  <c r="G11" i="8" s="1"/>
  <c r="H11" i="8" s="1"/>
  <c r="D26" i="5"/>
  <c r="E31" i="6"/>
  <c r="F31" i="6" s="1"/>
  <c r="F30" i="8" s="1"/>
  <c r="G30" i="8" s="1"/>
  <c r="H30" i="8" s="1"/>
  <c r="E13" i="6"/>
  <c r="F13" i="6" s="1"/>
  <c r="F12" i="8" s="1"/>
  <c r="G12" i="8" s="1"/>
  <c r="H12" i="8" s="1"/>
  <c r="E7" i="6"/>
  <c r="F7" i="6" s="1"/>
  <c r="E18" i="6"/>
  <c r="F18" i="6" s="1"/>
  <c r="F17" i="8" s="1"/>
  <c r="G17" i="8" s="1"/>
  <c r="H17" i="8" s="1"/>
  <c r="E11" i="6"/>
  <c r="F11" i="6" s="1"/>
  <c r="F10" i="8" s="1"/>
  <c r="G10" i="8" s="1"/>
  <c r="H10" i="8" s="1"/>
  <c r="K12" i="7" l="1"/>
  <c r="C31" i="5"/>
  <c r="F33" i="6"/>
  <c r="F6" i="8"/>
  <c r="G6" i="8" s="1"/>
  <c r="H6" i="8" s="1"/>
  <c r="G6" i="7"/>
  <c r="G12" i="7"/>
  <c r="H12" i="7" s="1"/>
  <c r="G10" i="7"/>
  <c r="H10" i="7" s="1"/>
  <c r="G30" i="7"/>
  <c r="H30" i="7" s="1"/>
  <c r="E15" i="7" l="1"/>
  <c r="F15" i="7" s="1"/>
  <c r="E20" i="7"/>
  <c r="F20" i="7" s="1"/>
  <c r="E29" i="7"/>
  <c r="F29" i="7" s="1"/>
  <c r="E19" i="7"/>
  <c r="F19" i="7" s="1"/>
  <c r="E31" i="7"/>
  <c r="F31" i="7" s="1"/>
  <c r="E21" i="7"/>
  <c r="F21" i="7" s="1"/>
  <c r="E26" i="7"/>
  <c r="F26" i="7" s="1"/>
  <c r="E13" i="7"/>
  <c r="F13" i="7" s="1"/>
  <c r="E24" i="7"/>
  <c r="F24" i="7" s="1"/>
  <c r="E7" i="7"/>
  <c r="F7" i="7" s="1"/>
  <c r="E28" i="7"/>
  <c r="F28" i="7" s="1"/>
  <c r="E8" i="7"/>
  <c r="F8" i="7" s="1"/>
  <c r="E25" i="7"/>
  <c r="F25" i="7" s="1"/>
  <c r="E16" i="7"/>
  <c r="F16" i="7" s="1"/>
  <c r="E18" i="7"/>
  <c r="F18" i="7" s="1"/>
  <c r="E9" i="7"/>
  <c r="F9" i="7" s="1"/>
  <c r="E27" i="7"/>
  <c r="F27" i="7" s="1"/>
  <c r="E22" i="7"/>
  <c r="F22" i="7" s="1"/>
  <c r="E23" i="7"/>
  <c r="F23" i="7" s="1"/>
  <c r="K8" i="7"/>
  <c r="K6" i="7" s="1"/>
  <c r="H6" i="7"/>
  <c r="H16" i="7" l="1"/>
  <c r="F16" i="8"/>
  <c r="G16" i="8" s="1"/>
  <c r="H16" i="8" s="1"/>
  <c r="G16" i="7"/>
  <c r="F7" i="8"/>
  <c r="G7" i="8" s="1"/>
  <c r="H7" i="8" s="1"/>
  <c r="F32" i="7"/>
  <c r="G7" i="7"/>
  <c r="F20" i="8"/>
  <c r="G20" i="8" s="1"/>
  <c r="H20" i="8" s="1"/>
  <c r="G20" i="7"/>
  <c r="H20" i="7" s="1"/>
  <c r="F25" i="8"/>
  <c r="G25" i="8" s="1"/>
  <c r="H25" i="8" s="1"/>
  <c r="G25" i="7"/>
  <c r="H25" i="7" s="1"/>
  <c r="H24" i="7"/>
  <c r="F24" i="8"/>
  <c r="G24" i="8" s="1"/>
  <c r="H24" i="8" s="1"/>
  <c r="G24" i="7"/>
  <c r="H31" i="7"/>
  <c r="F31" i="8"/>
  <c r="G31" i="8" s="1"/>
  <c r="H31" i="8" s="1"/>
  <c r="G31" i="7"/>
  <c r="F15" i="8"/>
  <c r="G15" i="8" s="1"/>
  <c r="H15" i="8" s="1"/>
  <c r="G15" i="7"/>
  <c r="H15" i="7" s="1"/>
  <c r="F23" i="8"/>
  <c r="G23" i="8" s="1"/>
  <c r="H23" i="8" s="1"/>
  <c r="G23" i="7"/>
  <c r="H23" i="7" s="1"/>
  <c r="H18" i="7"/>
  <c r="F18" i="8"/>
  <c r="G18" i="8" s="1"/>
  <c r="H18" i="8" s="1"/>
  <c r="G18" i="7"/>
  <c r="H28" i="7"/>
  <c r="F28" i="8"/>
  <c r="G28" i="8" s="1"/>
  <c r="H28" i="8" s="1"/>
  <c r="G28" i="7"/>
  <c r="F26" i="8"/>
  <c r="G26" i="8" s="1"/>
  <c r="H26" i="8" s="1"/>
  <c r="G26" i="7"/>
  <c r="H26" i="7" s="1"/>
  <c r="F29" i="8"/>
  <c r="G29" i="8" s="1"/>
  <c r="H29" i="8" s="1"/>
  <c r="G29" i="7"/>
  <c r="H29" i="7" s="1"/>
  <c r="H22" i="7"/>
  <c r="F22" i="8"/>
  <c r="G22" i="8" s="1"/>
  <c r="H22" i="8" s="1"/>
  <c r="G22" i="7"/>
  <c r="H21" i="7"/>
  <c r="F21" i="8"/>
  <c r="G21" i="8" s="1"/>
  <c r="H21" i="8" s="1"/>
  <c r="G21" i="7"/>
  <c r="F27" i="8"/>
  <c r="G27" i="8" s="1"/>
  <c r="H27" i="8" s="1"/>
  <c r="G27" i="7"/>
  <c r="H27" i="7" s="1"/>
  <c r="F9" i="8"/>
  <c r="G9" i="8" s="1"/>
  <c r="H9" i="8" s="1"/>
  <c r="G9" i="7"/>
  <c r="H9" i="7" s="1"/>
  <c r="H8" i="7"/>
  <c r="F8" i="8"/>
  <c r="G8" i="8" s="1"/>
  <c r="H8" i="8" s="1"/>
  <c r="G8" i="7"/>
  <c r="H13" i="7"/>
  <c r="F13" i="8"/>
  <c r="G13" i="8" s="1"/>
  <c r="H13" i="8" s="1"/>
  <c r="G13" i="7"/>
  <c r="F19" i="8"/>
  <c r="G19" i="8" s="1"/>
  <c r="H19" i="8" s="1"/>
  <c r="G19" i="7"/>
  <c r="H19" i="7" s="1"/>
  <c r="G32" i="7" l="1"/>
  <c r="H33" i="8"/>
  <c r="H7" i="7"/>
  <c r="H32" i="7" s="1"/>
</calcChain>
</file>

<file path=xl/sharedStrings.xml><?xml version="1.0" encoding="utf-8"?>
<sst xmlns="http://schemas.openxmlformats.org/spreadsheetml/2006/main" count="369" uniqueCount="138">
  <si>
    <t>Equalization of resources (ER)</t>
  </si>
  <si>
    <t>Worksheet</t>
  </si>
  <si>
    <t>Content</t>
  </si>
  <si>
    <t>PFR</t>
  </si>
  <si>
    <t>Resource potential and Resource index</t>
  </si>
  <si>
    <t>Population</t>
  </si>
  <si>
    <t>Relevant population</t>
  </si>
  <si>
    <t>Growth_rates</t>
  </si>
  <si>
    <t>Resource potential growth</t>
  </si>
  <si>
    <t>Endowment</t>
  </si>
  <si>
    <t>Extrapolation of resource equalization endowments</t>
  </si>
  <si>
    <t>Inpayment</t>
  </si>
  <si>
    <t>Inpayment of financially strong cantons</t>
  </si>
  <si>
    <t>Outpayment</t>
  </si>
  <si>
    <t>Outpayment to financially weak cantons</t>
  </si>
  <si>
    <t>STR</t>
  </si>
  <si>
    <t>Standardized tax revenue and Standardized tax rate</t>
  </si>
  <si>
    <t>Informations</t>
  </si>
  <si>
    <t>Environment</t>
  </si>
  <si>
    <t>Produktion</t>
  </si>
  <si>
    <t>Type</t>
  </si>
  <si>
    <t>Berechnung</t>
  </si>
  <si>
    <t>WS</t>
  </si>
  <si>
    <t>FA_2018_20170823</t>
  </si>
  <si>
    <t>SWS</t>
  </si>
  <si>
    <t>RA_2018_20170823</t>
  </si>
  <si>
    <t>RefYear</t>
  </si>
  <si>
    <t>Column</t>
  </si>
  <si>
    <t>C</t>
  </si>
  <si>
    <t>D</t>
  </si>
  <si>
    <t>E</t>
  </si>
  <si>
    <t>F</t>
  </si>
  <si>
    <t>G</t>
  </si>
  <si>
    <t>H</t>
  </si>
  <si>
    <t>I</t>
  </si>
  <si>
    <t>Formula</t>
  </si>
  <si>
    <t>(C + D + E) / 3</t>
  </si>
  <si>
    <t>F / G * 1000</t>
  </si>
  <si>
    <t>H / H[total] * 100</t>
  </si>
  <si>
    <t>Potential of fiscal resources</t>
  </si>
  <si>
    <t>Relevant resident population</t>
  </si>
  <si>
    <t>Potential of fiscal resources per capita</t>
  </si>
  <si>
    <t>Resource index</t>
  </si>
  <si>
    <t>Data source</t>
  </si>
  <si>
    <t>Unit</t>
  </si>
  <si>
    <t>CHF 1,000</t>
  </si>
  <si>
    <t>Persons</t>
  </si>
  <si>
    <t>CHF</t>
  </si>
  <si>
    <t>Zurich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</si>
  <si>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</si>
  <si>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</si>
  <si>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</si>
  <si>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</si>
  <si>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</si>
  <si>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</si>
  <si>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</si>
  <si>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</si>
  <si>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Fribourg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</si>
  <si>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</si>
  <si>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</si>
  <si>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</si>
  <si>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</si>
  <si>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</si>
  <si>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</si>
  <si>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</si>
  <si>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</si>
  <si>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</si>
  <si>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</si>
  <si>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Ticino</t>
  </si>
  <si>
    <t>Vaud</t>
  </si>
  <si>
    <t>Valais</t>
  </si>
  <si>
    <t>Neuchâtel</t>
  </si>
  <si>
    <t>Geneva</t>
  </si>
  <si>
    <t>Jura</t>
  </si>
  <si>
    <t>Switzerland</t>
  </si>
  <si>
    <t>Average resident permanent and non-permanent population</t>
  </si>
  <si>
    <t>FSO</t>
  </si>
  <si>
    <t>Total</t>
  </si>
  <si>
    <t>Potential of fiscal resources of all cantons</t>
  </si>
  <si>
    <t>Potential of fiscal resources of financially strong cantons</t>
  </si>
  <si>
    <t>Change</t>
  </si>
  <si>
    <t>Points</t>
  </si>
  <si>
    <t>%</t>
  </si>
  <si>
    <t>in CHF</t>
  </si>
  <si>
    <t>Endowments in accordance with extrapolation</t>
  </si>
  <si>
    <t>Growth</t>
  </si>
  <si>
    <t>Ordinary extrapolation</t>
  </si>
  <si>
    <t>Endowment adjustment</t>
  </si>
  <si>
    <t>Vertical resource equalization</t>
  </si>
  <si>
    <t>Horizontal resource equalization</t>
  </si>
  <si>
    <t>HRE range</t>
  </si>
  <si>
    <t>Upper limit (80% of VRE)</t>
  </si>
  <si>
    <t>HRE in % of VRE</t>
  </si>
  <si>
    <t>Lower limit (2/3 of VRE)</t>
  </si>
  <si>
    <t>HRE: Horizontal resource equalization</t>
  </si>
  <si>
    <t>VRE: Vertical resource equalization</t>
  </si>
  <si>
    <t>Total resource equalization</t>
  </si>
  <si>
    <t>Overall endowment</t>
  </si>
  <si>
    <t>* After endowment adjustment</t>
  </si>
  <si>
    <t>B</t>
  </si>
  <si>
    <t>(B - 100) * C</t>
  </si>
  <si>
    <t>Dotation/D[total]*(B-100)</t>
  </si>
  <si>
    <t>E * C</t>
  </si>
  <si>
    <t>Sum of the weighted deviations</t>
  </si>
  <si>
    <t>Contribution per capita</t>
  </si>
  <si>
    <t>Contribution</t>
  </si>
  <si>
    <t>Relevant  population</t>
  </si>
  <si>
    <t>of which horizontal resource equalization</t>
  </si>
  <si>
    <t>of which vertical resource equalization</t>
  </si>
  <si>
    <t>Iteration of "p"</t>
  </si>
  <si>
    <t>p</t>
  </si>
  <si>
    <t>p_dach</t>
  </si>
  <si>
    <t>RI_26</t>
  </si>
  <si>
    <t>RI_MIN</t>
  </si>
  <si>
    <t>J</t>
  </si>
  <si>
    <t>C / D</t>
  </si>
  <si>
    <t>E + F</t>
  </si>
  <si>
    <t>G / E[total]</t>
  </si>
  <si>
    <t>E - E[total]</t>
  </si>
  <si>
    <t>Standardized tax revenue</t>
  </si>
  <si>
    <t>Standardized tax revenue per capita before equalization</t>
  </si>
  <si>
    <t>Resource equalization per capita</t>
  </si>
  <si>
    <t>Standardized tax revenue per capita after equalization</t>
  </si>
  <si>
    <t>STR index after equalization</t>
  </si>
  <si>
    <t>Difference between STR per capita before equalization and Swiss average</t>
  </si>
  <si>
    <t>Minimum</t>
  </si>
  <si>
    <t>A   Tax receipts of cantons and communes</t>
  </si>
  <si>
    <t>B   Direct federal tax receipts</t>
  </si>
  <si>
    <t>C   17% cantonal share of direct federal tax</t>
  </si>
  <si>
    <t>0,17 * B</t>
  </si>
  <si>
    <t>D   Total standardized tax revenue (STR)</t>
  </si>
  <si>
    <t>A + C</t>
  </si>
  <si>
    <t>E   Relevant population</t>
  </si>
  <si>
    <t>F   Standardized tax revenue per capita</t>
  </si>
  <si>
    <t>D / E * 1000</t>
  </si>
  <si>
    <t>G   Resource potential per capita</t>
  </si>
  <si>
    <t>H   Standardized tax rate (STRate)</t>
  </si>
  <si>
    <t>F /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</si>
</sst>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#,##0.0"/>
    <numFmt numFmtId="168" formatCode="#,##0.000000000"/>
    <numFmt numFmtId="169" formatCode="0.000000000"/>
  </numFmts>
  <fonts count="24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i/>
      <sz val="8"/>
      <color rgb="FF000000"/>
      <name val="Arial"/>
      <family val="2"/>
    </font>
    <font>
      <sz val="8"/>
      <color indexed="8"/>
      <name val="Arial"/>
      <family val="2"/>
    </font>
    <font>
      <b/>
      <sz val="18"/>
      <name val="Arial"/>
      <family val="2"/>
    </font>
    <font>
      <b/>
      <i/>
      <sz val="8"/>
      <name val="Arial"/>
      <family val="2"/>
    </font>
    <font>
      <i/>
      <sz val="8"/>
      <color rgb="FF0000FF"/>
      <name val="Arial"/>
      <family val="2"/>
    </font>
    <font>
      <sz val="8"/>
      <color indexed="12"/>
      <name val="Arial"/>
      <family val="2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7" fillId="0" borderId="5" xfId="0" applyFont="1" applyFill="1" applyBorder="1"/>
    <xf numFmtId="1" fontId="21" fillId="0" borderId="6" xfId="0" applyNumberFormat="1" applyFont="1" applyFill="1" applyBorder="1" applyAlignment="1" applyProtection="1">
      <alignment horizontal="left" vertical="top"/>
      <protection locked="0"/>
    </xf>
    <xf numFmtId="1" fontId="21" fillId="0" borderId="7" xfId="0" applyNumberFormat="1" applyFont="1" applyFill="1" applyBorder="1" applyAlignment="1" applyProtection="1">
      <alignment horizontal="left" vertical="top"/>
      <protection locked="0"/>
    </xf>
    <xf numFmtId="0" fontId="17" fillId="0" borderId="8" xfId="0" applyFont="1" applyFill="1" applyBorder="1"/>
    <xf numFmtId="1" fontId="21" fillId="0" borderId="9" xfId="0" applyNumberFormat="1" applyFont="1" applyFill="1" applyBorder="1" applyAlignment="1" applyProtection="1">
      <alignment horizontal="left" vertical="top"/>
      <protection locked="0"/>
    </xf>
    <xf numFmtId="0" fontId="19" fillId="0" borderId="10" xfId="0" applyFont="1" applyFill="1" applyBorder="1" applyAlignment="1" applyProtection="1">
      <alignment vertical="top"/>
      <protection locked="0"/>
    </xf>
    <xf numFmtId="0" fontId="19" fillId="0" borderId="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Alignment="1">
      <alignment horizontal="right"/>
    </xf>
    <xf numFmtId="0" fontId="16" fillId="0" borderId="0" xfId="0" applyFont="1" applyFill="1" applyBorder="1"/>
    <xf numFmtId="0" fontId="16" fillId="0" borderId="11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13" xfId="0" applyFont="1" applyFill="1" applyBorder="1" applyAlignment="1">
      <alignment horizontal="right"/>
    </xf>
    <xf numFmtId="0" fontId="14" fillId="0" borderId="0" xfId="0" applyFont="1" applyFill="1"/>
    <xf numFmtId="0" fontId="18" fillId="0" borderId="0" xfId="0" applyFont="1" applyFill="1" applyBorder="1"/>
    <xf numFmtId="0" fontId="18" fillId="0" borderId="11" xfId="0" applyFont="1" applyFill="1" applyBorder="1" applyAlignment="1">
      <alignment horizontal="right"/>
    </xf>
    <xf numFmtId="0" fontId="18" fillId="0" borderId="12" xfId="0" applyFont="1" applyFill="1" applyBorder="1" applyAlignment="1">
      <alignment horizontal="right"/>
    </xf>
    <xf numFmtId="0" fontId="14" fillId="0" borderId="12" xfId="0" applyFont="1" applyFill="1" applyBorder="1" applyAlignment="1">
      <alignment horizontal="right" wrapText="1"/>
    </xf>
    <xf numFmtId="0" fontId="14" fillId="0" borderId="12" xfId="0" applyFont="1" applyFill="1" applyBorder="1" applyAlignment="1">
      <alignment horizontal="right"/>
    </xf>
    <xf numFmtId="0" fontId="14" fillId="0" borderId="13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5" xfId="0" applyFont="1" applyFill="1" applyBorder="1"/>
    <xf numFmtId="0" fontId="1" fillId="0" borderId="14" xfId="0" applyFont="1" applyFill="1" applyBorder="1" applyAlignment="1">
      <alignment horizontal="right" wrapText="1"/>
    </xf>
    <xf numFmtId="0" fontId="1" fillId="0" borderId="15" xfId="0" applyFont="1" applyFill="1" applyBorder="1" applyAlignment="1">
      <alignment horizontal="right" wrapText="1"/>
    </xf>
    <xf numFmtId="0" fontId="10" fillId="0" borderId="0" xfId="0" applyFont="1" applyFill="1"/>
    <xf numFmtId="0" fontId="10" fillId="0" borderId="0" xfId="0" applyFont="1" applyFill="1" applyBorder="1"/>
    <xf numFmtId="0" fontId="10" fillId="0" borderId="1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 wrapText="1"/>
    </xf>
    <xf numFmtId="0" fontId="20" fillId="0" borderId="12" xfId="0" applyFont="1" applyFill="1" applyBorder="1" applyAlignment="1">
      <alignment horizontal="right" wrapText="1"/>
    </xf>
    <xf numFmtId="0" fontId="20" fillId="0" borderId="13" xfId="0" applyFont="1" applyFill="1" applyBorder="1" applyAlignment="1">
      <alignment horizontal="right" wrapText="1"/>
    </xf>
    <xf numFmtId="0" fontId="5" fillId="0" borderId="11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0" fontId="0" fillId="0" borderId="16" xfId="0" applyFont="1" applyFill="1" applyBorder="1"/>
    <xf numFmtId="3" fontId="6" fillId="0" borderId="14" xfId="0" applyNumberFormat="1" applyFont="1" applyFill="1" applyBorder="1" applyProtection="1">
      <protection locked="0"/>
    </xf>
    <xf numFmtId="3" fontId="0" fillId="0" borderId="14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164" fontId="0" fillId="0" borderId="15" xfId="0" applyNumberFormat="1" applyFont="1" applyFill="1" applyBorder="1"/>
    <xf numFmtId="0" fontId="0" fillId="3" borderId="5" xfId="0" applyFont="1" applyFill="1" applyBorder="1"/>
    <xf numFmtId="3" fontId="6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4" fontId="0" fillId="3" borderId="17" xfId="0" applyNumberFormat="1" applyFont="1" applyFill="1" applyBorder="1"/>
    <xf numFmtId="3" fontId="6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4" fontId="0" fillId="0" borderId="17" xfId="0" applyNumberFormat="1" applyFont="1" applyFill="1" applyBorder="1"/>
    <xf numFmtId="0" fontId="1" fillId="0" borderId="0" xfId="0" applyFont="1" applyFill="1" applyBorder="1"/>
    <xf numFmtId="0" fontId="1" fillId="0" borderId="11" xfId="0" applyFont="1" applyFill="1" applyBorder="1"/>
    <xf numFmtId="3" fontId="1" fillId="0" borderId="12" xfId="0" applyNumberFormat="1" applyFont="1" applyFill="1" applyBorder="1"/>
    <xf numFmtId="164" fontId="1" fillId="0" borderId="13" xfId="0" applyNumberFormat="1" applyFont="1" applyFill="1" applyBorder="1"/>
    <xf numFmtId="0" fontId="16" fillId="0" borderId="1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5" fillId="0" borderId="0" xfId="0" applyFont="1" applyFill="1" applyBorder="1"/>
    <xf numFmtId="0" fontId="18" fillId="0" borderId="1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 wrapText="1"/>
    </xf>
    <xf numFmtId="0" fontId="7" fillId="0" borderId="16" xfId="0" applyFont="1" applyFill="1" applyBorder="1" applyAlignment="1">
      <alignment vertical="center" wrapText="1"/>
    </xf>
    <xf numFmtId="0" fontId="1" fillId="0" borderId="15" xfId="0" applyFont="1" applyFill="1" applyBorder="1" applyAlignment="1" applyProtection="1">
      <alignment horizontal="right" wrapText="1"/>
      <protection locked="0"/>
    </xf>
    <xf numFmtId="0" fontId="7" fillId="0" borderId="8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right" vertical="center"/>
    </xf>
    <xf numFmtId="3" fontId="6" fillId="0" borderId="24" xfId="0" applyNumberFormat="1" applyFont="1" applyFill="1" applyBorder="1" applyProtection="1">
      <protection locked="0"/>
    </xf>
    <xf numFmtId="3" fontId="6" fillId="0" borderId="25" xfId="0" applyNumberFormat="1" applyFont="1" applyFill="1" applyBorder="1" applyProtection="1">
      <protection locked="0"/>
    </xf>
    <xf numFmtId="3" fontId="0" fillId="0" borderId="15" xfId="0" applyNumberFormat="1" applyFont="1" applyFill="1" applyBorder="1"/>
    <xf numFmtId="3" fontId="6" fillId="3" borderId="26" xfId="0" applyNumberFormat="1" applyFont="1" applyFill="1" applyBorder="1" applyProtection="1">
      <protection locked="0"/>
    </xf>
    <xf numFmtId="3" fontId="6" fillId="3" borderId="27" xfId="0" applyNumberFormat="1" applyFont="1" applyFill="1" applyBorder="1" applyProtection="1">
      <protection locked="0"/>
    </xf>
    <xf numFmtId="3" fontId="0" fillId="3" borderId="17" xfId="0" applyNumberFormat="1" applyFont="1" applyFill="1" applyBorder="1"/>
    <xf numFmtId="3" fontId="6" fillId="0" borderId="26" xfId="0" applyNumberFormat="1" applyFont="1" applyFill="1" applyBorder="1" applyProtection="1">
      <protection locked="0"/>
    </xf>
    <xf numFmtId="3" fontId="6" fillId="0" borderId="27" xfId="0" applyNumberFormat="1" applyFont="1" applyFill="1" applyBorder="1" applyProtection="1">
      <protection locked="0"/>
    </xf>
    <xf numFmtId="3" fontId="0" fillId="0" borderId="17" xfId="0" applyNumberFormat="1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3" xfId="0" applyNumberFormat="1" applyFont="1" applyFill="1" applyBorder="1"/>
    <xf numFmtId="0" fontId="19" fillId="0" borderId="0" xfId="0" applyFont="1" applyFill="1" applyBorder="1" applyAlignment="1" applyProtection="1">
      <alignment vertical="top"/>
      <protection locked="0"/>
    </xf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7" xfId="0" applyFont="1" applyFill="1" applyBorder="1"/>
    <xf numFmtId="0" fontId="10" fillId="0" borderId="0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 wrapText="1"/>
    </xf>
    <xf numFmtId="164" fontId="0" fillId="0" borderId="14" xfId="0" applyNumberFormat="1" applyFont="1" applyFill="1" applyBorder="1"/>
    <xf numFmtId="165" fontId="6" fillId="0" borderId="24" xfId="0" applyNumberFormat="1" applyFont="1" applyFill="1" applyBorder="1" applyAlignment="1" applyProtection="1">
      <alignment horizontal="right"/>
      <protection locked="0"/>
    </xf>
    <xf numFmtId="165" fontId="0" fillId="0" borderId="14" xfId="0" applyNumberFormat="1" applyFont="1" applyFill="1" applyBorder="1" applyAlignment="1">
      <alignment horizontal="right"/>
    </xf>
    <xf numFmtId="166" fontId="0" fillId="0" borderId="25" xfId="0" applyNumberFormat="1" applyFont="1" applyFill="1" applyBorder="1"/>
    <xf numFmtId="166" fontId="0" fillId="0" borderId="15" xfId="0" applyNumberFormat="1" applyFont="1" applyFill="1" applyBorder="1"/>
    <xf numFmtId="0" fontId="0" fillId="3" borderId="36" xfId="0" applyFont="1" applyFill="1" applyBorder="1"/>
    <xf numFmtId="164" fontId="0" fillId="3" borderId="0" xfId="0" applyNumberFormat="1" applyFont="1" applyFill="1" applyBorder="1"/>
    <xf numFmtId="165" fontId="6" fillId="3" borderId="26" xfId="0" applyNumberFormat="1" applyFont="1" applyFill="1" applyBorder="1" applyAlignment="1" applyProtection="1">
      <alignment horizontal="right"/>
      <protection locked="0"/>
    </xf>
    <xf numFmtId="165" fontId="0" fillId="3" borderId="0" xfId="0" applyNumberFormat="1" applyFont="1" applyFill="1" applyBorder="1" applyAlignment="1">
      <alignment horizontal="right"/>
    </xf>
    <xf numFmtId="166" fontId="0" fillId="3" borderId="27" xfId="0" applyNumberFormat="1" applyFont="1" applyFill="1" applyBorder="1"/>
    <xf numFmtId="166" fontId="0" fillId="3" borderId="17" xfId="0" applyNumberFormat="1" applyFont="1" applyFill="1" applyBorder="1"/>
    <xf numFmtId="0" fontId="0" fillId="0" borderId="36" xfId="0" applyFont="1" applyFill="1" applyBorder="1"/>
    <xf numFmtId="164" fontId="0" fillId="0" borderId="0" xfId="0" applyNumberFormat="1" applyFont="1" applyFill="1" applyBorder="1"/>
    <xf numFmtId="165" fontId="6" fillId="0" borderId="26" xfId="0" applyNumberFormat="1" applyFont="1" applyFill="1" applyBorder="1" applyAlignment="1" applyProtection="1">
      <alignment horizontal="right"/>
      <protection locked="0"/>
    </xf>
    <xf numFmtId="165" fontId="0" fillId="0" borderId="0" xfId="0" applyNumberFormat="1" applyFont="1" applyFill="1" applyBorder="1" applyAlignment="1">
      <alignment horizontal="right"/>
    </xf>
    <xf numFmtId="166" fontId="0" fillId="0" borderId="27" xfId="0" applyNumberFormat="1" applyFont="1" applyFill="1" applyBorder="1"/>
    <xf numFmtId="166" fontId="0" fillId="0" borderId="17" xfId="0" applyNumberFormat="1" applyFont="1" applyFill="1" applyBorder="1"/>
    <xf numFmtId="0" fontId="1" fillId="0" borderId="17" xfId="0" applyFont="1" applyFill="1" applyBorder="1"/>
    <xf numFmtId="0" fontId="0" fillId="3" borderId="31" xfId="0" applyFont="1" applyFill="1" applyBorder="1"/>
    <xf numFmtId="164" fontId="0" fillId="3" borderId="19" xfId="0" applyNumberFormat="1" applyFont="1" applyFill="1" applyBorder="1"/>
    <xf numFmtId="165" fontId="6" fillId="3" borderId="18" xfId="0" applyNumberFormat="1" applyFont="1" applyFill="1" applyBorder="1" applyAlignment="1" applyProtection="1">
      <alignment horizontal="right"/>
      <protection locked="0"/>
    </xf>
    <xf numFmtId="165" fontId="0" fillId="3" borderId="19" xfId="0" applyNumberFormat="1" applyFont="1" applyFill="1" applyBorder="1" applyAlignment="1">
      <alignment horizontal="right"/>
    </xf>
    <xf numFmtId="166" fontId="0" fillId="3" borderId="20" xfId="0" applyNumberFormat="1" applyFont="1" applyFill="1" applyBorder="1"/>
    <xf numFmtId="3" fontId="0" fillId="3" borderId="19" xfId="0" applyNumberFormat="1" applyFont="1" applyFill="1" applyBorder="1"/>
    <xf numFmtId="166" fontId="0" fillId="3" borderId="21" xfId="0" applyNumberFormat="1" applyFont="1" applyFill="1" applyBorder="1"/>
    <xf numFmtId="167" fontId="1" fillId="0" borderId="12" xfId="0" applyNumberFormat="1" applyFont="1" applyFill="1" applyBorder="1"/>
    <xf numFmtId="165" fontId="1" fillId="0" borderId="22" xfId="0" applyNumberFormat="1" applyFont="1" applyFill="1" applyBorder="1" applyAlignment="1" applyProtection="1">
      <alignment horizontal="right"/>
      <protection locked="0"/>
    </xf>
    <xf numFmtId="165" fontId="1" fillId="0" borderId="12" xfId="0" applyNumberFormat="1" applyFont="1" applyFill="1" applyBorder="1" applyAlignment="1">
      <alignment horizontal="right"/>
    </xf>
    <xf numFmtId="166" fontId="1" fillId="4" borderId="23" xfId="0" applyNumberFormat="1" applyFont="1" applyFill="1" applyBorder="1"/>
    <xf numFmtId="166" fontId="1" fillId="4" borderId="13" xfId="0" applyNumberFormat="1" applyFont="1" applyFill="1" applyBorder="1"/>
    <xf numFmtId="0" fontId="9" fillId="0" borderId="0" xfId="0" applyFont="1" applyFill="1" applyAlignment="1">
      <alignment horizontal="left" vertical="top"/>
    </xf>
    <xf numFmtId="0" fontId="7" fillId="0" borderId="0" xfId="0" applyFont="1" applyFill="1"/>
    <xf numFmtId="0" fontId="8" fillId="0" borderId="0" xfId="0" applyFont="1" applyFill="1" applyBorder="1"/>
    <xf numFmtId="0" fontId="1" fillId="3" borderId="11" xfId="0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right"/>
    </xf>
    <xf numFmtId="0" fontId="0" fillId="3" borderId="12" xfId="0" applyFont="1" applyFill="1" applyBorder="1" applyAlignment="1">
      <alignment horizontal="right"/>
    </xf>
    <xf numFmtId="0" fontId="0" fillId="3" borderId="12" xfId="0" applyFont="1" applyFill="1" applyBorder="1" applyAlignment="1">
      <alignment horizontal="right" wrapText="1"/>
    </xf>
    <xf numFmtId="1" fontId="1" fillId="3" borderId="13" xfId="0" applyNumberFormat="1" applyFont="1" applyFill="1" applyBorder="1"/>
    <xf numFmtId="166" fontId="0" fillId="0" borderId="14" xfId="0" applyNumberFormat="1" applyFont="1" applyFill="1" applyBorder="1"/>
    <xf numFmtId="3" fontId="1" fillId="0" borderId="15" xfId="0" applyNumberFormat="1" applyFont="1" applyFill="1" applyBorder="1"/>
    <xf numFmtId="3" fontId="6" fillId="0" borderId="19" xfId="0" applyNumberFormat="1" applyFont="1" applyFill="1" applyBorder="1" applyProtection="1">
      <protection locked="0"/>
    </xf>
    <xf numFmtId="166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14" xfId="0" applyFont="1" applyFill="1" applyBorder="1"/>
    <xf numFmtId="0" fontId="0" fillId="0" borderId="0" xfId="0" applyFont="1" applyFill="1" applyAlignment="1">
      <alignment horizontal="right"/>
    </xf>
    <xf numFmtId="166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1" xfId="0" applyFont="1" applyFill="1" applyBorder="1"/>
    <xf numFmtId="0" fontId="1" fillId="3" borderId="12" xfId="0" applyFont="1" applyFill="1" applyBorder="1" applyAlignment="1">
      <alignment horizontal="right"/>
    </xf>
    <xf numFmtId="1" fontId="1" fillId="3" borderId="13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6" fontId="3" fillId="0" borderId="0" xfId="0" applyNumberFormat="1" applyFont="1" applyFill="1" applyBorder="1"/>
    <xf numFmtId="166" fontId="3" fillId="0" borderId="17" xfId="0" applyNumberFormat="1" applyFont="1" applyFill="1" applyBorder="1"/>
    <xf numFmtId="3" fontId="0" fillId="0" borderId="21" xfId="0" applyNumberFormat="1" applyFont="1" applyFill="1" applyBorder="1"/>
    <xf numFmtId="0" fontId="10" fillId="0" borderId="0" xfId="0" applyFont="1" applyFill="1" applyAlignment="1">
      <alignment horizontal="left" indent="1"/>
    </xf>
    <xf numFmtId="0" fontId="10" fillId="0" borderId="0" xfId="0" applyFont="1" applyFill="1" applyBorder="1" applyAlignment="1">
      <alignment horizontal="left" indent="1"/>
    </xf>
    <xf numFmtId="0" fontId="11" fillId="5" borderId="11" xfId="0" applyFont="1" applyFill="1" applyBorder="1"/>
    <xf numFmtId="0" fontId="12" fillId="5" borderId="12" xfId="0" applyFont="1" applyFill="1" applyBorder="1"/>
    <xf numFmtId="0" fontId="11" fillId="5" borderId="13" xfId="0" applyFont="1" applyFill="1" applyBorder="1" applyAlignment="1">
      <alignment horizontal="center"/>
    </xf>
    <xf numFmtId="0" fontId="4" fillId="4" borderId="36" xfId="0" applyFont="1" applyFill="1" applyBorder="1"/>
    <xf numFmtId="0" fontId="4" fillId="4" borderId="0" xfId="0" applyFont="1" applyFill="1" applyBorder="1"/>
    <xf numFmtId="3" fontId="13" fillId="4" borderId="17" xfId="0" applyNumberFormat="1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3" fontId="13" fillId="4" borderId="13" xfId="0" applyNumberFormat="1" applyFont="1" applyFill="1" applyBorder="1"/>
    <xf numFmtId="0" fontId="0" fillId="0" borderId="16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6" fontId="0" fillId="0" borderId="21" xfId="0" applyNumberFormat="1" applyFont="1" applyFill="1" applyBorder="1"/>
    <xf numFmtId="0" fontId="0" fillId="0" borderId="11" xfId="0" applyFont="1" applyFill="1" applyBorder="1" applyAlignment="1">
      <alignment horizontal="left" indent="1"/>
    </xf>
    <xf numFmtId="166" fontId="0" fillId="0" borderId="13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8" fillId="0" borderId="8" xfId="0" applyFont="1" applyFill="1" applyBorder="1" applyAlignment="1">
      <alignment horizontal="right"/>
    </xf>
    <xf numFmtId="0" fontId="14" fillId="0" borderId="0" xfId="0" applyFont="1" applyFill="1" applyBorder="1"/>
    <xf numFmtId="0" fontId="18" fillId="0" borderId="10" xfId="0" applyFont="1" applyFill="1" applyBorder="1" applyAlignment="1">
      <alignment horizontal="right"/>
    </xf>
    <xf numFmtId="0" fontId="14" fillId="0" borderId="9" xfId="0" applyFont="1" applyFill="1" applyBorder="1" applyAlignment="1">
      <alignment horizontal="right" wrapText="1"/>
    </xf>
    <xf numFmtId="0" fontId="0" fillId="0" borderId="11" xfId="0" applyFont="1" applyFill="1" applyBorder="1"/>
    <xf numFmtId="0" fontId="0" fillId="0" borderId="12" xfId="0" applyFont="1" applyFill="1" applyBorder="1" applyAlignment="1" applyProtection="1">
      <alignment horizontal="right" vertical="center" wrapText="1"/>
      <protection locked="0"/>
    </xf>
    <xf numFmtId="0" fontId="0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3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7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7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67" fontId="1" fillId="0" borderId="12" xfId="0" applyNumberFormat="1" applyFont="1" applyFill="1" applyBorder="1" applyAlignment="1" applyProtection="1">
      <alignment vertical="center"/>
      <protection locked="0"/>
    </xf>
    <xf numFmtId="3" fontId="1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right" vertical="center" wrapText="1"/>
    </xf>
    <xf numFmtId="0" fontId="14" fillId="0" borderId="39" xfId="0" applyFont="1" applyFill="1" applyBorder="1" applyAlignment="1">
      <alignment vertical="center"/>
    </xf>
    <xf numFmtId="168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17" xfId="0" applyNumberFormat="1" applyFont="1" applyFill="1" applyBorder="1" applyAlignment="1">
      <alignment vertical="center"/>
    </xf>
    <xf numFmtId="169" fontId="14" fillId="0" borderId="39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3" fontId="14" fillId="3" borderId="17" xfId="0" applyNumberFormat="1" applyFont="1" applyFill="1" applyBorder="1" applyAlignment="1">
      <alignment vertical="center"/>
    </xf>
    <xf numFmtId="164" fontId="14" fillId="0" borderId="39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39" xfId="0" applyNumberFormat="1" applyFont="1" applyFill="1" applyBorder="1" applyAlignment="1">
      <alignment vertical="center"/>
    </xf>
    <xf numFmtId="167" fontId="1" fillId="0" borderId="12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8" fillId="0" borderId="3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167" fontId="1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0" fillId="0" borderId="39" xfId="0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right" vertical="center" wrapText="1"/>
    </xf>
    <xf numFmtId="167" fontId="10" fillId="0" borderId="14" xfId="0" applyNumberFormat="1" applyFont="1" applyFill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40" xfId="0" applyFont="1" applyFill="1" applyBorder="1" applyAlignment="1">
      <alignment horizontal="right" vertical="center" wrapText="1"/>
    </xf>
    <xf numFmtId="0" fontId="0" fillId="0" borderId="16" xfId="0" applyFont="1" applyFill="1" applyBorder="1" applyAlignment="1">
      <alignment wrapText="1"/>
    </xf>
    <xf numFmtId="167" fontId="0" fillId="0" borderId="14" xfId="0" applyNumberFormat="1" applyFont="1" applyFill="1" applyBorder="1"/>
    <xf numFmtId="3" fontId="0" fillId="0" borderId="14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7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7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7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4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2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3" fontId="1" fillId="0" borderId="39" xfId="0" applyNumberFormat="1" applyFont="1" applyFill="1" applyBorder="1"/>
    <xf numFmtId="0" fontId="2" fillId="0" borderId="0" xfId="0" applyFont="1" applyFill="1"/>
    <xf numFmtId="0" fontId="2" fillId="0" borderId="11" xfId="0" applyFont="1" applyFill="1" applyBorder="1"/>
    <xf numFmtId="164" fontId="2" fillId="0" borderId="12" xfId="0" applyNumberFormat="1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/>
    <xf numFmtId="164" fontId="2" fillId="0" borderId="13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2" xfId="0" applyFont="1" applyFill="1" applyBorder="1"/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0" fontId="0" fillId="0" borderId="11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0" fillId="0" borderId="11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right"/>
    </xf>
    <xf numFmtId="0" fontId="14" fillId="0" borderId="39" xfId="0" applyFont="1" applyFill="1" applyBorder="1" applyAlignment="1">
      <alignment horizontal="right"/>
    </xf>
    <xf numFmtId="3" fontId="6" fillId="0" borderId="11" xfId="0" applyNumberFormat="1" applyFont="1" applyFill="1" applyBorder="1" applyAlignment="1" applyProtection="1">
      <alignment horizontal="right"/>
      <protection locked="0"/>
    </xf>
    <xf numFmtId="3" fontId="6" fillId="0" borderId="12" xfId="0" applyNumberFormat="1" applyFont="1" applyFill="1" applyBorder="1" applyAlignment="1" applyProtection="1">
      <alignment horizontal="right"/>
      <protection locked="0"/>
    </xf>
    <xf numFmtId="3" fontId="6" fillId="0" borderId="13" xfId="0" applyNumberFormat="1" applyFont="1" applyFill="1" applyBorder="1" applyAlignment="1" applyProtection="1">
      <alignment horizontal="right"/>
      <protection locked="0"/>
    </xf>
    <xf numFmtId="0" fontId="0" fillId="0" borderId="16" xfId="0" applyFont="1" applyFill="1" applyBorder="1" applyAlignment="1">
      <alignment horizontal="right"/>
    </xf>
    <xf numFmtId="3" fontId="0" fillId="0" borderId="15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7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3" fontId="0" fillId="0" borderId="13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1" xfId="0" applyFont="1" applyFill="1" applyBorder="1" applyAlignment="1">
      <alignment vertical="center"/>
    </xf>
    <xf numFmtId="0" fontId="0" fillId="3" borderId="12" xfId="0" applyFont="1" applyFill="1" applyBorder="1"/>
    <xf numFmtId="0" fontId="10" fillId="3" borderId="4" xfId="0" applyFont="1" applyFill="1" applyBorder="1" applyAlignment="1">
      <alignment horizontal="right"/>
    </xf>
    <xf numFmtId="0" fontId="14" fillId="3" borderId="39" xfId="0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3" fontId="0" fillId="3" borderId="13" xfId="0" applyNumberFormat="1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3" fontId="1" fillId="3" borderId="13" xfId="0" applyNumberFormat="1" applyFont="1" applyFill="1" applyBorder="1" applyAlignment="1">
      <alignment horizontal="right"/>
    </xf>
    <xf numFmtId="166" fontId="1" fillId="3" borderId="13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wrapText="1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3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302521</xdr:colOff>
      <xdr:row>6</xdr:row>
      <xdr:rowOff>0</xdr:rowOff>
    </xdr:from>
    <xdr:to>
      <xdr:col>2</xdr:col>
      <xdr:colOff>787793</xdr:colOff>
      <xdr:row>10</xdr:row>
      <xdr:rowOff>150539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387222</xdr:colOff>
      <xdr:row>15</xdr:row>
      <xdr:rowOff>0</xdr:rowOff>
    </xdr:from>
    <xdr:to>
      <xdr:col>3</xdr:col>
      <xdr:colOff>873416</xdr:colOff>
      <xdr:row>21</xdr:row>
      <xdr:rowOff>150539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377325</xdr:colOff>
      <xdr:row>6</xdr:row>
      <xdr:rowOff>112588</xdr:rowOff>
    </xdr:from>
    <xdr:to>
      <xdr:col>3</xdr:col>
      <xdr:colOff>863519</xdr:colOff>
      <xdr:row>11</xdr:row>
      <xdr:rowOff>8222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510936</xdr:colOff>
      <xdr:row>6</xdr:row>
      <xdr:rowOff>103100</xdr:rowOff>
    </xdr:from>
    <xdr:to>
      <xdr:col>6</xdr:col>
      <xdr:colOff>682897</xdr:colOff>
      <xdr:row>7</xdr:row>
      <xdr:rowOff>55661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454911</xdr:colOff>
      <xdr:row>6</xdr:row>
      <xdr:rowOff>0</xdr:rowOff>
    </xdr:from>
    <xdr:to>
      <xdr:col>6</xdr:col>
      <xdr:colOff>682897</xdr:colOff>
      <xdr:row>6</xdr:row>
      <xdr:rowOff>112588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303553</xdr:colOff>
      <xdr:row>6</xdr:row>
      <xdr:rowOff>0</xdr:rowOff>
    </xdr:from>
    <xdr:to>
      <xdr:col>2</xdr:col>
      <xdr:colOff>788826</xdr:colOff>
      <xdr:row>10</xdr:row>
      <xdr:rowOff>151172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2552486" y="1190625"/>
          <a:ext cx="485272" cy="799504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388460</xdr:colOff>
      <xdr:row>15</xdr:row>
      <xdr:rowOff>0</xdr:rowOff>
    </xdr:from>
    <xdr:to>
      <xdr:col>3</xdr:col>
      <xdr:colOff>874653</xdr:colOff>
      <xdr:row>21</xdr:row>
      <xdr:rowOff>151172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3694872" y="2647950"/>
          <a:ext cx="486193" cy="1123354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378562</xdr:colOff>
      <xdr:row>6</xdr:row>
      <xdr:rowOff>113220</xdr:rowOff>
    </xdr:from>
    <xdr:to>
      <xdr:col>3</xdr:col>
      <xdr:colOff>864756</xdr:colOff>
      <xdr:row>11</xdr:row>
      <xdr:rowOff>8855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3684975" y="1304478"/>
          <a:ext cx="486193" cy="705259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512173</xdr:colOff>
      <xdr:row>6</xdr:row>
      <xdr:rowOff>103733</xdr:rowOff>
    </xdr:from>
    <xdr:to>
      <xdr:col>6</xdr:col>
      <xdr:colOff>683958</xdr:colOff>
      <xdr:row>7</xdr:row>
      <xdr:rowOff>56294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3818585" y="1294990"/>
          <a:ext cx="3552983" cy="114486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br-daten\FBR-FA\08_NFA-Dateien\Informatikl&#246;sung\Release_3\Beispieldateien\RA\e\ITS_2012_2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Gross_wages"/>
      <sheetName val="Gamma"/>
      <sheetName val="Calculation_SIT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0"/>
  <sheetViews>
    <sheetView showGridLines="0" tabSelected="1" workbookViewId="0">
      <selection activeCell="A5" sqref="A5:E5"/>
    </sheetView>
  </sheetViews>
  <sheetFormatPr baseColWidth="10" defaultColWidth="11.42578125" defaultRowHeight="12.75" x14ac:dyDescent="0.2"/>
  <cols>
    <col min="1" max="1" width="21.42578125" style="2" customWidth="1"/>
    <col min="2" max="2" width="11.5703125" style="2" customWidth="1"/>
    <col min="3" max="3" width="22.85546875" style="2" customWidth="1"/>
    <col min="4" max="4" width="12.85546875" style="2" customWidth="1"/>
    <col min="5" max="5" width="10.140625" style="2" customWidth="1"/>
    <col min="6" max="6" width="11.42578125" style="2" customWidth="1"/>
    <col min="7" max="16384" width="11.42578125" style="2"/>
  </cols>
  <sheetData>
    <row r="1" spans="1:5" ht="27.75" customHeight="1" x14ac:dyDescent="0.4">
      <c r="A1" s="299" t="s">
        <v>0</v>
      </c>
      <c r="B1" s="299"/>
      <c r="C1" s="299"/>
      <c r="D1" s="299"/>
      <c r="E1" s="299"/>
    </row>
    <row r="2" spans="1:5" ht="24.75" customHeight="1" x14ac:dyDescent="0.35">
      <c r="A2" s="298"/>
      <c r="B2" s="298"/>
      <c r="C2" s="298"/>
      <c r="D2" s="298"/>
      <c r="E2" s="298"/>
    </row>
    <row r="5" spans="1:5" ht="18" customHeight="1" x14ac:dyDescent="0.25">
      <c r="A5" s="297" t="str">
        <f>"Reference year "&amp;C30</f>
        <v>Reference year 2018</v>
      </c>
      <c r="B5" s="297"/>
      <c r="C5" s="297"/>
      <c r="D5" s="297"/>
      <c r="E5" s="297"/>
    </row>
    <row r="11" spans="1:5" x14ac:dyDescent="0.2">
      <c r="A11" s="3" t="s">
        <v>1</v>
      </c>
      <c r="B11" s="3" t="s">
        <v>2</v>
      </c>
      <c r="C11" s="4"/>
      <c r="D11" s="4"/>
      <c r="E11" s="5"/>
    </row>
    <row r="12" spans="1:5" x14ac:dyDescent="0.2">
      <c r="A12" s="6" t="s">
        <v>3</v>
      </c>
      <c r="B12" s="6" t="s">
        <v>4</v>
      </c>
      <c r="C12" s="7"/>
      <c r="D12" s="7"/>
      <c r="E12" s="8"/>
    </row>
    <row r="13" spans="1:5" x14ac:dyDescent="0.2">
      <c r="A13" s="6" t="s">
        <v>5</v>
      </c>
      <c r="B13" s="6" t="s">
        <v>6</v>
      </c>
      <c r="C13" s="7"/>
      <c r="D13" s="7"/>
      <c r="E13" s="8"/>
    </row>
    <row r="14" spans="1:5" x14ac:dyDescent="0.2">
      <c r="A14" s="6" t="s">
        <v>7</v>
      </c>
      <c r="B14" s="6" t="s">
        <v>8</v>
      </c>
      <c r="C14" s="7"/>
      <c r="D14" s="7"/>
      <c r="E14" s="8"/>
    </row>
    <row r="15" spans="1:5" x14ac:dyDescent="0.2">
      <c r="A15" s="6" t="s">
        <v>9</v>
      </c>
      <c r="B15" s="6" t="s">
        <v>10</v>
      </c>
      <c r="C15" s="7"/>
      <c r="D15" s="7"/>
      <c r="E15" s="8"/>
    </row>
    <row r="16" spans="1:5" x14ac:dyDescent="0.2">
      <c r="A16" s="6" t="s">
        <v>11</v>
      </c>
      <c r="B16" s="6" t="s">
        <v>12</v>
      </c>
      <c r="C16" s="7"/>
      <c r="D16" s="7"/>
      <c r="E16" s="8"/>
    </row>
    <row r="17" spans="1:5" x14ac:dyDescent="0.2">
      <c r="A17" s="9" t="s">
        <v>13</v>
      </c>
      <c r="B17" s="7" t="s">
        <v>14</v>
      </c>
      <c r="C17" s="7"/>
      <c r="D17" s="7"/>
      <c r="E17" s="8"/>
    </row>
    <row r="18" spans="1:5" x14ac:dyDescent="0.2">
      <c r="A18" s="9" t="s">
        <v>15</v>
      </c>
      <c r="B18" s="7" t="s">
        <v>16</v>
      </c>
      <c r="C18" s="7"/>
      <c r="D18" s="7"/>
      <c r="E18" s="8"/>
    </row>
    <row r="25" spans="1:5" x14ac:dyDescent="0.2">
      <c r="B25" s="10" t="s">
        <v>17</v>
      </c>
      <c r="C25" s="11"/>
    </row>
    <row r="26" spans="1:5" x14ac:dyDescent="0.2">
      <c r="B26" s="12" t="s">
        <v>18</v>
      </c>
      <c r="C26" s="13" t="s">
        <v>19</v>
      </c>
    </row>
    <row r="27" spans="1:5" x14ac:dyDescent="0.2">
      <c r="B27" s="12" t="s">
        <v>20</v>
      </c>
      <c r="C27" s="14" t="s">
        <v>21</v>
      </c>
    </row>
    <row r="28" spans="1:5" x14ac:dyDescent="0.2">
      <c r="B28" s="12" t="s">
        <v>22</v>
      </c>
      <c r="C28" s="14" t="s">
        <v>23</v>
      </c>
    </row>
    <row r="29" spans="1:5" x14ac:dyDescent="0.2">
      <c r="B29" s="12" t="s">
        <v>24</v>
      </c>
      <c r="C29" s="14" t="s">
        <v>25</v>
      </c>
    </row>
    <row r="30" spans="1:5" x14ac:dyDescent="0.2">
      <c r="B30" s="15" t="s">
        <v>26</v>
      </c>
      <c r="C30" s="16">
        <v>2018</v>
      </c>
    </row>
  </sheetData>
  <mergeCells count="3">
    <mergeCell ref="A5:E5"/>
    <mergeCell ref="A2:E2"/>
    <mergeCell ref="A1:E1"/>
  </mergeCells>
  <conditionalFormatting sqref="C26:C30">
    <cfRule type="expression" dxfId="12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r:id="rId1"/>
  <headerFooter>
    <oddHeader>&amp;L&amp;G</oddHeader>
    <oddFooter>&amp;CPage &amp;P</oddFooter>
  </headerFooter>
  <customProperties>
    <customPr name="EpmWorksheetKeyString_GU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33"/>
  <sheetViews>
    <sheetView showGridLines="0" workbookViewId="0"/>
  </sheetViews>
  <sheetFormatPr baseColWidth="10" defaultColWidth="9.140625" defaultRowHeight="12.75" x14ac:dyDescent="0.2"/>
  <cols>
    <col min="1" max="1" width="1.42578125" style="2" customWidth="1"/>
    <col min="2" max="5" width="16.42578125" style="2" customWidth="1"/>
    <col min="6" max="9" width="17.5703125" style="2" customWidth="1"/>
  </cols>
  <sheetData>
    <row r="1" spans="1:9" ht="39.75" customHeight="1" x14ac:dyDescent="0.2">
      <c r="B1" s="17" t="str">
        <f>"Resource potential and Resource index "&amp;Info!C30</f>
        <v>Resource potential and Resource index 2018</v>
      </c>
      <c r="C1" s="17"/>
      <c r="D1" s="17"/>
      <c r="E1" s="18"/>
      <c r="F1" s="18"/>
      <c r="G1" s="18"/>
      <c r="H1" s="18"/>
      <c r="I1" s="19" t="str">
        <f>Info!$C$28</f>
        <v>FA_2018_20170823</v>
      </c>
    </row>
    <row r="2" spans="1:9" s="2" customFormat="1" x14ac:dyDescent="0.2">
      <c r="A2" s="20"/>
      <c r="B2" s="21" t="s">
        <v>27</v>
      </c>
      <c r="C2" s="22" t="s">
        <v>28</v>
      </c>
      <c r="D2" s="22" t="s">
        <v>29</v>
      </c>
      <c r="E2" s="22" t="s">
        <v>30</v>
      </c>
      <c r="F2" s="22" t="s">
        <v>31</v>
      </c>
      <c r="G2" s="22" t="s">
        <v>32</v>
      </c>
      <c r="H2" s="22" t="s">
        <v>33</v>
      </c>
      <c r="I2" s="23" t="s">
        <v>34</v>
      </c>
    </row>
    <row r="3" spans="1:9" s="24" customFormat="1" ht="11.25" customHeight="1" x14ac:dyDescent="0.2">
      <c r="A3" s="25"/>
      <c r="B3" s="26" t="s">
        <v>35</v>
      </c>
      <c r="C3" s="27"/>
      <c r="D3" s="27"/>
      <c r="E3" s="27"/>
      <c r="F3" s="28" t="s">
        <v>36</v>
      </c>
      <c r="G3" s="29"/>
      <c r="H3" s="28" t="s">
        <v>37</v>
      </c>
      <c r="I3" s="30" t="s">
        <v>38</v>
      </c>
    </row>
    <row r="4" spans="1:9" ht="38.25" customHeight="1" x14ac:dyDescent="0.2">
      <c r="A4" s="31"/>
      <c r="B4" s="32"/>
      <c r="C4" s="33" t="str">
        <f>"ATB "&amp;Info!$C$30-6</f>
        <v>ATB 2012</v>
      </c>
      <c r="D4" s="33" t="str">
        <f>"ATB "&amp;Info!$C$30-5</f>
        <v>ATB 2013</v>
      </c>
      <c r="E4" s="33" t="str">
        <f>"ATB "&amp;Info!$C$30-4</f>
        <v>ATB 2014</v>
      </c>
      <c r="F4" s="33" t="s">
        <v>39</v>
      </c>
      <c r="G4" s="33" t="s">
        <v>40</v>
      </c>
      <c r="H4" s="33" t="s">
        <v>41</v>
      </c>
      <c r="I4" s="34" t="s">
        <v>42</v>
      </c>
    </row>
    <row r="5" spans="1:9" s="35" customFormat="1" ht="11.25" customHeight="1" x14ac:dyDescent="0.2">
      <c r="A5" s="36"/>
      <c r="B5" s="37" t="s">
        <v>43</v>
      </c>
      <c r="C5" s="38" t="str">
        <f>"ATB_"&amp;Info!$C$30&amp;"_"&amp;Info!$C$30-6</f>
        <v>ATB_2018_2012</v>
      </c>
      <c r="D5" s="38" t="str">
        <f>"ATB_"&amp;Info!$C$30&amp;"_"&amp;Info!$C$30-5</f>
        <v>ATB_2018_2013</v>
      </c>
      <c r="E5" s="38" t="str">
        <f>"ATB_"&amp;Info!$C$30&amp;"_"&amp;Info!$C$30-4</f>
        <v>ATB_2018_2014</v>
      </c>
      <c r="F5" s="39"/>
      <c r="G5" s="39"/>
      <c r="H5" s="39"/>
      <c r="I5" s="40"/>
    </row>
    <row r="6" spans="1:9" s="35" customFormat="1" ht="11.25" customHeight="1" x14ac:dyDescent="0.2">
      <c r="A6" s="36"/>
      <c r="B6" s="41" t="s">
        <v>44</v>
      </c>
      <c r="C6" s="42" t="s">
        <v>45</v>
      </c>
      <c r="D6" s="42" t="s">
        <v>45</v>
      </c>
      <c r="E6" s="42" t="s">
        <v>45</v>
      </c>
      <c r="F6" s="42" t="s">
        <v>45</v>
      </c>
      <c r="G6" s="42" t="s">
        <v>46</v>
      </c>
      <c r="H6" s="42" t="s">
        <v>47</v>
      </c>
      <c r="I6" s="43"/>
    </row>
    <row r="7" spans="1:9" x14ac:dyDescent="0.2">
      <c r="A7" s="31"/>
      <c r="B7" s="44" t="s">
        <v>48</v>
      </c>
      <c r="C7" s="45">
        <v>53993910.7228802</v>
      </c>
      <c r="D7" s="45">
        <v>55939872.786812603</v>
      </c>
      <c r="E7" s="45">
        <v>60190377.969417296</v>
      </c>
      <c r="F7" s="46">
        <f t="shared" ref="F7:F32" si="0">AVERAGE(C7:E7)</f>
        <v>56708053.826370031</v>
      </c>
      <c r="G7" s="47">
        <f>Population!F7</f>
        <v>1430939.1666666667</v>
      </c>
      <c r="H7" s="47">
        <f t="shared" ref="H7:H33" si="1">F7/G7*1000</f>
        <v>39629.954331650501</v>
      </c>
      <c r="I7" s="48">
        <f t="shared" ref="I7:I33" si="2">H7/H$33*100</f>
        <v>120.23444638376803</v>
      </c>
    </row>
    <row r="8" spans="1:9" x14ac:dyDescent="0.2">
      <c r="A8" s="31"/>
      <c r="B8" s="49" t="s">
        <v>49</v>
      </c>
      <c r="C8" s="50">
        <v>23583073.379381198</v>
      </c>
      <c r="D8" s="50">
        <v>25337104.041795298</v>
      </c>
      <c r="E8" s="50">
        <v>25774044.900922999</v>
      </c>
      <c r="F8" s="51">
        <f t="shared" si="0"/>
        <v>24898074.107366499</v>
      </c>
      <c r="G8" s="52">
        <f>Population!F8</f>
        <v>1004929.8333333334</v>
      </c>
      <c r="H8" s="52">
        <f t="shared" si="1"/>
        <v>24775.932887553008</v>
      </c>
      <c r="I8" s="53">
        <f t="shared" si="2"/>
        <v>75.168407953405321</v>
      </c>
    </row>
    <row r="9" spans="1:9" x14ac:dyDescent="0.2">
      <c r="A9" s="31"/>
      <c r="B9" s="32" t="s">
        <v>50</v>
      </c>
      <c r="C9" s="54">
        <v>11082277.541519299</v>
      </c>
      <c r="D9" s="54">
        <v>11683303.179202501</v>
      </c>
      <c r="E9" s="54">
        <v>11846787.6290002</v>
      </c>
      <c r="F9" s="55">
        <f t="shared" si="0"/>
        <v>11537456.116573999</v>
      </c>
      <c r="G9" s="56">
        <f>Population!F9</f>
        <v>391300</v>
      </c>
      <c r="H9" s="56">
        <f t="shared" si="1"/>
        <v>29484.937686107842</v>
      </c>
      <c r="I9" s="57">
        <f t="shared" si="2"/>
        <v>89.455191638153707</v>
      </c>
    </row>
    <row r="10" spans="1:9" x14ac:dyDescent="0.2">
      <c r="A10" s="31"/>
      <c r="B10" s="49" t="s">
        <v>51</v>
      </c>
      <c r="C10" s="50">
        <v>774324.95518670499</v>
      </c>
      <c r="D10" s="50">
        <v>824257.70144745905</v>
      </c>
      <c r="E10" s="50">
        <v>842440.68245980702</v>
      </c>
      <c r="F10" s="51">
        <f t="shared" si="0"/>
        <v>813674.44636465702</v>
      </c>
      <c r="G10" s="52">
        <f>Population!F10</f>
        <v>36219.666666666664</v>
      </c>
      <c r="H10" s="52">
        <f t="shared" si="1"/>
        <v>22464.989914263624</v>
      </c>
      <c r="I10" s="53">
        <f t="shared" si="2"/>
        <v>68.157172293312769</v>
      </c>
    </row>
    <row r="11" spans="1:9" x14ac:dyDescent="0.2">
      <c r="A11" s="31"/>
      <c r="B11" s="32" t="s">
        <v>52</v>
      </c>
      <c r="C11" s="54">
        <v>7905098.1321476204</v>
      </c>
      <c r="D11" s="54">
        <v>8288718.0865174802</v>
      </c>
      <c r="E11" s="54">
        <v>9670481.2243033797</v>
      </c>
      <c r="F11" s="55">
        <f t="shared" si="0"/>
        <v>8621432.4809894934</v>
      </c>
      <c r="G11" s="56">
        <f>Population!F11</f>
        <v>151973.83333333334</v>
      </c>
      <c r="H11" s="56">
        <f t="shared" si="1"/>
        <v>56729.71650375882</v>
      </c>
      <c r="I11" s="57">
        <f t="shared" si="2"/>
        <v>172.11390152650415</v>
      </c>
    </row>
    <row r="12" spans="1:9" x14ac:dyDescent="0.2">
      <c r="A12" s="31"/>
      <c r="B12" s="49" t="s">
        <v>53</v>
      </c>
      <c r="C12" s="50">
        <v>1127124.1402938699</v>
      </c>
      <c r="D12" s="50">
        <v>1343933.68565308</v>
      </c>
      <c r="E12" s="50">
        <v>1248195.2980571301</v>
      </c>
      <c r="F12" s="51">
        <f t="shared" si="0"/>
        <v>1239751.0413346933</v>
      </c>
      <c r="G12" s="52">
        <f>Population!F12</f>
        <v>36738.833333333336</v>
      </c>
      <c r="H12" s="52">
        <f t="shared" si="1"/>
        <v>33744.975788598618</v>
      </c>
      <c r="I12" s="53">
        <f t="shared" si="2"/>
        <v>102.37984248534543</v>
      </c>
    </row>
    <row r="13" spans="1:9" x14ac:dyDescent="0.2">
      <c r="A13" s="31"/>
      <c r="B13" s="32" t="s">
        <v>54</v>
      </c>
      <c r="C13" s="54">
        <v>2020159.43359536</v>
      </c>
      <c r="D13" s="54">
        <v>2180123.00146006</v>
      </c>
      <c r="E13" s="54">
        <v>2441663.8309028898</v>
      </c>
      <c r="F13" s="55">
        <f t="shared" si="0"/>
        <v>2213982.0886527696</v>
      </c>
      <c r="G13" s="56">
        <f>Population!F13</f>
        <v>42053.5</v>
      </c>
      <c r="H13" s="56">
        <f t="shared" si="1"/>
        <v>52646.797261887106</v>
      </c>
      <c r="I13" s="57">
        <f t="shared" si="2"/>
        <v>159.7266166316534</v>
      </c>
    </row>
    <row r="14" spans="1:9" x14ac:dyDescent="0.2">
      <c r="A14" s="31"/>
      <c r="B14" s="49" t="s">
        <v>55</v>
      </c>
      <c r="C14" s="50">
        <v>877770.23657680198</v>
      </c>
      <c r="D14" s="50">
        <v>988849.19965924998</v>
      </c>
      <c r="E14" s="50">
        <v>955536.39235908899</v>
      </c>
      <c r="F14" s="51">
        <f t="shared" si="0"/>
        <v>940718.60953171365</v>
      </c>
      <c r="G14" s="52">
        <f>Population!F14</f>
        <v>40108</v>
      </c>
      <c r="H14" s="52">
        <f t="shared" si="1"/>
        <v>23454.637716458405</v>
      </c>
      <c r="I14" s="53">
        <f t="shared" si="2"/>
        <v>71.159692927477892</v>
      </c>
    </row>
    <row r="15" spans="1:9" x14ac:dyDescent="0.2">
      <c r="A15" s="31"/>
      <c r="B15" s="32" t="s">
        <v>56</v>
      </c>
      <c r="C15" s="54">
        <v>9389954.74878259</v>
      </c>
      <c r="D15" s="54">
        <v>9486647.2530382909</v>
      </c>
      <c r="E15" s="54">
        <v>9842024.9732717108</v>
      </c>
      <c r="F15" s="55">
        <f t="shared" si="0"/>
        <v>9572875.6583641972</v>
      </c>
      <c r="G15" s="56">
        <f>Population!F15</f>
        <v>118957.66666666667</v>
      </c>
      <c r="H15" s="56">
        <f t="shared" si="1"/>
        <v>80472.960899514932</v>
      </c>
      <c r="I15" s="57">
        <f t="shared" si="2"/>
        <v>244.14920647254812</v>
      </c>
    </row>
    <row r="16" spans="1:9" x14ac:dyDescent="0.2">
      <c r="A16" s="31"/>
      <c r="B16" s="49" t="s">
        <v>57</v>
      </c>
      <c r="C16" s="50">
        <v>7323775.9973003501</v>
      </c>
      <c r="D16" s="50">
        <v>7725590.6907919897</v>
      </c>
      <c r="E16" s="50">
        <v>8265686.1910292096</v>
      </c>
      <c r="F16" s="51">
        <f t="shared" si="0"/>
        <v>7771684.2930405168</v>
      </c>
      <c r="G16" s="52">
        <f>Population!F16</f>
        <v>296596</v>
      </c>
      <c r="H16" s="52">
        <f t="shared" si="1"/>
        <v>26202.930225089065</v>
      </c>
      <c r="I16" s="53">
        <f t="shared" si="2"/>
        <v>79.497815790565781</v>
      </c>
    </row>
    <row r="17" spans="1:9" x14ac:dyDescent="0.2">
      <c r="A17" s="31"/>
      <c r="B17" s="32" t="s">
        <v>58</v>
      </c>
      <c r="C17" s="54">
        <v>6436200.7757725297</v>
      </c>
      <c r="D17" s="54">
        <v>6302787.69184661</v>
      </c>
      <c r="E17" s="54">
        <v>6609009.3909964804</v>
      </c>
      <c r="F17" s="55">
        <f t="shared" si="0"/>
        <v>6449332.619538541</v>
      </c>
      <c r="G17" s="56">
        <f>Population!F17</f>
        <v>262249.5</v>
      </c>
      <c r="H17" s="56">
        <f t="shared" si="1"/>
        <v>24592.354302061744</v>
      </c>
      <c r="I17" s="57">
        <f t="shared" si="2"/>
        <v>74.611443657919651</v>
      </c>
    </row>
    <row r="18" spans="1:9" x14ac:dyDescent="0.2">
      <c r="A18" s="31"/>
      <c r="B18" s="49" t="s">
        <v>59</v>
      </c>
      <c r="C18" s="50">
        <v>9120099.9518222306</v>
      </c>
      <c r="D18" s="50">
        <v>9486241.8671019692</v>
      </c>
      <c r="E18" s="50">
        <v>9768225.7382500898</v>
      </c>
      <c r="F18" s="51">
        <f t="shared" si="0"/>
        <v>9458189.1857247632</v>
      </c>
      <c r="G18" s="52">
        <f>Population!F18</f>
        <v>191714.5</v>
      </c>
      <c r="H18" s="52">
        <f t="shared" si="1"/>
        <v>49334.761771930469</v>
      </c>
      <c r="I18" s="53">
        <f t="shared" si="2"/>
        <v>149.67813789242132</v>
      </c>
    </row>
    <row r="19" spans="1:9" x14ac:dyDescent="0.2">
      <c r="A19" s="31"/>
      <c r="B19" s="32" t="s">
        <v>60</v>
      </c>
      <c r="C19" s="54">
        <v>8564512.8365489393</v>
      </c>
      <c r="D19" s="54">
        <v>8905675.7682822198</v>
      </c>
      <c r="E19" s="54">
        <v>9180369.4029036891</v>
      </c>
      <c r="F19" s="55">
        <f t="shared" si="0"/>
        <v>8883519.3359116167</v>
      </c>
      <c r="G19" s="56">
        <f>Population!F19</f>
        <v>279281.5</v>
      </c>
      <c r="H19" s="56">
        <f t="shared" si="1"/>
        <v>31808.477596660061</v>
      </c>
      <c r="I19" s="57">
        <f t="shared" si="2"/>
        <v>96.50464550473859</v>
      </c>
    </row>
    <row r="20" spans="1:9" x14ac:dyDescent="0.2">
      <c r="A20" s="31"/>
      <c r="B20" s="49" t="s">
        <v>61</v>
      </c>
      <c r="C20" s="50">
        <v>2414914.54397752</v>
      </c>
      <c r="D20" s="50">
        <v>2390733.2171808002</v>
      </c>
      <c r="E20" s="50">
        <v>2474086.14043719</v>
      </c>
      <c r="F20" s="51">
        <f t="shared" si="0"/>
        <v>2426577.9671985037</v>
      </c>
      <c r="G20" s="52">
        <f>Population!F20</f>
        <v>79136.333333333328</v>
      </c>
      <c r="H20" s="52">
        <f t="shared" si="1"/>
        <v>30663.260034773371</v>
      </c>
      <c r="I20" s="53">
        <f t="shared" si="2"/>
        <v>93.030137348860023</v>
      </c>
    </row>
    <row r="21" spans="1:9" x14ac:dyDescent="0.2">
      <c r="A21" s="31"/>
      <c r="B21" s="32" t="s">
        <v>62</v>
      </c>
      <c r="C21" s="54">
        <v>1461395.8553019699</v>
      </c>
      <c r="D21" s="54">
        <v>1517351.7273266001</v>
      </c>
      <c r="E21" s="54">
        <v>1577937.2115718799</v>
      </c>
      <c r="F21" s="55">
        <f t="shared" si="0"/>
        <v>1518894.9314001501</v>
      </c>
      <c r="G21" s="56">
        <f>Population!F21</f>
        <v>53859.333333333336</v>
      </c>
      <c r="H21" s="56">
        <f t="shared" si="1"/>
        <v>28201.146159752254</v>
      </c>
      <c r="I21" s="57">
        <f t="shared" si="2"/>
        <v>85.56025998741849</v>
      </c>
    </row>
    <row r="22" spans="1:9" x14ac:dyDescent="0.2">
      <c r="A22" s="31"/>
      <c r="B22" s="49" t="s">
        <v>63</v>
      </c>
      <c r="C22" s="50">
        <v>429962.04470093601</v>
      </c>
      <c r="D22" s="50">
        <v>440781.36010615103</v>
      </c>
      <c r="E22" s="50">
        <v>463956.72019133199</v>
      </c>
      <c r="F22" s="51">
        <f t="shared" si="0"/>
        <v>444900.04166613967</v>
      </c>
      <c r="G22" s="52">
        <f>Population!F22</f>
        <v>15838.166666666666</v>
      </c>
      <c r="H22" s="52">
        <f t="shared" si="1"/>
        <v>28090.37504337453</v>
      </c>
      <c r="I22" s="53">
        <f t="shared" si="2"/>
        <v>85.224188344702739</v>
      </c>
    </row>
    <row r="23" spans="1:9" x14ac:dyDescent="0.2">
      <c r="A23" s="31"/>
      <c r="B23" s="32" t="s">
        <v>64</v>
      </c>
      <c r="C23" s="54">
        <v>12477800.9458286</v>
      </c>
      <c r="D23" s="54">
        <v>12794866.792788099</v>
      </c>
      <c r="E23" s="54">
        <v>13312569.2814172</v>
      </c>
      <c r="F23" s="55">
        <f t="shared" si="0"/>
        <v>12861745.673344633</v>
      </c>
      <c r="G23" s="56">
        <f>Population!F23</f>
        <v>492933.66666666669</v>
      </c>
      <c r="H23" s="56">
        <f t="shared" si="1"/>
        <v>26092.244338510656</v>
      </c>
      <c r="I23" s="57">
        <f t="shared" si="2"/>
        <v>79.162002728963969</v>
      </c>
    </row>
    <row r="24" spans="1:9" x14ac:dyDescent="0.2">
      <c r="A24" s="31"/>
      <c r="B24" s="49" t="s">
        <v>65</v>
      </c>
      <c r="C24" s="50">
        <v>5383747.5955808097</v>
      </c>
      <c r="D24" s="50">
        <v>5569950.0439922204</v>
      </c>
      <c r="E24" s="50">
        <v>5733088.3999257302</v>
      </c>
      <c r="F24" s="51">
        <f t="shared" si="0"/>
        <v>5562262.0131662535</v>
      </c>
      <c r="G24" s="52">
        <f>Population!F24</f>
        <v>202875</v>
      </c>
      <c r="H24" s="52">
        <f t="shared" si="1"/>
        <v>27417.187988496629</v>
      </c>
      <c r="I24" s="53">
        <f t="shared" si="2"/>
        <v>83.18178697884197</v>
      </c>
    </row>
    <row r="25" spans="1:9" x14ac:dyDescent="0.2">
      <c r="A25" s="31"/>
      <c r="B25" s="32" t="s">
        <v>66</v>
      </c>
      <c r="C25" s="54">
        <v>17296903.695416901</v>
      </c>
      <c r="D25" s="54">
        <v>18087058.3769354</v>
      </c>
      <c r="E25" s="54">
        <v>18306351.6558186</v>
      </c>
      <c r="F25" s="55">
        <f t="shared" si="0"/>
        <v>17896771.242723633</v>
      </c>
      <c r="G25" s="56">
        <f>Population!F25</f>
        <v>636686.16666666663</v>
      </c>
      <c r="H25" s="56">
        <f t="shared" si="1"/>
        <v>28109.25096177468</v>
      </c>
      <c r="I25" s="57">
        <f t="shared" si="2"/>
        <v>85.281456530778215</v>
      </c>
    </row>
    <row r="26" spans="1:9" x14ac:dyDescent="0.2">
      <c r="A26" s="31"/>
      <c r="B26" s="49" t="s">
        <v>67</v>
      </c>
      <c r="C26" s="50">
        <v>6511634.6328094099</v>
      </c>
      <c r="D26" s="50">
        <v>6924189.8244449897</v>
      </c>
      <c r="E26" s="50">
        <v>6907018.9759885697</v>
      </c>
      <c r="F26" s="51">
        <f t="shared" si="0"/>
        <v>6780947.8110809894</v>
      </c>
      <c r="G26" s="52">
        <f>Population!F26</f>
        <v>260477.5</v>
      </c>
      <c r="H26" s="52">
        <f t="shared" si="1"/>
        <v>26032.758342202262</v>
      </c>
      <c r="I26" s="53">
        <f t="shared" si="2"/>
        <v>78.981526471689705</v>
      </c>
    </row>
    <row r="27" spans="1:9" x14ac:dyDescent="0.2">
      <c r="A27" s="31"/>
      <c r="B27" s="32" t="s">
        <v>68</v>
      </c>
      <c r="C27" s="54">
        <v>10689924.534456201</v>
      </c>
      <c r="D27" s="54">
        <v>11229697.3514442</v>
      </c>
      <c r="E27" s="54">
        <v>11431784.6827251</v>
      </c>
      <c r="F27" s="55">
        <f t="shared" si="0"/>
        <v>11117135.522875167</v>
      </c>
      <c r="G27" s="56">
        <f>Population!F27</f>
        <v>346332.66666666669</v>
      </c>
      <c r="H27" s="56">
        <f t="shared" si="1"/>
        <v>32099.586879498809</v>
      </c>
      <c r="I27" s="57">
        <f t="shared" si="2"/>
        <v>97.387850243416239</v>
      </c>
    </row>
    <row r="28" spans="1:9" x14ac:dyDescent="0.2">
      <c r="A28" s="31"/>
      <c r="B28" s="49" t="s">
        <v>69</v>
      </c>
      <c r="C28" s="50">
        <v>24239425.513653401</v>
      </c>
      <c r="D28" s="50">
        <v>24461261.301332399</v>
      </c>
      <c r="E28" s="50">
        <v>25390490.465448599</v>
      </c>
      <c r="F28" s="51">
        <f t="shared" si="0"/>
        <v>24697059.093478132</v>
      </c>
      <c r="G28" s="52">
        <f>Population!F28</f>
        <v>752042.66666666663</v>
      </c>
      <c r="H28" s="52">
        <f t="shared" si="1"/>
        <v>32839.970640156229</v>
      </c>
      <c r="I28" s="53">
        <f t="shared" si="2"/>
        <v>99.634121607475862</v>
      </c>
    </row>
    <row r="29" spans="1:9" x14ac:dyDescent="0.2">
      <c r="A29" s="31"/>
      <c r="B29" s="32" t="s">
        <v>70</v>
      </c>
      <c r="C29" s="54">
        <v>7017377.2990728496</v>
      </c>
      <c r="D29" s="54">
        <v>7464651.9787138496</v>
      </c>
      <c r="E29" s="54">
        <v>7483129.4461074397</v>
      </c>
      <c r="F29" s="55">
        <f t="shared" si="0"/>
        <v>7321719.574631379</v>
      </c>
      <c r="G29" s="56">
        <f>Population!F29</f>
        <v>332644.83333333331</v>
      </c>
      <c r="H29" s="56">
        <f t="shared" si="1"/>
        <v>22010.621662938938</v>
      </c>
      <c r="I29" s="57">
        <f t="shared" si="2"/>
        <v>66.778651523513304</v>
      </c>
    </row>
    <row r="30" spans="1:9" x14ac:dyDescent="0.2">
      <c r="A30" s="31"/>
      <c r="B30" s="49" t="s">
        <v>71</v>
      </c>
      <c r="C30" s="50">
        <v>5244258.0362462997</v>
      </c>
      <c r="D30" s="50">
        <v>6156970.3463960001</v>
      </c>
      <c r="E30" s="50">
        <v>5082183.4461876396</v>
      </c>
      <c r="F30" s="51">
        <f t="shared" si="0"/>
        <v>5494470.6096099792</v>
      </c>
      <c r="G30" s="52">
        <f>Population!F30</f>
        <v>176864</v>
      </c>
      <c r="H30" s="52">
        <f t="shared" si="1"/>
        <v>31066.076813879474</v>
      </c>
      <c r="I30" s="53">
        <f t="shared" si="2"/>
        <v>94.252254639851557</v>
      </c>
    </row>
    <row r="31" spans="1:9" x14ac:dyDescent="0.2">
      <c r="A31" s="31"/>
      <c r="B31" s="32" t="s">
        <v>72</v>
      </c>
      <c r="C31" s="54">
        <v>21430701.5997716</v>
      </c>
      <c r="D31" s="54">
        <v>21960880.012624599</v>
      </c>
      <c r="E31" s="54">
        <v>24627357.7041451</v>
      </c>
      <c r="F31" s="55">
        <f t="shared" si="0"/>
        <v>22672979.772180434</v>
      </c>
      <c r="G31" s="56">
        <f>Population!F31</f>
        <v>470811.5</v>
      </c>
      <c r="H31" s="56">
        <f t="shared" si="1"/>
        <v>48157.234417979242</v>
      </c>
      <c r="I31" s="57">
        <f t="shared" si="2"/>
        <v>146.10560413880563</v>
      </c>
    </row>
    <row r="32" spans="1:9" x14ac:dyDescent="0.2">
      <c r="A32" s="31"/>
      <c r="B32" s="49" t="s">
        <v>73</v>
      </c>
      <c r="C32" s="50">
        <v>1499665.9344873501</v>
      </c>
      <c r="D32" s="50">
        <v>1547961.30938858</v>
      </c>
      <c r="E32" s="50">
        <v>1631271.6164728</v>
      </c>
      <c r="F32" s="51">
        <f t="shared" si="0"/>
        <v>1559632.9534495769</v>
      </c>
      <c r="G32" s="52">
        <f>Population!F32</f>
        <v>71776.333333333328</v>
      </c>
      <c r="H32" s="52">
        <f t="shared" si="1"/>
        <v>21729.069750701165</v>
      </c>
      <c r="I32" s="53">
        <f t="shared" si="2"/>
        <v>65.924443163521232</v>
      </c>
    </row>
    <row r="33" spans="1:9" x14ac:dyDescent="0.2">
      <c r="A33" s="58"/>
      <c r="B33" s="59" t="s">
        <v>74</v>
      </c>
      <c r="C33" s="60">
        <f>SUM(C7:C32)</f>
        <v>258295995.08311155</v>
      </c>
      <c r="D33" s="60">
        <f>SUM(D7:D32)</f>
        <v>269039458.59628266</v>
      </c>
      <c r="E33" s="60">
        <f>SUM(E7:E32)</f>
        <v>281056069.37031108</v>
      </c>
      <c r="F33" s="60">
        <f>SUM(F7:F32)</f>
        <v>269463841.01656848</v>
      </c>
      <c r="G33" s="60">
        <f>SUM(G7:G32)</f>
        <v>8175340.166666667</v>
      </c>
      <c r="H33" s="60">
        <f t="shared" si="1"/>
        <v>32960.566230045573</v>
      </c>
      <c r="I33" s="61">
        <f t="shared" si="2"/>
        <v>100</v>
      </c>
    </row>
  </sheetData>
  <conditionalFormatting sqref="C7:F32">
    <cfRule type="expression" dxfId="11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>
    <oddHeader>&amp;L&amp;F&amp;R&amp;A</oddHeader>
    <oddFooter>&amp;C&amp;P/&amp;N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33"/>
  <sheetViews>
    <sheetView showGridLines="0" workbookViewId="0"/>
  </sheetViews>
  <sheetFormatPr baseColWidth="10" defaultColWidth="11.42578125" defaultRowHeight="12.75" x14ac:dyDescent="0.2"/>
  <cols>
    <col min="1" max="1" width="1.42578125" style="2" customWidth="1"/>
    <col min="2" max="2" width="17.7109375" style="2" customWidth="1"/>
    <col min="3" max="6" width="18.5703125" style="2" customWidth="1"/>
  </cols>
  <sheetData>
    <row r="1" spans="1:6" ht="38.25" customHeight="1" x14ac:dyDescent="0.2">
      <c r="B1" s="17" t="str">
        <f>"Relevant population "&amp;Info!C30</f>
        <v>Relevant population 2018</v>
      </c>
      <c r="C1" s="17"/>
      <c r="D1" s="17"/>
      <c r="E1" s="18"/>
      <c r="F1" s="19" t="str">
        <f>Info!C28</f>
        <v>FA_2018_20170823</v>
      </c>
    </row>
    <row r="2" spans="1:6" s="2" customFormat="1" x14ac:dyDescent="0.2">
      <c r="A2" s="20"/>
      <c r="B2" s="62" t="s">
        <v>27</v>
      </c>
      <c r="C2" s="63" t="s">
        <v>28</v>
      </c>
      <c r="D2" s="63" t="s">
        <v>29</v>
      </c>
      <c r="E2" s="63" t="s">
        <v>30</v>
      </c>
      <c r="F2" s="64" t="s">
        <v>31</v>
      </c>
    </row>
    <row r="3" spans="1:6" s="35" customFormat="1" ht="11.25" customHeight="1" x14ac:dyDescent="0.2">
      <c r="A3" s="65"/>
      <c r="B3" s="66" t="s">
        <v>35</v>
      </c>
      <c r="C3" s="67"/>
      <c r="D3" s="67"/>
      <c r="E3" s="67"/>
      <c r="F3" s="68" t="s">
        <v>36</v>
      </c>
    </row>
    <row r="4" spans="1:6" ht="25.5" customHeight="1" x14ac:dyDescent="0.2">
      <c r="A4" s="31"/>
      <c r="B4" s="69"/>
      <c r="C4" s="300" t="s">
        <v>75</v>
      </c>
      <c r="D4" s="301"/>
      <c r="E4" s="302"/>
      <c r="F4" s="70" t="s">
        <v>6</v>
      </c>
    </row>
    <row r="5" spans="1:6" ht="18" x14ac:dyDescent="0.2">
      <c r="A5" s="31"/>
      <c r="B5" s="71"/>
      <c r="C5" s="72">
        <v>2012</v>
      </c>
      <c r="D5" s="73">
        <v>2013</v>
      </c>
      <c r="E5" s="74">
        <v>2014</v>
      </c>
      <c r="F5" s="75">
        <f>Info!C30</f>
        <v>2018</v>
      </c>
    </row>
    <row r="6" spans="1:6" x14ac:dyDescent="0.2">
      <c r="A6" s="31"/>
      <c r="B6" s="76" t="s">
        <v>43</v>
      </c>
      <c r="C6" s="77" t="s">
        <v>76</v>
      </c>
      <c r="D6" s="78" t="s">
        <v>76</v>
      </c>
      <c r="E6" s="79" t="s">
        <v>76</v>
      </c>
      <c r="F6" s="80"/>
    </row>
    <row r="7" spans="1:6" x14ac:dyDescent="0.2">
      <c r="A7" s="31"/>
      <c r="B7" s="44" t="s">
        <v>48</v>
      </c>
      <c r="C7" s="81">
        <v>1413296.5</v>
      </c>
      <c r="D7" s="45">
        <v>1430104</v>
      </c>
      <c r="E7" s="82">
        <v>1449417</v>
      </c>
      <c r="F7" s="83">
        <f t="shared" ref="F7:F32" si="0">AVERAGE(C7:E7)</f>
        <v>1430939.1666666667</v>
      </c>
    </row>
    <row r="8" spans="1:6" x14ac:dyDescent="0.2">
      <c r="A8" s="31"/>
      <c r="B8" s="49" t="s">
        <v>49</v>
      </c>
      <c r="C8" s="84">
        <v>997080.5</v>
      </c>
      <c r="D8" s="50">
        <v>1004914</v>
      </c>
      <c r="E8" s="85">
        <v>1012795</v>
      </c>
      <c r="F8" s="86">
        <f t="shared" si="0"/>
        <v>1004929.8333333334</v>
      </c>
    </row>
    <row r="9" spans="1:6" x14ac:dyDescent="0.2">
      <c r="A9" s="31"/>
      <c r="B9" s="32" t="s">
        <v>50</v>
      </c>
      <c r="C9" s="87">
        <v>386834.5</v>
      </c>
      <c r="D9" s="54">
        <v>391298</v>
      </c>
      <c r="E9" s="88">
        <v>395767.5</v>
      </c>
      <c r="F9" s="89">
        <f t="shared" si="0"/>
        <v>391300</v>
      </c>
    </row>
    <row r="10" spans="1:6" x14ac:dyDescent="0.2">
      <c r="A10" s="31"/>
      <c r="B10" s="49" t="s">
        <v>51</v>
      </c>
      <c r="C10" s="84">
        <v>35955</v>
      </c>
      <c r="D10" s="50">
        <v>36257.5</v>
      </c>
      <c r="E10" s="85">
        <v>36446.5</v>
      </c>
      <c r="F10" s="86">
        <f t="shared" si="0"/>
        <v>36219.666666666664</v>
      </c>
    </row>
    <row r="11" spans="1:6" x14ac:dyDescent="0.2">
      <c r="A11" s="31"/>
      <c r="B11" s="32" t="s">
        <v>52</v>
      </c>
      <c r="C11" s="87">
        <v>150290</v>
      </c>
      <c r="D11" s="54">
        <v>152109.5</v>
      </c>
      <c r="E11" s="88">
        <v>153522</v>
      </c>
      <c r="F11" s="89">
        <f t="shared" si="0"/>
        <v>151973.83333333334</v>
      </c>
    </row>
    <row r="12" spans="1:6" x14ac:dyDescent="0.2">
      <c r="A12" s="31"/>
      <c r="B12" s="49" t="s">
        <v>53</v>
      </c>
      <c r="C12" s="84">
        <v>36430.5</v>
      </c>
      <c r="D12" s="50">
        <v>36725.5</v>
      </c>
      <c r="E12" s="85">
        <v>37060.5</v>
      </c>
      <c r="F12" s="86">
        <f t="shared" si="0"/>
        <v>36738.833333333336</v>
      </c>
    </row>
    <row r="13" spans="1:6" x14ac:dyDescent="0.2">
      <c r="A13" s="31"/>
      <c r="B13" s="32" t="s">
        <v>54</v>
      </c>
      <c r="C13" s="87">
        <v>41747.5</v>
      </c>
      <c r="D13" s="54">
        <v>42068</v>
      </c>
      <c r="E13" s="88">
        <v>42345</v>
      </c>
      <c r="F13" s="89">
        <f t="shared" si="0"/>
        <v>42053.5</v>
      </c>
    </row>
    <row r="14" spans="1:6" x14ac:dyDescent="0.2">
      <c r="A14" s="31"/>
      <c r="B14" s="49" t="s">
        <v>55</v>
      </c>
      <c r="C14" s="84">
        <v>39938.5</v>
      </c>
      <c r="D14" s="50">
        <v>40101.5</v>
      </c>
      <c r="E14" s="85">
        <v>40284</v>
      </c>
      <c r="F14" s="86">
        <f t="shared" si="0"/>
        <v>40108</v>
      </c>
    </row>
    <row r="15" spans="1:6" x14ac:dyDescent="0.2">
      <c r="A15" s="31"/>
      <c r="B15" s="32" t="s">
        <v>56</v>
      </c>
      <c r="C15" s="87">
        <v>117255</v>
      </c>
      <c r="D15" s="54">
        <v>118894.5</v>
      </c>
      <c r="E15" s="88">
        <v>120723.5</v>
      </c>
      <c r="F15" s="89">
        <f t="shared" si="0"/>
        <v>118957.66666666667</v>
      </c>
    </row>
    <row r="16" spans="1:6" x14ac:dyDescent="0.2">
      <c r="A16" s="31"/>
      <c r="B16" s="49" t="s">
        <v>57</v>
      </c>
      <c r="C16" s="84">
        <v>290483</v>
      </c>
      <c r="D16" s="50">
        <v>296788.5</v>
      </c>
      <c r="E16" s="85">
        <v>302516.5</v>
      </c>
      <c r="F16" s="86">
        <f t="shared" si="0"/>
        <v>296596</v>
      </c>
    </row>
    <row r="17" spans="1:6" x14ac:dyDescent="0.2">
      <c r="A17" s="31"/>
      <c r="B17" s="32" t="s">
        <v>58</v>
      </c>
      <c r="C17" s="87">
        <v>259892</v>
      </c>
      <c r="D17" s="54">
        <v>262253</v>
      </c>
      <c r="E17" s="88">
        <v>264603.5</v>
      </c>
      <c r="F17" s="89">
        <f t="shared" si="0"/>
        <v>262249.5</v>
      </c>
    </row>
    <row r="18" spans="1:6" x14ac:dyDescent="0.2">
      <c r="A18" s="31"/>
      <c r="B18" s="49" t="s">
        <v>59</v>
      </c>
      <c r="C18" s="84">
        <v>190052.5</v>
      </c>
      <c r="D18" s="50">
        <v>191743</v>
      </c>
      <c r="E18" s="85">
        <v>193348</v>
      </c>
      <c r="F18" s="86">
        <f t="shared" si="0"/>
        <v>191714.5</v>
      </c>
    </row>
    <row r="19" spans="1:6" x14ac:dyDescent="0.2">
      <c r="A19" s="31"/>
      <c r="B19" s="32" t="s">
        <v>60</v>
      </c>
      <c r="C19" s="87">
        <v>277460.5</v>
      </c>
      <c r="D19" s="54">
        <v>278975</v>
      </c>
      <c r="E19" s="88">
        <v>281409</v>
      </c>
      <c r="F19" s="89">
        <f t="shared" si="0"/>
        <v>279281.5</v>
      </c>
    </row>
    <row r="20" spans="1:6" x14ac:dyDescent="0.2">
      <c r="A20" s="31"/>
      <c r="B20" s="49" t="s">
        <v>61</v>
      </c>
      <c r="C20" s="84">
        <v>78343.5</v>
      </c>
      <c r="D20" s="50">
        <v>79103.5</v>
      </c>
      <c r="E20" s="85">
        <v>79962</v>
      </c>
      <c r="F20" s="86">
        <f t="shared" si="0"/>
        <v>79136.333333333328</v>
      </c>
    </row>
    <row r="21" spans="1:6" x14ac:dyDescent="0.2">
      <c r="A21" s="31"/>
      <c r="B21" s="32" t="s">
        <v>62</v>
      </c>
      <c r="C21" s="87">
        <v>53645</v>
      </c>
      <c r="D21" s="54">
        <v>53817</v>
      </c>
      <c r="E21" s="88">
        <v>54116</v>
      </c>
      <c r="F21" s="89">
        <f t="shared" si="0"/>
        <v>53859.333333333336</v>
      </c>
    </row>
    <row r="22" spans="1:6" x14ac:dyDescent="0.2">
      <c r="A22" s="31"/>
      <c r="B22" s="49" t="s">
        <v>63</v>
      </c>
      <c r="C22" s="84">
        <v>15794</v>
      </c>
      <c r="D22" s="50">
        <v>15819</v>
      </c>
      <c r="E22" s="85">
        <v>15901.5</v>
      </c>
      <c r="F22" s="86">
        <f t="shared" si="0"/>
        <v>15838.166666666666</v>
      </c>
    </row>
    <row r="23" spans="1:6" x14ac:dyDescent="0.2">
      <c r="A23" s="31"/>
      <c r="B23" s="32" t="s">
        <v>64</v>
      </c>
      <c r="C23" s="87">
        <v>488559.5</v>
      </c>
      <c r="D23" s="54">
        <v>492969.5</v>
      </c>
      <c r="E23" s="88">
        <v>497272</v>
      </c>
      <c r="F23" s="89">
        <f t="shared" si="0"/>
        <v>492933.66666666669</v>
      </c>
    </row>
    <row r="24" spans="1:6" x14ac:dyDescent="0.2">
      <c r="A24" s="31"/>
      <c r="B24" s="49" t="s">
        <v>65</v>
      </c>
      <c r="C24" s="84">
        <v>201984</v>
      </c>
      <c r="D24" s="50">
        <v>202878.5</v>
      </c>
      <c r="E24" s="85">
        <v>203762.5</v>
      </c>
      <c r="F24" s="86">
        <f t="shared" si="0"/>
        <v>202875</v>
      </c>
    </row>
    <row r="25" spans="1:6" x14ac:dyDescent="0.2">
      <c r="A25" s="31"/>
      <c r="B25" s="32" t="s">
        <v>66</v>
      </c>
      <c r="C25" s="87">
        <v>627494.5</v>
      </c>
      <c r="D25" s="54">
        <v>636446</v>
      </c>
      <c r="E25" s="88">
        <v>646118</v>
      </c>
      <c r="F25" s="89">
        <f t="shared" si="0"/>
        <v>636686.16666666663</v>
      </c>
    </row>
    <row r="26" spans="1:6" x14ac:dyDescent="0.2">
      <c r="A26" s="31"/>
      <c r="B26" s="49" t="s">
        <v>67</v>
      </c>
      <c r="C26" s="84">
        <v>256484.5</v>
      </c>
      <c r="D26" s="50">
        <v>260649.5</v>
      </c>
      <c r="E26" s="85">
        <v>264298.5</v>
      </c>
      <c r="F26" s="86">
        <f t="shared" si="0"/>
        <v>260477.5</v>
      </c>
    </row>
    <row r="27" spans="1:6" x14ac:dyDescent="0.2">
      <c r="A27" s="31"/>
      <c r="B27" s="32" t="s">
        <v>68</v>
      </c>
      <c r="C27" s="87">
        <v>341615.5</v>
      </c>
      <c r="D27" s="54">
        <v>346461.5</v>
      </c>
      <c r="E27" s="88">
        <v>350921</v>
      </c>
      <c r="F27" s="89">
        <f t="shared" si="0"/>
        <v>346332.66666666669</v>
      </c>
    </row>
    <row r="28" spans="1:6" x14ac:dyDescent="0.2">
      <c r="A28" s="31"/>
      <c r="B28" s="49" t="s">
        <v>69</v>
      </c>
      <c r="C28" s="84">
        <v>739347</v>
      </c>
      <c r="D28" s="50">
        <v>751352</v>
      </c>
      <c r="E28" s="85">
        <v>765429</v>
      </c>
      <c r="F28" s="86">
        <f t="shared" si="0"/>
        <v>752042.66666666663</v>
      </c>
    </row>
    <row r="29" spans="1:6" x14ac:dyDescent="0.2">
      <c r="A29" s="31"/>
      <c r="B29" s="32" t="s">
        <v>70</v>
      </c>
      <c r="C29" s="87">
        <v>327370</v>
      </c>
      <c r="D29" s="54">
        <v>332794</v>
      </c>
      <c r="E29" s="88">
        <v>337770.5</v>
      </c>
      <c r="F29" s="89">
        <f t="shared" si="0"/>
        <v>332644.83333333331</v>
      </c>
    </row>
    <row r="30" spans="1:6" x14ac:dyDescent="0.2">
      <c r="A30" s="31"/>
      <c r="B30" s="49" t="s">
        <v>71</v>
      </c>
      <c r="C30" s="84">
        <v>175260</v>
      </c>
      <c r="D30" s="50">
        <v>176990</v>
      </c>
      <c r="E30" s="85">
        <v>178342</v>
      </c>
      <c r="F30" s="86">
        <f t="shared" si="0"/>
        <v>176864</v>
      </c>
    </row>
    <row r="31" spans="1:6" x14ac:dyDescent="0.2">
      <c r="A31" s="31"/>
      <c r="B31" s="32" t="s">
        <v>72</v>
      </c>
      <c r="C31" s="87">
        <v>465786</v>
      </c>
      <c r="D31" s="54">
        <v>469772</v>
      </c>
      <c r="E31" s="88">
        <v>476876.5</v>
      </c>
      <c r="F31" s="89">
        <f t="shared" si="0"/>
        <v>470811.5</v>
      </c>
    </row>
    <row r="32" spans="1:6" x14ac:dyDescent="0.2">
      <c r="A32" s="31"/>
      <c r="B32" s="49" t="s">
        <v>73</v>
      </c>
      <c r="C32" s="84">
        <v>71156.5</v>
      </c>
      <c r="D32" s="50">
        <v>71739.5</v>
      </c>
      <c r="E32" s="85">
        <v>72433</v>
      </c>
      <c r="F32" s="86">
        <f t="shared" si="0"/>
        <v>71776.333333333328</v>
      </c>
    </row>
    <row r="33" spans="1:6" x14ac:dyDescent="0.2">
      <c r="A33" s="58"/>
      <c r="B33" s="59" t="s">
        <v>77</v>
      </c>
      <c r="C33" s="90">
        <f>SUM(C7:C32)</f>
        <v>8079556</v>
      </c>
      <c r="D33" s="60">
        <f>SUM(D7:D32)</f>
        <v>8173024</v>
      </c>
      <c r="E33" s="91">
        <f>SUM(E7:E32)</f>
        <v>8273440.5</v>
      </c>
      <c r="F33" s="92">
        <f>SUM(F7:F32)</f>
        <v>8175340.166666667</v>
      </c>
    </row>
  </sheetData>
  <mergeCells count="1">
    <mergeCell ref="C4:E4"/>
  </mergeCells>
  <conditionalFormatting sqref="C7:E32 C5:F5">
    <cfRule type="expression" dxfId="10" priority="1" stopIfTrue="1">
      <formula>ISBLANK(C5)</formula>
    </cfRule>
  </conditionalFormatting>
  <conditionalFormatting sqref="C7:E32 C5:F5">
    <cfRule type="expression" dxfId="9" priority="2" stopIfTrue="1">
      <formula>ISBLANK(C5)</formula>
    </cfRule>
  </conditionalFormatting>
  <conditionalFormatting sqref="C5:E5">
    <cfRule type="expression" dxfId="8" priority="3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35"/>
  <sheetViews>
    <sheetView showGridLines="0" workbookViewId="0"/>
  </sheetViews>
  <sheetFormatPr baseColWidth="10" defaultColWidth="11.42578125" defaultRowHeight="12.75" x14ac:dyDescent="0.2"/>
  <cols>
    <col min="1" max="1" width="1.42578125" style="2" customWidth="1"/>
    <col min="2" max="2" width="15.85546875" style="2" customWidth="1"/>
    <col min="3" max="3" width="11.42578125" style="2" customWidth="1"/>
    <col min="4" max="5" width="13.28515625" style="2" customWidth="1"/>
    <col min="6" max="6" width="13.7109375" style="2" customWidth="1"/>
    <col min="7" max="8" width="13.28515625" style="2" customWidth="1"/>
    <col min="9" max="9" width="14" style="2" customWidth="1"/>
  </cols>
  <sheetData>
    <row r="1" spans="1:9" ht="26.25" customHeight="1" x14ac:dyDescent="0.2">
      <c r="B1" s="93" t="str">
        <f>"Resource potential growth "&amp;Info!C30</f>
        <v>Resource potential growth 2018</v>
      </c>
      <c r="C1" s="93"/>
      <c r="D1" s="93"/>
      <c r="E1" s="93"/>
      <c r="F1" s="93"/>
      <c r="G1" s="18"/>
      <c r="H1" s="18"/>
      <c r="I1" s="1"/>
    </row>
    <row r="2" spans="1:9" ht="18.75" customHeight="1" x14ac:dyDescent="0.2">
      <c r="G2" s="1"/>
      <c r="H2" s="1"/>
      <c r="I2" s="19" t="str">
        <f>Info!$C$28</f>
        <v>FA_2018_20170823</v>
      </c>
    </row>
    <row r="3" spans="1:9" x14ac:dyDescent="0.2">
      <c r="B3" s="62" t="s">
        <v>27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3" t="s">
        <v>33</v>
      </c>
      <c r="I3" s="64" t="s">
        <v>34</v>
      </c>
    </row>
    <row r="4" spans="1:9" ht="37.5" customHeight="1" x14ac:dyDescent="0.2">
      <c r="A4" s="31"/>
      <c r="B4" s="44"/>
      <c r="C4" s="303" t="str">
        <f>"Resource index "&amp;Info!C30</f>
        <v>Resource index 2018</v>
      </c>
      <c r="D4" s="308" t="s">
        <v>78</v>
      </c>
      <c r="E4" s="309"/>
      <c r="F4" s="310"/>
      <c r="G4" s="305" t="s">
        <v>79</v>
      </c>
      <c r="H4" s="306"/>
      <c r="I4" s="307"/>
    </row>
    <row r="5" spans="1:9" ht="16.5" customHeight="1" x14ac:dyDescent="0.2">
      <c r="A5" s="31"/>
      <c r="B5" s="94"/>
      <c r="C5" s="304"/>
      <c r="D5" s="95">
        <f>Info!C30-1</f>
        <v>2017</v>
      </c>
      <c r="E5" s="96">
        <f>Info!C30</f>
        <v>2018</v>
      </c>
      <c r="F5" s="97" t="s">
        <v>80</v>
      </c>
      <c r="G5" s="96">
        <f>D5</f>
        <v>2017</v>
      </c>
      <c r="H5" s="96">
        <f>E5</f>
        <v>2018</v>
      </c>
      <c r="I5" s="98" t="s">
        <v>80</v>
      </c>
    </row>
    <row r="6" spans="1:9" x14ac:dyDescent="0.2">
      <c r="A6" s="99"/>
      <c r="B6" s="76" t="s">
        <v>44</v>
      </c>
      <c r="C6" s="100" t="s">
        <v>81</v>
      </c>
      <c r="D6" s="101" t="s">
        <v>45</v>
      </c>
      <c r="E6" s="102" t="s">
        <v>45</v>
      </c>
      <c r="F6" s="103" t="s">
        <v>82</v>
      </c>
      <c r="G6" s="102" t="s">
        <v>45</v>
      </c>
      <c r="H6" s="102" t="s">
        <v>45</v>
      </c>
      <c r="I6" s="104" t="s">
        <v>82</v>
      </c>
    </row>
    <row r="7" spans="1:9" x14ac:dyDescent="0.2">
      <c r="A7" s="99"/>
      <c r="B7" s="44" t="s">
        <v>48</v>
      </c>
      <c r="C7" s="105">
        <f>PFR!I7</f>
        <v>120.23444638376803</v>
      </c>
      <c r="D7" s="106">
        <v>55018610.056365304</v>
      </c>
      <c r="E7" s="107">
        <f>PFR!F7</f>
        <v>56708053.826370031</v>
      </c>
      <c r="F7" s="108">
        <f t="shared" ref="F7:F33" si="0">E7/D7-1</f>
        <v>3.0706769369017728E-2</v>
      </c>
      <c r="G7" s="47">
        <f t="shared" ref="G7:G32" si="1">IF($C7&gt;100,D7,"")</f>
        <v>55018610.056365304</v>
      </c>
      <c r="H7" s="47">
        <f t="shared" ref="H7:H32" si="2">IF($C7&gt;100,E7,"")</f>
        <v>56708053.826370031</v>
      </c>
      <c r="I7" s="109">
        <f t="shared" ref="I7:I32" si="3">IF(C7&gt;=100,H7/G7-1,"")</f>
        <v>3.0706769369017728E-2</v>
      </c>
    </row>
    <row r="8" spans="1:9" x14ac:dyDescent="0.2">
      <c r="A8" s="99"/>
      <c r="B8" s="110" t="s">
        <v>49</v>
      </c>
      <c r="C8" s="111">
        <f>PFR!I8</f>
        <v>75.168407953405321</v>
      </c>
      <c r="D8" s="112">
        <v>23974937.395902</v>
      </c>
      <c r="E8" s="113">
        <f>PFR!F8</f>
        <v>24898074.107366499</v>
      </c>
      <c r="F8" s="114">
        <f t="shared" si="0"/>
        <v>3.8504238664760271E-2</v>
      </c>
      <c r="G8" s="52" t="str">
        <f t="shared" si="1"/>
        <v/>
      </c>
      <c r="H8" s="52" t="str">
        <f t="shared" si="2"/>
        <v/>
      </c>
      <c r="I8" s="115" t="str">
        <f t="shared" si="3"/>
        <v/>
      </c>
    </row>
    <row r="9" spans="1:9" x14ac:dyDescent="0.2">
      <c r="A9" s="99"/>
      <c r="B9" s="116" t="s">
        <v>50</v>
      </c>
      <c r="C9" s="117">
        <f>PFR!I9</f>
        <v>89.455191638153707</v>
      </c>
      <c r="D9" s="118">
        <v>10868135.923478501</v>
      </c>
      <c r="E9" s="119">
        <f>PFR!F9</f>
        <v>11537456.116573999</v>
      </c>
      <c r="F9" s="120">
        <f t="shared" si="0"/>
        <v>6.1585555959928762E-2</v>
      </c>
      <c r="G9" s="56" t="str">
        <f t="shared" si="1"/>
        <v/>
      </c>
      <c r="H9" s="56" t="str">
        <f t="shared" si="2"/>
        <v/>
      </c>
      <c r="I9" s="121" t="str">
        <f t="shared" si="3"/>
        <v/>
      </c>
    </row>
    <row r="10" spans="1:9" x14ac:dyDescent="0.2">
      <c r="A10" s="99"/>
      <c r="B10" s="110" t="s">
        <v>51</v>
      </c>
      <c r="C10" s="111">
        <f>PFR!I10</f>
        <v>68.157172293312769</v>
      </c>
      <c r="D10" s="112">
        <v>770707.79861647496</v>
      </c>
      <c r="E10" s="113">
        <f>PFR!F10</f>
        <v>813674.44636465702</v>
      </c>
      <c r="F10" s="114">
        <f t="shared" si="0"/>
        <v>5.5749595145284658E-2</v>
      </c>
      <c r="G10" s="52" t="str">
        <f t="shared" si="1"/>
        <v/>
      </c>
      <c r="H10" s="52" t="str">
        <f t="shared" si="2"/>
        <v/>
      </c>
      <c r="I10" s="115" t="str">
        <f t="shared" si="3"/>
        <v/>
      </c>
    </row>
    <row r="11" spans="1:9" x14ac:dyDescent="0.2">
      <c r="A11" s="99"/>
      <c r="B11" s="116" t="s">
        <v>52</v>
      </c>
      <c r="C11" s="117">
        <f>PFR!I11</f>
        <v>172.11390152650415</v>
      </c>
      <c r="D11" s="118">
        <v>8278397.2115664501</v>
      </c>
      <c r="E11" s="119">
        <f>PFR!F11</f>
        <v>8621432.4809894934</v>
      </c>
      <c r="F11" s="120">
        <f t="shared" si="0"/>
        <v>4.1437401547217423E-2</v>
      </c>
      <c r="G11" s="56">
        <f t="shared" si="1"/>
        <v>8278397.2115664501</v>
      </c>
      <c r="H11" s="56">
        <f t="shared" si="2"/>
        <v>8621432.4809894934</v>
      </c>
      <c r="I11" s="121">
        <f t="shared" si="3"/>
        <v>4.1437401547217423E-2</v>
      </c>
    </row>
    <row r="12" spans="1:9" x14ac:dyDescent="0.2">
      <c r="A12" s="99"/>
      <c r="B12" s="110" t="s">
        <v>53</v>
      </c>
      <c r="C12" s="111">
        <f>PFR!I12</f>
        <v>102.37984248534543</v>
      </c>
      <c r="D12" s="112">
        <v>1167963.4101261201</v>
      </c>
      <c r="E12" s="113">
        <f>PFR!F12</f>
        <v>1239751.0413346933</v>
      </c>
      <c r="F12" s="114">
        <f t="shared" si="0"/>
        <v>6.1463938498571125E-2</v>
      </c>
      <c r="G12" s="52">
        <f t="shared" si="1"/>
        <v>1167963.4101261201</v>
      </c>
      <c r="H12" s="52">
        <f t="shared" si="2"/>
        <v>1239751.0413346933</v>
      </c>
      <c r="I12" s="115">
        <f t="shared" si="3"/>
        <v>6.1463938498571125E-2</v>
      </c>
    </row>
    <row r="13" spans="1:9" x14ac:dyDescent="0.2">
      <c r="A13" s="99"/>
      <c r="B13" s="116" t="s">
        <v>54</v>
      </c>
      <c r="C13" s="117">
        <f>PFR!I13</f>
        <v>159.7266166316534</v>
      </c>
      <c r="D13" s="118">
        <v>2045737.1144350499</v>
      </c>
      <c r="E13" s="119">
        <f>PFR!F13</f>
        <v>2213982.0886527696</v>
      </c>
      <c r="F13" s="120">
        <f t="shared" si="0"/>
        <v>8.2241737235227319E-2</v>
      </c>
      <c r="G13" s="56">
        <f t="shared" si="1"/>
        <v>2045737.1144350499</v>
      </c>
      <c r="H13" s="56">
        <f t="shared" si="2"/>
        <v>2213982.0886527696</v>
      </c>
      <c r="I13" s="121">
        <f t="shared" si="3"/>
        <v>8.2241737235227319E-2</v>
      </c>
    </row>
    <row r="14" spans="1:9" x14ac:dyDescent="0.2">
      <c r="A14" s="99"/>
      <c r="B14" s="110" t="s">
        <v>55</v>
      </c>
      <c r="C14" s="111">
        <f>PFR!I14</f>
        <v>71.159692927477892</v>
      </c>
      <c r="D14" s="112">
        <v>912226.68452787702</v>
      </c>
      <c r="E14" s="113">
        <f>PFR!F14</f>
        <v>940718.60953171365</v>
      </c>
      <c r="F14" s="114">
        <f t="shared" si="0"/>
        <v>3.1233382543049082E-2</v>
      </c>
      <c r="G14" s="52" t="str">
        <f t="shared" si="1"/>
        <v/>
      </c>
      <c r="H14" s="52" t="str">
        <f t="shared" si="2"/>
        <v/>
      </c>
      <c r="I14" s="115" t="str">
        <f t="shared" si="3"/>
        <v/>
      </c>
    </row>
    <row r="15" spans="1:9" x14ac:dyDescent="0.2">
      <c r="A15" s="99"/>
      <c r="B15" s="116" t="s">
        <v>56</v>
      </c>
      <c r="C15" s="117">
        <f>PFR!I15</f>
        <v>244.14920647254812</v>
      </c>
      <c r="D15" s="118">
        <v>10008774.524633899</v>
      </c>
      <c r="E15" s="119">
        <f>PFR!F15</f>
        <v>9572875.6583641972</v>
      </c>
      <c r="F15" s="120">
        <f t="shared" si="0"/>
        <v>-4.3551672104996886E-2</v>
      </c>
      <c r="G15" s="56">
        <f t="shared" si="1"/>
        <v>10008774.524633899</v>
      </c>
      <c r="H15" s="56">
        <f t="shared" si="2"/>
        <v>9572875.6583641972</v>
      </c>
      <c r="I15" s="121">
        <f t="shared" si="3"/>
        <v>-4.3551672104996886E-2</v>
      </c>
    </row>
    <row r="16" spans="1:9" x14ac:dyDescent="0.2">
      <c r="A16" s="99"/>
      <c r="B16" s="110" t="s">
        <v>57</v>
      </c>
      <c r="C16" s="111">
        <f>PFR!I16</f>
        <v>79.497815790565781</v>
      </c>
      <c r="D16" s="112">
        <v>7371521.48034936</v>
      </c>
      <c r="E16" s="113">
        <f>PFR!F16</f>
        <v>7771684.2930405168</v>
      </c>
      <c r="F16" s="114">
        <f t="shared" si="0"/>
        <v>5.4284968680874179E-2</v>
      </c>
      <c r="G16" s="52" t="str">
        <f t="shared" si="1"/>
        <v/>
      </c>
      <c r="H16" s="52" t="str">
        <f t="shared" si="2"/>
        <v/>
      </c>
      <c r="I16" s="115" t="str">
        <f t="shared" si="3"/>
        <v/>
      </c>
    </row>
    <row r="17" spans="1:9" x14ac:dyDescent="0.2">
      <c r="A17" s="99"/>
      <c r="B17" s="116" t="s">
        <v>58</v>
      </c>
      <c r="C17" s="117">
        <f>PFR!I17</f>
        <v>74.611443657919651</v>
      </c>
      <c r="D17" s="118">
        <v>6290441.3660635799</v>
      </c>
      <c r="E17" s="119">
        <f>PFR!F17</f>
        <v>6449332.619538541</v>
      </c>
      <c r="F17" s="120">
        <f t="shared" si="0"/>
        <v>2.5259158178020158E-2</v>
      </c>
      <c r="G17" s="56" t="str">
        <f t="shared" si="1"/>
        <v/>
      </c>
      <c r="H17" s="56" t="str">
        <f t="shared" si="2"/>
        <v/>
      </c>
      <c r="I17" s="121" t="str">
        <f t="shared" si="3"/>
        <v/>
      </c>
    </row>
    <row r="18" spans="1:9" x14ac:dyDescent="0.2">
      <c r="A18" s="99"/>
      <c r="B18" s="110" t="s">
        <v>59</v>
      </c>
      <c r="C18" s="111">
        <f>PFR!I18</f>
        <v>149.67813789242132</v>
      </c>
      <c r="D18" s="112">
        <v>9006662.8397653103</v>
      </c>
      <c r="E18" s="113">
        <f>PFR!F18</f>
        <v>9458189.1857247632</v>
      </c>
      <c r="F18" s="114">
        <f t="shared" si="0"/>
        <v>5.0132480141914515E-2</v>
      </c>
      <c r="G18" s="52">
        <f t="shared" si="1"/>
        <v>9006662.8397653103</v>
      </c>
      <c r="H18" s="52">
        <f t="shared" si="2"/>
        <v>9458189.1857247632</v>
      </c>
      <c r="I18" s="115">
        <f t="shared" si="3"/>
        <v>5.0132480141914515E-2</v>
      </c>
    </row>
    <row r="19" spans="1:9" x14ac:dyDescent="0.2">
      <c r="A19" s="99"/>
      <c r="B19" s="116" t="s">
        <v>60</v>
      </c>
      <c r="C19" s="117">
        <f>PFR!I19</f>
        <v>96.50464550473859</v>
      </c>
      <c r="D19" s="118">
        <v>8639246.9296839293</v>
      </c>
      <c r="E19" s="119">
        <f>PFR!F19</f>
        <v>8883519.3359116167</v>
      </c>
      <c r="F19" s="120">
        <f t="shared" si="0"/>
        <v>2.8274733691009857E-2</v>
      </c>
      <c r="G19" s="56" t="str">
        <f t="shared" si="1"/>
        <v/>
      </c>
      <c r="H19" s="56" t="str">
        <f t="shared" si="2"/>
        <v/>
      </c>
      <c r="I19" s="121" t="str">
        <f t="shared" si="3"/>
        <v/>
      </c>
    </row>
    <row r="20" spans="1:9" x14ac:dyDescent="0.2">
      <c r="A20" s="99"/>
      <c r="B20" s="110" t="s">
        <v>61</v>
      </c>
      <c r="C20" s="111">
        <f>PFR!I20</f>
        <v>93.030137348860023</v>
      </c>
      <c r="D20" s="112">
        <v>2416896.0962942601</v>
      </c>
      <c r="E20" s="113">
        <f>PFR!F20</f>
        <v>2426577.9671985037</v>
      </c>
      <c r="F20" s="114">
        <f t="shared" si="0"/>
        <v>4.0059111018833082E-3</v>
      </c>
      <c r="G20" s="52" t="str">
        <f t="shared" si="1"/>
        <v/>
      </c>
      <c r="H20" s="52" t="str">
        <f t="shared" si="2"/>
        <v/>
      </c>
      <c r="I20" s="115" t="str">
        <f t="shared" si="3"/>
        <v/>
      </c>
    </row>
    <row r="21" spans="1:9" x14ac:dyDescent="0.2">
      <c r="A21" s="99"/>
      <c r="B21" s="116" t="s">
        <v>62</v>
      </c>
      <c r="C21" s="117">
        <f>PFR!I21</f>
        <v>85.56025998741849</v>
      </c>
      <c r="D21" s="118">
        <v>1469457.6334848499</v>
      </c>
      <c r="E21" s="119">
        <f>PFR!F21</f>
        <v>1518894.9314001501</v>
      </c>
      <c r="F21" s="120">
        <f t="shared" si="0"/>
        <v>3.3643227806478881E-2</v>
      </c>
      <c r="G21" s="56" t="str">
        <f t="shared" si="1"/>
        <v/>
      </c>
      <c r="H21" s="56" t="str">
        <f t="shared" si="2"/>
        <v/>
      </c>
      <c r="I21" s="121" t="str">
        <f t="shared" si="3"/>
        <v/>
      </c>
    </row>
    <row r="22" spans="1:9" x14ac:dyDescent="0.2">
      <c r="A22" s="99"/>
      <c r="B22" s="110" t="s">
        <v>63</v>
      </c>
      <c r="C22" s="111">
        <f>PFR!I22</f>
        <v>85.224188344702739</v>
      </c>
      <c r="D22" s="112">
        <v>434610.72413681197</v>
      </c>
      <c r="E22" s="113">
        <f>PFR!F22</f>
        <v>444900.04166613967</v>
      </c>
      <c r="F22" s="114">
        <f t="shared" si="0"/>
        <v>2.3674789778286076E-2</v>
      </c>
      <c r="G22" s="52" t="str">
        <f t="shared" si="1"/>
        <v/>
      </c>
      <c r="H22" s="52" t="str">
        <f t="shared" si="2"/>
        <v/>
      </c>
      <c r="I22" s="115" t="str">
        <f t="shared" si="3"/>
        <v/>
      </c>
    </row>
    <row r="23" spans="1:9" x14ac:dyDescent="0.2">
      <c r="A23" s="99"/>
      <c r="B23" s="116" t="s">
        <v>64</v>
      </c>
      <c r="C23" s="117">
        <f>PFR!I23</f>
        <v>79.162002728963969</v>
      </c>
      <c r="D23" s="118">
        <v>12538657.3809662</v>
      </c>
      <c r="E23" s="119">
        <f>PFR!F23</f>
        <v>12861745.673344633</v>
      </c>
      <c r="F23" s="120">
        <f t="shared" si="0"/>
        <v>2.5767375450332031E-2</v>
      </c>
      <c r="G23" s="56" t="str">
        <f t="shared" si="1"/>
        <v/>
      </c>
      <c r="H23" s="56" t="str">
        <f t="shared" si="2"/>
        <v/>
      </c>
      <c r="I23" s="121" t="str">
        <f t="shared" si="3"/>
        <v/>
      </c>
    </row>
    <row r="24" spans="1:9" x14ac:dyDescent="0.2">
      <c r="A24" s="99"/>
      <c r="B24" s="110" t="s">
        <v>65</v>
      </c>
      <c r="C24" s="111">
        <f>PFR!I24</f>
        <v>83.18178697884197</v>
      </c>
      <c r="D24" s="112">
        <v>5394919.9582014</v>
      </c>
      <c r="E24" s="113">
        <f>PFR!F24</f>
        <v>5562262.0131662535</v>
      </c>
      <c r="F24" s="114">
        <f t="shared" si="0"/>
        <v>3.1018449997660902E-2</v>
      </c>
      <c r="G24" s="52" t="str">
        <f t="shared" si="1"/>
        <v/>
      </c>
      <c r="H24" s="52" t="str">
        <f t="shared" si="2"/>
        <v/>
      </c>
      <c r="I24" s="115" t="str">
        <f t="shared" si="3"/>
        <v/>
      </c>
    </row>
    <row r="25" spans="1:9" x14ac:dyDescent="0.2">
      <c r="A25" s="99"/>
      <c r="B25" s="116" t="s">
        <v>66</v>
      </c>
      <c r="C25" s="117">
        <f>PFR!I25</f>
        <v>85.281456530778215</v>
      </c>
      <c r="D25" s="118">
        <v>17658806.176595401</v>
      </c>
      <c r="E25" s="119">
        <f>PFR!F25</f>
        <v>17896771.242723633</v>
      </c>
      <c r="F25" s="120">
        <f t="shared" si="0"/>
        <v>1.347571652061208E-2</v>
      </c>
      <c r="G25" s="56" t="str">
        <f t="shared" si="1"/>
        <v/>
      </c>
      <c r="H25" s="56" t="str">
        <f t="shared" si="2"/>
        <v/>
      </c>
      <c r="I25" s="121" t="str">
        <f t="shared" si="3"/>
        <v/>
      </c>
    </row>
    <row r="26" spans="1:9" x14ac:dyDescent="0.2">
      <c r="A26" s="99"/>
      <c r="B26" s="110" t="s">
        <v>67</v>
      </c>
      <c r="C26" s="111">
        <f>PFR!I26</f>
        <v>78.981526471689705</v>
      </c>
      <c r="D26" s="112">
        <v>6569141.8440447897</v>
      </c>
      <c r="E26" s="113">
        <f>PFR!F26</f>
        <v>6780947.8110809894</v>
      </c>
      <c r="F26" s="114">
        <f t="shared" si="0"/>
        <v>3.2242562584976042E-2</v>
      </c>
      <c r="G26" s="52" t="str">
        <f t="shared" si="1"/>
        <v/>
      </c>
      <c r="H26" s="52" t="str">
        <f t="shared" si="2"/>
        <v/>
      </c>
      <c r="I26" s="115" t="str">
        <f t="shared" si="3"/>
        <v/>
      </c>
    </row>
    <row r="27" spans="1:9" x14ac:dyDescent="0.2">
      <c r="A27" s="99"/>
      <c r="B27" s="116" t="s">
        <v>68</v>
      </c>
      <c r="C27" s="117">
        <f>PFR!I27</f>
        <v>97.387850243416239</v>
      </c>
      <c r="D27" s="118">
        <v>10678191.219887501</v>
      </c>
      <c r="E27" s="119">
        <f>PFR!F27</f>
        <v>11117135.522875167</v>
      </c>
      <c r="F27" s="120">
        <f t="shared" si="0"/>
        <v>4.1106615713170536E-2</v>
      </c>
      <c r="G27" s="56" t="str">
        <f t="shared" si="1"/>
        <v/>
      </c>
      <c r="H27" s="56" t="str">
        <f t="shared" si="2"/>
        <v/>
      </c>
      <c r="I27" s="121" t="str">
        <f t="shared" si="3"/>
        <v/>
      </c>
    </row>
    <row r="28" spans="1:9" x14ac:dyDescent="0.2">
      <c r="A28" s="99"/>
      <c r="B28" s="110" t="s">
        <v>69</v>
      </c>
      <c r="C28" s="111">
        <f>PFR!I28</f>
        <v>99.634121607475862</v>
      </c>
      <c r="D28" s="112">
        <v>24246416.038739901</v>
      </c>
      <c r="E28" s="113">
        <f>PFR!F28</f>
        <v>24697059.093478132</v>
      </c>
      <c r="F28" s="114">
        <f t="shared" si="0"/>
        <v>1.858596561315351E-2</v>
      </c>
      <c r="G28" s="52" t="str">
        <f t="shared" si="1"/>
        <v/>
      </c>
      <c r="H28" s="52" t="str">
        <f t="shared" si="2"/>
        <v/>
      </c>
      <c r="I28" s="115" t="str">
        <f t="shared" si="3"/>
        <v/>
      </c>
    </row>
    <row r="29" spans="1:9" x14ac:dyDescent="0.2">
      <c r="A29" s="99"/>
      <c r="B29" s="116" t="s">
        <v>70</v>
      </c>
      <c r="C29" s="117">
        <f>PFR!I29</f>
        <v>66.778651523513304</v>
      </c>
      <c r="D29" s="118">
        <v>7090322.5331036001</v>
      </c>
      <c r="E29" s="119">
        <f>PFR!F29</f>
        <v>7321719.574631379</v>
      </c>
      <c r="F29" s="120">
        <f t="shared" si="0"/>
        <v>3.2635615720924216E-2</v>
      </c>
      <c r="G29" s="56" t="str">
        <f t="shared" si="1"/>
        <v/>
      </c>
      <c r="H29" s="56" t="str">
        <f t="shared" si="2"/>
        <v/>
      </c>
      <c r="I29" s="121" t="str">
        <f t="shared" si="3"/>
        <v/>
      </c>
    </row>
    <row r="30" spans="1:9" x14ac:dyDescent="0.2">
      <c r="A30" s="99"/>
      <c r="B30" s="110" t="s">
        <v>71</v>
      </c>
      <c r="C30" s="111">
        <f>PFR!I30</f>
        <v>94.252254639851557</v>
      </c>
      <c r="D30" s="112">
        <v>5498962.6872549402</v>
      </c>
      <c r="E30" s="113">
        <f>PFR!F30</f>
        <v>5494470.6096099792</v>
      </c>
      <c r="F30" s="114">
        <f t="shared" si="0"/>
        <v>-8.1689545836938215E-4</v>
      </c>
      <c r="G30" s="52" t="str">
        <f t="shared" si="1"/>
        <v/>
      </c>
      <c r="H30" s="52" t="str">
        <f t="shared" si="2"/>
        <v/>
      </c>
      <c r="I30" s="115" t="str">
        <f t="shared" si="3"/>
        <v/>
      </c>
    </row>
    <row r="31" spans="1:9" x14ac:dyDescent="0.2">
      <c r="A31" s="99"/>
      <c r="B31" s="116" t="s">
        <v>72</v>
      </c>
      <c r="C31" s="117">
        <f>PFR!I31</f>
        <v>146.10560413880563</v>
      </c>
      <c r="D31" s="118">
        <v>21472737.277738102</v>
      </c>
      <c r="E31" s="119">
        <f>PFR!F31</f>
        <v>22672979.772180434</v>
      </c>
      <c r="F31" s="120">
        <f t="shared" si="0"/>
        <v>5.5896110445438518E-2</v>
      </c>
      <c r="G31" s="56">
        <f t="shared" si="1"/>
        <v>21472737.277738102</v>
      </c>
      <c r="H31" s="56">
        <f t="shared" si="2"/>
        <v>22672979.772180434</v>
      </c>
      <c r="I31" s="121">
        <f t="shared" si="3"/>
        <v>5.5896110445438518E-2</v>
      </c>
    </row>
    <row r="32" spans="1:9" x14ac:dyDescent="0.2">
      <c r="A32" s="122"/>
      <c r="B32" s="123" t="s">
        <v>73</v>
      </c>
      <c r="C32" s="124">
        <f>PFR!I32</f>
        <v>65.924443163521232</v>
      </c>
      <c r="D32" s="125">
        <v>1499058.18782524</v>
      </c>
      <c r="E32" s="126">
        <f>PFR!F32</f>
        <v>1559632.9534495769</v>
      </c>
      <c r="F32" s="127">
        <f t="shared" si="0"/>
        <v>4.040854859157661E-2</v>
      </c>
      <c r="G32" s="128" t="str">
        <f t="shared" si="1"/>
        <v/>
      </c>
      <c r="H32" s="128" t="str">
        <f t="shared" si="2"/>
        <v/>
      </c>
      <c r="I32" s="129" t="str">
        <f t="shared" si="3"/>
        <v/>
      </c>
    </row>
    <row r="33" spans="1:9" x14ac:dyDescent="0.2">
      <c r="B33" s="59" t="s">
        <v>77</v>
      </c>
      <c r="C33" s="130">
        <f>PFR!I33</f>
        <v>100</v>
      </c>
      <c r="D33" s="131">
        <f>SUM(D7:D32)</f>
        <v>261321540.49378675</v>
      </c>
      <c r="E33" s="132">
        <f>SUM(E7:E32)</f>
        <v>269463841.01656848</v>
      </c>
      <c r="F33" s="133">
        <f t="shared" si="0"/>
        <v>3.1158168237475747E-2</v>
      </c>
      <c r="G33" s="60">
        <f>SUM(G7:G32)</f>
        <v>106998882.43463022</v>
      </c>
      <c r="H33" s="60">
        <f>SUM(H7:H32)</f>
        <v>110487264.05361639</v>
      </c>
      <c r="I33" s="134">
        <f>IF(H33&gt;0,H33/G33-1,0)</f>
        <v>3.2602037886866331E-2</v>
      </c>
    </row>
    <row r="34" spans="1:9" x14ac:dyDescent="0.2">
      <c r="A34" s="135"/>
      <c r="B34" s="31"/>
      <c r="C34" s="31"/>
      <c r="D34" s="31"/>
    </row>
    <row r="35" spans="1:9" x14ac:dyDescent="0.2">
      <c r="B35" s="31"/>
      <c r="C35" s="31"/>
      <c r="D35" s="31"/>
    </row>
  </sheetData>
  <mergeCells count="3">
    <mergeCell ref="C4:C5"/>
    <mergeCell ref="G4:I4"/>
    <mergeCell ref="D4:F4"/>
  </mergeCells>
  <conditionalFormatting sqref="G5:H5 D5:E5 C33 D7:E33">
    <cfRule type="expression" dxfId="7" priority="1" stopIfTrue="1">
      <formula>ISBLANK(C5)</formula>
    </cfRule>
  </conditionalFormatting>
  <conditionalFormatting sqref="G5:H5 D5:E5 C33 D7:E33">
    <cfRule type="expression" dxfId="6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>
    <oddHeader>&amp;L&amp;F&amp;R&amp;A</oddHeader>
    <oddFooter>&amp;C&amp;P/&amp;N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32"/>
  <sheetViews>
    <sheetView showGridLines="0" workbookViewId="0"/>
  </sheetViews>
  <sheetFormatPr baseColWidth="10" defaultColWidth="11.42578125" defaultRowHeight="12.75" x14ac:dyDescent="0.2"/>
  <cols>
    <col min="1" max="1" width="1.42578125" style="2" customWidth="1"/>
    <col min="2" max="2" width="32" style="2" customWidth="1"/>
    <col min="3" max="3" width="15.85546875" style="2" customWidth="1"/>
    <col min="4" max="4" width="19" style="2" customWidth="1"/>
    <col min="5" max="5" width="17.140625" style="2" customWidth="1"/>
    <col min="6" max="6" width="14.5703125" style="2" customWidth="1"/>
    <col min="7" max="7" width="16.28515625" style="2" customWidth="1"/>
    <col min="8" max="8" width="6.140625" style="2" customWidth="1"/>
  </cols>
  <sheetData>
    <row r="1" spans="2:8" ht="18" customHeight="1" x14ac:dyDescent="0.25">
      <c r="B1" s="136" t="str">
        <f>"Extrapolation of resource equalization endowments "&amp;Info!C30</f>
        <v>Extrapolation of resource equalization endowments 2018</v>
      </c>
      <c r="C1" s="1"/>
      <c r="D1" s="1"/>
      <c r="E1" s="1"/>
      <c r="F1" s="1"/>
    </row>
    <row r="2" spans="2:8" x14ac:dyDescent="0.2">
      <c r="B2" s="137" t="s">
        <v>83</v>
      </c>
      <c r="C2" s="1"/>
      <c r="D2" s="1"/>
      <c r="E2" s="1"/>
      <c r="F2" s="1"/>
      <c r="H2" s="31"/>
    </row>
    <row r="3" spans="2:8" x14ac:dyDescent="0.2">
      <c r="B3" s="1"/>
      <c r="C3" s="1"/>
      <c r="D3" s="1"/>
      <c r="E3" s="1"/>
      <c r="F3" s="1"/>
      <c r="G3" s="19" t="str">
        <f>Info!C28</f>
        <v>FA_2018_20170823</v>
      </c>
      <c r="H3" s="31"/>
    </row>
    <row r="4" spans="2:8" ht="24.75" customHeight="1" x14ac:dyDescent="0.2">
      <c r="B4" s="138" t="s">
        <v>84</v>
      </c>
      <c r="C4" s="139">
        <f>G4-1</f>
        <v>2017</v>
      </c>
      <c r="D4" s="140" t="s">
        <v>85</v>
      </c>
      <c r="E4" s="141" t="s">
        <v>86</v>
      </c>
      <c r="F4" s="141" t="s">
        <v>87</v>
      </c>
      <c r="G4" s="142">
        <f>Info!C30</f>
        <v>2018</v>
      </c>
      <c r="H4" s="31"/>
    </row>
    <row r="5" spans="2:8" x14ac:dyDescent="0.2">
      <c r="B5" s="44" t="s">
        <v>88</v>
      </c>
      <c r="C5" s="45">
        <v>2350132759.58255</v>
      </c>
      <c r="D5" s="143">
        <f>Growth_rates!F33</f>
        <v>3.1158168237475747E-2</v>
      </c>
      <c r="E5" s="47">
        <f>C5*(1+D5)</f>
        <v>2423358591.4860263</v>
      </c>
      <c r="F5" s="45">
        <v>0</v>
      </c>
      <c r="G5" s="144">
        <f>E5+F5</f>
        <v>2423358591.4860263</v>
      </c>
      <c r="H5" s="31"/>
    </row>
    <row r="6" spans="2:8" x14ac:dyDescent="0.2">
      <c r="B6" s="94" t="s">
        <v>89</v>
      </c>
      <c r="C6" s="145">
        <v>1598591566.9267001</v>
      </c>
      <c r="D6" s="146">
        <f>Growth_rates!I33</f>
        <v>3.2602037886866331E-2</v>
      </c>
      <c r="E6" s="147">
        <f>C6*(1+D6)</f>
        <v>1650708909.7572694</v>
      </c>
      <c r="F6" s="145">
        <v>0</v>
      </c>
      <c r="G6" s="148">
        <f>E6+F6</f>
        <v>1650708909.7572694</v>
      </c>
      <c r="H6" s="31"/>
    </row>
    <row r="7" spans="2:8" x14ac:dyDescent="0.2">
      <c r="B7" s="149"/>
      <c r="C7" s="31"/>
      <c r="D7" s="31"/>
      <c r="E7" s="1"/>
      <c r="F7" s="1"/>
      <c r="H7" s="31"/>
    </row>
    <row r="8" spans="2:8" x14ac:dyDescent="0.2">
      <c r="B8" s="1"/>
      <c r="C8" s="1"/>
      <c r="D8" s="1"/>
      <c r="E8" s="1"/>
      <c r="F8" s="1"/>
    </row>
    <row r="9" spans="2:8" x14ac:dyDescent="0.2">
      <c r="B9" s="1"/>
      <c r="C9" s="1"/>
      <c r="D9" s="1"/>
      <c r="E9" s="1"/>
      <c r="F9" s="1"/>
    </row>
    <row r="10" spans="2:8" x14ac:dyDescent="0.2">
      <c r="B10" s="1"/>
      <c r="C10" s="1"/>
      <c r="D10" s="1"/>
      <c r="E10" s="150"/>
      <c r="F10" s="1"/>
    </row>
    <row r="11" spans="2:8" x14ac:dyDescent="0.2">
      <c r="B11" s="137"/>
      <c r="C11" s="151"/>
      <c r="D11" s="151"/>
      <c r="E11" s="150"/>
      <c r="F11" s="152"/>
      <c r="G11" s="152"/>
    </row>
    <row r="12" spans="2:8" x14ac:dyDescent="0.2">
      <c r="B12" s="153" t="s">
        <v>90</v>
      </c>
      <c r="C12" s="154">
        <f>C4</f>
        <v>2017</v>
      </c>
      <c r="D12" s="155">
        <f>G4</f>
        <v>2018</v>
      </c>
      <c r="E12" s="150"/>
      <c r="F12" s="152"/>
      <c r="G12" s="152"/>
    </row>
    <row r="13" spans="2:8" x14ac:dyDescent="0.2">
      <c r="B13" s="116" t="s">
        <v>91</v>
      </c>
      <c r="C13" s="56">
        <f>0.8*C$5</f>
        <v>1880106207.6660402</v>
      </c>
      <c r="D13" s="89">
        <f>0.8*G5</f>
        <v>1938686873.1888211</v>
      </c>
      <c r="E13" s="150"/>
      <c r="F13" s="152"/>
      <c r="G13" s="152"/>
    </row>
    <row r="14" spans="2:8" x14ac:dyDescent="0.2">
      <c r="B14" s="156" t="s">
        <v>92</v>
      </c>
      <c r="C14" s="157">
        <f>C6/C5</f>
        <v>0.6802133030181049</v>
      </c>
      <c r="D14" s="158">
        <f>G6/G5</f>
        <v>0.68116576537896489</v>
      </c>
      <c r="E14" s="1"/>
      <c r="F14" s="1"/>
    </row>
    <row r="15" spans="2:8" x14ac:dyDescent="0.2">
      <c r="B15" s="94" t="s">
        <v>93</v>
      </c>
      <c r="C15" s="147">
        <f>(2/3)*C$5</f>
        <v>1566755173.0550332</v>
      </c>
      <c r="D15" s="159">
        <f>(2/3)*G5</f>
        <v>1615572394.3240175</v>
      </c>
      <c r="E15" s="1"/>
      <c r="F15" s="1"/>
    </row>
    <row r="16" spans="2:8" x14ac:dyDescent="0.2">
      <c r="B16" s="160" t="s">
        <v>94</v>
      </c>
      <c r="E16" s="1"/>
      <c r="F16" s="1"/>
    </row>
    <row r="17" spans="2:6" x14ac:dyDescent="0.2">
      <c r="B17" s="161" t="s">
        <v>95</v>
      </c>
      <c r="E17" s="1"/>
      <c r="F17" s="1"/>
    </row>
    <row r="18" spans="2:6" x14ac:dyDescent="0.2">
      <c r="B18" s="1"/>
      <c r="C18" s="1"/>
      <c r="D18" s="1"/>
      <c r="E18" s="1"/>
      <c r="F18" s="1"/>
    </row>
    <row r="19" spans="2:6" x14ac:dyDescent="0.2">
      <c r="B19" s="1"/>
      <c r="C19" s="1"/>
      <c r="D19" s="1"/>
      <c r="E19" s="1"/>
      <c r="F19" s="1"/>
    </row>
    <row r="20" spans="2:6" x14ac:dyDescent="0.2">
      <c r="B20" s="1"/>
      <c r="C20" s="1"/>
      <c r="D20" s="1"/>
      <c r="E20" s="1"/>
      <c r="F20" s="1"/>
    </row>
    <row r="21" spans="2:6" x14ac:dyDescent="0.2">
      <c r="B21" s="1"/>
      <c r="C21" s="1"/>
      <c r="D21" s="1"/>
      <c r="E21" s="1"/>
      <c r="F21" s="1"/>
    </row>
    <row r="22" spans="2:6" x14ac:dyDescent="0.2">
      <c r="B22" s="137"/>
      <c r="C22" s="1"/>
      <c r="D22" s="1"/>
      <c r="E22" s="1"/>
      <c r="F22" s="1"/>
    </row>
    <row r="23" spans="2:6" ht="15.75" customHeight="1" x14ac:dyDescent="0.25">
      <c r="B23" s="162" t="str">
        <f>"Endowments "&amp;G4</f>
        <v>Endowments 2018</v>
      </c>
      <c r="C23" s="163"/>
      <c r="D23" s="164"/>
      <c r="E23" s="1"/>
      <c r="F23" s="1"/>
    </row>
    <row r="24" spans="2:6" ht="15.75" customHeight="1" x14ac:dyDescent="0.25">
      <c r="B24" s="165" t="s">
        <v>88</v>
      </c>
      <c r="C24" s="166"/>
      <c r="D24" s="167">
        <f>G5</f>
        <v>2423358591.4860263</v>
      </c>
      <c r="E24" s="1"/>
      <c r="F24" s="1"/>
    </row>
    <row r="25" spans="2:6" ht="15.75" customHeight="1" x14ac:dyDescent="0.25">
      <c r="B25" s="165" t="s">
        <v>89</v>
      </c>
      <c r="C25" s="166"/>
      <c r="D25" s="167">
        <f>IF(G6&gt;D13,D13,IF(G6&lt;D15,D15,G6))</f>
        <v>1650708909.7572694</v>
      </c>
      <c r="E25" s="1"/>
      <c r="F25" s="1"/>
    </row>
    <row r="26" spans="2:6" ht="20.25" customHeight="1" x14ac:dyDescent="0.25">
      <c r="B26" s="168" t="s">
        <v>96</v>
      </c>
      <c r="C26" s="169"/>
      <c r="D26" s="170">
        <f>D24+D25</f>
        <v>4074067501.2432957</v>
      </c>
      <c r="E26" s="1"/>
      <c r="F26" s="1"/>
    </row>
    <row r="27" spans="2:6" ht="29.25" customHeight="1" x14ac:dyDescent="0.2">
      <c r="B27" s="1"/>
      <c r="C27" s="1"/>
      <c r="D27" s="1"/>
      <c r="E27" s="1"/>
      <c r="F27" s="1"/>
    </row>
    <row r="28" spans="2:6" x14ac:dyDescent="0.2">
      <c r="B28" s="311" t="str">
        <f>"Actual growth rates* "&amp;C4&amp;"-"&amp;G4</f>
        <v>Actual growth rates* 2017-2018</v>
      </c>
      <c r="C28" s="312"/>
      <c r="D28" s="1"/>
      <c r="E28" s="1"/>
      <c r="F28" s="1"/>
    </row>
    <row r="29" spans="2:6" x14ac:dyDescent="0.2">
      <c r="B29" s="171" t="s">
        <v>88</v>
      </c>
      <c r="C29" s="109">
        <f>D24/C5-1</f>
        <v>3.1158168237475747E-2</v>
      </c>
      <c r="D29" s="1"/>
      <c r="E29" s="1"/>
      <c r="F29" s="1"/>
    </row>
    <row r="30" spans="2:6" x14ac:dyDescent="0.2">
      <c r="B30" s="172" t="s">
        <v>89</v>
      </c>
      <c r="C30" s="173">
        <f>D25/C6-1</f>
        <v>3.2602037886866331E-2</v>
      </c>
      <c r="D30" s="1"/>
      <c r="E30" s="1"/>
      <c r="F30" s="1"/>
    </row>
    <row r="31" spans="2:6" ht="17.25" customHeight="1" x14ac:dyDescent="0.2">
      <c r="B31" s="174" t="s">
        <v>97</v>
      </c>
      <c r="C31" s="175">
        <f>D26/(C5+C6)-1</f>
        <v>3.1742700773657484E-2</v>
      </c>
      <c r="D31" s="1"/>
      <c r="E31" s="1"/>
      <c r="F31" s="1"/>
    </row>
    <row r="32" spans="2:6" x14ac:dyDescent="0.2">
      <c r="B32" s="35" t="s">
        <v>98</v>
      </c>
      <c r="C32" s="1"/>
      <c r="D32" s="1"/>
      <c r="E32" s="1"/>
      <c r="F32" s="1"/>
    </row>
  </sheetData>
  <mergeCells count="1">
    <mergeCell ref="B28:C28"/>
  </mergeCells>
  <conditionalFormatting sqref="C5:C6 F5:F6">
    <cfRule type="expression" dxfId="5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 x14ac:dyDescent="0.2"/>
  <cols>
    <col min="1" max="1" width="16.5703125" style="2" customWidth="1"/>
    <col min="2" max="2" width="11.7109375" style="2" customWidth="1"/>
    <col min="3" max="3" width="14.28515625" style="2" customWidth="1"/>
    <col min="4" max="4" width="18.85546875" style="2" customWidth="1"/>
    <col min="5" max="5" width="19.7109375" style="2" customWidth="1"/>
    <col min="6" max="6" width="13" style="2" customWidth="1"/>
  </cols>
  <sheetData>
    <row r="1" spans="1:6" ht="26.25" customHeight="1" x14ac:dyDescent="0.2">
      <c r="A1" s="93" t="str">
        <f>"Inpayments of financially strong cantons "&amp;Info!C30</f>
        <v>Inpayments of financially strong cantons 2018</v>
      </c>
      <c r="B1" s="93"/>
      <c r="C1" s="93"/>
      <c r="D1" s="93"/>
      <c r="E1" s="93"/>
      <c r="F1" s="93"/>
    </row>
    <row r="2" spans="1:6" ht="18.75" customHeight="1" x14ac:dyDescent="0.2">
      <c r="F2" s="19" t="str">
        <f>Info!$C$28</f>
        <v>FA_2018_20170823</v>
      </c>
    </row>
    <row r="3" spans="1:6" s="2" customFormat="1" x14ac:dyDescent="0.2">
      <c r="A3" s="62" t="s">
        <v>27</v>
      </c>
      <c r="B3" s="176" t="s">
        <v>99</v>
      </c>
      <c r="C3" s="63" t="s">
        <v>28</v>
      </c>
      <c r="D3" s="63" t="s">
        <v>29</v>
      </c>
      <c r="E3" s="63" t="s">
        <v>30</v>
      </c>
      <c r="F3" s="64" t="s">
        <v>31</v>
      </c>
    </row>
    <row r="4" spans="1:6" s="35" customFormat="1" ht="11.25" customHeight="1" x14ac:dyDescent="0.2">
      <c r="A4" s="177" t="s">
        <v>35</v>
      </c>
      <c r="B4" s="178"/>
      <c r="C4" s="179"/>
      <c r="D4" s="179" t="s">
        <v>100</v>
      </c>
      <c r="E4" s="179" t="s">
        <v>101</v>
      </c>
      <c r="F4" s="180" t="s">
        <v>102</v>
      </c>
    </row>
    <row r="5" spans="1:6" ht="33" customHeight="1" x14ac:dyDescent="0.2">
      <c r="A5" s="181"/>
      <c r="B5" s="182" t="s">
        <v>42</v>
      </c>
      <c r="C5" s="182" t="s">
        <v>6</v>
      </c>
      <c r="D5" s="183" t="s">
        <v>103</v>
      </c>
      <c r="E5" s="183" t="s">
        <v>104</v>
      </c>
      <c r="F5" s="184" t="s">
        <v>105</v>
      </c>
    </row>
    <row r="6" spans="1:6" x14ac:dyDescent="0.2">
      <c r="A6" s="76" t="s">
        <v>44</v>
      </c>
      <c r="B6" s="185" t="s">
        <v>81</v>
      </c>
      <c r="C6" s="102" t="s">
        <v>46</v>
      </c>
      <c r="D6" s="102"/>
      <c r="E6" s="102" t="s">
        <v>47</v>
      </c>
      <c r="F6" s="186" t="s">
        <v>47</v>
      </c>
    </row>
    <row r="7" spans="1:6" s="187" customFormat="1" ht="15" customHeight="1" x14ac:dyDescent="0.2">
      <c r="A7" s="188" t="s">
        <v>48</v>
      </c>
      <c r="B7" s="189">
        <f>PFR!I7</f>
        <v>120.23444638376803</v>
      </c>
      <c r="C7" s="190">
        <f>PFR!G7</f>
        <v>1430939.1666666667</v>
      </c>
      <c r="D7" s="191">
        <f t="shared" ref="D7:D32" si="0">IF(B7&gt;100,(B7-100)*C7,0)</f>
        <v>28954261.846350376</v>
      </c>
      <c r="E7" s="191">
        <f t="shared" ref="E7:E32" si="1">IF(B7&gt;100,A/$D$33*(B7-100),0)</f>
        <v>367.48387574301341</v>
      </c>
      <c r="F7" s="192">
        <f t="shared" ref="F7:F32" si="2">E7*C7</f>
        <v>525847070.91914451</v>
      </c>
    </row>
    <row r="8" spans="1:6" s="187" customFormat="1" ht="15" customHeight="1" x14ac:dyDescent="0.2">
      <c r="A8" s="193" t="s">
        <v>49</v>
      </c>
      <c r="B8" s="194">
        <f>PFR!I8</f>
        <v>75.168407953405321</v>
      </c>
      <c r="C8" s="195">
        <f>PFR!G8</f>
        <v>1004929.8333333334</v>
      </c>
      <c r="D8" s="196">
        <f t="shared" si="0"/>
        <v>0</v>
      </c>
      <c r="E8" s="196">
        <f t="shared" si="1"/>
        <v>0</v>
      </c>
      <c r="F8" s="197">
        <f t="shared" si="2"/>
        <v>0</v>
      </c>
    </row>
    <row r="9" spans="1:6" s="187" customFormat="1" ht="15" customHeight="1" x14ac:dyDescent="0.2">
      <c r="A9" s="188" t="s">
        <v>50</v>
      </c>
      <c r="B9" s="189">
        <f>PFR!I9</f>
        <v>89.455191638153707</v>
      </c>
      <c r="C9" s="190">
        <f>PFR!G9</f>
        <v>391300</v>
      </c>
      <c r="D9" s="191">
        <f t="shared" si="0"/>
        <v>0</v>
      </c>
      <c r="E9" s="191">
        <f t="shared" si="1"/>
        <v>0</v>
      </c>
      <c r="F9" s="192">
        <f t="shared" si="2"/>
        <v>0</v>
      </c>
    </row>
    <row r="10" spans="1:6" s="187" customFormat="1" ht="15" customHeight="1" x14ac:dyDescent="0.2">
      <c r="A10" s="193" t="s">
        <v>51</v>
      </c>
      <c r="B10" s="194">
        <f>PFR!I10</f>
        <v>68.157172293312769</v>
      </c>
      <c r="C10" s="195">
        <f>PFR!G10</f>
        <v>36219.666666666664</v>
      </c>
      <c r="D10" s="196">
        <f t="shared" si="0"/>
        <v>0</v>
      </c>
      <c r="E10" s="196">
        <f t="shared" si="1"/>
        <v>0</v>
      </c>
      <c r="F10" s="197">
        <f t="shared" si="2"/>
        <v>0</v>
      </c>
    </row>
    <row r="11" spans="1:6" s="187" customFormat="1" ht="15" customHeight="1" x14ac:dyDescent="0.2">
      <c r="A11" s="188" t="s">
        <v>52</v>
      </c>
      <c r="B11" s="189">
        <f>PFR!I11</f>
        <v>172.11390152650415</v>
      </c>
      <c r="C11" s="190">
        <f>PFR!G11</f>
        <v>151973.83333333334</v>
      </c>
      <c r="D11" s="191">
        <f t="shared" si="0"/>
        <v>10959426.051605355</v>
      </c>
      <c r="E11" s="191">
        <f t="shared" si="1"/>
        <v>1309.6822875850205</v>
      </c>
      <c r="F11" s="192">
        <f t="shared" si="2"/>
        <v>199037437.69306466</v>
      </c>
    </row>
    <row r="12" spans="1:6" s="187" customFormat="1" ht="15" customHeight="1" x14ac:dyDescent="0.2">
      <c r="A12" s="193" t="s">
        <v>53</v>
      </c>
      <c r="B12" s="194">
        <f>PFR!I12</f>
        <v>102.37984248534543</v>
      </c>
      <c r="C12" s="195">
        <f>PFR!G12</f>
        <v>36738.833333333336</v>
      </c>
      <c r="D12" s="196">
        <f t="shared" si="0"/>
        <v>87432.636428691723</v>
      </c>
      <c r="E12" s="196">
        <f t="shared" si="1"/>
        <v>43.221036226332764</v>
      </c>
      <c r="F12" s="197">
        <f t="shared" si="2"/>
        <v>1587890.4464132017</v>
      </c>
    </row>
    <row r="13" spans="1:6" s="187" customFormat="1" ht="15" customHeight="1" x14ac:dyDescent="0.2">
      <c r="A13" s="188" t="s">
        <v>54</v>
      </c>
      <c r="B13" s="189">
        <f>PFR!I13</f>
        <v>159.7266166316534</v>
      </c>
      <c r="C13" s="190">
        <f>PFR!G13</f>
        <v>42053.5</v>
      </c>
      <c r="D13" s="191">
        <f t="shared" si="0"/>
        <v>2511713.2725192364</v>
      </c>
      <c r="E13" s="191">
        <f t="shared" si="1"/>
        <v>1084.7130753438428</v>
      </c>
      <c r="F13" s="192">
        <f t="shared" si="2"/>
        <v>45615981.313972294</v>
      </c>
    </row>
    <row r="14" spans="1:6" s="187" customFormat="1" ht="15" customHeight="1" x14ac:dyDescent="0.2">
      <c r="A14" s="193" t="s">
        <v>55</v>
      </c>
      <c r="B14" s="194">
        <f>PFR!I14</f>
        <v>71.159692927477892</v>
      </c>
      <c r="C14" s="195">
        <f>PFR!G14</f>
        <v>40108</v>
      </c>
      <c r="D14" s="196">
        <f t="shared" si="0"/>
        <v>0</v>
      </c>
      <c r="E14" s="196">
        <f t="shared" si="1"/>
        <v>0</v>
      </c>
      <c r="F14" s="197">
        <f t="shared" si="2"/>
        <v>0</v>
      </c>
    </row>
    <row r="15" spans="1:6" s="187" customFormat="1" ht="15" customHeight="1" x14ac:dyDescent="0.2">
      <c r="A15" s="188" t="s">
        <v>56</v>
      </c>
      <c r="B15" s="189">
        <f>PFR!I15</f>
        <v>244.14920647254812</v>
      </c>
      <c r="C15" s="190">
        <f>PFR!G15</f>
        <v>118957.66666666667</v>
      </c>
      <c r="D15" s="191">
        <f t="shared" si="0"/>
        <v>17147653.253825888</v>
      </c>
      <c r="E15" s="191">
        <f t="shared" si="1"/>
        <v>2617.9371589976454</v>
      </c>
      <c r="F15" s="192">
        <f t="shared" si="2"/>
        <v>311423695.91432226</v>
      </c>
    </row>
    <row r="16" spans="1:6" s="187" customFormat="1" ht="15" customHeight="1" x14ac:dyDescent="0.2">
      <c r="A16" s="193" t="s">
        <v>57</v>
      </c>
      <c r="B16" s="194">
        <f>PFR!I16</f>
        <v>79.497815790565781</v>
      </c>
      <c r="C16" s="195">
        <f>PFR!G16</f>
        <v>296596</v>
      </c>
      <c r="D16" s="196">
        <f t="shared" si="0"/>
        <v>0</v>
      </c>
      <c r="E16" s="196">
        <f t="shared" si="1"/>
        <v>0</v>
      </c>
      <c r="F16" s="197">
        <f t="shared" si="2"/>
        <v>0</v>
      </c>
    </row>
    <row r="17" spans="1:6" s="187" customFormat="1" ht="15" customHeight="1" x14ac:dyDescent="0.2">
      <c r="A17" s="188" t="s">
        <v>58</v>
      </c>
      <c r="B17" s="189">
        <f>PFR!I17</f>
        <v>74.611443657919651</v>
      </c>
      <c r="C17" s="190">
        <f>PFR!G17</f>
        <v>262249.5</v>
      </c>
      <c r="D17" s="191">
        <f t="shared" si="0"/>
        <v>0</v>
      </c>
      <c r="E17" s="191">
        <f t="shared" si="1"/>
        <v>0</v>
      </c>
      <c r="F17" s="192">
        <f t="shared" si="2"/>
        <v>0</v>
      </c>
    </row>
    <row r="18" spans="1:6" s="187" customFormat="1" ht="15" customHeight="1" x14ac:dyDescent="0.2">
      <c r="A18" s="193" t="s">
        <v>59</v>
      </c>
      <c r="B18" s="194">
        <f>PFR!I18</f>
        <v>149.67813789242132</v>
      </c>
      <c r="C18" s="195">
        <f>PFR!G18</f>
        <v>191714.5</v>
      </c>
      <c r="D18" s="196">
        <f t="shared" si="0"/>
        <v>9524019.3669766076</v>
      </c>
      <c r="E18" s="196">
        <f t="shared" si="1"/>
        <v>902.21962618397333</v>
      </c>
      <c r="F18" s="197">
        <f t="shared" si="2"/>
        <v>172968584.52404734</v>
      </c>
    </row>
    <row r="19" spans="1:6" s="187" customFormat="1" ht="15" customHeight="1" x14ac:dyDescent="0.2">
      <c r="A19" s="188" t="s">
        <v>60</v>
      </c>
      <c r="B19" s="189">
        <f>PFR!I19</f>
        <v>96.50464550473859</v>
      </c>
      <c r="C19" s="190">
        <f>PFR!G19</f>
        <v>279281.5</v>
      </c>
      <c r="D19" s="191">
        <f t="shared" si="0"/>
        <v>0</v>
      </c>
      <c r="E19" s="191">
        <f t="shared" si="1"/>
        <v>0</v>
      </c>
      <c r="F19" s="192">
        <f t="shared" si="2"/>
        <v>0</v>
      </c>
    </row>
    <row r="20" spans="1:6" s="187" customFormat="1" ht="15" customHeight="1" x14ac:dyDescent="0.2">
      <c r="A20" s="193" t="s">
        <v>61</v>
      </c>
      <c r="B20" s="194">
        <f>PFR!I20</f>
        <v>93.030137348860023</v>
      </c>
      <c r="C20" s="195">
        <f>PFR!G20</f>
        <v>79136.333333333328</v>
      </c>
      <c r="D20" s="196">
        <f t="shared" si="0"/>
        <v>0</v>
      </c>
      <c r="E20" s="196">
        <f t="shared" si="1"/>
        <v>0</v>
      </c>
      <c r="F20" s="197">
        <f t="shared" si="2"/>
        <v>0</v>
      </c>
    </row>
    <row r="21" spans="1:6" s="187" customFormat="1" ht="15" customHeight="1" x14ac:dyDescent="0.2">
      <c r="A21" s="188" t="s">
        <v>62</v>
      </c>
      <c r="B21" s="189">
        <f>PFR!I21</f>
        <v>85.56025998741849</v>
      </c>
      <c r="C21" s="190">
        <f>PFR!G21</f>
        <v>53859.333333333336</v>
      </c>
      <c r="D21" s="191">
        <f t="shared" si="0"/>
        <v>0</v>
      </c>
      <c r="E21" s="191">
        <f t="shared" si="1"/>
        <v>0</v>
      </c>
      <c r="F21" s="192">
        <f t="shared" si="2"/>
        <v>0</v>
      </c>
    </row>
    <row r="22" spans="1:6" s="187" customFormat="1" ht="15" customHeight="1" x14ac:dyDescent="0.2">
      <c r="A22" s="193" t="s">
        <v>63</v>
      </c>
      <c r="B22" s="194">
        <f>PFR!I22</f>
        <v>85.224188344702739</v>
      </c>
      <c r="C22" s="195">
        <f>PFR!G22</f>
        <v>15838.166666666666</v>
      </c>
      <c r="D22" s="196">
        <f t="shared" si="0"/>
        <v>0</v>
      </c>
      <c r="E22" s="196">
        <f t="shared" si="1"/>
        <v>0</v>
      </c>
      <c r="F22" s="197">
        <f t="shared" si="2"/>
        <v>0</v>
      </c>
    </row>
    <row r="23" spans="1:6" s="187" customFormat="1" ht="15" customHeight="1" x14ac:dyDescent="0.2">
      <c r="A23" s="188" t="s">
        <v>64</v>
      </c>
      <c r="B23" s="189">
        <f>PFR!I23</f>
        <v>79.162002728963969</v>
      </c>
      <c r="C23" s="190">
        <f>PFR!G23</f>
        <v>492933.66666666669</v>
      </c>
      <c r="D23" s="191">
        <f t="shared" si="0"/>
        <v>0</v>
      </c>
      <c r="E23" s="191">
        <f t="shared" si="1"/>
        <v>0</v>
      </c>
      <c r="F23" s="192">
        <f t="shared" si="2"/>
        <v>0</v>
      </c>
    </row>
    <row r="24" spans="1:6" s="187" customFormat="1" ht="15" customHeight="1" x14ac:dyDescent="0.2">
      <c r="A24" s="193" t="s">
        <v>65</v>
      </c>
      <c r="B24" s="194">
        <f>PFR!I24</f>
        <v>83.18178697884197</v>
      </c>
      <c r="C24" s="195">
        <f>PFR!G24</f>
        <v>202875</v>
      </c>
      <c r="D24" s="196">
        <f t="shared" si="0"/>
        <v>0</v>
      </c>
      <c r="E24" s="196">
        <f t="shared" si="1"/>
        <v>0</v>
      </c>
      <c r="F24" s="197">
        <f t="shared" si="2"/>
        <v>0</v>
      </c>
    </row>
    <row r="25" spans="1:6" s="187" customFormat="1" ht="15" customHeight="1" x14ac:dyDescent="0.2">
      <c r="A25" s="188" t="s">
        <v>66</v>
      </c>
      <c r="B25" s="189">
        <f>PFR!I25</f>
        <v>85.281456530778215</v>
      </c>
      <c r="C25" s="190">
        <f>PFR!G25</f>
        <v>636686.16666666663</v>
      </c>
      <c r="D25" s="191">
        <f t="shared" si="0"/>
        <v>0</v>
      </c>
      <c r="E25" s="191">
        <f t="shared" si="1"/>
        <v>0</v>
      </c>
      <c r="F25" s="192">
        <f t="shared" si="2"/>
        <v>0</v>
      </c>
    </row>
    <row r="26" spans="1:6" s="187" customFormat="1" ht="15" customHeight="1" x14ac:dyDescent="0.2">
      <c r="A26" s="193" t="s">
        <v>67</v>
      </c>
      <c r="B26" s="194">
        <f>PFR!I26</f>
        <v>78.981526471689705</v>
      </c>
      <c r="C26" s="195">
        <f>PFR!G26</f>
        <v>260477.5</v>
      </c>
      <c r="D26" s="196">
        <f t="shared" si="0"/>
        <v>0</v>
      </c>
      <c r="E26" s="196">
        <f t="shared" si="1"/>
        <v>0</v>
      </c>
      <c r="F26" s="197">
        <f t="shared" si="2"/>
        <v>0</v>
      </c>
    </row>
    <row r="27" spans="1:6" s="187" customFormat="1" ht="15" customHeight="1" x14ac:dyDescent="0.2">
      <c r="A27" s="188" t="s">
        <v>68</v>
      </c>
      <c r="B27" s="189">
        <f>PFR!I27</f>
        <v>97.387850243416239</v>
      </c>
      <c r="C27" s="190">
        <f>PFR!G27</f>
        <v>346332.66666666669</v>
      </c>
      <c r="D27" s="191">
        <f t="shared" si="0"/>
        <v>0</v>
      </c>
      <c r="E27" s="191">
        <f t="shared" si="1"/>
        <v>0</v>
      </c>
      <c r="F27" s="192">
        <f t="shared" si="2"/>
        <v>0</v>
      </c>
    </row>
    <row r="28" spans="1:6" s="187" customFormat="1" ht="15" customHeight="1" x14ac:dyDescent="0.2">
      <c r="A28" s="193" t="s">
        <v>69</v>
      </c>
      <c r="B28" s="194">
        <f>PFR!I28</f>
        <v>99.634121607475862</v>
      </c>
      <c r="C28" s="195">
        <f>PFR!G28</f>
        <v>752042.66666666663</v>
      </c>
      <c r="D28" s="196">
        <f t="shared" si="0"/>
        <v>0</v>
      </c>
      <c r="E28" s="196">
        <f t="shared" si="1"/>
        <v>0</v>
      </c>
      <c r="F28" s="197">
        <f t="shared" si="2"/>
        <v>0</v>
      </c>
    </row>
    <row r="29" spans="1:6" s="187" customFormat="1" ht="15" customHeight="1" x14ac:dyDescent="0.2">
      <c r="A29" s="188" t="s">
        <v>70</v>
      </c>
      <c r="B29" s="189">
        <f>PFR!I29</f>
        <v>66.778651523513304</v>
      </c>
      <c r="C29" s="190">
        <f>PFR!G29</f>
        <v>332644.83333333331</v>
      </c>
      <c r="D29" s="191">
        <f t="shared" si="0"/>
        <v>0</v>
      </c>
      <c r="E29" s="191">
        <f t="shared" si="1"/>
        <v>0</v>
      </c>
      <c r="F29" s="192">
        <f t="shared" si="2"/>
        <v>0</v>
      </c>
    </row>
    <row r="30" spans="1:6" s="187" customFormat="1" ht="15" customHeight="1" x14ac:dyDescent="0.2">
      <c r="A30" s="193" t="s">
        <v>71</v>
      </c>
      <c r="B30" s="194">
        <f>PFR!I30</f>
        <v>94.252254639851557</v>
      </c>
      <c r="C30" s="195">
        <f>PFR!G30</f>
        <v>176864</v>
      </c>
      <c r="D30" s="196">
        <f t="shared" si="0"/>
        <v>0</v>
      </c>
      <c r="E30" s="196">
        <f t="shared" si="1"/>
        <v>0</v>
      </c>
      <c r="F30" s="197">
        <f t="shared" si="2"/>
        <v>0</v>
      </c>
    </row>
    <row r="31" spans="1:6" s="187" customFormat="1" ht="15" customHeight="1" x14ac:dyDescent="0.2">
      <c r="A31" s="188" t="s">
        <v>72</v>
      </c>
      <c r="B31" s="189">
        <f>PFR!I31</f>
        <v>146.10560413880563</v>
      </c>
      <c r="C31" s="190">
        <f>PFR!G31</f>
        <v>470811.5</v>
      </c>
      <c r="D31" s="191">
        <f t="shared" si="0"/>
        <v>21707048.642997287</v>
      </c>
      <c r="E31" s="191">
        <f t="shared" si="1"/>
        <v>837.33776457521742</v>
      </c>
      <c r="F31" s="192">
        <f t="shared" si="2"/>
        <v>394228248.94630498</v>
      </c>
    </row>
    <row r="32" spans="1:6" s="187" customFormat="1" ht="15" customHeight="1" x14ac:dyDescent="0.2">
      <c r="A32" s="193" t="s">
        <v>73</v>
      </c>
      <c r="B32" s="194">
        <f>PFR!I32</f>
        <v>65.924443163521232</v>
      </c>
      <c r="C32" s="195">
        <f>PFR!G32</f>
        <v>71776.333333333328</v>
      </c>
      <c r="D32" s="196">
        <f t="shared" si="0"/>
        <v>0</v>
      </c>
      <c r="E32" s="196">
        <f t="shared" si="1"/>
        <v>0</v>
      </c>
      <c r="F32" s="197">
        <f t="shared" si="2"/>
        <v>0</v>
      </c>
    </row>
    <row r="33" spans="1:6" s="187" customFormat="1" ht="15" customHeight="1" x14ac:dyDescent="0.2">
      <c r="A33" s="198" t="s">
        <v>77</v>
      </c>
      <c r="B33" s="199">
        <f>PFR!I33</f>
        <v>100</v>
      </c>
      <c r="C33" s="200">
        <f>SUM(BEV)</f>
        <v>8175340.166666667</v>
      </c>
      <c r="D33" s="200">
        <f>SUM(D7:D32)</f>
        <v>90891555.070703447</v>
      </c>
      <c r="E33" s="200"/>
      <c r="F33" s="201">
        <f>SUM(F7:F32)</f>
        <v>1650708909.7572691</v>
      </c>
    </row>
  </sheetData>
  <conditionalFormatting sqref="B33">
    <cfRule type="expression" dxfId="4" priority="1" stopIfTrue="1">
      <formula>ISBLANK(B33)</formula>
    </cfRule>
  </conditionalFormatting>
  <conditionalFormatting sqref="B33">
    <cfRule type="expression" dxfId="3" priority="2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4" orientation="landscape" r:id="rId1"/>
  <headerFooter>
    <oddHeader>&amp;L&amp;F&amp;R&amp;A</oddHeader>
    <oddFooter>&amp;C&amp;P/&amp;N</oddFoot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 x14ac:dyDescent="0.2"/>
  <cols>
    <col min="1" max="1" width="17.28515625" style="2" customWidth="1"/>
    <col min="2" max="2" width="11.85546875" style="2" customWidth="1"/>
    <col min="3" max="3" width="13.5703125" style="2" customWidth="1"/>
    <col min="4" max="4" width="15.140625" style="2" customWidth="1"/>
    <col min="5" max="5" width="13" style="2" customWidth="1"/>
    <col min="6" max="8" width="13.7109375" style="2" customWidth="1"/>
    <col min="9" max="9" width="5" style="1" customWidth="1"/>
    <col min="10" max="10" width="11.28515625" style="2" customWidth="1"/>
    <col min="11" max="11" width="12.42578125" style="2" customWidth="1"/>
  </cols>
  <sheetData>
    <row r="1" spans="1:12" ht="26.25" customHeight="1" x14ac:dyDescent="0.2">
      <c r="A1" s="93" t="str">
        <f>"Outpayments to financially weak cantons "&amp;Info!C30</f>
        <v>Outpayments to financially weak cantons 2018</v>
      </c>
      <c r="B1" s="93"/>
      <c r="C1" s="93"/>
      <c r="D1" s="93"/>
      <c r="E1" s="93"/>
      <c r="F1" s="93"/>
      <c r="G1" s="93"/>
      <c r="H1" s="93"/>
      <c r="J1" s="1"/>
      <c r="K1" s="1"/>
    </row>
    <row r="2" spans="1:12" ht="18.75" customHeight="1" x14ac:dyDescent="0.2">
      <c r="G2" s="1"/>
      <c r="H2" s="19" t="str">
        <f>Info!$C$28</f>
        <v>FA_2018_20170823</v>
      </c>
      <c r="I2" s="2"/>
      <c r="J2" s="1"/>
      <c r="K2" s="1"/>
    </row>
    <row r="3" spans="1:12" s="2" customFormat="1" x14ac:dyDescent="0.2">
      <c r="A3" s="62" t="s">
        <v>27</v>
      </c>
      <c r="B3" s="176" t="s">
        <v>99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4" t="s">
        <v>33</v>
      </c>
    </row>
    <row r="4" spans="1:12" ht="45" customHeight="1" x14ac:dyDescent="0.2">
      <c r="A4" s="181"/>
      <c r="B4" s="183" t="s">
        <v>42</v>
      </c>
      <c r="C4" s="183" t="s">
        <v>106</v>
      </c>
      <c r="D4" s="183" t="s">
        <v>103</v>
      </c>
      <c r="E4" s="183" t="s">
        <v>104</v>
      </c>
      <c r="F4" s="202" t="s">
        <v>105</v>
      </c>
      <c r="G4" s="203" t="s">
        <v>107</v>
      </c>
      <c r="H4" s="204" t="s">
        <v>108</v>
      </c>
      <c r="J4" s="313" t="s">
        <v>109</v>
      </c>
      <c r="K4" s="314"/>
    </row>
    <row r="5" spans="1:12" s="187" customFormat="1" x14ac:dyDescent="0.2">
      <c r="A5" s="76" t="s">
        <v>44</v>
      </c>
      <c r="B5" s="185" t="s">
        <v>81</v>
      </c>
      <c r="C5" s="102" t="s">
        <v>46</v>
      </c>
      <c r="D5" s="102"/>
      <c r="E5" s="102" t="s">
        <v>47</v>
      </c>
      <c r="F5" s="102" t="s">
        <v>47</v>
      </c>
      <c r="G5" s="102" t="s">
        <v>47</v>
      </c>
      <c r="H5" s="186" t="s">
        <v>47</v>
      </c>
      <c r="J5" s="205" t="s">
        <v>110</v>
      </c>
      <c r="K5" s="206">
        <v>0.52575966802726104</v>
      </c>
      <c r="L5" s="207"/>
    </row>
    <row r="6" spans="1:12" s="187" customFormat="1" ht="15" customHeight="1" x14ac:dyDescent="0.2">
      <c r="A6" s="208" t="s">
        <v>48</v>
      </c>
      <c r="B6" s="209">
        <f>PFR!I7</f>
        <v>120.23444638376803</v>
      </c>
      <c r="C6" s="191">
        <f>PFR!G7</f>
        <v>1430939.1666666667</v>
      </c>
      <c r="D6" s="191">
        <f>IF(B6&lt;100,(100-RI)^(1+p)*BEV,0)</f>
        <v>0</v>
      </c>
      <c r="E6" s="191">
        <f t="shared" ref="E6:E31" si="0">IF(B6&lt;100,B/SUM*(100-RI)^(1+p),0)</f>
        <v>0</v>
      </c>
      <c r="F6" s="210">
        <f t="shared" ref="F6:F31" si="1">E6*BEV</f>
        <v>0</v>
      </c>
      <c r="G6" s="211">
        <f>Endowment!$D$25/Endowment!$D$26*F6</f>
        <v>0</v>
      </c>
      <c r="H6" s="212">
        <f t="shared" ref="H6:H31" si="2">F6-G6</f>
        <v>0</v>
      </c>
      <c r="J6" s="205" t="s">
        <v>111</v>
      </c>
      <c r="K6" s="213">
        <f>(RI_26/RI_MIN)*p</f>
        <v>0.52575966802726304</v>
      </c>
    </row>
    <row r="7" spans="1:12" s="187" customFormat="1" ht="15" customHeight="1" x14ac:dyDescent="0.2">
      <c r="A7" s="193" t="s">
        <v>49</v>
      </c>
      <c r="B7" s="214">
        <f>PFR!I8</f>
        <v>75.168407953405321</v>
      </c>
      <c r="C7" s="196">
        <f>PFR!G8</f>
        <v>1004929.8333333334</v>
      </c>
      <c r="D7" s="196">
        <f>IF(B7&lt;100,(100-B7)^(1+p)*BEV,0)</f>
        <v>135075766.55432853</v>
      </c>
      <c r="E7" s="196">
        <f t="shared" si="0"/>
        <v>1195.7551665425619</v>
      </c>
      <c r="F7" s="215">
        <f t="shared" si="1"/>
        <v>1201650040.2210891</v>
      </c>
      <c r="G7" s="216">
        <f>Endowment!$D$25/Endowment!$D$26*F7</f>
        <v>486878145.04737574</v>
      </c>
      <c r="H7" s="217">
        <f t="shared" si="2"/>
        <v>714771895.17371345</v>
      </c>
      <c r="J7" s="205" t="s">
        <v>112</v>
      </c>
      <c r="K7" s="218">
        <f>MIN(B6:B31)</f>
        <v>65.924443163521232</v>
      </c>
    </row>
    <row r="8" spans="1:12" s="187" customFormat="1" ht="15" customHeight="1" x14ac:dyDescent="0.2">
      <c r="A8" s="188" t="s">
        <v>50</v>
      </c>
      <c r="B8" s="209">
        <f>PFR!I9</f>
        <v>89.455191638153707</v>
      </c>
      <c r="C8" s="191">
        <f>PFR!G9</f>
        <v>391300</v>
      </c>
      <c r="D8" s="191">
        <f t="shared" ref="D8:D31" si="3">IF(B8&lt;100,(100-RI)^(1+p)*BEV,0)</f>
        <v>14237083.169539886</v>
      </c>
      <c r="E8" s="191">
        <f t="shared" si="0"/>
        <v>323.6769243452718</v>
      </c>
      <c r="F8" s="210">
        <f t="shared" si="1"/>
        <v>126654780.49630485</v>
      </c>
      <c r="G8" s="211">
        <f>Endowment!$D$25/Endowment!$D$26*F8</f>
        <v>51317307.473378651</v>
      </c>
      <c r="H8" s="212">
        <f t="shared" si="2"/>
        <v>75337473.022926211</v>
      </c>
      <c r="J8" s="205" t="s">
        <v>113</v>
      </c>
      <c r="K8" s="218">
        <f>100-((sse*SUM)/((1+p)*B*100))^(1/p)</f>
        <v>65.924443163520976</v>
      </c>
    </row>
    <row r="9" spans="1:12" s="187" customFormat="1" ht="15" customHeight="1" x14ac:dyDescent="0.2">
      <c r="A9" s="193" t="s">
        <v>51</v>
      </c>
      <c r="B9" s="214">
        <f>PFR!I10</f>
        <v>68.157172293312769</v>
      </c>
      <c r="C9" s="196">
        <f>PFR!G10</f>
        <v>36219.666666666664</v>
      </c>
      <c r="D9" s="196">
        <f t="shared" si="3"/>
        <v>7115066.6092993608</v>
      </c>
      <c r="E9" s="196">
        <f t="shared" si="0"/>
        <v>1747.5720314251689</v>
      </c>
      <c r="F9" s="215">
        <f t="shared" si="1"/>
        <v>63296476.454209141</v>
      </c>
      <c r="G9" s="216">
        <f>Endowment!$D$25/Endowment!$D$26*F9</f>
        <v>25646128.250776041</v>
      </c>
      <c r="H9" s="217">
        <f t="shared" si="2"/>
        <v>37650348.203433096</v>
      </c>
      <c r="J9" s="219"/>
      <c r="K9" s="220"/>
    </row>
    <row r="10" spans="1:12" s="187" customFormat="1" ht="15" customHeight="1" x14ac:dyDescent="0.2">
      <c r="A10" s="188" t="s">
        <v>52</v>
      </c>
      <c r="B10" s="209">
        <f>PFR!I11</f>
        <v>172.11390152650415</v>
      </c>
      <c r="C10" s="191">
        <f>PFR!G11</f>
        <v>151973.83333333334</v>
      </c>
      <c r="D10" s="191">
        <f t="shared" si="3"/>
        <v>0</v>
      </c>
      <c r="E10" s="191">
        <f t="shared" si="0"/>
        <v>0</v>
      </c>
      <c r="F10" s="210">
        <f t="shared" si="1"/>
        <v>0</v>
      </c>
      <c r="G10" s="211">
        <f>Endowment!$D$25/Endowment!$D$26*F10</f>
        <v>0</v>
      </c>
      <c r="H10" s="212">
        <f t="shared" si="2"/>
        <v>0</v>
      </c>
      <c r="J10" s="219"/>
      <c r="K10" s="220"/>
    </row>
    <row r="11" spans="1:12" s="187" customFormat="1" ht="15" customHeight="1" x14ac:dyDescent="0.2">
      <c r="A11" s="193" t="s">
        <v>53</v>
      </c>
      <c r="B11" s="214">
        <f>PFR!I12</f>
        <v>102.37984248534543</v>
      </c>
      <c r="C11" s="196">
        <f>PFR!G12</f>
        <v>36738.833333333336</v>
      </c>
      <c r="D11" s="196">
        <f t="shared" si="3"/>
        <v>0</v>
      </c>
      <c r="E11" s="196">
        <f t="shared" si="0"/>
        <v>0</v>
      </c>
      <c r="F11" s="215">
        <f t="shared" si="1"/>
        <v>0</v>
      </c>
      <c r="G11" s="216">
        <f>Endowment!$D$25/Endowment!$D$26*F11</f>
        <v>0</v>
      </c>
      <c r="H11" s="217">
        <f t="shared" si="2"/>
        <v>0</v>
      </c>
      <c r="J11" s="219"/>
      <c r="K11" s="220"/>
    </row>
    <row r="12" spans="1:12" s="187" customFormat="1" ht="15" customHeight="1" x14ac:dyDescent="0.2">
      <c r="A12" s="188" t="s">
        <v>54</v>
      </c>
      <c r="B12" s="209">
        <f>PFR!I13</f>
        <v>159.7266166316534</v>
      </c>
      <c r="C12" s="191">
        <f>PFR!G13</f>
        <v>42053.5</v>
      </c>
      <c r="D12" s="191">
        <f t="shared" si="3"/>
        <v>0</v>
      </c>
      <c r="E12" s="191">
        <f t="shared" si="0"/>
        <v>0</v>
      </c>
      <c r="F12" s="210">
        <f t="shared" si="1"/>
        <v>0</v>
      </c>
      <c r="G12" s="211">
        <f>Endowment!$D$25/Endowment!$D$26*F12</f>
        <v>0</v>
      </c>
      <c r="H12" s="212">
        <f t="shared" si="2"/>
        <v>0</v>
      </c>
      <c r="J12" s="205" t="s">
        <v>99</v>
      </c>
      <c r="K12" s="221">
        <f>Endowment!D26</f>
        <v>4074067501.2432957</v>
      </c>
    </row>
    <row r="13" spans="1:12" s="187" customFormat="1" ht="15" customHeight="1" x14ac:dyDescent="0.2">
      <c r="A13" s="193" t="s">
        <v>55</v>
      </c>
      <c r="B13" s="214">
        <f>PFR!I14</f>
        <v>71.159692927477892</v>
      </c>
      <c r="C13" s="196">
        <f>PFR!G14</f>
        <v>40108</v>
      </c>
      <c r="D13" s="196">
        <f t="shared" si="3"/>
        <v>6773918.0567036541</v>
      </c>
      <c r="E13" s="196">
        <f t="shared" si="0"/>
        <v>1502.4827582441142</v>
      </c>
      <c r="F13" s="215">
        <f t="shared" si="1"/>
        <v>60261578.467654929</v>
      </c>
      <c r="G13" s="216">
        <f>Endowment!$D$25/Endowment!$D$26*F13</f>
        <v>24416464.494571563</v>
      </c>
      <c r="H13" s="217">
        <f t="shared" si="2"/>
        <v>35845113.973083362</v>
      </c>
      <c r="J13" s="205" t="s">
        <v>15</v>
      </c>
      <c r="K13" s="221">
        <f>STR!E32</f>
        <v>8677.275727736127</v>
      </c>
    </row>
    <row r="14" spans="1:12" s="187" customFormat="1" ht="15" customHeight="1" x14ac:dyDescent="0.2">
      <c r="A14" s="188" t="s">
        <v>56</v>
      </c>
      <c r="B14" s="209">
        <f>PFR!I15</f>
        <v>244.14920647254812</v>
      </c>
      <c r="C14" s="191">
        <f>PFR!G15</f>
        <v>118957.66666666667</v>
      </c>
      <c r="D14" s="191">
        <f t="shared" si="3"/>
        <v>0</v>
      </c>
      <c r="E14" s="191">
        <f t="shared" si="0"/>
        <v>0</v>
      </c>
      <c r="F14" s="210">
        <f t="shared" si="1"/>
        <v>0</v>
      </c>
      <c r="G14" s="211">
        <f>Endowment!$D$25/Endowment!$D$26*F14</f>
        <v>0</v>
      </c>
      <c r="H14" s="212">
        <f t="shared" si="2"/>
        <v>0</v>
      </c>
    </row>
    <row r="15" spans="1:12" s="187" customFormat="1" ht="15" customHeight="1" x14ac:dyDescent="0.2">
      <c r="A15" s="193" t="s">
        <v>57</v>
      </c>
      <c r="B15" s="214">
        <f>PFR!I16</f>
        <v>79.497815790565781</v>
      </c>
      <c r="C15" s="196">
        <f>PFR!G16</f>
        <v>296596</v>
      </c>
      <c r="D15" s="196">
        <f t="shared" si="3"/>
        <v>29761651.196883362</v>
      </c>
      <c r="E15" s="196">
        <f t="shared" si="0"/>
        <v>892.67279057222584</v>
      </c>
      <c r="F15" s="215">
        <f t="shared" si="1"/>
        <v>264763178.99255988</v>
      </c>
      <c r="G15" s="216">
        <f>Endowment!$D$25/Endowment!$D$26*F15</f>
        <v>107275330.71194877</v>
      </c>
      <c r="H15" s="217">
        <f t="shared" si="2"/>
        <v>157487848.2806111</v>
      </c>
    </row>
    <row r="16" spans="1:12" s="187" customFormat="1" ht="15" customHeight="1" x14ac:dyDescent="0.2">
      <c r="A16" s="188" t="s">
        <v>58</v>
      </c>
      <c r="B16" s="209">
        <f>PFR!I17</f>
        <v>74.611443657919651</v>
      </c>
      <c r="C16" s="191">
        <f>PFR!G17</f>
        <v>262249.5</v>
      </c>
      <c r="D16" s="191">
        <f t="shared" si="3"/>
        <v>36463192.256646551</v>
      </c>
      <c r="E16" s="191">
        <f t="shared" si="0"/>
        <v>1236.9170698552409</v>
      </c>
      <c r="F16" s="210">
        <f t="shared" si="1"/>
        <v>324380883.11100203</v>
      </c>
      <c r="G16" s="211">
        <f>Endowment!$D$25/Endowment!$D$26*F16</f>
        <v>131430913.63676594</v>
      </c>
      <c r="H16" s="212">
        <f t="shared" si="2"/>
        <v>192949969.47423607</v>
      </c>
    </row>
    <row r="17" spans="1:8" s="187" customFormat="1" ht="15" customHeight="1" x14ac:dyDescent="0.2">
      <c r="A17" s="193" t="s">
        <v>59</v>
      </c>
      <c r="B17" s="214">
        <f>PFR!I18</f>
        <v>149.67813789242132</v>
      </c>
      <c r="C17" s="196">
        <f>PFR!G18</f>
        <v>191714.5</v>
      </c>
      <c r="D17" s="196">
        <f t="shared" si="3"/>
        <v>0</v>
      </c>
      <c r="E17" s="196">
        <f t="shared" si="0"/>
        <v>0</v>
      </c>
      <c r="F17" s="215">
        <f t="shared" si="1"/>
        <v>0</v>
      </c>
      <c r="G17" s="216">
        <f>Endowment!$D$25/Endowment!$D$26*F17</f>
        <v>0</v>
      </c>
      <c r="H17" s="217">
        <f t="shared" si="2"/>
        <v>0</v>
      </c>
    </row>
    <row r="18" spans="1:8" s="187" customFormat="1" ht="15" customHeight="1" x14ac:dyDescent="0.2">
      <c r="A18" s="188" t="s">
        <v>60</v>
      </c>
      <c r="B18" s="209">
        <f>PFR!I19</f>
        <v>96.50464550473859</v>
      </c>
      <c r="C18" s="191">
        <f>PFR!G19</f>
        <v>279281.5</v>
      </c>
      <c r="D18" s="191">
        <f t="shared" si="3"/>
        <v>1884860.2862580034</v>
      </c>
      <c r="E18" s="191">
        <f t="shared" si="0"/>
        <v>60.039568193693064</v>
      </c>
      <c r="F18" s="210">
        <f t="shared" si="1"/>
        <v>16767940.664486889</v>
      </c>
      <c r="G18" s="211">
        <f>Endowment!$D$25/Endowment!$D$26*F18</f>
        <v>6793944.6375650018</v>
      </c>
      <c r="H18" s="212">
        <f t="shared" si="2"/>
        <v>9973996.026921887</v>
      </c>
    </row>
    <row r="19" spans="1:8" s="187" customFormat="1" ht="15" customHeight="1" x14ac:dyDescent="0.2">
      <c r="A19" s="193" t="s">
        <v>61</v>
      </c>
      <c r="B19" s="214">
        <f>PFR!I20</f>
        <v>93.030137348860023</v>
      </c>
      <c r="C19" s="196">
        <f>PFR!G20</f>
        <v>79136.333333333328</v>
      </c>
      <c r="D19" s="196">
        <f t="shared" si="3"/>
        <v>1530852.7893768402</v>
      </c>
      <c r="E19" s="196">
        <f t="shared" si="0"/>
        <v>172.09096518337134</v>
      </c>
      <c r="F19" s="215">
        <f t="shared" si="1"/>
        <v>13618647.984406335</v>
      </c>
      <c r="G19" s="216">
        <f>Endowment!$D$25/Endowment!$D$26*F19</f>
        <v>5517931.050442094</v>
      </c>
      <c r="H19" s="217">
        <f t="shared" si="2"/>
        <v>8100716.9339642413</v>
      </c>
    </row>
    <row r="20" spans="1:8" s="187" customFormat="1" ht="15" customHeight="1" x14ac:dyDescent="0.2">
      <c r="A20" s="188" t="s">
        <v>62</v>
      </c>
      <c r="B20" s="209">
        <f>PFR!I21</f>
        <v>85.56025998741849</v>
      </c>
      <c r="C20" s="191">
        <f>PFR!G21</f>
        <v>53859.333333333336</v>
      </c>
      <c r="D20" s="191">
        <f t="shared" si="3"/>
        <v>3165701.0387271899</v>
      </c>
      <c r="E20" s="191">
        <f t="shared" si="0"/>
        <v>522.88898083916854</v>
      </c>
      <c r="F20" s="210">
        <f t="shared" si="1"/>
        <v>28162451.915343724</v>
      </c>
      <c r="G20" s="211">
        <f>Endowment!$D$25/Endowment!$D$26*F20</f>
        <v>11410711.845859617</v>
      </c>
      <c r="H20" s="212">
        <f t="shared" si="2"/>
        <v>16751740.069484107</v>
      </c>
    </row>
    <row r="21" spans="1:8" s="187" customFormat="1" ht="15" customHeight="1" x14ac:dyDescent="0.2">
      <c r="A21" s="193" t="s">
        <v>63</v>
      </c>
      <c r="B21" s="214">
        <f>PFR!I22</f>
        <v>85.224188344702739</v>
      </c>
      <c r="C21" s="196">
        <f>PFR!G22</f>
        <v>15838.166666666666</v>
      </c>
      <c r="D21" s="196">
        <f t="shared" si="3"/>
        <v>964182.36315438838</v>
      </c>
      <c r="E21" s="196">
        <f t="shared" si="0"/>
        <v>541.57029927022973</v>
      </c>
      <c r="F21" s="215">
        <f t="shared" si="1"/>
        <v>8577480.6615584437</v>
      </c>
      <c r="G21" s="216">
        <f>Endowment!$D$25/Endowment!$D$26*F21</f>
        <v>3475377.800437592</v>
      </c>
      <c r="H21" s="217">
        <f t="shared" si="2"/>
        <v>5102102.8611208517</v>
      </c>
    </row>
    <row r="22" spans="1:8" s="187" customFormat="1" ht="15" customHeight="1" x14ac:dyDescent="0.2">
      <c r="A22" s="188" t="s">
        <v>64</v>
      </c>
      <c r="B22" s="209">
        <f>PFR!I23</f>
        <v>79.162002728963969</v>
      </c>
      <c r="C22" s="191">
        <f>PFR!G23</f>
        <v>492933.66666666669</v>
      </c>
      <c r="D22" s="191">
        <f t="shared" si="3"/>
        <v>50704410.540252358</v>
      </c>
      <c r="E22" s="191">
        <f t="shared" si="0"/>
        <v>915.0773837842105</v>
      </c>
      <c r="F22" s="210">
        <f t="shared" si="1"/>
        <v>451072450.07249147</v>
      </c>
      <c r="G22" s="211">
        <f>Endowment!$D$25/Endowment!$D$26*F22</f>
        <v>182763126.05362433</v>
      </c>
      <c r="H22" s="212">
        <f t="shared" si="2"/>
        <v>268309324.01886714</v>
      </c>
    </row>
    <row r="23" spans="1:8" s="187" customFormat="1" ht="15" customHeight="1" x14ac:dyDescent="0.2">
      <c r="A23" s="193" t="s">
        <v>65</v>
      </c>
      <c r="B23" s="214">
        <f>PFR!I24</f>
        <v>83.18178697884197</v>
      </c>
      <c r="C23" s="196">
        <f>PFR!G24</f>
        <v>202875</v>
      </c>
      <c r="D23" s="196">
        <f t="shared" si="3"/>
        <v>15047833.88421412</v>
      </c>
      <c r="E23" s="196">
        <f t="shared" si="0"/>
        <v>659.85121387500158</v>
      </c>
      <c r="F23" s="215">
        <f t="shared" si="1"/>
        <v>133867315.01489094</v>
      </c>
      <c r="G23" s="216">
        <f>Endowment!$D$25/Endowment!$D$26*F23</f>
        <v>54239643.686052732</v>
      </c>
      <c r="H23" s="217">
        <f t="shared" si="2"/>
        <v>79627671.328838199</v>
      </c>
    </row>
    <row r="24" spans="1:8" s="187" customFormat="1" ht="15" customHeight="1" x14ac:dyDescent="0.2">
      <c r="A24" s="188" t="s">
        <v>66</v>
      </c>
      <c r="B24" s="209">
        <f>PFR!I25</f>
        <v>85.281456530778215</v>
      </c>
      <c r="C24" s="191">
        <f>PFR!G25</f>
        <v>636686.16666666663</v>
      </c>
      <c r="D24" s="191">
        <f t="shared" si="3"/>
        <v>38530662.528405413</v>
      </c>
      <c r="E24" s="191">
        <f t="shared" si="0"/>
        <v>538.37096172503186</v>
      </c>
      <c r="F24" s="210">
        <f t="shared" si="1"/>
        <v>342773343.86535722</v>
      </c>
      <c r="G24" s="211">
        <f>Endowment!$D$25/Endowment!$D$26*F24</f>
        <v>138883072.64746219</v>
      </c>
      <c r="H24" s="212">
        <f t="shared" si="2"/>
        <v>203890271.21789503</v>
      </c>
    </row>
    <row r="25" spans="1:8" s="187" customFormat="1" ht="15" customHeight="1" x14ac:dyDescent="0.2">
      <c r="A25" s="193" t="s">
        <v>67</v>
      </c>
      <c r="B25" s="214">
        <f>PFR!I26</f>
        <v>78.981526471689705</v>
      </c>
      <c r="C25" s="196">
        <f>PFR!G26</f>
        <v>260477.5</v>
      </c>
      <c r="D25" s="196">
        <f t="shared" si="3"/>
        <v>27148243.775268935</v>
      </c>
      <c r="E25" s="196">
        <f t="shared" si="0"/>
        <v>927.19715369285905</v>
      </c>
      <c r="F25" s="215">
        <f t="shared" si="1"/>
        <v>241513996.60103169</v>
      </c>
      <c r="G25" s="216">
        <f>Endowment!$D$25/Endowment!$D$26*F25</f>
        <v>97855351.169009045</v>
      </c>
      <c r="H25" s="217">
        <f t="shared" si="2"/>
        <v>143658645.43202263</v>
      </c>
    </row>
    <row r="26" spans="1:8" s="187" customFormat="1" ht="15" customHeight="1" x14ac:dyDescent="0.2">
      <c r="A26" s="188" t="s">
        <v>68</v>
      </c>
      <c r="B26" s="209">
        <f>PFR!I27</f>
        <v>97.387850243416239</v>
      </c>
      <c r="C26" s="191">
        <f>PFR!G27</f>
        <v>346332.66666666669</v>
      </c>
      <c r="D26" s="191">
        <f t="shared" si="3"/>
        <v>1498760.6990965598</v>
      </c>
      <c r="E26" s="191">
        <f t="shared" si="0"/>
        <v>38.498109552437342</v>
      </c>
      <c r="F26" s="210">
        <f t="shared" si="1"/>
        <v>13333152.942921098</v>
      </c>
      <c r="G26" s="211">
        <f>Endowment!$D$25/Endowment!$D$26*F26</f>
        <v>5402255.6944183214</v>
      </c>
      <c r="H26" s="212">
        <f t="shared" si="2"/>
        <v>7930897.248502777</v>
      </c>
    </row>
    <row r="27" spans="1:8" s="187" customFormat="1" ht="15" customHeight="1" x14ac:dyDescent="0.2">
      <c r="A27" s="193" t="s">
        <v>69</v>
      </c>
      <c r="B27" s="214">
        <f>PFR!I28</f>
        <v>99.634121607475862</v>
      </c>
      <c r="C27" s="196">
        <f>PFR!G28</f>
        <v>752042.66666666663</v>
      </c>
      <c r="D27" s="196">
        <f t="shared" si="3"/>
        <v>162180.75737162691</v>
      </c>
      <c r="E27" s="196">
        <f t="shared" si="0"/>
        <v>1.9184805827212432</v>
      </c>
      <c r="F27" s="215">
        <f t="shared" si="1"/>
        <v>1442779.2533779042</v>
      </c>
      <c r="G27" s="216">
        <f>Endowment!$D$25/Endowment!$D$26*F27</f>
        <v>584577.59171566123</v>
      </c>
      <c r="H27" s="217">
        <f t="shared" si="2"/>
        <v>858201.66166224296</v>
      </c>
    </row>
    <row r="28" spans="1:8" s="187" customFormat="1" ht="15" customHeight="1" x14ac:dyDescent="0.2">
      <c r="A28" s="188" t="s">
        <v>70</v>
      </c>
      <c r="B28" s="209">
        <f>PFR!I29</f>
        <v>66.778651523513304</v>
      </c>
      <c r="C28" s="191">
        <f>PFR!G29</f>
        <v>332644.83333333331</v>
      </c>
      <c r="D28" s="191">
        <f t="shared" si="3"/>
        <v>69710447.548501447</v>
      </c>
      <c r="E28" s="191">
        <f t="shared" si="0"/>
        <v>1864.3079567347861</v>
      </c>
      <c r="F28" s="210">
        <f t="shared" si="1"/>
        <v>620152409.55005014</v>
      </c>
      <c r="G28" s="211">
        <f>Endowment!$D$25/Endowment!$D$26*F28</f>
        <v>251270040.94539523</v>
      </c>
      <c r="H28" s="212">
        <f t="shared" si="2"/>
        <v>368882368.60465491</v>
      </c>
    </row>
    <row r="29" spans="1:8" s="187" customFormat="1" ht="15" customHeight="1" x14ac:dyDescent="0.2">
      <c r="A29" s="193" t="s">
        <v>71</v>
      </c>
      <c r="B29" s="214">
        <f>PFR!I30</f>
        <v>94.252254639851557</v>
      </c>
      <c r="C29" s="196">
        <f>PFR!G30</f>
        <v>176864</v>
      </c>
      <c r="D29" s="196">
        <f t="shared" si="3"/>
        <v>2549471.2929042727</v>
      </c>
      <c r="E29" s="196">
        <f t="shared" si="0"/>
        <v>128.23637940586937</v>
      </c>
      <c r="F29" s="215">
        <f t="shared" si="1"/>
        <v>22680399.007239681</v>
      </c>
      <c r="G29" s="216">
        <f>Endowment!$D$25/Endowment!$D$26*F29</f>
        <v>9189522.9292777237</v>
      </c>
      <c r="H29" s="217">
        <f t="shared" si="2"/>
        <v>13490876.077961957</v>
      </c>
    </row>
    <row r="30" spans="1:8" s="187" customFormat="1" ht="15" customHeight="1" x14ac:dyDescent="0.2">
      <c r="A30" s="188" t="s">
        <v>72</v>
      </c>
      <c r="B30" s="209">
        <f>PFR!I31</f>
        <v>146.10560413880563</v>
      </c>
      <c r="C30" s="191">
        <f>PFR!G31</f>
        <v>470811.5</v>
      </c>
      <c r="D30" s="191">
        <f t="shared" si="3"/>
        <v>0</v>
      </c>
      <c r="E30" s="191">
        <f t="shared" si="0"/>
        <v>0</v>
      </c>
      <c r="F30" s="210">
        <f t="shared" si="1"/>
        <v>0</v>
      </c>
      <c r="G30" s="211">
        <f>Endowment!$D$25/Endowment!$D$26*F30</f>
        <v>0</v>
      </c>
      <c r="H30" s="212">
        <f t="shared" si="2"/>
        <v>0</v>
      </c>
    </row>
    <row r="31" spans="1:8" s="187" customFormat="1" ht="15" customHeight="1" x14ac:dyDescent="0.2">
      <c r="A31" s="193" t="s">
        <v>73</v>
      </c>
      <c r="B31" s="214">
        <f>PFR!I32</f>
        <v>65.924443163521232</v>
      </c>
      <c r="C31" s="196">
        <f>PFR!G32</f>
        <v>71776.333333333328</v>
      </c>
      <c r="D31" s="196">
        <f t="shared" si="3"/>
        <v>15635829.74886189</v>
      </c>
      <c r="E31" s="196">
        <f t="shared" si="0"/>
        <v>1937.9395617959533</v>
      </c>
      <c r="F31" s="215">
        <f t="shared" si="1"/>
        <v>139098195.96732026</v>
      </c>
      <c r="G31" s="216">
        <f>Endowment!$D$25/Endowment!$D$26*F31</f>
        <v>56359064.091193199</v>
      </c>
      <c r="H31" s="217">
        <f t="shared" si="2"/>
        <v>82739131.876127064</v>
      </c>
    </row>
    <row r="32" spans="1:8" x14ac:dyDescent="0.2">
      <c r="A32" s="198" t="s">
        <v>77</v>
      </c>
      <c r="B32" s="222">
        <f>PFR!I33</f>
        <v>100</v>
      </c>
      <c r="C32" s="200">
        <f>PFR!G33</f>
        <v>8175340.166666667</v>
      </c>
      <c r="D32" s="200">
        <f>SUM(D6:D31)</f>
        <v>457960115.09579438</v>
      </c>
      <c r="E32" s="200"/>
      <c r="F32" s="200">
        <f>SUM(F6:F31)</f>
        <v>4074067501.2432966</v>
      </c>
      <c r="G32" s="223">
        <f>SUM(G6:G31)</f>
        <v>1650708909.7572694</v>
      </c>
      <c r="H32" s="224">
        <f>SUM(H6:H31)</f>
        <v>2423358591.4860263</v>
      </c>
    </row>
  </sheetData>
  <mergeCells count="1"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&amp;C&amp;P/&amp;N</oddFoot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7.42578125" style="2" customWidth="1"/>
    <col min="2" max="2" width="13.85546875" style="2" customWidth="1"/>
    <col min="3" max="3" width="17.42578125" style="2" customWidth="1"/>
    <col min="4" max="4" width="16.7109375" style="2" customWidth="1"/>
    <col min="5" max="5" width="19.140625" style="2" customWidth="1"/>
    <col min="6" max="6" width="15.140625" style="2" customWidth="1"/>
    <col min="7" max="7" width="18.5703125" style="2" customWidth="1"/>
    <col min="8" max="8" width="13.42578125" style="2" customWidth="1"/>
    <col min="9" max="9" width="2.42578125" style="2" customWidth="1"/>
    <col min="10" max="10" width="19.28515625" style="2" customWidth="1"/>
  </cols>
  <sheetData>
    <row r="1" spans="1:10" ht="23.25" customHeight="1" x14ac:dyDescent="0.2">
      <c r="A1" s="17" t="str">
        <f>"Standardized tax revenue (STR) "&amp;Info!C30</f>
        <v>Standardized tax revenue (STR) 2018</v>
      </c>
      <c r="B1" s="17"/>
      <c r="C1" s="17"/>
      <c r="D1" s="17"/>
      <c r="E1" s="17"/>
      <c r="F1" s="17"/>
      <c r="G1" s="17"/>
      <c r="H1" s="17"/>
      <c r="I1" s="1"/>
      <c r="J1" s="19" t="str">
        <f>Info!$C$28</f>
        <v>FA_2018_20170823</v>
      </c>
    </row>
    <row r="2" spans="1:10" s="2" customFormat="1" x14ac:dyDescent="0.2">
      <c r="A2" s="62" t="s">
        <v>27</v>
      </c>
      <c r="B2" s="176" t="s">
        <v>99</v>
      </c>
      <c r="C2" s="63" t="s">
        <v>28</v>
      </c>
      <c r="D2" s="63" t="s">
        <v>29</v>
      </c>
      <c r="E2" s="63" t="s">
        <v>30</v>
      </c>
      <c r="F2" s="63" t="s">
        <v>31</v>
      </c>
      <c r="G2" s="63" t="s">
        <v>32</v>
      </c>
      <c r="H2" s="64" t="s">
        <v>33</v>
      </c>
      <c r="J2" s="225" t="s">
        <v>114</v>
      </c>
    </row>
    <row r="3" spans="1:10" s="24" customFormat="1" ht="11.25" customHeight="1" x14ac:dyDescent="0.2">
      <c r="A3" s="66" t="s">
        <v>35</v>
      </c>
      <c r="B3" s="226"/>
      <c r="C3" s="67"/>
      <c r="D3" s="67"/>
      <c r="E3" s="67" t="s">
        <v>115</v>
      </c>
      <c r="F3" s="67"/>
      <c r="G3" s="67" t="s">
        <v>116</v>
      </c>
      <c r="H3" s="227" t="s">
        <v>117</v>
      </c>
      <c r="J3" s="228" t="s">
        <v>118</v>
      </c>
    </row>
    <row r="4" spans="1:10" ht="51" customHeight="1" x14ac:dyDescent="0.2">
      <c r="A4" s="181"/>
      <c r="B4" s="229" t="s">
        <v>42</v>
      </c>
      <c r="C4" s="229" t="s">
        <v>119</v>
      </c>
      <c r="D4" s="202" t="s">
        <v>6</v>
      </c>
      <c r="E4" s="229" t="s">
        <v>120</v>
      </c>
      <c r="F4" s="202" t="s">
        <v>121</v>
      </c>
      <c r="G4" s="229" t="s">
        <v>122</v>
      </c>
      <c r="H4" s="184" t="s">
        <v>123</v>
      </c>
      <c r="I4" s="230"/>
      <c r="J4" s="231" t="s">
        <v>124</v>
      </c>
    </row>
    <row r="5" spans="1:10" s="35" customFormat="1" ht="11.25" customHeight="1" x14ac:dyDescent="0.2">
      <c r="A5" s="76" t="s">
        <v>44</v>
      </c>
      <c r="B5" s="185" t="s">
        <v>81</v>
      </c>
      <c r="C5" s="102" t="s">
        <v>47</v>
      </c>
      <c r="D5" s="102" t="s">
        <v>46</v>
      </c>
      <c r="E5" s="102" t="s">
        <v>47</v>
      </c>
      <c r="F5" s="232" t="s">
        <v>47</v>
      </c>
      <c r="G5" s="233" t="s">
        <v>47</v>
      </c>
      <c r="H5" s="234" t="s">
        <v>81</v>
      </c>
      <c r="I5" s="235"/>
      <c r="J5" s="236" t="s">
        <v>47</v>
      </c>
    </row>
    <row r="6" spans="1:10" x14ac:dyDescent="0.2">
      <c r="A6" s="237" t="s">
        <v>48</v>
      </c>
      <c r="B6" s="238">
        <f>PFR!I7</f>
        <v>120.23444638376803</v>
      </c>
      <c r="C6" s="47">
        <f>PFR!H7/PFR!$H$33*sse*D6</f>
        <v>14929094834.122154</v>
      </c>
      <c r="D6" s="239">
        <f>PFR!G7</f>
        <v>1430939.1666666667</v>
      </c>
      <c r="E6" s="47">
        <f t="shared" ref="E6:E32" si="0">C6/D6</f>
        <v>10433.074432436613</v>
      </c>
      <c r="F6" s="47">
        <f>IF(B6&gt;100,-Inpayment!F7,Outpayment!F6)/D6</f>
        <v>-367.48387574301341</v>
      </c>
      <c r="G6" s="47">
        <f t="shared" ref="G6:G31" si="1">E6+F6</f>
        <v>10065.5905566936</v>
      </c>
      <c r="H6" s="48">
        <f t="shared" ref="H6:H31" si="2">ROUND(G6/E$32*100,1)</f>
        <v>116</v>
      </c>
      <c r="J6" s="240">
        <f t="shared" ref="J6:J32" si="3">E6-E$32</f>
        <v>1755.7987047004863</v>
      </c>
    </row>
    <row r="7" spans="1:10" x14ac:dyDescent="0.2">
      <c r="A7" s="241" t="s">
        <v>49</v>
      </c>
      <c r="B7" s="242">
        <f>PFR!I8</f>
        <v>75.168407953405321</v>
      </c>
      <c r="C7" s="52">
        <f>PFR!H8/PFR!$H$33*sse*D7</f>
        <v>6554725201.3615656</v>
      </c>
      <c r="D7" s="243">
        <f>PFR!G8</f>
        <v>1004929.8333333334</v>
      </c>
      <c r="E7" s="52">
        <f t="shared" si="0"/>
        <v>6522.5700182665141</v>
      </c>
      <c r="F7" s="52">
        <f>IF(B7&gt;100,-Inpayment!F8,Outpayment!F7)/D7</f>
        <v>1195.7551665425619</v>
      </c>
      <c r="G7" s="52">
        <f t="shared" si="1"/>
        <v>7718.3251848090758</v>
      </c>
      <c r="H7" s="53">
        <f t="shared" si="2"/>
        <v>88.9</v>
      </c>
      <c r="J7" s="244">
        <f t="shared" si="3"/>
        <v>-2154.7057094696129</v>
      </c>
    </row>
    <row r="8" spans="1:10" x14ac:dyDescent="0.2">
      <c r="A8" s="245" t="s">
        <v>50</v>
      </c>
      <c r="B8" s="246">
        <f>PFR!I9</f>
        <v>89.455191638153707</v>
      </c>
      <c r="C8" s="56">
        <f>PFR!H9/PFR!$H$33*sse*D8</f>
        <v>3037377671.8953495</v>
      </c>
      <c r="D8" s="247">
        <f>PFR!G9</f>
        <v>391300</v>
      </c>
      <c r="E8" s="56">
        <f t="shared" si="0"/>
        <v>7762.2736312173511</v>
      </c>
      <c r="F8" s="56">
        <f>IF(B8&gt;100,-Inpayment!F9,Outpayment!F8)/D8</f>
        <v>323.6769243452718</v>
      </c>
      <c r="G8" s="56">
        <f t="shared" si="1"/>
        <v>8085.9505555626229</v>
      </c>
      <c r="H8" s="57">
        <f t="shared" si="2"/>
        <v>93.2</v>
      </c>
      <c r="J8" s="248">
        <f t="shared" si="3"/>
        <v>-915.00209651877594</v>
      </c>
    </row>
    <row r="9" spans="1:10" x14ac:dyDescent="0.2">
      <c r="A9" s="241" t="s">
        <v>51</v>
      </c>
      <c r="B9" s="242">
        <f>PFR!I10</f>
        <v>68.157172293312769</v>
      </c>
      <c r="C9" s="52">
        <f>PFR!H10/PFR!$H$33*sse*D9</f>
        <v>214209837.12601131</v>
      </c>
      <c r="D9" s="243">
        <f>PFR!G10</f>
        <v>36219.666666666664</v>
      </c>
      <c r="E9" s="52">
        <f t="shared" si="0"/>
        <v>5914.1857681189222</v>
      </c>
      <c r="F9" s="52">
        <f>IF(B9&gt;100,-Inpayment!F10,Outpayment!F9)/D9</f>
        <v>1747.5720314251689</v>
      </c>
      <c r="G9" s="52">
        <f t="shared" si="1"/>
        <v>7661.7577995440915</v>
      </c>
      <c r="H9" s="53">
        <f t="shared" si="2"/>
        <v>88.3</v>
      </c>
      <c r="J9" s="244">
        <f t="shared" si="3"/>
        <v>-2763.0899596172048</v>
      </c>
    </row>
    <row r="10" spans="1:10" x14ac:dyDescent="0.2">
      <c r="A10" s="245" t="s">
        <v>52</v>
      </c>
      <c r="B10" s="246">
        <f>PFR!I11</f>
        <v>172.11390152650415</v>
      </c>
      <c r="C10" s="56">
        <f>PFR!H11/PFR!$H$33*sse*D10</f>
        <v>2269698471.9094906</v>
      </c>
      <c r="D10" s="247">
        <f>PFR!G11</f>
        <v>151973.83333333334</v>
      </c>
      <c r="E10" s="56">
        <f t="shared" si="0"/>
        <v>14934.797801219007</v>
      </c>
      <c r="F10" s="56">
        <f>IF(B10&gt;100,-Inpayment!F11,Outpayment!F10)/D10</f>
        <v>-1309.6822875850205</v>
      </c>
      <c r="G10" s="56">
        <f t="shared" si="1"/>
        <v>13625.115513633986</v>
      </c>
      <c r="H10" s="57">
        <f t="shared" si="2"/>
        <v>157</v>
      </c>
      <c r="J10" s="248">
        <f t="shared" si="3"/>
        <v>6257.5220734828799</v>
      </c>
    </row>
    <row r="11" spans="1:10" x14ac:dyDescent="0.2">
      <c r="A11" s="241" t="s">
        <v>53</v>
      </c>
      <c r="B11" s="242">
        <f>PFR!I12</f>
        <v>102.37984248534543</v>
      </c>
      <c r="C11" s="52">
        <f>PFR!H12/PFR!$H$33*sse*D11</f>
        <v>326379757.68762302</v>
      </c>
      <c r="D11" s="243">
        <f>PFR!G12</f>
        <v>36738.833333333336</v>
      </c>
      <c r="E11" s="52">
        <f t="shared" si="0"/>
        <v>8883.7812220753603</v>
      </c>
      <c r="F11" s="52">
        <f>IF(B11&gt;100,-Inpayment!F12,Outpayment!F11)/D11</f>
        <v>-43.221036226332764</v>
      </c>
      <c r="G11" s="52">
        <f t="shared" si="1"/>
        <v>8840.5601858490281</v>
      </c>
      <c r="H11" s="53">
        <f t="shared" si="2"/>
        <v>101.9</v>
      </c>
      <c r="J11" s="244">
        <f t="shared" si="3"/>
        <v>206.50549433923334</v>
      </c>
    </row>
    <row r="12" spans="1:10" x14ac:dyDescent="0.2">
      <c r="A12" s="245" t="s">
        <v>54</v>
      </c>
      <c r="B12" s="246">
        <f>PFR!I13</f>
        <v>159.7266166316534</v>
      </c>
      <c r="C12" s="56">
        <f>PFR!H13/PFR!$H$33*sse*D12</f>
        <v>582858100.96298969</v>
      </c>
      <c r="D12" s="247">
        <f>PFR!G13</f>
        <v>42053.5</v>
      </c>
      <c r="E12" s="56">
        <f t="shared" si="0"/>
        <v>13859.918935712596</v>
      </c>
      <c r="F12" s="56">
        <f>IF(B12&gt;100,-Inpayment!F13,Outpayment!F12)/D12</f>
        <v>-1084.7130753438428</v>
      </c>
      <c r="G12" s="56">
        <f t="shared" si="1"/>
        <v>12775.205860368753</v>
      </c>
      <c r="H12" s="57">
        <f t="shared" si="2"/>
        <v>147.19999999999999</v>
      </c>
      <c r="J12" s="248">
        <f t="shared" si="3"/>
        <v>5182.6432079764691</v>
      </c>
    </row>
    <row r="13" spans="1:10" x14ac:dyDescent="0.2">
      <c r="A13" s="241" t="s">
        <v>55</v>
      </c>
      <c r="B13" s="242">
        <f>PFR!I14</f>
        <v>71.159692927477892</v>
      </c>
      <c r="C13" s="52">
        <f>PFR!H14/PFR!$H$33*sse*D13</f>
        <v>247655780.55143547</v>
      </c>
      <c r="D13" s="243">
        <f>PFR!G14</f>
        <v>40108</v>
      </c>
      <c r="E13" s="52">
        <f t="shared" si="0"/>
        <v>6174.7227623276021</v>
      </c>
      <c r="F13" s="52">
        <f>IF(B13&gt;100,-Inpayment!F14,Outpayment!F13)/D13</f>
        <v>1502.4827582441142</v>
      </c>
      <c r="G13" s="52">
        <f t="shared" si="1"/>
        <v>7677.2055205717161</v>
      </c>
      <c r="H13" s="53">
        <f t="shared" si="2"/>
        <v>88.5</v>
      </c>
      <c r="J13" s="244">
        <f t="shared" si="3"/>
        <v>-2502.5529654085249</v>
      </c>
    </row>
    <row r="14" spans="1:10" x14ac:dyDescent="0.2">
      <c r="A14" s="245" t="s">
        <v>56</v>
      </c>
      <c r="B14" s="246">
        <f>PFR!I15</f>
        <v>244.14920647254812</v>
      </c>
      <c r="C14" s="56">
        <f>PFR!H15/PFR!$H$33*sse*D14</f>
        <v>2520177627.2653799</v>
      </c>
      <c r="D14" s="247">
        <f>PFR!G15</f>
        <v>118957.66666666667</v>
      </c>
      <c r="E14" s="56">
        <f t="shared" si="0"/>
        <v>21185.499832702779</v>
      </c>
      <c r="F14" s="56">
        <f>IF(B14&gt;100,-Inpayment!F15,Outpayment!F14)/D14</f>
        <v>-2617.9371589976454</v>
      </c>
      <c r="G14" s="56">
        <f t="shared" si="1"/>
        <v>18567.562673705135</v>
      </c>
      <c r="H14" s="57">
        <f t="shared" si="2"/>
        <v>214</v>
      </c>
      <c r="J14" s="248">
        <f t="shared" si="3"/>
        <v>12508.224104966652</v>
      </c>
    </row>
    <row r="15" spans="1:10" x14ac:dyDescent="0.2">
      <c r="A15" s="241" t="s">
        <v>57</v>
      </c>
      <c r="B15" s="242">
        <f>PFR!I16</f>
        <v>79.497815790565781</v>
      </c>
      <c r="C15" s="52">
        <f>PFR!H16/PFR!$H$33*sse*D15</f>
        <v>2045991777.2333531</v>
      </c>
      <c r="D15" s="243">
        <f>PFR!G16</f>
        <v>296596</v>
      </c>
      <c r="E15" s="52">
        <f t="shared" si="0"/>
        <v>6898.2446736751444</v>
      </c>
      <c r="F15" s="52">
        <f>IF(B15&gt;100,-Inpayment!F16,Outpayment!F15)/D15</f>
        <v>892.67279057222584</v>
      </c>
      <c r="G15" s="52">
        <f t="shared" si="1"/>
        <v>7790.9174642473699</v>
      </c>
      <c r="H15" s="53">
        <f t="shared" si="2"/>
        <v>89.8</v>
      </c>
      <c r="J15" s="244">
        <f t="shared" si="3"/>
        <v>-1779.0310540609826</v>
      </c>
    </row>
    <row r="16" spans="1:10" x14ac:dyDescent="0.2">
      <c r="A16" s="245" t="s">
        <v>58</v>
      </c>
      <c r="B16" s="246">
        <f>PFR!I17</f>
        <v>74.611443657919651</v>
      </c>
      <c r="C16" s="56">
        <f>PFR!H17/PFR!$H$33*sse*D16</f>
        <v>1697866384.0005662</v>
      </c>
      <c r="D16" s="247">
        <f>PFR!G17</f>
        <v>262249.5</v>
      </c>
      <c r="E16" s="56">
        <f t="shared" si="0"/>
        <v>6474.2406906421793</v>
      </c>
      <c r="F16" s="56">
        <f>IF(B16&gt;100,-Inpayment!F17,Outpayment!F16)/D16</f>
        <v>1236.9170698552409</v>
      </c>
      <c r="G16" s="56">
        <f t="shared" si="1"/>
        <v>7711.15776049742</v>
      </c>
      <c r="H16" s="57">
        <f t="shared" si="2"/>
        <v>88.9</v>
      </c>
      <c r="J16" s="248">
        <f t="shared" si="3"/>
        <v>-2203.0350370939477</v>
      </c>
    </row>
    <row r="17" spans="1:10" x14ac:dyDescent="0.2">
      <c r="A17" s="241" t="s">
        <v>59</v>
      </c>
      <c r="B17" s="242">
        <f>PFR!I18</f>
        <v>149.67813789242132</v>
      </c>
      <c r="C17" s="52">
        <f>PFR!H18/PFR!$H$33*sse*D17</f>
        <v>2489984998.3406177</v>
      </c>
      <c r="D17" s="243">
        <f>PFR!G18</f>
        <v>191714.5</v>
      </c>
      <c r="E17" s="52">
        <f t="shared" si="0"/>
        <v>12987.984729066491</v>
      </c>
      <c r="F17" s="52">
        <f>IF(B17&gt;100,-Inpayment!F18,Outpayment!F17)/D17</f>
        <v>-902.21962618397333</v>
      </c>
      <c r="G17" s="52">
        <f t="shared" si="1"/>
        <v>12085.765102882518</v>
      </c>
      <c r="H17" s="53">
        <f t="shared" si="2"/>
        <v>139.30000000000001</v>
      </c>
      <c r="J17" s="244">
        <f t="shared" si="3"/>
        <v>4310.7090013303641</v>
      </c>
    </row>
    <row r="18" spans="1:10" x14ac:dyDescent="0.2">
      <c r="A18" s="245" t="s">
        <v>60</v>
      </c>
      <c r="B18" s="246">
        <f>PFR!I19</f>
        <v>96.50464550473859</v>
      </c>
      <c r="C18" s="56">
        <f>PFR!H19/PFR!$H$33*sse*D18</f>
        <v>2338696070.0970292</v>
      </c>
      <c r="D18" s="247">
        <f>PFR!G19</f>
        <v>279281.5</v>
      </c>
      <c r="E18" s="56">
        <f t="shared" si="0"/>
        <v>8373.9741805204758</v>
      </c>
      <c r="F18" s="56">
        <f>IF(B18&gt;100,-Inpayment!F19,Outpayment!F18)/D18</f>
        <v>60.039568193693064</v>
      </c>
      <c r="G18" s="56">
        <f t="shared" si="1"/>
        <v>8434.0137487141692</v>
      </c>
      <c r="H18" s="57">
        <f t="shared" si="2"/>
        <v>97.2</v>
      </c>
      <c r="J18" s="248">
        <f t="shared" si="3"/>
        <v>-303.30154721565123</v>
      </c>
    </row>
    <row r="19" spans="1:10" x14ac:dyDescent="0.2">
      <c r="A19" s="241" t="s">
        <v>61</v>
      </c>
      <c r="B19" s="242">
        <f>PFR!I20</f>
        <v>93.030137348860023</v>
      </c>
      <c r="C19" s="52">
        <f>PFR!H20/PFR!$H$33*sse*D19</f>
        <v>638826588.99946141</v>
      </c>
      <c r="D19" s="243">
        <f>PFR!G20</f>
        <v>79136.333333333328</v>
      </c>
      <c r="E19" s="52">
        <f t="shared" si="0"/>
        <v>8072.4815276522131</v>
      </c>
      <c r="F19" s="52">
        <f>IF(B19&gt;100,-Inpayment!F20,Outpayment!F19)/D19</f>
        <v>172.09096518337134</v>
      </c>
      <c r="G19" s="52">
        <f t="shared" si="1"/>
        <v>8244.5724928355849</v>
      </c>
      <c r="H19" s="53">
        <f t="shared" si="2"/>
        <v>95</v>
      </c>
      <c r="J19" s="244">
        <f t="shared" si="3"/>
        <v>-604.79420008391389</v>
      </c>
    </row>
    <row r="20" spans="1:10" x14ac:dyDescent="0.2">
      <c r="A20" s="245" t="s">
        <v>62</v>
      </c>
      <c r="B20" s="246">
        <f>PFR!I21</f>
        <v>85.56025998741849</v>
      </c>
      <c r="C20" s="56">
        <f>PFR!H21/PFR!$H$33*sse*D20</f>
        <v>399867830.82645273</v>
      </c>
      <c r="D20" s="247">
        <f>PFR!G21</f>
        <v>53859.333333333336</v>
      </c>
      <c r="E20" s="56">
        <f t="shared" si="0"/>
        <v>7424.2996724761915</v>
      </c>
      <c r="F20" s="56">
        <f>IF(B20&gt;100,-Inpayment!F21,Outpayment!F20)/D20</f>
        <v>522.88898083916854</v>
      </c>
      <c r="G20" s="56">
        <f t="shared" si="1"/>
        <v>7947.1886533153602</v>
      </c>
      <c r="H20" s="57">
        <f t="shared" si="2"/>
        <v>91.6</v>
      </c>
      <c r="J20" s="248">
        <f t="shared" si="3"/>
        <v>-1252.9760552599355</v>
      </c>
    </row>
    <row r="21" spans="1:10" x14ac:dyDescent="0.2">
      <c r="A21" s="241" t="s">
        <v>63</v>
      </c>
      <c r="B21" s="242">
        <f>PFR!I22</f>
        <v>85.224188344702739</v>
      </c>
      <c r="C21" s="52">
        <f>PFR!H22/PFR!$H$33*sse*D21</f>
        <v>117125425.14816646</v>
      </c>
      <c r="D21" s="243">
        <f>PFR!G22</f>
        <v>15838.166666666666</v>
      </c>
      <c r="E21" s="52">
        <f t="shared" si="0"/>
        <v>7395.1378093950143</v>
      </c>
      <c r="F21" s="52">
        <f>IF(B21&gt;100,-Inpayment!F22,Outpayment!F21)/D21</f>
        <v>541.57029927022973</v>
      </c>
      <c r="G21" s="52">
        <f t="shared" si="1"/>
        <v>7936.7081086652443</v>
      </c>
      <c r="H21" s="53">
        <f t="shared" si="2"/>
        <v>91.5</v>
      </c>
      <c r="J21" s="244">
        <f t="shared" si="3"/>
        <v>-1282.1379183411127</v>
      </c>
    </row>
    <row r="22" spans="1:10" x14ac:dyDescent="0.2">
      <c r="A22" s="245" t="s">
        <v>64</v>
      </c>
      <c r="B22" s="246">
        <f>PFR!I23</f>
        <v>79.162002728963969</v>
      </c>
      <c r="C22" s="56">
        <f>PFR!H23/PFR!$H$33*sse*D22</f>
        <v>3386013236.8082271</v>
      </c>
      <c r="D22" s="247">
        <f>PFR!G23</f>
        <v>492933.66666666669</v>
      </c>
      <c r="E22" s="56">
        <f t="shared" si="0"/>
        <v>6869.1052483902031</v>
      </c>
      <c r="F22" s="56">
        <f>IF(B22&gt;100,-Inpayment!F23,Outpayment!F22)/D22</f>
        <v>915.0773837842105</v>
      </c>
      <c r="G22" s="56">
        <f t="shared" si="1"/>
        <v>7784.1826321744138</v>
      </c>
      <c r="H22" s="57">
        <f t="shared" si="2"/>
        <v>89.7</v>
      </c>
      <c r="J22" s="248">
        <f t="shared" si="3"/>
        <v>-1808.1704793459239</v>
      </c>
    </row>
    <row r="23" spans="1:10" x14ac:dyDescent="0.2">
      <c r="A23" s="241" t="s">
        <v>65</v>
      </c>
      <c r="B23" s="242">
        <f>PFR!I24</f>
        <v>83.18178697884197</v>
      </c>
      <c r="C23" s="52">
        <f>PFR!H24/PFR!$H$33*sse*D23</f>
        <v>1464334102.1902552</v>
      </c>
      <c r="D23" s="243">
        <f>PFR!G24</f>
        <v>202875</v>
      </c>
      <c r="E23" s="52">
        <f t="shared" si="0"/>
        <v>7217.9130114122254</v>
      </c>
      <c r="F23" s="52">
        <f>IF(B23&gt;100,-Inpayment!F24,Outpayment!F23)/D23</f>
        <v>659.85121387500158</v>
      </c>
      <c r="G23" s="52">
        <f t="shared" si="1"/>
        <v>7877.7642252872265</v>
      </c>
      <c r="H23" s="53">
        <f t="shared" si="2"/>
        <v>90.8</v>
      </c>
      <c r="J23" s="244">
        <f t="shared" si="3"/>
        <v>-1459.3627163239016</v>
      </c>
    </row>
    <row r="24" spans="1:10" x14ac:dyDescent="0.2">
      <c r="A24" s="245" t="s">
        <v>66</v>
      </c>
      <c r="B24" s="246">
        <f>PFR!I25</f>
        <v>85.281456530778215</v>
      </c>
      <c r="C24" s="56">
        <f>PFR!H25/PFR!$H$33*sse*D24</f>
        <v>4711545840.1248779</v>
      </c>
      <c r="D24" s="247">
        <f>PFR!G25</f>
        <v>636686.16666666663</v>
      </c>
      <c r="E24" s="56">
        <f t="shared" si="0"/>
        <v>7400.1071278050567</v>
      </c>
      <c r="F24" s="56">
        <f>IF(B24&gt;100,-Inpayment!F25,Outpayment!F24)/D24</f>
        <v>538.37096172503186</v>
      </c>
      <c r="G24" s="56">
        <f t="shared" si="1"/>
        <v>7938.4780895300883</v>
      </c>
      <c r="H24" s="57">
        <f t="shared" si="2"/>
        <v>91.5</v>
      </c>
      <c r="J24" s="248">
        <f t="shared" si="3"/>
        <v>-1277.1685999310703</v>
      </c>
    </row>
    <row r="25" spans="1:10" x14ac:dyDescent="0.2">
      <c r="A25" s="241" t="s">
        <v>67</v>
      </c>
      <c r="B25" s="242">
        <f>PFR!I26</f>
        <v>78.981526471689705</v>
      </c>
      <c r="C25" s="52">
        <f>PFR!H26/PFR!$H$33*sse*D25</f>
        <v>1785168174.6444666</v>
      </c>
      <c r="D25" s="243">
        <f>PFR!G26</f>
        <v>260477.5</v>
      </c>
      <c r="E25" s="52">
        <f t="shared" si="0"/>
        <v>6853.4448259234159</v>
      </c>
      <c r="F25" s="52">
        <f>IF(B25&gt;100,-Inpayment!F26,Outpayment!F25)/D25</f>
        <v>927.19715369285905</v>
      </c>
      <c r="G25" s="52">
        <f t="shared" si="1"/>
        <v>7780.6419796162754</v>
      </c>
      <c r="H25" s="53">
        <f t="shared" si="2"/>
        <v>89.7</v>
      </c>
      <c r="J25" s="244">
        <f t="shared" si="3"/>
        <v>-1823.8309018127111</v>
      </c>
    </row>
    <row r="26" spans="1:10" x14ac:dyDescent="0.2">
      <c r="A26" s="245" t="s">
        <v>68</v>
      </c>
      <c r="B26" s="246">
        <f>PFR!I27</f>
        <v>97.387850243416239</v>
      </c>
      <c r="C26" s="56">
        <f>PFR!H27/PFR!$H$33*sse*D26</f>
        <v>2926723089.6859627</v>
      </c>
      <c r="D26" s="247">
        <f>PFR!G27</f>
        <v>346332.66666666669</v>
      </c>
      <c r="E26" s="56">
        <f t="shared" si="0"/>
        <v>8450.6122909359674</v>
      </c>
      <c r="F26" s="56">
        <f>IF(B26&gt;100,-Inpayment!F27,Outpayment!F26)/D26</f>
        <v>38.498109552437342</v>
      </c>
      <c r="G26" s="56">
        <f t="shared" si="1"/>
        <v>8489.1104004884055</v>
      </c>
      <c r="H26" s="57">
        <f t="shared" si="2"/>
        <v>97.8</v>
      </c>
      <c r="J26" s="248">
        <f t="shared" si="3"/>
        <v>-226.66343680015962</v>
      </c>
    </row>
    <row r="27" spans="1:10" x14ac:dyDescent="0.2">
      <c r="A27" s="241" t="s">
        <v>69</v>
      </c>
      <c r="B27" s="242">
        <f>PFR!I28</f>
        <v>99.634121607475862</v>
      </c>
      <c r="C27" s="52">
        <f>PFR!H28/PFR!$H$33*sse*D27</f>
        <v>6501805518.8309278</v>
      </c>
      <c r="D27" s="243">
        <f>PFR!G28</f>
        <v>752042.66666666663</v>
      </c>
      <c r="E27" s="52">
        <f t="shared" si="0"/>
        <v>8645.5274507886006</v>
      </c>
      <c r="F27" s="52">
        <f>IF(B27&gt;100,-Inpayment!F28,Outpayment!F27)/D27</f>
        <v>1.918480582721243</v>
      </c>
      <c r="G27" s="52">
        <f t="shared" si="1"/>
        <v>8647.4459313713214</v>
      </c>
      <c r="H27" s="53">
        <f t="shared" si="2"/>
        <v>99.7</v>
      </c>
      <c r="J27" s="244">
        <f t="shared" si="3"/>
        <v>-31.748276947526392</v>
      </c>
    </row>
    <row r="28" spans="1:10" x14ac:dyDescent="0.2">
      <c r="A28" s="245" t="s">
        <v>70</v>
      </c>
      <c r="B28" s="246">
        <f>PFR!I29</f>
        <v>66.778651523513304</v>
      </c>
      <c r="C28" s="56">
        <f>PFR!H29/PFR!$H$33*sse*D28</f>
        <v>1927533013.4445786</v>
      </c>
      <c r="D28" s="247">
        <f>PFR!G29</f>
        <v>332644.83333333331</v>
      </c>
      <c r="E28" s="56">
        <f t="shared" si="0"/>
        <v>5794.5677199593119</v>
      </c>
      <c r="F28" s="56">
        <f>IF(B28&gt;100,-Inpayment!F29,Outpayment!F28)/D28</f>
        <v>1864.3079567347863</v>
      </c>
      <c r="G28" s="56">
        <f t="shared" si="1"/>
        <v>7658.8756766940987</v>
      </c>
      <c r="H28" s="57">
        <f t="shared" si="2"/>
        <v>88.3</v>
      </c>
      <c r="J28" s="248">
        <f t="shared" si="3"/>
        <v>-2882.7080077768151</v>
      </c>
    </row>
    <row r="29" spans="1:10" x14ac:dyDescent="0.2">
      <c r="A29" s="241" t="s">
        <v>71</v>
      </c>
      <c r="B29" s="242">
        <f>PFR!I30</f>
        <v>94.252254639851557</v>
      </c>
      <c r="C29" s="52">
        <f>PFR!H30/PFR!$H$33*sse*D29</f>
        <v>1446487178.7932959</v>
      </c>
      <c r="D29" s="243">
        <f>PFR!G30</f>
        <v>176864</v>
      </c>
      <c r="E29" s="52">
        <f t="shared" si="0"/>
        <v>8178.5280147078875</v>
      </c>
      <c r="F29" s="52">
        <f>IF(B29&gt;100,-Inpayment!F30,Outpayment!F29)/D29</f>
        <v>128.23637940586937</v>
      </c>
      <c r="G29" s="52">
        <f t="shared" si="1"/>
        <v>8306.7643941137576</v>
      </c>
      <c r="H29" s="53">
        <f t="shared" si="2"/>
        <v>95.7</v>
      </c>
      <c r="J29" s="244">
        <f t="shared" si="3"/>
        <v>-498.74771302823956</v>
      </c>
    </row>
    <row r="30" spans="1:10" x14ac:dyDescent="0.2">
      <c r="A30" s="245" t="s">
        <v>72</v>
      </c>
      <c r="B30" s="246">
        <f>PFR!I31</f>
        <v>146.10560413880563</v>
      </c>
      <c r="C30" s="56">
        <f>PFR!H31/PFR!$H$33*sse*D30</f>
        <v>5968941664.3957176</v>
      </c>
      <c r="D30" s="247">
        <f>PFR!G31</f>
        <v>470811.5</v>
      </c>
      <c r="E30" s="56">
        <f t="shared" si="0"/>
        <v>12677.986124798816</v>
      </c>
      <c r="F30" s="56">
        <f>IF(B30&gt;100,-Inpayment!F31,Outpayment!F30)/D30</f>
        <v>-837.33776457521742</v>
      </c>
      <c r="G30" s="56">
        <f t="shared" si="1"/>
        <v>11840.648360223599</v>
      </c>
      <c r="H30" s="57">
        <f t="shared" si="2"/>
        <v>136.5</v>
      </c>
      <c r="J30" s="248">
        <f t="shared" si="3"/>
        <v>4000.7103970626886</v>
      </c>
    </row>
    <row r="31" spans="1:10" x14ac:dyDescent="0.2">
      <c r="A31" s="241" t="s">
        <v>73</v>
      </c>
      <c r="B31" s="249">
        <f>PFR!I32</f>
        <v>65.924443163521232</v>
      </c>
      <c r="C31" s="128">
        <f>PFR!H32/PFR!$H$33*sse*D31</f>
        <v>410592617.75694054</v>
      </c>
      <c r="D31" s="250">
        <f>PFR!G32</f>
        <v>71776.333333333328</v>
      </c>
      <c r="E31" s="128">
        <f t="shared" si="0"/>
        <v>5720.4457052734269</v>
      </c>
      <c r="F31" s="128">
        <f>IF(B31&gt;100,-Inpayment!F32,Outpayment!F31)/D31</f>
        <v>1937.9395617959533</v>
      </c>
      <c r="G31" s="128">
        <f t="shared" si="1"/>
        <v>7658.3852670693805</v>
      </c>
      <c r="H31" s="251">
        <f t="shared" si="2"/>
        <v>88.3</v>
      </c>
      <c r="J31" s="252">
        <f t="shared" si="3"/>
        <v>-2956.8300224627001</v>
      </c>
    </row>
    <row r="32" spans="1:10" x14ac:dyDescent="0.2">
      <c r="A32" s="198" t="s">
        <v>74</v>
      </c>
      <c r="B32" s="222">
        <f>PFR!I33</f>
        <v>100</v>
      </c>
      <c r="C32" s="200">
        <f>SUM(C6:C31)</f>
        <v>70939680794.202896</v>
      </c>
      <c r="D32" s="253">
        <f>SUM(D6:D31)</f>
        <v>8175340.166666667</v>
      </c>
      <c r="E32" s="200">
        <f t="shared" si="0"/>
        <v>8677.275727736127</v>
      </c>
      <c r="F32" s="200"/>
      <c r="G32" s="200"/>
      <c r="H32" s="254"/>
      <c r="J32" s="255">
        <f t="shared" si="3"/>
        <v>0</v>
      </c>
    </row>
    <row r="33" spans="1:10" s="256" customFormat="1" ht="18.75" customHeight="1" x14ac:dyDescent="0.2">
      <c r="A33" s="257" t="s">
        <v>125</v>
      </c>
      <c r="B33" s="258">
        <f>MIN(B6:B31)</f>
        <v>65.924443163521232</v>
      </c>
      <c r="C33" s="258"/>
      <c r="D33" s="259"/>
      <c r="E33" s="260"/>
      <c r="F33" s="260"/>
      <c r="G33" s="260"/>
      <c r="H33" s="261">
        <f>MIN(H6:H31)</f>
        <v>88.3</v>
      </c>
    </row>
    <row r="34" spans="1:10" s="2" customFormat="1" ht="14.25" customHeight="1" x14ac:dyDescent="0.2">
      <c r="A34" s="58"/>
      <c r="B34" s="262"/>
      <c r="C34" s="262"/>
      <c r="D34" s="263"/>
      <c r="E34" s="31"/>
      <c r="F34" s="31"/>
      <c r="G34" s="31"/>
      <c r="H34" s="262"/>
    </row>
    <row r="35" spans="1:10" ht="26.25" customHeight="1" x14ac:dyDescent="0.2">
      <c r="A35" s="315" t="str">
        <f>"Standardized tax rate (STRate) "&amp;Info!C30</f>
        <v>Standardized tax rate (STRate) 2018</v>
      </c>
      <c r="B35" s="315"/>
      <c r="C35" s="315"/>
      <c r="D35" s="315"/>
      <c r="E35" s="315"/>
      <c r="F35" s="315"/>
      <c r="G35" s="315"/>
      <c r="H35" s="315"/>
      <c r="I35" s="1"/>
      <c r="J35" s="1"/>
    </row>
    <row r="36" spans="1:10" ht="15.75" customHeight="1" x14ac:dyDescent="0.2">
      <c r="A36" s="181"/>
      <c r="B36" s="264"/>
      <c r="C36" s="264"/>
      <c r="D36" s="26" t="s">
        <v>44</v>
      </c>
      <c r="E36" s="66" t="s">
        <v>35</v>
      </c>
      <c r="F36" s="265">
        <v>2012</v>
      </c>
      <c r="G36" s="266">
        <v>2013</v>
      </c>
      <c r="H36" s="267">
        <v>2014</v>
      </c>
      <c r="I36" s="268"/>
      <c r="J36" s="269" t="str">
        <f>F36&amp;" - "&amp;H36</f>
        <v>2012 - 2014</v>
      </c>
    </row>
    <row r="37" spans="1:10" ht="15" customHeight="1" x14ac:dyDescent="0.2">
      <c r="A37" s="270" t="s">
        <v>126</v>
      </c>
      <c r="B37" s="264"/>
      <c r="C37" s="264"/>
      <c r="D37" s="271" t="s">
        <v>45</v>
      </c>
      <c r="E37" s="272"/>
      <c r="F37" s="273">
        <v>66322546.10238</v>
      </c>
      <c r="G37" s="274">
        <v>67664236.808919996</v>
      </c>
      <c r="H37" s="275">
        <v>69538389.142920002</v>
      </c>
      <c r="I37" s="276"/>
      <c r="J37" s="277"/>
    </row>
    <row r="38" spans="1:10" ht="15" customHeight="1" x14ac:dyDescent="0.2">
      <c r="A38" s="270" t="s">
        <v>127</v>
      </c>
      <c r="B38" s="264"/>
      <c r="C38" s="264"/>
      <c r="D38" s="271" t="s">
        <v>45</v>
      </c>
      <c r="E38" s="272"/>
      <c r="F38" s="273">
        <v>18342023.320909999</v>
      </c>
      <c r="G38" s="274">
        <v>18352718.26952</v>
      </c>
      <c r="H38" s="275">
        <v>17975083.870680001</v>
      </c>
      <c r="I38" s="278"/>
      <c r="J38" s="279"/>
    </row>
    <row r="39" spans="1:10" ht="15" customHeight="1" x14ac:dyDescent="0.2">
      <c r="A39" s="270" t="s">
        <v>128</v>
      </c>
      <c r="B39" s="264"/>
      <c r="C39" s="264"/>
      <c r="D39" s="271" t="s">
        <v>45</v>
      </c>
      <c r="E39" s="272" t="s">
        <v>129</v>
      </c>
      <c r="F39" s="280">
        <f>0.17*F38</f>
        <v>3118143.9645547001</v>
      </c>
      <c r="G39" s="281">
        <f>0.17*G38</f>
        <v>3119962.1058184002</v>
      </c>
      <c r="H39" s="282">
        <f>0.17*H38</f>
        <v>3055764.2580156005</v>
      </c>
      <c r="I39" s="283"/>
      <c r="J39" s="284"/>
    </row>
    <row r="40" spans="1:10" ht="15.75" customHeight="1" x14ac:dyDescent="0.2">
      <c r="A40" s="285" t="s">
        <v>130</v>
      </c>
      <c r="B40" s="286"/>
      <c r="C40" s="286"/>
      <c r="D40" s="287" t="s">
        <v>45</v>
      </c>
      <c r="E40" s="288" t="s">
        <v>131</v>
      </c>
      <c r="F40" s="289">
        <f>F37+F39</f>
        <v>69440690.066934705</v>
      </c>
      <c r="G40" s="290">
        <f>G37+G39</f>
        <v>70784198.914738402</v>
      </c>
      <c r="H40" s="290">
        <f>H37+H39</f>
        <v>72594153.400935605</v>
      </c>
      <c r="I40" s="140"/>
      <c r="J40" s="291">
        <f>AVERAGE(F40:H40)</f>
        <v>70939680.794202909</v>
      </c>
    </row>
    <row r="41" spans="1:10" ht="15" customHeight="1" x14ac:dyDescent="0.2">
      <c r="A41" s="270" t="s">
        <v>132</v>
      </c>
      <c r="B41" s="264"/>
      <c r="C41" s="264"/>
      <c r="D41" s="42" t="s">
        <v>46</v>
      </c>
      <c r="E41" s="272"/>
      <c r="F41" s="280"/>
      <c r="G41" s="281"/>
      <c r="H41" s="281"/>
      <c r="I41" s="292"/>
      <c r="J41" s="282">
        <f>Population!F33</f>
        <v>8175340.166666667</v>
      </c>
    </row>
    <row r="42" spans="1:10" ht="15.75" customHeight="1" x14ac:dyDescent="0.2">
      <c r="A42" s="285" t="s">
        <v>133</v>
      </c>
      <c r="B42" s="286"/>
      <c r="C42" s="286"/>
      <c r="D42" s="287" t="s">
        <v>47</v>
      </c>
      <c r="E42" s="288" t="s">
        <v>134</v>
      </c>
      <c r="F42" s="293"/>
      <c r="G42" s="140"/>
      <c r="H42" s="140"/>
      <c r="I42" s="140"/>
      <c r="J42" s="294">
        <f>J40/J41*1000</f>
        <v>8677.2757277361288</v>
      </c>
    </row>
    <row r="43" spans="1:10" ht="15" customHeight="1" x14ac:dyDescent="0.2">
      <c r="A43" s="270" t="s">
        <v>135</v>
      </c>
      <c r="B43" s="264"/>
      <c r="C43" s="264"/>
      <c r="D43" s="271" t="s">
        <v>47</v>
      </c>
      <c r="E43" s="272"/>
      <c r="F43" s="268"/>
      <c r="G43" s="292"/>
      <c r="H43" s="292"/>
      <c r="I43" s="292"/>
      <c r="J43" s="282">
        <f>PFR!H33</f>
        <v>32960.566230045573</v>
      </c>
    </row>
    <row r="44" spans="1:10" ht="15.75" customHeight="1" x14ac:dyDescent="0.2">
      <c r="A44" s="285" t="s">
        <v>136</v>
      </c>
      <c r="B44" s="286"/>
      <c r="C44" s="286"/>
      <c r="D44" s="287" t="s">
        <v>82</v>
      </c>
      <c r="E44" s="288" t="s">
        <v>137</v>
      </c>
      <c r="F44" s="293"/>
      <c r="G44" s="140"/>
      <c r="H44" s="140"/>
      <c r="I44" s="140"/>
      <c r="J44" s="295">
        <f>sse/J43</f>
        <v>0.26326233800638599</v>
      </c>
    </row>
    <row r="48" spans="1:10" x14ac:dyDescent="0.2">
      <c r="A48" s="296"/>
    </row>
  </sheetData>
  <mergeCells count="1"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6" orientation="landscape" r:id="rId1"/>
  <headerFooter>
    <oddHeader>&amp;L&amp;F&amp;R&amp;A</oddHeader>
    <oddFooter>&amp;C&amp;P/&amp;N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PFR</vt:lpstr>
      <vt:lpstr>Population</vt:lpstr>
      <vt:lpstr>Growth_rates</vt:lpstr>
      <vt:lpstr>Endowment</vt:lpstr>
      <vt:lpstr>Inpayment</vt:lpstr>
      <vt:lpstr>Outpayment</vt:lpstr>
      <vt:lpstr>STR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Witschard Jean-Pierre EFV</cp:lastModifiedBy>
  <cp:lastPrinted>2015-02-03T10:21:31Z</cp:lastPrinted>
  <dcterms:created xsi:type="dcterms:W3CDTF">2010-11-03T16:06:04Z</dcterms:created>
  <dcterms:modified xsi:type="dcterms:W3CDTF">2017-11-03T14:15:17Z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ER_2018.xlsx</vt:lpwstr>
  </property>
</Properties>
</file>