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5230" windowHeight="6030"/>
  </bookViews>
  <sheets>
    <sheet name="Payments" sheetId="1" r:id="rId1"/>
    <sheet name="Payments_per_capita" sheetId="2" r:id="rId2"/>
  </sheets>
  <definedNames>
    <definedName name="B">#REF!</definedName>
    <definedName name="_xlnm.Print_Area">Payments!$A$1:$R$33</definedName>
    <definedName name="RI">#REF!</definedName>
    <definedName name="sse">#REF!</definedName>
    <definedName name="Summe">#REF!</definedName>
    <definedName name="x">#REF!</definedName>
  </definedNames>
  <calcPr calcId="125725" iterateDelta="252"/>
</workbook>
</file>

<file path=xl/calcChain.xml><?xml version="1.0" encoding="utf-8"?>
<calcChain xmlns="http://schemas.openxmlformats.org/spreadsheetml/2006/main">
  <c r="G30" i="2"/>
  <c r="F30"/>
  <c r="E30"/>
  <c r="C30"/>
  <c r="G29"/>
  <c r="F29"/>
  <c r="E29"/>
  <c r="C29"/>
  <c r="G28"/>
  <c r="F28"/>
  <c r="E28"/>
  <c r="C28"/>
  <c r="G27"/>
  <c r="F27"/>
  <c r="E27"/>
  <c r="C27"/>
  <c r="G26"/>
  <c r="F26"/>
  <c r="E26"/>
  <c r="C26"/>
  <c r="G25"/>
  <c r="F25"/>
  <c r="E25"/>
  <c r="C25"/>
  <c r="G24"/>
  <c r="F24"/>
  <c r="E24"/>
  <c r="C24"/>
  <c r="G23"/>
  <c r="F23"/>
  <c r="E23"/>
  <c r="C23"/>
  <c r="G22"/>
  <c r="F22"/>
  <c r="E22"/>
  <c r="C22"/>
  <c r="G21"/>
  <c r="F21"/>
  <c r="E21"/>
  <c r="C21"/>
  <c r="G20"/>
  <c r="F20"/>
  <c r="E20"/>
  <c r="C20"/>
  <c r="G19"/>
  <c r="F19"/>
  <c r="E19"/>
  <c r="C19"/>
  <c r="G18"/>
  <c r="F18"/>
  <c r="E18"/>
  <c r="C18"/>
  <c r="G17"/>
  <c r="F17"/>
  <c r="E17"/>
  <c r="C17"/>
  <c r="G16"/>
  <c r="F16"/>
  <c r="E16"/>
  <c r="C16"/>
  <c r="G15"/>
  <c r="F15"/>
  <c r="E15"/>
  <c r="C15"/>
  <c r="G14"/>
  <c r="F14"/>
  <c r="E14"/>
  <c r="C14"/>
  <c r="G13"/>
  <c r="F13"/>
  <c r="E13"/>
  <c r="C13"/>
  <c r="G12"/>
  <c r="F12"/>
  <c r="E12"/>
  <c r="C12"/>
  <c r="G11"/>
  <c r="F11"/>
  <c r="E11"/>
  <c r="C11"/>
  <c r="G10"/>
  <c r="F10"/>
  <c r="E10"/>
  <c r="C10"/>
  <c r="G9"/>
  <c r="F9"/>
  <c r="E9"/>
  <c r="C9"/>
  <c r="G8"/>
  <c r="F8"/>
  <c r="E8"/>
  <c r="C8"/>
  <c r="G7"/>
  <c r="F7"/>
  <c r="E7"/>
  <c r="C7"/>
  <c r="G6"/>
  <c r="F6"/>
  <c r="E6"/>
  <c r="C6"/>
  <c r="G5"/>
  <c r="F5"/>
  <c r="E5"/>
  <c r="C5"/>
  <c r="L3"/>
  <c r="J3"/>
  <c r="C3"/>
  <c r="L2"/>
  <c r="B1"/>
  <c r="P32" i="1"/>
  <c r="O32"/>
  <c r="L32"/>
  <c r="K32"/>
  <c r="J32"/>
  <c r="H32"/>
  <c r="F32"/>
  <c r="E32"/>
  <c r="D32"/>
  <c r="Q31"/>
  <c r="I30" i="2" s="1"/>
  <c r="M31" i="1"/>
  <c r="H31"/>
  <c r="G31"/>
  <c r="N31" s="1"/>
  <c r="R31" s="1"/>
  <c r="J30" i="2" s="1"/>
  <c r="Q30" i="1"/>
  <c r="I29" i="2" s="1"/>
  <c r="M30" i="1"/>
  <c r="H30"/>
  <c r="G30"/>
  <c r="N30" s="1"/>
  <c r="R30" s="1"/>
  <c r="J29" i="2" s="1"/>
  <c r="Q29" i="1"/>
  <c r="I28" i="2" s="1"/>
  <c r="M29" i="1"/>
  <c r="H29"/>
  <c r="G29"/>
  <c r="N29" s="1"/>
  <c r="R29" s="1"/>
  <c r="J28" i="2" s="1"/>
  <c r="Q28" i="1"/>
  <c r="I27" i="2" s="1"/>
  <c r="M28" i="1"/>
  <c r="H28"/>
  <c r="G28"/>
  <c r="N28" s="1"/>
  <c r="R28" s="1"/>
  <c r="J27" i="2" s="1"/>
  <c r="Q27" i="1"/>
  <c r="I26" i="2" s="1"/>
  <c r="M27" i="1"/>
  <c r="H27"/>
  <c r="G27"/>
  <c r="N27" s="1"/>
  <c r="R27" s="1"/>
  <c r="J26" i="2" s="1"/>
  <c r="Q26" i="1"/>
  <c r="I25" i="2" s="1"/>
  <c r="M26" i="1"/>
  <c r="H26"/>
  <c r="G26"/>
  <c r="N26" s="1"/>
  <c r="R26" s="1"/>
  <c r="J25" i="2" s="1"/>
  <c r="Q25" i="1"/>
  <c r="I24" i="2" s="1"/>
  <c r="M25" i="1"/>
  <c r="H25"/>
  <c r="G25"/>
  <c r="N25" s="1"/>
  <c r="R25" s="1"/>
  <c r="J24" i="2" s="1"/>
  <c r="Q24" i="1"/>
  <c r="I23" i="2" s="1"/>
  <c r="M24" i="1"/>
  <c r="H24"/>
  <c r="G24"/>
  <c r="N24" s="1"/>
  <c r="R24" s="1"/>
  <c r="J23" i="2" s="1"/>
  <c r="Q23" i="1"/>
  <c r="I22" i="2" s="1"/>
  <c r="M23" i="1"/>
  <c r="H23"/>
  <c r="G23"/>
  <c r="N23" s="1"/>
  <c r="R23" s="1"/>
  <c r="J22" i="2" s="1"/>
  <c r="Q22" i="1"/>
  <c r="I21" i="2" s="1"/>
  <c r="M22" i="1"/>
  <c r="H22"/>
  <c r="G22"/>
  <c r="N22" s="1"/>
  <c r="R22" s="1"/>
  <c r="J21" i="2" s="1"/>
  <c r="Q21" i="1"/>
  <c r="I20" i="2" s="1"/>
  <c r="M21" i="1"/>
  <c r="H21"/>
  <c r="G21"/>
  <c r="N21" s="1"/>
  <c r="R21" s="1"/>
  <c r="J20" i="2" s="1"/>
  <c r="Q20" i="1"/>
  <c r="I19" i="2" s="1"/>
  <c r="M20" i="1"/>
  <c r="H20"/>
  <c r="G20"/>
  <c r="N20" s="1"/>
  <c r="R20" s="1"/>
  <c r="J19" i="2" s="1"/>
  <c r="Q19" i="1"/>
  <c r="I18" i="2" s="1"/>
  <c r="M19" i="1"/>
  <c r="H19"/>
  <c r="G19"/>
  <c r="N19" s="1"/>
  <c r="R19" s="1"/>
  <c r="J18" i="2" s="1"/>
  <c r="Q18" i="1"/>
  <c r="I17" i="2" s="1"/>
  <c r="M18" i="1"/>
  <c r="H18"/>
  <c r="G18"/>
  <c r="N18" s="1"/>
  <c r="R18" s="1"/>
  <c r="J17" i="2" s="1"/>
  <c r="Q17" i="1"/>
  <c r="I16" i="2" s="1"/>
  <c r="M17" i="1"/>
  <c r="H17"/>
  <c r="G17"/>
  <c r="N17" s="1"/>
  <c r="R17" s="1"/>
  <c r="J16" i="2" s="1"/>
  <c r="Q16" i="1"/>
  <c r="I15" i="2" s="1"/>
  <c r="M16" i="1"/>
  <c r="H16"/>
  <c r="G16"/>
  <c r="N16" s="1"/>
  <c r="R16" s="1"/>
  <c r="J15" i="2" s="1"/>
  <c r="Q15" i="1"/>
  <c r="I14" i="2" s="1"/>
  <c r="M15" i="1"/>
  <c r="H15"/>
  <c r="G15"/>
  <c r="N15" s="1"/>
  <c r="R15" s="1"/>
  <c r="J14" i="2" s="1"/>
  <c r="Q14" i="1"/>
  <c r="I13" i="2" s="1"/>
  <c r="M14" i="1"/>
  <c r="H14"/>
  <c r="G14"/>
  <c r="N14" s="1"/>
  <c r="R14" s="1"/>
  <c r="J13" i="2" s="1"/>
  <c r="Q13" i="1"/>
  <c r="I12" i="2" s="1"/>
  <c r="M13" i="1"/>
  <c r="H13"/>
  <c r="G13"/>
  <c r="N13" s="1"/>
  <c r="R13" s="1"/>
  <c r="J12" i="2" s="1"/>
  <c r="Q12" i="1"/>
  <c r="I11" i="2" s="1"/>
  <c r="M12" i="1"/>
  <c r="H12"/>
  <c r="G12"/>
  <c r="N12" s="1"/>
  <c r="R12" s="1"/>
  <c r="J11" i="2" s="1"/>
  <c r="Q11" i="1"/>
  <c r="I10" i="2" s="1"/>
  <c r="M11" i="1"/>
  <c r="H11"/>
  <c r="G11"/>
  <c r="N11" s="1"/>
  <c r="R11" s="1"/>
  <c r="J10" i="2" s="1"/>
  <c r="Q10" i="1"/>
  <c r="I9" i="2" s="1"/>
  <c r="M10" i="1"/>
  <c r="H10"/>
  <c r="G10"/>
  <c r="N10" s="1"/>
  <c r="R10" s="1"/>
  <c r="J9" i="2" s="1"/>
  <c r="Q9" i="1"/>
  <c r="I8" i="2" s="1"/>
  <c r="M9" i="1"/>
  <c r="H9"/>
  <c r="G9"/>
  <c r="N9" s="1"/>
  <c r="R9" s="1"/>
  <c r="J8" i="2" s="1"/>
  <c r="Q8" i="1"/>
  <c r="I7" i="2" s="1"/>
  <c r="M8" i="1"/>
  <c r="H8"/>
  <c r="G8"/>
  <c r="N8" s="1"/>
  <c r="R8" s="1"/>
  <c r="J7" i="2" s="1"/>
  <c r="Q7" i="1"/>
  <c r="I6" i="2" s="1"/>
  <c r="M7" i="1"/>
  <c r="H7"/>
  <c r="G7"/>
  <c r="N7" s="1"/>
  <c r="R7" s="1"/>
  <c r="J6" i="2" s="1"/>
  <c r="Q6" i="1"/>
  <c r="I5" i="2" s="1"/>
  <c r="M6" i="1"/>
  <c r="M32" s="1"/>
  <c r="H6"/>
  <c r="G6"/>
  <c r="G32" s="1"/>
  <c r="R3"/>
  <c r="J3"/>
  <c r="D3"/>
  <c r="C3"/>
  <c r="B1"/>
  <c r="H5" i="2" l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Q32" i="1"/>
  <c r="D5" i="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N6" i="1"/>
  <c r="N32" l="1"/>
  <c r="R6"/>
  <c r="R32" l="1"/>
  <c r="J5" i="2"/>
</calcChain>
</file>

<file path=xl/sharedStrings.xml><?xml version="1.0" encoding="utf-8"?>
<sst xmlns="http://schemas.openxmlformats.org/spreadsheetml/2006/main" count="91" uniqueCount="55">
  <si>
    <t>in CHF 1,000; (+) cantonal burden; (-) cantonal relief</t>
  </si>
  <si>
    <t>STR index after RE</t>
  </si>
  <si>
    <t>Total
RE + CC</t>
  </si>
  <si>
    <t>Cohesion fund</t>
  </si>
  <si>
    <t>Horizontal</t>
  </si>
  <si>
    <t>Vertical</t>
  </si>
  <si>
    <t>Total</t>
  </si>
  <si>
    <t>GCC</t>
  </si>
  <si>
    <t>SCC A-C</t>
  </si>
  <si>
    <t>SCC F</t>
  </si>
  <si>
    <t>Inpayment</t>
  </si>
  <si>
    <t>Outpayment</t>
  </si>
  <si>
    <t>Inpay. - outpay.</t>
  </si>
  <si>
    <t>Inpay.</t>
  </si>
  <si>
    <t>Outpay.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</si>
  <si>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</si>
  <si>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</si>
  <si>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</si>
  <si>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</si>
  <si>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</si>
  <si>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</si>
  <si>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</si>
  <si>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</si>
  <si>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</si>
  <si>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</si>
  <si>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</si>
  <si>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</si>
  <si>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</si>
  <si>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</si>
  <si>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</si>
  <si>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</si>
  <si>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</si>
  <si>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</si>
  <si>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</si>
  <si>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</si>
  <si>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</si>
  <si>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</si>
  <si>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</si>
  <si>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</si>
  <si>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</si>
  <si>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</si>
  <si>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RE = resource equalization; SCC = socio-demographic cost compensation; A-C = areas poverty, age, immigrant integration; F = core city issues; GCC = geographical/topographic cost compensation;
STR = standardized tax revenue</t>
  </si>
  <si>
    <t>Environment</t>
  </si>
  <si>
    <t>Produktion</t>
  </si>
  <si>
    <t>Type</t>
  </si>
  <si>
    <t>Berechnung</t>
  </si>
  <si>
    <t>WS</t>
  </si>
  <si>
    <t>FA_2014_20130902</t>
  </si>
  <si>
    <t>SWS</t>
  </si>
  <si>
    <t>Zahlungen_2014_20130902</t>
  </si>
  <si>
    <t>RefYear</t>
  </si>
  <si>
    <t>in CHF; (+) cantonal burden; (-) cantonal relief</t>
  </si>
  <si>
    <t>Resource equalization</t>
  </si>
  <si>
    <t>Cost compensation</t>
  </si>
  <si>
    <t>Any differences are due to rounding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</si>
</sst>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8"/>
      <color rgb="FF3333FF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auto="1"/>
      </left>
      <right style="hair">
        <color auto="1"/>
      </right>
      <top/>
      <bottom style="thin">
        <color rgb="FF000000"/>
      </bottom>
      <diagonal/>
    </border>
    <border diagonalUp="1" diagonalDown="1">
      <left style="hair">
        <color auto="1"/>
      </left>
      <right style="hair">
        <color auto="1"/>
      </right>
      <top/>
      <bottom style="thin">
        <color rgb="FF000000"/>
      </bottom>
      <diagonal/>
    </border>
    <border diagonalUp="1" diagonalDown="1">
      <left style="hair">
        <color auto="1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164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/>
    </xf>
    <xf numFmtId="164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left" vertical="center"/>
    </xf>
    <xf numFmtId="164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/>
    </xf>
    <xf numFmtId="164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5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right"/>
    </xf>
    <xf numFmtId="0" fontId="1" fillId="0" borderId="39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left" vertical="center"/>
    </xf>
    <xf numFmtId="164" fontId="2" fillId="0" borderId="43" xfId="0" applyNumberFormat="1" applyFont="1" applyFill="1" applyBorder="1" applyAlignment="1">
      <alignment vertical="center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39" xfId="0" applyNumberFormat="1" applyFont="1" applyFill="1" applyBorder="1" applyAlignment="1">
      <alignment horizontal="right" vertical="center" indent="1"/>
    </xf>
    <xf numFmtId="3" fontId="1" fillId="0" borderId="39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50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50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2" borderId="51" xfId="0" applyFont="1" applyFill="1" applyBorder="1" applyAlignment="1">
      <alignment horizontal="left" vertical="center"/>
    </xf>
    <xf numFmtId="164" fontId="2" fillId="2" borderId="51" xfId="0" applyNumberFormat="1" applyFont="1" applyFill="1" applyBorder="1" applyAlignment="1">
      <alignment vertical="center"/>
    </xf>
    <xf numFmtId="3" fontId="0" fillId="2" borderId="25" xfId="0" applyNumberFormat="1" applyFont="1" applyFill="1" applyBorder="1" applyAlignment="1">
      <alignment horizontal="right" vertical="center" indent="1"/>
    </xf>
    <xf numFmtId="3" fontId="0" fillId="2" borderId="52" xfId="0" applyNumberFormat="1" applyFont="1" applyFill="1" applyBorder="1" applyAlignment="1">
      <alignment horizontal="right" vertical="center" indent="1"/>
    </xf>
    <xf numFmtId="3" fontId="0" fillId="2" borderId="53" xfId="0" applyNumberFormat="1" applyFont="1" applyFill="1" applyBorder="1" applyAlignment="1">
      <alignment horizontal="right" vertical="center" indent="1"/>
    </xf>
    <xf numFmtId="3" fontId="0" fillId="2" borderId="54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1" xfId="0" applyNumberFormat="1" applyFont="1" applyFill="1" applyBorder="1" applyAlignment="1">
      <alignment horizontal="right" vertical="center" indent="1"/>
    </xf>
    <xf numFmtId="3" fontId="2" fillId="2" borderId="5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left"/>
    </xf>
    <xf numFmtId="0" fontId="0" fillId="0" borderId="55" xfId="0" applyFont="1" applyFill="1" applyBorder="1"/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2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E35"/>
  <sheetViews>
    <sheetView showGridLines="0" tabSelected="1" workbookViewId="0"/>
  </sheetViews>
  <sheetFormatPr baseColWidth="10" defaultColWidth="11.42578125" defaultRowHeight="12.75"/>
  <cols>
    <col min="1" max="1" width="1.42578125" style="1" customWidth="1"/>
    <col min="2" max="2" width="15.85546875" style="2" customWidth="1"/>
    <col min="3" max="3" width="9.42578125" style="3" customWidth="1"/>
    <col min="4" max="4" width="10.28515625" style="3" customWidth="1"/>
    <col min="5" max="6" width="11.7109375" style="3" customWidth="1"/>
    <col min="8" max="8" width="11.7109375" style="3" customWidth="1"/>
    <col min="9" max="9" width="7.42578125" style="3" customWidth="1"/>
    <col min="10" max="13" width="10" style="3" customWidth="1"/>
    <col min="14" max="14" width="10.85546875" style="3" customWidth="1"/>
    <col min="15" max="17" width="10" style="3" customWidth="1"/>
    <col min="18" max="18" width="10.85546875" style="3" customWidth="1"/>
  </cols>
  <sheetData>
    <row r="1" spans="1:19" ht="18" customHeight="1">
      <c r="B1" s="102" t="str">
        <f>"Payments "&amp;R35</f>
        <v>Payments 2014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4"/>
    </row>
    <row r="2" spans="1:19" ht="22.5" customHeight="1">
      <c r="B2" s="5" t="s">
        <v>0</v>
      </c>
    </row>
    <row r="3" spans="1:19" ht="15.75" customHeight="1">
      <c r="A3" s="6"/>
      <c r="B3" s="7"/>
      <c r="C3" s="110" t="str">
        <f>"Resource index "&amp;R35</f>
        <v>Resource index 2014</v>
      </c>
      <c r="D3" s="126" t="str">
        <f>"Resource equalization "&amp;R35</f>
        <v>Resource equalization 2014</v>
      </c>
      <c r="E3" s="127"/>
      <c r="F3" s="127"/>
      <c r="G3" s="127"/>
      <c r="H3" s="128"/>
      <c r="I3" s="110" t="s">
        <v>1</v>
      </c>
      <c r="J3" s="129" t="str">
        <f>"Cost compensation "&amp;R35</f>
        <v>Cost compensation 2014</v>
      </c>
      <c r="K3" s="127"/>
      <c r="L3" s="127"/>
      <c r="M3" s="130"/>
      <c r="N3" s="112" t="s">
        <v>2</v>
      </c>
      <c r="O3" s="106" t="s">
        <v>3</v>
      </c>
      <c r="P3" s="104"/>
      <c r="Q3" s="122"/>
      <c r="R3" s="115" t="str">
        <f>"Total payments "&amp;R35&amp;" net"</f>
        <v>Total payments 2014 net</v>
      </c>
    </row>
    <row r="4" spans="1:19" ht="15.75" customHeight="1">
      <c r="A4" s="6"/>
      <c r="B4" s="8"/>
      <c r="C4" s="110"/>
      <c r="D4" s="120" t="s">
        <v>4</v>
      </c>
      <c r="E4" s="121"/>
      <c r="F4" s="9" t="s">
        <v>5</v>
      </c>
      <c r="G4" s="118" t="s">
        <v>6</v>
      </c>
      <c r="H4" s="119"/>
      <c r="I4" s="110"/>
      <c r="J4" s="106" t="s">
        <v>7</v>
      </c>
      <c r="K4" s="104" t="s">
        <v>8</v>
      </c>
      <c r="L4" s="104" t="s">
        <v>9</v>
      </c>
      <c r="M4" s="108" t="s">
        <v>6</v>
      </c>
      <c r="N4" s="113"/>
      <c r="O4" s="123"/>
      <c r="P4" s="124"/>
      <c r="Q4" s="125"/>
      <c r="R4" s="116"/>
    </row>
    <row r="5" spans="1:19" ht="24.75" customHeight="1">
      <c r="A5" s="10"/>
      <c r="B5" s="11"/>
      <c r="C5" s="111"/>
      <c r="D5" s="12" t="s">
        <v>10</v>
      </c>
      <c r="E5" s="13" t="s">
        <v>11</v>
      </c>
      <c r="F5" s="13" t="s">
        <v>11</v>
      </c>
      <c r="G5" s="13" t="s">
        <v>12</v>
      </c>
      <c r="H5" s="14" t="s">
        <v>11</v>
      </c>
      <c r="I5" s="111"/>
      <c r="J5" s="107"/>
      <c r="K5" s="105"/>
      <c r="L5" s="105"/>
      <c r="M5" s="109"/>
      <c r="N5" s="114"/>
      <c r="O5" s="15" t="s">
        <v>13</v>
      </c>
      <c r="P5" s="13" t="s">
        <v>14</v>
      </c>
      <c r="Q5" s="16" t="s">
        <v>6</v>
      </c>
      <c r="R5" s="117"/>
    </row>
    <row r="6" spans="1:19" s="17" customFormat="1" ht="15" customHeight="1">
      <c r="A6" s="18"/>
      <c r="B6" s="19" t="s">
        <v>15</v>
      </c>
      <c r="C6" s="20">
        <v>117.65226099207599</v>
      </c>
      <c r="D6" s="21">
        <v>419287.56893304503</v>
      </c>
      <c r="E6" s="22">
        <v>0</v>
      </c>
      <c r="F6" s="22">
        <v>0</v>
      </c>
      <c r="G6" s="22">
        <f t="shared" ref="G6:G31" si="0">SUM(D6:F6)</f>
        <v>419287.56893304503</v>
      </c>
      <c r="H6" s="23">
        <f t="shared" ref="H6:H31" si="1">SUM(E6:F6)</f>
        <v>0</v>
      </c>
      <c r="I6" s="20">
        <v>114</v>
      </c>
      <c r="J6" s="24">
        <v>0</v>
      </c>
      <c r="K6" s="22">
        <v>-7023.2326627828397</v>
      </c>
      <c r="L6" s="22">
        <v>-65233.706787263996</v>
      </c>
      <c r="M6" s="25">
        <f t="shared" ref="M6:M31" si="2">SUM(J6:L6)</f>
        <v>-72256.939450046833</v>
      </c>
      <c r="N6" s="26">
        <f t="shared" ref="N6:N31" si="3">G6+M6</f>
        <v>347030.62948299816</v>
      </c>
      <c r="O6" s="24">
        <v>20251.125</v>
      </c>
      <c r="P6" s="22">
        <v>0</v>
      </c>
      <c r="Q6" s="25">
        <f t="shared" ref="Q6:Q31" si="4">O6+P6</f>
        <v>20251.125</v>
      </c>
      <c r="R6" s="27">
        <f t="shared" ref="R6:R31" si="5">N6+Q6</f>
        <v>367281.75448299816</v>
      </c>
    </row>
    <row r="7" spans="1:19" s="17" customFormat="1" ht="15" customHeight="1">
      <c r="A7" s="18"/>
      <c r="B7" s="28" t="s">
        <v>16</v>
      </c>
      <c r="C7" s="29">
        <v>74.4781512519925</v>
      </c>
      <c r="D7" s="30">
        <v>0</v>
      </c>
      <c r="E7" s="31">
        <v>-461372.35396690603</v>
      </c>
      <c r="F7" s="31">
        <v>-679233.32090528996</v>
      </c>
      <c r="G7" s="31">
        <f t="shared" si="0"/>
        <v>-1140605.674872196</v>
      </c>
      <c r="H7" s="32">
        <f t="shared" si="1"/>
        <v>-1140605.674872196</v>
      </c>
      <c r="I7" s="29">
        <v>88.2</v>
      </c>
      <c r="J7" s="33">
        <v>-27917.803796048</v>
      </c>
      <c r="K7" s="31">
        <v>-26845.726609158301</v>
      </c>
      <c r="L7" s="31">
        <v>0</v>
      </c>
      <c r="M7" s="34">
        <f t="shared" si="2"/>
        <v>-54763.5304052063</v>
      </c>
      <c r="N7" s="35">
        <f t="shared" si="3"/>
        <v>-1195369.2052774024</v>
      </c>
      <c r="O7" s="33">
        <v>15800.977999999999</v>
      </c>
      <c r="P7" s="31">
        <v>-52134.66</v>
      </c>
      <c r="Q7" s="34">
        <f t="shared" si="4"/>
        <v>-36333.682000000001</v>
      </c>
      <c r="R7" s="36">
        <f t="shared" si="5"/>
        <v>-1231702.8872774024</v>
      </c>
    </row>
    <row r="8" spans="1:19" s="17" customFormat="1" ht="15" customHeight="1">
      <c r="A8" s="18"/>
      <c r="B8" s="19" t="s">
        <v>17</v>
      </c>
      <c r="C8" s="20">
        <v>78.892352487649404</v>
      </c>
      <c r="D8" s="21">
        <v>0</v>
      </c>
      <c r="E8" s="22">
        <v>-131279.33403913199</v>
      </c>
      <c r="F8" s="22">
        <v>-193269.70343791001</v>
      </c>
      <c r="G8" s="22">
        <f t="shared" si="0"/>
        <v>-324549.037477042</v>
      </c>
      <c r="H8" s="23">
        <f t="shared" si="1"/>
        <v>-324549.037477042</v>
      </c>
      <c r="I8" s="20">
        <v>89.2</v>
      </c>
      <c r="J8" s="24">
        <v>-6281.3675083122198</v>
      </c>
      <c r="K8" s="22">
        <v>0</v>
      </c>
      <c r="L8" s="22">
        <v>0</v>
      </c>
      <c r="M8" s="25">
        <f t="shared" si="2"/>
        <v>-6281.3675083122198</v>
      </c>
      <c r="N8" s="26">
        <f t="shared" si="3"/>
        <v>-330830.40498535422</v>
      </c>
      <c r="O8" s="24">
        <v>5729.0680000000002</v>
      </c>
      <c r="P8" s="22">
        <v>-23692.069</v>
      </c>
      <c r="Q8" s="25">
        <f t="shared" si="4"/>
        <v>-17963.001</v>
      </c>
      <c r="R8" s="27">
        <f t="shared" si="5"/>
        <v>-348793.40598535421</v>
      </c>
    </row>
    <row r="9" spans="1:19" s="17" customFormat="1" ht="15" customHeight="1">
      <c r="A9" s="18"/>
      <c r="B9" s="28" t="s">
        <v>18</v>
      </c>
      <c r="C9" s="29">
        <v>61.204502918292697</v>
      </c>
      <c r="D9" s="30">
        <v>0</v>
      </c>
      <c r="E9" s="31">
        <v>-30733.8664142261</v>
      </c>
      <c r="F9" s="31">
        <v>-45246.460845141497</v>
      </c>
      <c r="G9" s="31">
        <f t="shared" si="0"/>
        <v>-75980.327259367594</v>
      </c>
      <c r="H9" s="32">
        <f t="shared" si="1"/>
        <v>-75980.327259367594</v>
      </c>
      <c r="I9" s="29">
        <v>87</v>
      </c>
      <c r="J9" s="33">
        <v>-11577.3568867053</v>
      </c>
      <c r="K9" s="31">
        <v>0</v>
      </c>
      <c r="L9" s="31">
        <v>0</v>
      </c>
      <c r="M9" s="34">
        <f t="shared" si="2"/>
        <v>-11577.3568867053</v>
      </c>
      <c r="N9" s="35">
        <f t="shared" si="3"/>
        <v>-87557.68414607289</v>
      </c>
      <c r="O9" s="33">
        <v>574.29499999999996</v>
      </c>
      <c r="P9" s="31">
        <v>0</v>
      </c>
      <c r="Q9" s="34">
        <f t="shared" si="4"/>
        <v>574.29499999999996</v>
      </c>
      <c r="R9" s="36">
        <f t="shared" si="5"/>
        <v>-86983.389146072892</v>
      </c>
    </row>
    <row r="10" spans="1:19" s="17" customFormat="1" ht="15" customHeight="1">
      <c r="A10" s="18"/>
      <c r="B10" s="19" t="s">
        <v>19</v>
      </c>
      <c r="C10" s="20">
        <v>158.85894290116201</v>
      </c>
      <c r="D10" s="21">
        <v>147023.807042542</v>
      </c>
      <c r="E10" s="22">
        <v>0</v>
      </c>
      <c r="F10" s="22">
        <v>0</v>
      </c>
      <c r="G10" s="22">
        <f t="shared" si="0"/>
        <v>147023.807042542</v>
      </c>
      <c r="H10" s="23">
        <f t="shared" si="1"/>
        <v>0</v>
      </c>
      <c r="I10" s="20">
        <v>146.80000000000001</v>
      </c>
      <c r="J10" s="24">
        <v>-6541.2529843167704</v>
      </c>
      <c r="K10" s="22">
        <v>0</v>
      </c>
      <c r="L10" s="22">
        <v>0</v>
      </c>
      <c r="M10" s="25">
        <f t="shared" si="2"/>
        <v>-6541.2529843167704</v>
      </c>
      <c r="N10" s="26">
        <f t="shared" si="3"/>
        <v>140482.55405822524</v>
      </c>
      <c r="O10" s="24">
        <v>2120.1410000000001</v>
      </c>
      <c r="P10" s="22">
        <v>0</v>
      </c>
      <c r="Q10" s="25">
        <f t="shared" si="4"/>
        <v>2120.1410000000001</v>
      </c>
      <c r="R10" s="27">
        <f t="shared" si="5"/>
        <v>142602.69505822525</v>
      </c>
    </row>
    <row r="11" spans="1:19" s="17" customFormat="1" ht="15" customHeight="1">
      <c r="A11" s="18"/>
      <c r="B11" s="28" t="s">
        <v>20</v>
      </c>
      <c r="C11" s="29">
        <v>84.968270635495699</v>
      </c>
      <c r="D11" s="30">
        <v>0</v>
      </c>
      <c r="E11" s="31">
        <v>-7361.8017074771797</v>
      </c>
      <c r="F11" s="31">
        <v>-10838.0594949446</v>
      </c>
      <c r="G11" s="31">
        <f t="shared" si="0"/>
        <v>-18199.86120242178</v>
      </c>
      <c r="H11" s="32">
        <f t="shared" si="1"/>
        <v>-18199.86120242178</v>
      </c>
      <c r="I11" s="29">
        <v>91.2</v>
      </c>
      <c r="J11" s="33">
        <v>-5996.7708612043598</v>
      </c>
      <c r="K11" s="31">
        <v>0</v>
      </c>
      <c r="L11" s="31">
        <v>0</v>
      </c>
      <c r="M11" s="34">
        <f t="shared" si="2"/>
        <v>-5996.7708612043598</v>
      </c>
      <c r="N11" s="35">
        <f t="shared" si="3"/>
        <v>-24196.632063626141</v>
      </c>
      <c r="O11" s="33">
        <v>533.548</v>
      </c>
      <c r="P11" s="31">
        <v>-9441.5660000000007</v>
      </c>
      <c r="Q11" s="34">
        <f t="shared" si="4"/>
        <v>-8908.018</v>
      </c>
      <c r="R11" s="36">
        <f t="shared" si="5"/>
        <v>-33104.650063626141</v>
      </c>
    </row>
    <row r="12" spans="1:19" s="17" customFormat="1" ht="15" customHeight="1">
      <c r="A12" s="18"/>
      <c r="B12" s="19" t="s">
        <v>21</v>
      </c>
      <c r="C12" s="20">
        <v>127.27429475285101</v>
      </c>
      <c r="D12" s="21">
        <v>19020.8839617761</v>
      </c>
      <c r="E12" s="22">
        <v>0</v>
      </c>
      <c r="F12" s="22">
        <v>0</v>
      </c>
      <c r="G12" s="22">
        <f t="shared" si="0"/>
        <v>19020.8839617761</v>
      </c>
      <c r="H12" s="23">
        <f t="shared" si="1"/>
        <v>0</v>
      </c>
      <c r="I12" s="20">
        <v>121.7</v>
      </c>
      <c r="J12" s="24">
        <v>-1297.1718709424599</v>
      </c>
      <c r="K12" s="22">
        <v>0</v>
      </c>
      <c r="L12" s="22">
        <v>0</v>
      </c>
      <c r="M12" s="25">
        <f t="shared" si="2"/>
        <v>-1297.1718709424599</v>
      </c>
      <c r="N12" s="26">
        <f t="shared" si="3"/>
        <v>17723.71209083364</v>
      </c>
      <c r="O12" s="24">
        <v>611.95899999999995</v>
      </c>
      <c r="P12" s="22">
        <v>0</v>
      </c>
      <c r="Q12" s="25">
        <f t="shared" si="4"/>
        <v>611.95899999999995</v>
      </c>
      <c r="R12" s="27">
        <f t="shared" si="5"/>
        <v>18335.671090833639</v>
      </c>
    </row>
    <row r="13" spans="1:19" s="17" customFormat="1" ht="15" customHeight="1">
      <c r="A13" s="18"/>
      <c r="B13" s="28" t="s">
        <v>22</v>
      </c>
      <c r="C13" s="29">
        <v>68.412573146655802</v>
      </c>
      <c r="D13" s="30">
        <v>0</v>
      </c>
      <c r="E13" s="31">
        <v>-24870.906332031998</v>
      </c>
      <c r="F13" s="31">
        <v>-36614.999049211001</v>
      </c>
      <c r="G13" s="31">
        <f t="shared" si="0"/>
        <v>-61485.905381242999</v>
      </c>
      <c r="H13" s="32">
        <f t="shared" si="1"/>
        <v>-61485.905381242999</v>
      </c>
      <c r="I13" s="29">
        <v>87.3</v>
      </c>
      <c r="J13" s="33">
        <v>-5370.7162890146101</v>
      </c>
      <c r="K13" s="31">
        <v>0</v>
      </c>
      <c r="L13" s="31">
        <v>0</v>
      </c>
      <c r="M13" s="34">
        <f t="shared" si="2"/>
        <v>-5370.7162890146101</v>
      </c>
      <c r="N13" s="35">
        <f t="shared" si="3"/>
        <v>-66856.621670257606</v>
      </c>
      <c r="O13" s="33">
        <v>635.70000000000005</v>
      </c>
      <c r="P13" s="31">
        <v>-8168.7569999999996</v>
      </c>
      <c r="Q13" s="34">
        <f t="shared" si="4"/>
        <v>-7533.0569999999998</v>
      </c>
      <c r="R13" s="36">
        <f t="shared" si="5"/>
        <v>-74389.678670257606</v>
      </c>
    </row>
    <row r="14" spans="1:19" s="17" customFormat="1" ht="15" customHeight="1">
      <c r="A14" s="18"/>
      <c r="B14" s="19" t="s">
        <v>23</v>
      </c>
      <c r="C14" s="20">
        <v>243.75410601997001</v>
      </c>
      <c r="D14" s="21">
        <v>277856.20053743001</v>
      </c>
      <c r="E14" s="22">
        <v>0</v>
      </c>
      <c r="F14" s="22">
        <v>0</v>
      </c>
      <c r="G14" s="22">
        <f t="shared" si="0"/>
        <v>277856.20053743001</v>
      </c>
      <c r="H14" s="23">
        <f t="shared" si="1"/>
        <v>0</v>
      </c>
      <c r="I14" s="20">
        <v>214.3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277856.20053743001</v>
      </c>
      <c r="O14" s="24">
        <v>1627.9259999999999</v>
      </c>
      <c r="P14" s="22">
        <v>0</v>
      </c>
      <c r="Q14" s="25">
        <f t="shared" si="4"/>
        <v>1627.9259999999999</v>
      </c>
      <c r="R14" s="27">
        <f t="shared" si="5"/>
        <v>279484.12653742998</v>
      </c>
    </row>
    <row r="15" spans="1:19" s="17" customFormat="1" ht="15" customHeight="1">
      <c r="A15" s="18"/>
      <c r="B15" s="28" t="s">
        <v>24</v>
      </c>
      <c r="C15" s="29">
        <v>75.485164555237304</v>
      </c>
      <c r="D15" s="30">
        <v>0</v>
      </c>
      <c r="E15" s="31">
        <v>-121402.14854302</v>
      </c>
      <c r="F15" s="31">
        <v>-178728.490796889</v>
      </c>
      <c r="G15" s="31">
        <f t="shared" si="0"/>
        <v>-300130.63933990902</v>
      </c>
      <c r="H15" s="32">
        <f t="shared" si="1"/>
        <v>-300130.63933990902</v>
      </c>
      <c r="I15" s="29">
        <v>88.4</v>
      </c>
      <c r="J15" s="33">
        <v>-9643.7180777264493</v>
      </c>
      <c r="K15" s="31">
        <v>0</v>
      </c>
      <c r="L15" s="31">
        <v>0</v>
      </c>
      <c r="M15" s="34">
        <f t="shared" si="2"/>
        <v>-9643.7180777264493</v>
      </c>
      <c r="N15" s="35">
        <f t="shared" si="3"/>
        <v>-309774.35741763545</v>
      </c>
      <c r="O15" s="33">
        <v>3933.8240000000001</v>
      </c>
      <c r="P15" s="31">
        <v>-137280.03</v>
      </c>
      <c r="Q15" s="34">
        <f t="shared" si="4"/>
        <v>-133346.20600000001</v>
      </c>
      <c r="R15" s="36">
        <f t="shared" si="5"/>
        <v>-443120.56341763545</v>
      </c>
    </row>
    <row r="16" spans="1:19" s="17" customFormat="1" ht="15" customHeight="1">
      <c r="A16" s="18"/>
      <c r="B16" s="19" t="s">
        <v>25</v>
      </c>
      <c r="C16" s="20">
        <v>79.441818157777305</v>
      </c>
      <c r="D16" s="21">
        <v>0</v>
      </c>
      <c r="E16" s="22">
        <v>-85741.709928629803</v>
      </c>
      <c r="F16" s="22">
        <v>-126229.120306369</v>
      </c>
      <c r="G16" s="22">
        <f t="shared" si="0"/>
        <v>-211970.83023499881</v>
      </c>
      <c r="H16" s="23">
        <f t="shared" si="1"/>
        <v>-211970.83023499881</v>
      </c>
      <c r="I16" s="20">
        <v>89.3</v>
      </c>
      <c r="J16" s="24">
        <v>0</v>
      </c>
      <c r="K16" s="22">
        <v>-175.75200437800501</v>
      </c>
      <c r="L16" s="22">
        <v>0</v>
      </c>
      <c r="M16" s="25">
        <f t="shared" si="2"/>
        <v>-175.75200437800501</v>
      </c>
      <c r="N16" s="26">
        <f t="shared" si="3"/>
        <v>-212146.58223937682</v>
      </c>
      <c r="O16" s="24">
        <v>4024.0419999999999</v>
      </c>
      <c r="P16" s="22">
        <v>0</v>
      </c>
      <c r="Q16" s="25">
        <f t="shared" si="4"/>
        <v>4024.0419999999999</v>
      </c>
      <c r="R16" s="27">
        <f t="shared" si="5"/>
        <v>-208122.54023937683</v>
      </c>
    </row>
    <row r="17" spans="1:31" s="17" customFormat="1" ht="15" customHeight="1">
      <c r="A17" s="18"/>
      <c r="B17" s="28" t="s">
        <v>26</v>
      </c>
      <c r="C17" s="29">
        <v>146.070303832376</v>
      </c>
      <c r="D17" s="30">
        <v>153876.152181249</v>
      </c>
      <c r="E17" s="31">
        <v>0</v>
      </c>
      <c r="F17" s="31">
        <v>0</v>
      </c>
      <c r="G17" s="31">
        <f t="shared" si="0"/>
        <v>153876.152181249</v>
      </c>
      <c r="H17" s="32">
        <f t="shared" si="1"/>
        <v>0</v>
      </c>
      <c r="I17" s="29">
        <v>136.6</v>
      </c>
      <c r="J17" s="33">
        <v>0</v>
      </c>
      <c r="K17" s="31">
        <v>-35339.145191571501</v>
      </c>
      <c r="L17" s="31">
        <v>-19160.046581953899</v>
      </c>
      <c r="M17" s="34">
        <f t="shared" si="2"/>
        <v>-54499.191773525396</v>
      </c>
      <c r="N17" s="35">
        <f t="shared" si="3"/>
        <v>99376.9604077236</v>
      </c>
      <c r="O17" s="33">
        <v>3192.4209999999998</v>
      </c>
      <c r="P17" s="31">
        <v>0</v>
      </c>
      <c r="Q17" s="34">
        <f t="shared" si="4"/>
        <v>3192.4209999999998</v>
      </c>
      <c r="R17" s="36">
        <f t="shared" si="5"/>
        <v>102569.3814077236</v>
      </c>
    </row>
    <row r="18" spans="1:31" s="17" customFormat="1" ht="15" customHeight="1">
      <c r="A18" s="18"/>
      <c r="B18" s="19" t="s">
        <v>27</v>
      </c>
      <c r="C18" s="20">
        <v>101.60950726820199</v>
      </c>
      <c r="D18" s="21">
        <v>7583.6236399935196</v>
      </c>
      <c r="E18" s="22">
        <v>0</v>
      </c>
      <c r="F18" s="22">
        <v>0</v>
      </c>
      <c r="G18" s="22">
        <f t="shared" si="0"/>
        <v>7583.6236399935196</v>
      </c>
      <c r="H18" s="23">
        <f t="shared" si="1"/>
        <v>0</v>
      </c>
      <c r="I18" s="20">
        <v>101.3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7583.6236399935196</v>
      </c>
      <c r="O18" s="24">
        <v>4264.259</v>
      </c>
      <c r="P18" s="22">
        <v>0</v>
      </c>
      <c r="Q18" s="25">
        <f t="shared" si="4"/>
        <v>4264.259</v>
      </c>
      <c r="R18" s="27">
        <f t="shared" si="5"/>
        <v>11847.882639993521</v>
      </c>
    </row>
    <row r="19" spans="1:31" s="17" customFormat="1" ht="15" customHeight="1">
      <c r="A19" s="18"/>
      <c r="B19" s="28" t="s">
        <v>28</v>
      </c>
      <c r="C19" s="29">
        <v>103.926109582172</v>
      </c>
      <c r="D19" s="30">
        <v>5162.3004342069198</v>
      </c>
      <c r="E19" s="31">
        <v>0</v>
      </c>
      <c r="F19" s="31">
        <v>0</v>
      </c>
      <c r="G19" s="31">
        <f t="shared" si="0"/>
        <v>5162.3004342069198</v>
      </c>
      <c r="H19" s="32">
        <f t="shared" si="1"/>
        <v>0</v>
      </c>
      <c r="I19" s="29">
        <v>103.1</v>
      </c>
      <c r="J19" s="33">
        <v>0</v>
      </c>
      <c r="K19" s="31">
        <v>-2165.3527926739598</v>
      </c>
      <c r="L19" s="31">
        <v>0</v>
      </c>
      <c r="M19" s="34">
        <f t="shared" si="2"/>
        <v>-2165.3527926739598</v>
      </c>
      <c r="N19" s="35">
        <f t="shared" si="3"/>
        <v>2996.94764153296</v>
      </c>
      <c r="O19" s="33">
        <v>1215.5</v>
      </c>
      <c r="P19" s="31">
        <v>0</v>
      </c>
      <c r="Q19" s="34">
        <f t="shared" si="4"/>
        <v>1215.5</v>
      </c>
      <c r="R19" s="36">
        <f t="shared" si="5"/>
        <v>4212.44764153296</v>
      </c>
    </row>
    <row r="20" spans="1:31" s="17" customFormat="1" ht="15" customHeight="1">
      <c r="A20" s="18"/>
      <c r="B20" s="19" t="s">
        <v>29</v>
      </c>
      <c r="C20" s="20">
        <v>84.8199798837869</v>
      </c>
      <c r="D20" s="21">
        <v>0</v>
      </c>
      <c r="E20" s="22">
        <v>-11334.921171871099</v>
      </c>
      <c r="F20" s="22">
        <v>-16687.2940772736</v>
      </c>
      <c r="G20" s="22">
        <f t="shared" si="0"/>
        <v>-28022.215249144698</v>
      </c>
      <c r="H20" s="23">
        <f t="shared" si="1"/>
        <v>-28022.215249144698</v>
      </c>
      <c r="I20" s="20">
        <v>91.1</v>
      </c>
      <c r="J20" s="24">
        <v>-18850.399839455498</v>
      </c>
      <c r="K20" s="22">
        <v>0</v>
      </c>
      <c r="L20" s="22">
        <v>0</v>
      </c>
      <c r="M20" s="25">
        <f t="shared" si="2"/>
        <v>-18850.399839455498</v>
      </c>
      <c r="N20" s="26">
        <f t="shared" si="3"/>
        <v>-46872.6150886002</v>
      </c>
      <c r="O20" s="24">
        <v>885.61699999999996</v>
      </c>
      <c r="P20" s="22">
        <v>0</v>
      </c>
      <c r="Q20" s="25">
        <f t="shared" si="4"/>
        <v>885.61699999999996</v>
      </c>
      <c r="R20" s="27">
        <f t="shared" si="5"/>
        <v>-45986.998088600201</v>
      </c>
    </row>
    <row r="21" spans="1:31" s="17" customFormat="1" ht="15" customHeight="1">
      <c r="A21" s="18"/>
      <c r="B21" s="28" t="s">
        <v>30</v>
      </c>
      <c r="C21" s="29">
        <v>84.003635102335295</v>
      </c>
      <c r="D21" s="30">
        <v>0</v>
      </c>
      <c r="E21" s="31">
        <v>-3612.7056772297701</v>
      </c>
      <c r="F21" s="31">
        <v>-5318.6326694689396</v>
      </c>
      <c r="G21" s="31">
        <f t="shared" si="0"/>
        <v>-8931.3383466987107</v>
      </c>
      <c r="H21" s="32">
        <f t="shared" si="1"/>
        <v>-8931.3383466987107</v>
      </c>
      <c r="I21" s="29">
        <v>90.8</v>
      </c>
      <c r="J21" s="33">
        <v>-8447.9389051572107</v>
      </c>
      <c r="K21" s="31">
        <v>0</v>
      </c>
      <c r="L21" s="31">
        <v>0</v>
      </c>
      <c r="M21" s="34">
        <f t="shared" si="2"/>
        <v>-8447.9389051572107</v>
      </c>
      <c r="N21" s="35">
        <f t="shared" si="3"/>
        <v>-17379.277251855921</v>
      </c>
      <c r="O21" s="33">
        <v>242.727</v>
      </c>
      <c r="P21" s="31">
        <v>0</v>
      </c>
      <c r="Q21" s="34">
        <f t="shared" si="4"/>
        <v>242.727</v>
      </c>
      <c r="R21" s="36">
        <f t="shared" si="5"/>
        <v>-17136.550251855922</v>
      </c>
    </row>
    <row r="22" spans="1:31" s="17" customFormat="1" ht="15" customHeight="1">
      <c r="A22" s="18"/>
      <c r="B22" s="19" t="s">
        <v>31</v>
      </c>
      <c r="C22" s="20">
        <v>79.481680272864395</v>
      </c>
      <c r="D22" s="21">
        <v>0</v>
      </c>
      <c r="E22" s="22">
        <v>-160771.47297390999</v>
      </c>
      <c r="F22" s="22">
        <v>-236688.09055415899</v>
      </c>
      <c r="G22" s="22">
        <f t="shared" si="0"/>
        <v>-397459.56352806895</v>
      </c>
      <c r="H22" s="23">
        <f t="shared" si="1"/>
        <v>-397459.56352806895</v>
      </c>
      <c r="I22" s="20">
        <v>89.4</v>
      </c>
      <c r="J22" s="24">
        <v>-2165.3769737787002</v>
      </c>
      <c r="K22" s="22">
        <v>0</v>
      </c>
      <c r="L22" s="22">
        <v>0</v>
      </c>
      <c r="M22" s="25">
        <f t="shared" si="2"/>
        <v>-2165.3769737787002</v>
      </c>
      <c r="N22" s="26">
        <f t="shared" si="3"/>
        <v>-399624.94050184765</v>
      </c>
      <c r="O22" s="24">
        <v>7438.0190000000002</v>
      </c>
      <c r="P22" s="22">
        <v>0</v>
      </c>
      <c r="Q22" s="25">
        <f t="shared" si="4"/>
        <v>7438.0190000000002</v>
      </c>
      <c r="R22" s="27">
        <f t="shared" si="5"/>
        <v>-392186.92150184768</v>
      </c>
    </row>
    <row r="23" spans="1:31" s="17" customFormat="1" ht="15" customHeight="1">
      <c r="A23" s="18"/>
      <c r="B23" s="28" t="s">
        <v>32</v>
      </c>
      <c r="C23" s="29">
        <v>84.384861718324402</v>
      </c>
      <c r="D23" s="30">
        <v>0</v>
      </c>
      <c r="E23" s="31">
        <v>-43715.188176898002</v>
      </c>
      <c r="F23" s="31">
        <v>-64357.589231547201</v>
      </c>
      <c r="G23" s="31">
        <f t="shared" si="0"/>
        <v>-108072.7774084452</v>
      </c>
      <c r="H23" s="32">
        <f t="shared" si="1"/>
        <v>-108072.7774084452</v>
      </c>
      <c r="I23" s="29">
        <v>90.9</v>
      </c>
      <c r="J23" s="33">
        <v>-139150.74275332899</v>
      </c>
      <c r="K23" s="31">
        <v>0</v>
      </c>
      <c r="L23" s="31">
        <v>0</v>
      </c>
      <c r="M23" s="34">
        <f t="shared" si="2"/>
        <v>-139150.74275332899</v>
      </c>
      <c r="N23" s="35">
        <f t="shared" si="3"/>
        <v>-247223.52016177418</v>
      </c>
      <c r="O23" s="33">
        <v>3128.0010000000002</v>
      </c>
      <c r="P23" s="31">
        <v>0</v>
      </c>
      <c r="Q23" s="34">
        <f t="shared" si="4"/>
        <v>3128.0010000000002</v>
      </c>
      <c r="R23" s="36">
        <f t="shared" si="5"/>
        <v>-244095.51916177419</v>
      </c>
    </row>
    <row r="24" spans="1:31" s="17" customFormat="1" ht="15" customHeight="1">
      <c r="A24" s="18"/>
      <c r="B24" s="19" t="s">
        <v>33</v>
      </c>
      <c r="C24" s="20">
        <v>89.111090147798805</v>
      </c>
      <c r="D24" s="21">
        <v>0</v>
      </c>
      <c r="E24" s="22">
        <v>-77915.185092341897</v>
      </c>
      <c r="F24" s="22">
        <v>-114706.89447295701</v>
      </c>
      <c r="G24" s="22">
        <f t="shared" si="0"/>
        <v>-192622.07956529892</v>
      </c>
      <c r="H24" s="23">
        <f t="shared" si="1"/>
        <v>-192622.07956529892</v>
      </c>
      <c r="I24" s="20">
        <v>92.9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-192622.07956529892</v>
      </c>
      <c r="O24" s="24">
        <v>8966.9410000000007</v>
      </c>
      <c r="P24" s="22">
        <v>0</v>
      </c>
      <c r="Q24" s="25">
        <f t="shared" si="4"/>
        <v>8966.9410000000007</v>
      </c>
      <c r="R24" s="27">
        <f t="shared" si="5"/>
        <v>-183655.13856529893</v>
      </c>
    </row>
    <row r="25" spans="1:31" s="17" customFormat="1" ht="15" customHeight="1">
      <c r="A25" s="18"/>
      <c r="B25" s="28" t="s">
        <v>34</v>
      </c>
      <c r="C25" s="29">
        <v>78.045376664435096</v>
      </c>
      <c r="D25" s="30">
        <v>0</v>
      </c>
      <c r="E25" s="31">
        <v>-91596.470115456104</v>
      </c>
      <c r="F25" s="31">
        <v>-134848.51019960799</v>
      </c>
      <c r="G25" s="31">
        <f t="shared" si="0"/>
        <v>-226444.98031506408</v>
      </c>
      <c r="H25" s="32">
        <f t="shared" si="1"/>
        <v>-226444.98031506408</v>
      </c>
      <c r="I25" s="29">
        <v>89</v>
      </c>
      <c r="J25" s="33">
        <v>-3989.6431091090899</v>
      </c>
      <c r="K25" s="31">
        <v>0</v>
      </c>
      <c r="L25" s="31">
        <v>0</v>
      </c>
      <c r="M25" s="34">
        <f t="shared" si="2"/>
        <v>-3989.6431091090899</v>
      </c>
      <c r="N25" s="35">
        <f t="shared" si="3"/>
        <v>-230434.62342417316</v>
      </c>
      <c r="O25" s="33">
        <v>3772.7510000000002</v>
      </c>
      <c r="P25" s="31">
        <v>0</v>
      </c>
      <c r="Q25" s="34">
        <f t="shared" si="4"/>
        <v>3772.7510000000002</v>
      </c>
      <c r="R25" s="36">
        <f t="shared" si="5"/>
        <v>-226661.87242417317</v>
      </c>
    </row>
    <row r="26" spans="1:31" s="17" customFormat="1" ht="15" customHeight="1">
      <c r="A26" s="18"/>
      <c r="B26" s="19" t="s">
        <v>35</v>
      </c>
      <c r="C26" s="20">
        <v>100.77450060563901</v>
      </c>
      <c r="D26" s="21">
        <v>4498.5668587731798</v>
      </c>
      <c r="E26" s="22">
        <v>0</v>
      </c>
      <c r="F26" s="22">
        <v>0</v>
      </c>
      <c r="G26" s="22">
        <f t="shared" si="0"/>
        <v>4498.5668587731798</v>
      </c>
      <c r="H26" s="23">
        <f t="shared" si="1"/>
        <v>0</v>
      </c>
      <c r="I26" s="20">
        <v>100.6</v>
      </c>
      <c r="J26" s="24">
        <v>-14421.552334587799</v>
      </c>
      <c r="K26" s="22">
        <v>-20660.1946958925</v>
      </c>
      <c r="L26" s="22">
        <v>0</v>
      </c>
      <c r="M26" s="25">
        <f t="shared" si="2"/>
        <v>-35081.747030480299</v>
      </c>
      <c r="N26" s="26">
        <f t="shared" si="3"/>
        <v>-30583.180171707121</v>
      </c>
      <c r="O26" s="24">
        <v>5092.3819999999996</v>
      </c>
      <c r="P26" s="22">
        <v>0</v>
      </c>
      <c r="Q26" s="25">
        <f t="shared" si="4"/>
        <v>5092.3819999999996</v>
      </c>
      <c r="R26" s="27">
        <f t="shared" si="5"/>
        <v>-25490.798171707123</v>
      </c>
    </row>
    <row r="27" spans="1:31" s="17" customFormat="1" ht="15" customHeight="1">
      <c r="A27" s="18"/>
      <c r="B27" s="28" t="s">
        <v>36</v>
      </c>
      <c r="C27" s="29">
        <v>108.40947306887099</v>
      </c>
      <c r="D27" s="30">
        <v>102961.627915765</v>
      </c>
      <c r="E27" s="31">
        <v>0</v>
      </c>
      <c r="F27" s="31">
        <v>0</v>
      </c>
      <c r="G27" s="31">
        <f t="shared" si="0"/>
        <v>102961.627915765</v>
      </c>
      <c r="H27" s="32">
        <f t="shared" si="1"/>
        <v>0</v>
      </c>
      <c r="I27" s="29">
        <v>106.7</v>
      </c>
      <c r="J27" s="33">
        <v>0</v>
      </c>
      <c r="K27" s="31">
        <v>-59645.980342368501</v>
      </c>
      <c r="L27" s="31">
        <v>-3627.2011272066702</v>
      </c>
      <c r="M27" s="34">
        <f t="shared" si="2"/>
        <v>-63273.181469575167</v>
      </c>
      <c r="N27" s="35">
        <f t="shared" si="3"/>
        <v>39688.446446189831</v>
      </c>
      <c r="O27" s="33">
        <v>10420.049000000001</v>
      </c>
      <c r="P27" s="31">
        <v>0</v>
      </c>
      <c r="Q27" s="34">
        <f t="shared" si="4"/>
        <v>10420.049000000001</v>
      </c>
      <c r="R27" s="36">
        <f t="shared" si="5"/>
        <v>50108.495446189831</v>
      </c>
    </row>
    <row r="28" spans="1:31" s="17" customFormat="1" ht="15" customHeight="1">
      <c r="A28" s="18"/>
      <c r="B28" s="19" t="s">
        <v>37</v>
      </c>
      <c r="C28" s="20">
        <v>70.431939836149894</v>
      </c>
      <c r="D28" s="21">
        <v>0</v>
      </c>
      <c r="E28" s="22">
        <v>-179457.59514079799</v>
      </c>
      <c r="F28" s="22">
        <v>-264197.83773586201</v>
      </c>
      <c r="G28" s="22">
        <f t="shared" si="0"/>
        <v>-443655.43287666002</v>
      </c>
      <c r="H28" s="23">
        <f t="shared" si="1"/>
        <v>-443655.43287666002</v>
      </c>
      <c r="I28" s="20">
        <v>87.6</v>
      </c>
      <c r="J28" s="24">
        <v>-74231.588804377403</v>
      </c>
      <c r="K28" s="22">
        <v>0</v>
      </c>
      <c r="L28" s="22">
        <v>0</v>
      </c>
      <c r="M28" s="25">
        <f t="shared" si="2"/>
        <v>-74231.588804377403</v>
      </c>
      <c r="N28" s="26">
        <f t="shared" si="3"/>
        <v>-517887.02168103744</v>
      </c>
      <c r="O28" s="24">
        <v>4528.9089999999997</v>
      </c>
      <c r="P28" s="22">
        <v>0</v>
      </c>
      <c r="Q28" s="25">
        <f t="shared" si="4"/>
        <v>4528.9089999999997</v>
      </c>
      <c r="R28" s="27">
        <f t="shared" si="5"/>
        <v>-513358.11268103746</v>
      </c>
    </row>
    <row r="29" spans="1:31" s="17" customFormat="1" ht="15" customHeight="1">
      <c r="A29" s="18"/>
      <c r="B29" s="28" t="s">
        <v>38</v>
      </c>
      <c r="C29" s="29">
        <v>90.222354139836298</v>
      </c>
      <c r="D29" s="30">
        <v>0</v>
      </c>
      <c r="E29" s="31">
        <v>-19105.2344735796</v>
      </c>
      <c r="F29" s="31">
        <v>-28126.7651747823</v>
      </c>
      <c r="G29" s="31">
        <f t="shared" si="0"/>
        <v>-47231.999648361903</v>
      </c>
      <c r="H29" s="32">
        <f t="shared" si="1"/>
        <v>-47231.999648361903</v>
      </c>
      <c r="I29" s="29">
        <v>93.5</v>
      </c>
      <c r="J29" s="33">
        <v>-22741.0008994532</v>
      </c>
      <c r="K29" s="31">
        <v>-15373.735196673</v>
      </c>
      <c r="L29" s="31">
        <v>0</v>
      </c>
      <c r="M29" s="34">
        <f t="shared" si="2"/>
        <v>-38114.736096126202</v>
      </c>
      <c r="N29" s="35">
        <f t="shared" si="3"/>
        <v>-85346.735744488105</v>
      </c>
      <c r="O29" s="33">
        <v>2764.0250000000001</v>
      </c>
      <c r="P29" s="31">
        <v>-108832.726</v>
      </c>
      <c r="Q29" s="34">
        <f t="shared" si="4"/>
        <v>-106068.701</v>
      </c>
      <c r="R29" s="36">
        <f t="shared" si="5"/>
        <v>-191415.43674448811</v>
      </c>
    </row>
    <row r="30" spans="1:31" s="17" customFormat="1" ht="15" customHeight="1">
      <c r="A30" s="18"/>
      <c r="B30" s="19" t="s">
        <v>39</v>
      </c>
      <c r="C30" s="20">
        <v>147.02785757239101</v>
      </c>
      <c r="D30" s="21">
        <v>370681.33344885003</v>
      </c>
      <c r="E30" s="22">
        <v>0</v>
      </c>
      <c r="F30" s="22">
        <v>0</v>
      </c>
      <c r="G30" s="22">
        <f t="shared" si="0"/>
        <v>370681.33344885003</v>
      </c>
      <c r="H30" s="23">
        <f t="shared" si="1"/>
        <v>0</v>
      </c>
      <c r="I30" s="20">
        <v>137.4</v>
      </c>
      <c r="J30" s="24">
        <v>0</v>
      </c>
      <c r="K30" s="22">
        <v>-74202.204708342702</v>
      </c>
      <c r="L30" s="22">
        <v>-32956.715508409397</v>
      </c>
      <c r="M30" s="25">
        <f t="shared" si="2"/>
        <v>-107158.9202167521</v>
      </c>
      <c r="N30" s="26">
        <f t="shared" si="3"/>
        <v>263522.41323209793</v>
      </c>
      <c r="O30" s="24">
        <v>6771.643</v>
      </c>
      <c r="P30" s="22">
        <v>0</v>
      </c>
      <c r="Q30" s="25">
        <f t="shared" si="4"/>
        <v>6771.643</v>
      </c>
      <c r="R30" s="27">
        <f t="shared" si="5"/>
        <v>270294.05623209791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>
      <c r="A31" s="18"/>
      <c r="B31" s="37" t="s">
        <v>40</v>
      </c>
      <c r="C31" s="38">
        <v>62.536669396234203</v>
      </c>
      <c r="D31" s="39">
        <v>0</v>
      </c>
      <c r="E31" s="40">
        <v>-57681.171200122</v>
      </c>
      <c r="F31" s="40">
        <v>-84918.337934864103</v>
      </c>
      <c r="G31" s="40">
        <f t="shared" si="0"/>
        <v>-142599.50913498609</v>
      </c>
      <c r="H31" s="41">
        <f t="shared" si="1"/>
        <v>-142599.50913498609</v>
      </c>
      <c r="I31" s="38">
        <v>87</v>
      </c>
      <c r="J31" s="42">
        <v>-4308.6081209835402</v>
      </c>
      <c r="K31" s="40">
        <v>-524.01580582666202</v>
      </c>
      <c r="L31" s="40">
        <v>0</v>
      </c>
      <c r="M31" s="43">
        <f t="shared" si="2"/>
        <v>-4832.6239268102017</v>
      </c>
      <c r="N31" s="44">
        <f t="shared" si="3"/>
        <v>-147432.13306179628</v>
      </c>
      <c r="O31" s="42">
        <v>1119.9349999999999</v>
      </c>
      <c r="P31" s="40">
        <v>-19387.554</v>
      </c>
      <c r="Q31" s="43">
        <f t="shared" si="4"/>
        <v>-18267.618999999999</v>
      </c>
      <c r="R31" s="45">
        <f t="shared" si="5"/>
        <v>-165699.75206179629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>
      <c r="A32" s="18"/>
      <c r="B32" s="46" t="s">
        <v>6</v>
      </c>
      <c r="C32" s="47">
        <v>100</v>
      </c>
      <c r="D32" s="48">
        <f>SUM(D6:D31)</f>
        <v>1507952.064953631</v>
      </c>
      <c r="E32" s="49">
        <f>SUM(E6:E31)</f>
        <v>-1507952.0649536296</v>
      </c>
      <c r="F32" s="49">
        <f>SUM(F6:F31)</f>
        <v>-2220010.106886277</v>
      </c>
      <c r="G32" s="49">
        <f>SUM(G6:G31)</f>
        <v>-2220010.1068862765</v>
      </c>
      <c r="H32" s="50">
        <f>SUM(H6:H31)</f>
        <v>-3727962.1718399064</v>
      </c>
      <c r="I32" s="51"/>
      <c r="J32" s="52">
        <f t="shared" ref="J32:R32" si="6">SUM(J6:J31)</f>
        <v>-362933.01001450152</v>
      </c>
      <c r="K32" s="49">
        <f t="shared" si="6"/>
        <v>-241955.34000966797</v>
      </c>
      <c r="L32" s="49">
        <f t="shared" si="6"/>
        <v>-120977.67000483397</v>
      </c>
      <c r="M32" s="53">
        <f t="shared" si="6"/>
        <v>-725866.02002900362</v>
      </c>
      <c r="N32" s="54">
        <f t="shared" si="6"/>
        <v>-2945876.1269152798</v>
      </c>
      <c r="O32" s="52">
        <f t="shared" si="6"/>
        <v>119645.785</v>
      </c>
      <c r="P32" s="49">
        <f t="shared" si="6"/>
        <v>-358937.36199999996</v>
      </c>
      <c r="Q32" s="53">
        <f t="shared" si="6"/>
        <v>-239291.57700000002</v>
      </c>
      <c r="R32" s="55">
        <f t="shared" si="6"/>
        <v>-3185167.7039152803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>
      <c r="B33" s="103" t="s">
        <v>41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56"/>
      <c r="T33" s="56"/>
      <c r="U33" s="56"/>
      <c r="V33" s="56"/>
      <c r="W33" s="56"/>
      <c r="X33" s="56"/>
    </row>
    <row r="34" spans="1:24" s="3" customFormat="1" ht="22.5" customHeight="1">
      <c r="A34" s="1"/>
      <c r="B34" s="2"/>
    </row>
    <row r="35" spans="1:24" s="17" customFormat="1">
      <c r="A35" s="18"/>
      <c r="B35" s="57"/>
      <c r="C35" s="58"/>
      <c r="D35" s="59" t="s">
        <v>42</v>
      </c>
      <c r="E35" s="60" t="s">
        <v>43</v>
      </c>
      <c r="F35" s="58"/>
      <c r="G35" s="59" t="s">
        <v>44</v>
      </c>
      <c r="H35" s="60" t="s">
        <v>45</v>
      </c>
      <c r="I35" s="59" t="s">
        <v>46</v>
      </c>
      <c r="J35" s="60" t="s">
        <v>47</v>
      </c>
      <c r="K35" s="61"/>
      <c r="L35" s="61"/>
      <c r="M35" s="59" t="s">
        <v>48</v>
      </c>
      <c r="N35" s="60" t="s">
        <v>49</v>
      </c>
      <c r="O35" s="61"/>
      <c r="P35" s="61"/>
      <c r="Q35" s="59" t="s">
        <v>50</v>
      </c>
      <c r="R35" s="62">
        <v>2014</v>
      </c>
    </row>
  </sheetData>
  <mergeCells count="15">
    <mergeCell ref="B1:R1"/>
    <mergeCell ref="B33:R33"/>
    <mergeCell ref="K4:K5"/>
    <mergeCell ref="L4:L5"/>
    <mergeCell ref="J4:J5"/>
    <mergeCell ref="M4:M5"/>
    <mergeCell ref="C3:C5"/>
    <mergeCell ref="I3:I5"/>
    <mergeCell ref="N3:N5"/>
    <mergeCell ref="R3:R5"/>
    <mergeCell ref="G4:H4"/>
    <mergeCell ref="D4:E4"/>
    <mergeCell ref="O3:Q4"/>
    <mergeCell ref="D3:H3"/>
    <mergeCell ref="J3:M3"/>
  </mergeCells>
  <conditionalFormatting sqref="C6:F31">
    <cfRule type="expression" dxfId="11" priority="1" stopIfTrue="1">
      <formula>ISBLANK(C6)</formula>
    </cfRule>
  </conditionalFormatting>
  <conditionalFormatting sqref="I6:L31">
    <cfRule type="expression" dxfId="10" priority="2" stopIfTrue="1">
      <formula>ISBLANK(I6)</formula>
    </cfRule>
  </conditionalFormatting>
  <conditionalFormatting sqref="O6:P31">
    <cfRule type="expression" dxfId="9" priority="3" stopIfTrue="1">
      <formula>ISBLANK(O6)</formula>
    </cfRule>
  </conditionalFormatting>
  <conditionalFormatting sqref="E35">
    <cfRule type="expression" dxfId="8" priority="4" stopIfTrue="1">
      <formula>ISBLANK(E35)</formula>
    </cfRule>
  </conditionalFormatting>
  <conditionalFormatting sqref="H35">
    <cfRule type="expression" dxfId="7" priority="5" stopIfTrue="1">
      <formula>ISBLANK(H35)</formula>
    </cfRule>
  </conditionalFormatting>
  <conditionalFormatting sqref="J35">
    <cfRule type="expression" dxfId="6" priority="6" stopIfTrue="1">
      <formula>ISBLANK(J35)</formula>
    </cfRule>
  </conditionalFormatting>
  <conditionalFormatting sqref="N35">
    <cfRule type="expression" dxfId="5" priority="7" stopIfTrue="1">
      <formula>ISBLANK(N35)</formula>
    </cfRule>
  </conditionalFormatting>
  <conditionalFormatting sqref="R35">
    <cfRule type="expression" dxfId="4" priority="8" stopIfTrue="1">
      <formula>ISBLANK(R35)</formula>
    </cfRule>
  </conditionalFormatting>
  <conditionalFormatting sqref="C6:F31">
    <cfRule type="expression" dxfId="3" priority="9" stopIfTrue="1">
      <formula>ISBLANK(C6)</formula>
    </cfRule>
  </conditionalFormatting>
  <conditionalFormatting sqref="I6:L31">
    <cfRule type="expression" dxfId="2" priority="10" stopIfTrue="1">
      <formula>ISBLANK(I6)</formula>
    </cfRule>
  </conditionalFormatting>
  <conditionalFormatting sqref="O6:P31">
    <cfRule type="expression" dxfId="1" priority="11" stopIfTrue="1">
      <formula>ISBLANK(O6)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31"/>
  <sheetViews>
    <sheetView workbookViewId="0"/>
  </sheetViews>
  <sheetFormatPr baseColWidth="10" defaultColWidth="11.42578125" defaultRowHeight="12.75"/>
  <cols>
    <col min="1" max="1" width="1.42578125" style="1" customWidth="1"/>
    <col min="2" max="2" width="15.710937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3.7109375" style="3" customWidth="1"/>
    <col min="13" max="13" width="11.42578125" style="3" customWidth="1"/>
    <col min="14" max="16384" width="11.42578125" style="3"/>
  </cols>
  <sheetData>
    <row r="1" spans="1:12" ht="18" customHeight="1">
      <c r="B1" s="102" t="str">
        <f>"Payments per capita "&amp;Payments!R35</f>
        <v>Payments per capita 2014</v>
      </c>
      <c r="C1" s="102"/>
      <c r="D1" s="102"/>
      <c r="E1" s="102"/>
      <c r="F1" s="102"/>
      <c r="G1" s="102"/>
      <c r="H1" s="102"/>
      <c r="I1" s="102"/>
      <c r="J1" s="102"/>
      <c r="K1" s="4"/>
    </row>
    <row r="2" spans="1:12" ht="22.5" customHeight="1">
      <c r="B2" s="5" t="s">
        <v>51</v>
      </c>
      <c r="L2" s="63" t="str">
        <f>Payments!J35</f>
        <v>FA_2014_20130902</v>
      </c>
    </row>
    <row r="3" spans="1:12" ht="15.75" customHeight="1">
      <c r="A3" s="6"/>
      <c r="B3" s="64"/>
      <c r="C3" s="141" t="str">
        <f>"RI "&amp;Payments!R35</f>
        <v>RI 2014</v>
      </c>
      <c r="D3" s="140" t="s">
        <v>52</v>
      </c>
      <c r="E3" s="137" t="s">
        <v>53</v>
      </c>
      <c r="F3" s="138"/>
      <c r="G3" s="138"/>
      <c r="H3" s="139"/>
      <c r="I3" s="135" t="s">
        <v>3</v>
      </c>
      <c r="J3" s="135" t="str">
        <f>"Total payments "&amp;Payments!R35&amp;" net"</f>
        <v>Total payments 2014 net</v>
      </c>
      <c r="L3" s="131" t="str">
        <f>"Relevant population "&amp;Payments!R35</f>
        <v>Relevant population 2014</v>
      </c>
    </row>
    <row r="4" spans="1:12" ht="39" customHeight="1">
      <c r="A4" s="6"/>
      <c r="B4" s="65"/>
      <c r="C4" s="141"/>
      <c r="D4" s="140"/>
      <c r="E4" s="66" t="s">
        <v>7</v>
      </c>
      <c r="F4" s="67" t="s">
        <v>8</v>
      </c>
      <c r="G4" s="67" t="s">
        <v>9</v>
      </c>
      <c r="H4" s="68" t="s">
        <v>6</v>
      </c>
      <c r="I4" s="136"/>
      <c r="J4" s="135"/>
      <c r="L4" s="132"/>
    </row>
    <row r="5" spans="1:12" s="17" customFormat="1" ht="15" customHeight="1">
      <c r="A5" s="18"/>
      <c r="B5" s="69" t="s">
        <v>15</v>
      </c>
      <c r="C5" s="70">
        <f>Payments!C6</f>
        <v>117.65226099207599</v>
      </c>
      <c r="D5" s="71">
        <f>Payments!G6/L5*1000</f>
        <v>306.9580206902375</v>
      </c>
      <c r="E5" s="72">
        <f>Payments!J6/$L5*1000</f>
        <v>0</v>
      </c>
      <c r="F5" s="73">
        <f>Payments!K6/$L5*1000</f>
        <v>-5.1416682886658807</v>
      </c>
      <c r="G5" s="73">
        <f>Payments!L6/$L5*1000</f>
        <v>-47.757222015097362</v>
      </c>
      <c r="H5" s="74">
        <f t="shared" ref="H5:H30" si="0">SUM(E5:G5)</f>
        <v>-52.898890303763245</v>
      </c>
      <c r="I5" s="75">
        <f>Payments!Q6/L5*1000</f>
        <v>14.825732283380058</v>
      </c>
      <c r="J5" s="76">
        <f>Payments!R6/L5*1000</f>
        <v>268.88486266985433</v>
      </c>
      <c r="L5" s="77">
        <v>1365944.33333333</v>
      </c>
    </row>
    <row r="6" spans="1:12" s="17" customFormat="1" ht="15" customHeight="1">
      <c r="A6" s="18"/>
      <c r="B6" s="78" t="s">
        <v>16</v>
      </c>
      <c r="C6" s="29">
        <f>Payments!C7</f>
        <v>74.4781512519925</v>
      </c>
      <c r="D6" s="79">
        <f>Payments!G7/L6*1000</f>
        <v>-1164.835019841581</v>
      </c>
      <c r="E6" s="80">
        <f>Payments!J7/$L6*1000</f>
        <v>-28.510848451062408</v>
      </c>
      <c r="F6" s="81">
        <f>Payments!K7/$L6*1000</f>
        <v>-27.41599763734688</v>
      </c>
      <c r="G6" s="81">
        <f>Payments!L7/$L6*1000</f>
        <v>0</v>
      </c>
      <c r="H6" s="82">
        <f t="shared" si="0"/>
        <v>-55.926846088409292</v>
      </c>
      <c r="I6" s="83">
        <f>Payments!Q7/L6*1000</f>
        <v>-37.105501161152766</v>
      </c>
      <c r="J6" s="84">
        <f>Payments!R7/L6*1000</f>
        <v>-1257.8673670911433</v>
      </c>
      <c r="L6" s="85">
        <v>979199.33333333302</v>
      </c>
    </row>
    <row r="7" spans="1:12" s="17" customFormat="1" ht="15" customHeight="1">
      <c r="A7" s="18"/>
      <c r="B7" s="86" t="s">
        <v>17</v>
      </c>
      <c r="C7" s="20">
        <f>Payments!C8</f>
        <v>78.892352487649404</v>
      </c>
      <c r="D7" s="87">
        <f>Payments!G8/L7*1000</f>
        <v>-875.17976220561059</v>
      </c>
      <c r="E7" s="88">
        <f>Payments!J8/$L7*1000</f>
        <v>-16.938351643207717</v>
      </c>
      <c r="F7" s="89">
        <f>Payments!K8/$L7*1000</f>
        <v>0</v>
      </c>
      <c r="G7" s="89">
        <f>Payments!L8/$L7*1000</f>
        <v>0</v>
      </c>
      <c r="H7" s="90">
        <f t="shared" si="0"/>
        <v>-16.938351643207717</v>
      </c>
      <c r="I7" s="91">
        <f>Payments!Q8/L7*1000</f>
        <v>-48.439074310276482</v>
      </c>
      <c r="J7" s="92">
        <f>Payments!R8/L7*1000</f>
        <v>-940.55718815909472</v>
      </c>
      <c r="L7" s="77">
        <v>370837</v>
      </c>
    </row>
    <row r="8" spans="1:12" s="17" customFormat="1" ht="15" customHeight="1">
      <c r="A8" s="18"/>
      <c r="B8" s="78" t="s">
        <v>18</v>
      </c>
      <c r="C8" s="29">
        <f>Payments!C9</f>
        <v>61.204502918292697</v>
      </c>
      <c r="D8" s="79">
        <f>Payments!G9/L8*1000</f>
        <v>-2188.1634038408661</v>
      </c>
      <c r="E8" s="80">
        <f>Payments!J9/$L8*1000</f>
        <v>-333.41720898642541</v>
      </c>
      <c r="F8" s="81">
        <f>Payments!K9/$L8*1000</f>
        <v>0</v>
      </c>
      <c r="G8" s="81">
        <f>Payments!L9/$L8*1000</f>
        <v>0</v>
      </c>
      <c r="H8" s="82">
        <f t="shared" si="0"/>
        <v>-333.41720898642541</v>
      </c>
      <c r="I8" s="83">
        <f>Payments!Q9/L8*1000</f>
        <v>16.539166746664119</v>
      </c>
      <c r="J8" s="84">
        <f>Payments!R9/L8*1000</f>
        <v>-2505.0414460806269</v>
      </c>
      <c r="L8" s="85">
        <v>34723.333333333299</v>
      </c>
    </row>
    <row r="9" spans="1:12" s="17" customFormat="1" ht="15" customHeight="1">
      <c r="A9" s="18"/>
      <c r="B9" s="86" t="s">
        <v>19</v>
      </c>
      <c r="C9" s="20">
        <f>Payments!C10</f>
        <v>158.85894290116201</v>
      </c>
      <c r="D9" s="87">
        <f>Payments!G10/L9*1000</f>
        <v>1023.5076753607246</v>
      </c>
      <c r="E9" s="88">
        <f>Payments!J10/$L9*1000</f>
        <v>-45.536996834718238</v>
      </c>
      <c r="F9" s="89">
        <f>Payments!K10/$L9*1000</f>
        <v>0</v>
      </c>
      <c r="G9" s="89">
        <f>Payments!L10/$L9*1000</f>
        <v>0</v>
      </c>
      <c r="H9" s="90">
        <f t="shared" si="0"/>
        <v>-45.536996834718238</v>
      </c>
      <c r="I9" s="91">
        <f>Payments!Q10/L9*1000</f>
        <v>14.759382374849459</v>
      </c>
      <c r="J9" s="92">
        <f>Payments!R10/L9*1000</f>
        <v>992.73006090085596</v>
      </c>
      <c r="L9" s="77">
        <v>143647</v>
      </c>
    </row>
    <row r="10" spans="1:12" s="17" customFormat="1" ht="15" customHeight="1">
      <c r="A10" s="18"/>
      <c r="B10" s="78" t="s">
        <v>20</v>
      </c>
      <c r="C10" s="29">
        <f>Payments!C11</f>
        <v>84.968270635495699</v>
      </c>
      <c r="D10" s="79">
        <f>Payments!G11/L10*1000</f>
        <v>-524.96570974045039</v>
      </c>
      <c r="E10" s="80">
        <f>Payments!J11/$L10*1000</f>
        <v>-172.97379558499568</v>
      </c>
      <c r="F10" s="81">
        <f>Payments!K11/$L10*1000</f>
        <v>0</v>
      </c>
      <c r="G10" s="81">
        <f>Payments!L11/$L10*1000</f>
        <v>0</v>
      </c>
      <c r="H10" s="82">
        <f t="shared" si="0"/>
        <v>-172.97379558499568</v>
      </c>
      <c r="I10" s="83">
        <f>Payments!Q11/L10*1000</f>
        <v>-256.94723381343357</v>
      </c>
      <c r="J10" s="84">
        <f>Payments!R11/L10*1000</f>
        <v>-954.88673913887976</v>
      </c>
      <c r="L10" s="85">
        <v>34668.666666666701</v>
      </c>
    </row>
    <row r="11" spans="1:12" s="17" customFormat="1" ht="15" customHeight="1">
      <c r="A11" s="18"/>
      <c r="B11" s="86" t="s">
        <v>21</v>
      </c>
      <c r="C11" s="20">
        <f>Payments!C12</f>
        <v>127.27429475285101</v>
      </c>
      <c r="D11" s="87">
        <f>Payments!G12/L11*1000</f>
        <v>474.27712160020195</v>
      </c>
      <c r="E11" s="88">
        <f>Payments!J12/$L11*1000</f>
        <v>-32.344392742612136</v>
      </c>
      <c r="F11" s="89">
        <f>Payments!K12/$L11*1000</f>
        <v>0</v>
      </c>
      <c r="G11" s="89">
        <f>Payments!L12/$L11*1000</f>
        <v>0</v>
      </c>
      <c r="H11" s="90">
        <f t="shared" si="0"/>
        <v>-32.344392742612136</v>
      </c>
      <c r="I11" s="91">
        <f>Payments!Q12/L11*1000</f>
        <v>15.258920334122926</v>
      </c>
      <c r="J11" s="92">
        <f>Payments!R12/L11*1000</f>
        <v>457.19164919171271</v>
      </c>
      <c r="L11" s="77">
        <v>40105</v>
      </c>
    </row>
    <row r="12" spans="1:12" s="17" customFormat="1" ht="15" customHeight="1">
      <c r="A12" s="18"/>
      <c r="B12" s="78" t="s">
        <v>22</v>
      </c>
      <c r="C12" s="29">
        <f>Payments!C13</f>
        <v>68.412573146655802</v>
      </c>
      <c r="D12" s="79">
        <f>Payments!G13/L12*1000</f>
        <v>-1605.7674293450871</v>
      </c>
      <c r="E12" s="80">
        <f>Payments!J13/$L12*1000</f>
        <v>-140.26175975906938</v>
      </c>
      <c r="F12" s="81">
        <f>Payments!K13/$L12*1000</f>
        <v>0</v>
      </c>
      <c r="G12" s="81">
        <f>Payments!L13/$L12*1000</f>
        <v>0</v>
      </c>
      <c r="H12" s="82">
        <f t="shared" si="0"/>
        <v>-140.26175975906938</v>
      </c>
      <c r="I12" s="83">
        <f>Payments!Q13/L12*1000</f>
        <v>-196.73350337767238</v>
      </c>
      <c r="J12" s="84">
        <f>Payments!R13/L12*1000</f>
        <v>-1942.7626924818287</v>
      </c>
      <c r="L12" s="85">
        <v>38290.666666666701</v>
      </c>
    </row>
    <row r="13" spans="1:12" s="17" customFormat="1" ht="15" customHeight="1">
      <c r="A13" s="18"/>
      <c r="B13" s="86" t="s">
        <v>23</v>
      </c>
      <c r="C13" s="20">
        <f>Payments!C14</f>
        <v>243.75410601997001</v>
      </c>
      <c r="D13" s="87">
        <f>Payments!G14/L13*1000</f>
        <v>2499.763394037318</v>
      </c>
      <c r="E13" s="88">
        <f>Payments!J14/$L13*1000</f>
        <v>0</v>
      </c>
      <c r="F13" s="89">
        <f>Payments!K14/$L13*1000</f>
        <v>0</v>
      </c>
      <c r="G13" s="89">
        <f>Payments!L14/$L13*1000</f>
        <v>0</v>
      </c>
      <c r="H13" s="90">
        <f t="shared" si="0"/>
        <v>0</v>
      </c>
      <c r="I13" s="91">
        <f>Payments!Q14/L13*1000</f>
        <v>14.645812528676689</v>
      </c>
      <c r="J13" s="92">
        <f>Payments!R14/L13*1000</f>
        <v>2514.4092065659947</v>
      </c>
      <c r="L13" s="77">
        <v>111153</v>
      </c>
    </row>
    <row r="14" spans="1:12" s="17" customFormat="1" ht="15" customHeight="1">
      <c r="A14" s="18"/>
      <c r="B14" s="78" t="s">
        <v>24</v>
      </c>
      <c r="C14" s="29">
        <f>Payments!C15</f>
        <v>75.485164555237304</v>
      </c>
      <c r="D14" s="79">
        <f>Payments!G15/L14*1000</f>
        <v>-1096.3329234261394</v>
      </c>
      <c r="E14" s="80">
        <f>Payments!J15/$L14*1000</f>
        <v>-35.22707863517175</v>
      </c>
      <c r="F14" s="81">
        <f>Payments!K15/$L14*1000</f>
        <v>0</v>
      </c>
      <c r="G14" s="81">
        <f>Payments!L15/$L14*1000</f>
        <v>0</v>
      </c>
      <c r="H14" s="82">
        <f t="shared" si="0"/>
        <v>-35.22707863517175</v>
      </c>
      <c r="I14" s="83">
        <f>Payments!Q15/L14*1000</f>
        <v>-487.0940073738908</v>
      </c>
      <c r="J14" s="84">
        <f>Payments!R15/L14*1000</f>
        <v>-1618.6540094352017</v>
      </c>
      <c r="L14" s="85">
        <v>273758.66666666698</v>
      </c>
    </row>
    <row r="15" spans="1:12" s="17" customFormat="1" ht="15" customHeight="1">
      <c r="A15" s="18"/>
      <c r="B15" s="86" t="s">
        <v>25</v>
      </c>
      <c r="C15" s="20">
        <f>Payments!C16</f>
        <v>79.441818157777305</v>
      </c>
      <c r="D15" s="87">
        <f>Payments!G16/L15*1000</f>
        <v>-841.10624753485888</v>
      </c>
      <c r="E15" s="88">
        <f>Payments!J16/$L15*1000</f>
        <v>0</v>
      </c>
      <c r="F15" s="89">
        <f>Payments!K16/$L15*1000</f>
        <v>-0.69738892250046058</v>
      </c>
      <c r="G15" s="89">
        <f>Payments!L16/$L15*1000</f>
        <v>0</v>
      </c>
      <c r="H15" s="90">
        <f t="shared" si="0"/>
        <v>-0.69738892250046058</v>
      </c>
      <c r="I15" s="91">
        <f>Payments!Q16/L15*1000</f>
        <v>15.967512429848586</v>
      </c>
      <c r="J15" s="92">
        <f>Payments!R16/L15*1000</f>
        <v>-825.83612402751078</v>
      </c>
      <c r="L15" s="77">
        <v>252014.33333333299</v>
      </c>
    </row>
    <row r="16" spans="1:12" s="17" customFormat="1" ht="15" customHeight="1">
      <c r="A16" s="18"/>
      <c r="B16" s="78" t="s">
        <v>26</v>
      </c>
      <c r="C16" s="29">
        <f>Payments!C17</f>
        <v>146.070303832376</v>
      </c>
      <c r="D16" s="79">
        <f>Payments!G17/L16*1000</f>
        <v>801.1239627225217</v>
      </c>
      <c r="E16" s="80">
        <f>Payments!J17/$L16*1000</f>
        <v>0</v>
      </c>
      <c r="F16" s="81">
        <f>Payments!K17/$L16*1000</f>
        <v>-183.98585897671171</v>
      </c>
      <c r="G16" s="81">
        <f>Payments!L17/$L16*1000</f>
        <v>-99.752770173268473</v>
      </c>
      <c r="H16" s="82">
        <f t="shared" si="0"/>
        <v>-283.73862914998017</v>
      </c>
      <c r="I16" s="83">
        <f>Payments!Q17/L16*1000</f>
        <v>16.620671403234176</v>
      </c>
      <c r="J16" s="84">
        <f>Payments!R17/L16*1000</f>
        <v>534.0060049757758</v>
      </c>
      <c r="L16" s="85">
        <v>192075.33333333299</v>
      </c>
    </row>
    <row r="17" spans="1:23" s="17" customFormat="1" ht="15" customHeight="1">
      <c r="A17" s="18"/>
      <c r="B17" s="86" t="s">
        <v>27</v>
      </c>
      <c r="C17" s="20">
        <f>Payments!C18</f>
        <v>101.60950726820199</v>
      </c>
      <c r="D17" s="87">
        <f>Payments!G18/L17*1000</f>
        <v>27.987982137560966</v>
      </c>
      <c r="E17" s="88">
        <f>Payments!J18/$L17*1000</f>
        <v>0</v>
      </c>
      <c r="F17" s="89">
        <f>Payments!K18/$L17*1000</f>
        <v>0</v>
      </c>
      <c r="G17" s="89">
        <f>Payments!L18/$L17*1000</f>
        <v>0</v>
      </c>
      <c r="H17" s="90">
        <f t="shared" si="0"/>
        <v>0</v>
      </c>
      <c r="I17" s="91">
        <f>Payments!Q18/L17*1000</f>
        <v>15.737595955122526</v>
      </c>
      <c r="J17" s="92">
        <f>Payments!R18/L17*1000</f>
        <v>43.725578092683499</v>
      </c>
      <c r="L17" s="77">
        <v>270960</v>
      </c>
    </row>
    <row r="18" spans="1:23" s="17" customFormat="1" ht="15" customHeight="1">
      <c r="A18" s="18"/>
      <c r="B18" s="78" t="s">
        <v>28</v>
      </c>
      <c r="C18" s="29">
        <f>Payments!C19</f>
        <v>103.926109582172</v>
      </c>
      <c r="D18" s="79">
        <f>Payments!G19/L18*1000</f>
        <v>68.271754360395164</v>
      </c>
      <c r="E18" s="80">
        <f>Payments!J19/$L18*1000</f>
        <v>0</v>
      </c>
      <c r="F18" s="81">
        <f>Payments!K19/$L18*1000</f>
        <v>-28.636929572221543</v>
      </c>
      <c r="G18" s="81">
        <f>Payments!L19/$L18*1000</f>
        <v>0</v>
      </c>
      <c r="H18" s="82">
        <f t="shared" si="0"/>
        <v>-28.636929572221543</v>
      </c>
      <c r="I18" s="83">
        <f>Payments!Q19/L18*1000</f>
        <v>16.075065464067499</v>
      </c>
      <c r="J18" s="84">
        <f>Payments!R19/L18*1000</f>
        <v>55.709890252241124</v>
      </c>
      <c r="L18" s="85">
        <v>75614</v>
      </c>
    </row>
    <row r="19" spans="1:23" s="17" customFormat="1" ht="15" customHeight="1">
      <c r="A19" s="18"/>
      <c r="B19" s="86" t="s">
        <v>29</v>
      </c>
      <c r="C19" s="20">
        <f>Payments!C20</f>
        <v>84.8199798837869</v>
      </c>
      <c r="D19" s="87">
        <f>Payments!G20/L19*1000</f>
        <v>-532.78225053511096</v>
      </c>
      <c r="E19" s="88">
        <f>Payments!J20/$L19*1000</f>
        <v>-358.39987526533383</v>
      </c>
      <c r="F19" s="89">
        <f>Payments!K20/$L19*1000</f>
        <v>0</v>
      </c>
      <c r="G19" s="89">
        <f>Payments!L20/$L19*1000</f>
        <v>0</v>
      </c>
      <c r="H19" s="90">
        <f t="shared" si="0"/>
        <v>-358.39987526533383</v>
      </c>
      <c r="I19" s="91">
        <f>Payments!Q20/L19*1000</f>
        <v>16.838105559358127</v>
      </c>
      <c r="J19" s="92">
        <f>Payments!R20/L19*1000</f>
        <v>-874.34402024108681</v>
      </c>
      <c r="L19" s="77">
        <v>52596</v>
      </c>
    </row>
    <row r="20" spans="1:23" s="17" customFormat="1" ht="15" customHeight="1">
      <c r="A20" s="18"/>
      <c r="B20" s="78" t="s">
        <v>30</v>
      </c>
      <c r="C20" s="29">
        <f>Payments!C21</f>
        <v>84.003635102335295</v>
      </c>
      <c r="D20" s="79">
        <f>Payments!G21/L20*1000</f>
        <v>-576.50052800516789</v>
      </c>
      <c r="E20" s="80">
        <f>Payments!J21/$L20*1000</f>
        <v>-545.29803376878215</v>
      </c>
      <c r="F20" s="81">
        <f>Payments!K21/$L20*1000</f>
        <v>0</v>
      </c>
      <c r="G20" s="81">
        <f>Payments!L21/$L20*1000</f>
        <v>0</v>
      </c>
      <c r="H20" s="82">
        <f t="shared" si="0"/>
        <v>-545.29803376878215</v>
      </c>
      <c r="I20" s="83">
        <f>Payments!Q21/L20*1000</f>
        <v>15.667555995438638</v>
      </c>
      <c r="J20" s="84">
        <f>Payments!R21/L20*1000</f>
        <v>-1106.1310057785115</v>
      </c>
      <c r="L20" s="85">
        <v>15492.333333333299</v>
      </c>
    </row>
    <row r="21" spans="1:23" s="17" customFormat="1" ht="15" customHeight="1">
      <c r="A21" s="18"/>
      <c r="B21" s="86" t="s">
        <v>31</v>
      </c>
      <c r="C21" s="20">
        <f>Payments!C22</f>
        <v>79.481680272864395</v>
      </c>
      <c r="D21" s="87">
        <f>Payments!G22/L21*1000</f>
        <v>-838.65203518420992</v>
      </c>
      <c r="E21" s="88">
        <f>Payments!J22/$L21*1000</f>
        <v>-4.5690127314606315</v>
      </c>
      <c r="F21" s="89">
        <f>Payments!K22/$L21*1000</f>
        <v>0</v>
      </c>
      <c r="G21" s="89">
        <f>Payments!L22/$L21*1000</f>
        <v>0</v>
      </c>
      <c r="H21" s="90">
        <f t="shared" si="0"/>
        <v>-4.5690127314606315</v>
      </c>
      <c r="I21" s="91">
        <f>Payments!Q22/L21*1000</f>
        <v>15.694451321582793</v>
      </c>
      <c r="J21" s="92">
        <f>Payments!R22/L21*1000</f>
        <v>-827.52659659408789</v>
      </c>
      <c r="L21" s="77">
        <v>473926.66666666698</v>
      </c>
    </row>
    <row r="22" spans="1:23" s="17" customFormat="1" ht="15" customHeight="1">
      <c r="A22" s="18"/>
      <c r="B22" s="78" t="s">
        <v>32</v>
      </c>
      <c r="C22" s="29">
        <f>Payments!C23</f>
        <v>84.384861718324402</v>
      </c>
      <c r="D22" s="79">
        <f>Payments!G23/L22*1000</f>
        <v>-555.94041078507337</v>
      </c>
      <c r="E22" s="80">
        <f>Payments!J23/$L22*1000</f>
        <v>-715.8095030255846</v>
      </c>
      <c r="F22" s="81">
        <f>Payments!K23/$L22*1000</f>
        <v>0</v>
      </c>
      <c r="G22" s="81">
        <f>Payments!L23/$L22*1000</f>
        <v>0</v>
      </c>
      <c r="H22" s="82">
        <f t="shared" si="0"/>
        <v>-715.8095030255846</v>
      </c>
      <c r="I22" s="83">
        <f>Payments!Q23/L22*1000</f>
        <v>16.090843620164332</v>
      </c>
      <c r="J22" s="84">
        <f>Payments!R23/L22*1000</f>
        <v>-1255.6590701904938</v>
      </c>
      <c r="L22" s="85">
        <v>194396.33333333299</v>
      </c>
    </row>
    <row r="23" spans="1:23" s="17" customFormat="1" ht="15" customHeight="1">
      <c r="A23" s="18"/>
      <c r="B23" s="86" t="s">
        <v>33</v>
      </c>
      <c r="C23" s="20">
        <f>Payments!C24</f>
        <v>89.111090147798805</v>
      </c>
      <c r="D23" s="87">
        <f>Payments!G24/L23*1000</f>
        <v>-323.08389473072276</v>
      </c>
      <c r="E23" s="88">
        <f>Payments!J24/$L23*1000</f>
        <v>0</v>
      </c>
      <c r="F23" s="89">
        <f>Payments!K24/$L23*1000</f>
        <v>0</v>
      </c>
      <c r="G23" s="89">
        <f>Payments!L24/$L23*1000</f>
        <v>0</v>
      </c>
      <c r="H23" s="90">
        <f t="shared" si="0"/>
        <v>0</v>
      </c>
      <c r="I23" s="91">
        <f>Payments!Q24/L23*1000</f>
        <v>15.040198032533924</v>
      </c>
      <c r="J23" s="92">
        <f>Payments!R24/L23*1000</f>
        <v>-308.0436966981888</v>
      </c>
      <c r="L23" s="77">
        <v>596198.33333333302</v>
      </c>
    </row>
    <row r="24" spans="1:23" s="17" customFormat="1" ht="15" customHeight="1">
      <c r="A24" s="18"/>
      <c r="B24" s="78" t="s">
        <v>34</v>
      </c>
      <c r="C24" s="29">
        <f>Payments!C25</f>
        <v>78.045376664435096</v>
      </c>
      <c r="D24" s="79">
        <f>Payments!G25/L24*1000</f>
        <v>-928.58472396794502</v>
      </c>
      <c r="E24" s="80">
        <f>Payments!J25/$L24*1000</f>
        <v>-16.360361091016973</v>
      </c>
      <c r="F24" s="81">
        <f>Payments!K25/$L24*1000</f>
        <v>0</v>
      </c>
      <c r="G24" s="81">
        <f>Payments!L25/$L24*1000</f>
        <v>0</v>
      </c>
      <c r="H24" s="82">
        <f t="shared" si="0"/>
        <v>-16.360361091016973</v>
      </c>
      <c r="I24" s="83">
        <f>Payments!Q25/L24*1000</f>
        <v>15.470949901651379</v>
      </c>
      <c r="J24" s="84">
        <f>Payments!R25/L24*1000</f>
        <v>-929.47413515731057</v>
      </c>
      <c r="L24" s="85">
        <v>243860.33333333299</v>
      </c>
    </row>
    <row r="25" spans="1:23" s="17" customFormat="1" ht="15" customHeight="1">
      <c r="A25" s="18"/>
      <c r="B25" s="86" t="s">
        <v>35</v>
      </c>
      <c r="C25" s="20">
        <f>Payments!C26</f>
        <v>100.77450060563901</v>
      </c>
      <c r="D25" s="87">
        <f>Payments!G26/L25*1000</f>
        <v>13.467916265064712</v>
      </c>
      <c r="E25" s="88">
        <f>Payments!J26/$L25*1000</f>
        <v>-43.175585770319231</v>
      </c>
      <c r="F25" s="89">
        <f>Payments!K26/$L25*1000</f>
        <v>-61.852981387075964</v>
      </c>
      <c r="G25" s="89">
        <f>Payments!L26/$L25*1000</f>
        <v>0</v>
      </c>
      <c r="H25" s="90">
        <f t="shared" si="0"/>
        <v>-105.0285671573952</v>
      </c>
      <c r="I25" s="91">
        <f>Payments!Q26/L25*1000</f>
        <v>15.245694133003612</v>
      </c>
      <c r="J25" s="92">
        <f>Payments!R26/L25*1000</f>
        <v>-76.314956759326876</v>
      </c>
      <c r="L25" s="77">
        <v>334021</v>
      </c>
    </row>
    <row r="26" spans="1:23" s="17" customFormat="1" ht="15" customHeight="1">
      <c r="A26" s="18"/>
      <c r="B26" s="78" t="s">
        <v>36</v>
      </c>
      <c r="C26" s="29">
        <f>Payments!C27</f>
        <v>108.40947306887099</v>
      </c>
      <c r="D26" s="79">
        <f>Payments!G27/L26*1000</f>
        <v>146.2336869723008</v>
      </c>
      <c r="E26" s="80">
        <f>Payments!J27/$L26*1000</f>
        <v>0</v>
      </c>
      <c r="F26" s="81">
        <f>Payments!K27/$L26*1000</f>
        <v>-84.713614140578414</v>
      </c>
      <c r="G26" s="81">
        <f>Payments!L27/$L26*1000</f>
        <v>-5.1516181800802858</v>
      </c>
      <c r="H26" s="82">
        <f t="shared" si="0"/>
        <v>-89.865232320658706</v>
      </c>
      <c r="I26" s="83">
        <f>Payments!Q27/L26*1000</f>
        <v>14.799321014510932</v>
      </c>
      <c r="J26" s="84">
        <f>Payments!R27/L26*1000</f>
        <v>71.167775666153034</v>
      </c>
      <c r="L26" s="85">
        <v>704089.66666666698</v>
      </c>
    </row>
    <row r="27" spans="1:23" s="17" customFormat="1" ht="15" customHeight="1">
      <c r="A27" s="18"/>
      <c r="B27" s="86" t="s">
        <v>37</v>
      </c>
      <c r="C27" s="20">
        <f>Payments!C28</f>
        <v>70.431939836149894</v>
      </c>
      <c r="D27" s="87">
        <f>Payments!G28/L27*1000</f>
        <v>-1453.7373230349242</v>
      </c>
      <c r="E27" s="88">
        <f>Payments!J28/$L27*1000</f>
        <v>-243.23658225798317</v>
      </c>
      <c r="F27" s="89">
        <f>Payments!K28/$L27*1000</f>
        <v>0</v>
      </c>
      <c r="G27" s="89">
        <f>Payments!L28/$L27*1000</f>
        <v>0</v>
      </c>
      <c r="H27" s="90">
        <f t="shared" si="0"/>
        <v>-243.23658225798317</v>
      </c>
      <c r="I27" s="91">
        <f>Payments!Q28/L27*1000</f>
        <v>14.839994189272419</v>
      </c>
      <c r="J27" s="92">
        <f>Payments!R28/L27*1000</f>
        <v>-1682.133911103635</v>
      </c>
      <c r="L27" s="77">
        <v>305182.66666666698</v>
      </c>
    </row>
    <row r="28" spans="1:23" s="17" customFormat="1" ht="15" customHeight="1">
      <c r="A28" s="18"/>
      <c r="B28" s="78" t="s">
        <v>38</v>
      </c>
      <c r="C28" s="29">
        <f>Payments!C29</f>
        <v>90.222354139836298</v>
      </c>
      <c r="D28" s="79">
        <f>Payments!G29/L28*1000</f>
        <v>-274.74521643842144</v>
      </c>
      <c r="E28" s="80">
        <f>Payments!J29/$L28*1000</f>
        <v>-132.28280108109496</v>
      </c>
      <c r="F28" s="81">
        <f>Payments!K29/$L28*1000</f>
        <v>-89.427935203319137</v>
      </c>
      <c r="G28" s="81">
        <f>Payments!L29/$L28*1000</f>
        <v>0</v>
      </c>
      <c r="H28" s="82">
        <f t="shared" si="0"/>
        <v>-221.71073628441411</v>
      </c>
      <c r="I28" s="83">
        <f>Payments!Q29/L28*1000</f>
        <v>-616.99416561961937</v>
      </c>
      <c r="J28" s="84">
        <f>Payments!R29/L28*1000</f>
        <v>-1113.450118342455</v>
      </c>
      <c r="L28" s="85">
        <v>171912</v>
      </c>
    </row>
    <row r="29" spans="1:23" s="17" customFormat="1" ht="15" customHeight="1">
      <c r="A29" s="18"/>
      <c r="B29" s="86" t="s">
        <v>39</v>
      </c>
      <c r="C29" s="20">
        <f>Payments!C30</f>
        <v>147.02785757239101</v>
      </c>
      <c r="D29" s="87">
        <f>Payments!G30/L29*1000</f>
        <v>817.77501954018953</v>
      </c>
      <c r="E29" s="88">
        <f>Payments!J30/$L29*1000</f>
        <v>0</v>
      </c>
      <c r="F29" s="89">
        <f>Payments!K30/$L29*1000</f>
        <v>-163.70047242657654</v>
      </c>
      <c r="G29" s="89">
        <f>Payments!L30/$L29*1000</f>
        <v>-72.707137470651531</v>
      </c>
      <c r="H29" s="90">
        <f t="shared" si="0"/>
        <v>-236.40760989722807</v>
      </c>
      <c r="I29" s="91">
        <f>Payments!Q30/L29*1000</f>
        <v>14.939194361693767</v>
      </c>
      <c r="J29" s="92">
        <f>Payments!R30/L29*1000</f>
        <v>596.30660400465513</v>
      </c>
      <c r="K29" s="18"/>
      <c r="L29" s="77">
        <v>453280.33333333302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>
      <c r="A30" s="18"/>
      <c r="B30" s="93" t="s">
        <v>40</v>
      </c>
      <c r="C30" s="94">
        <f>Payments!C31</f>
        <v>62.536669396234203</v>
      </c>
      <c r="D30" s="95">
        <f>Payments!G31/L30*1000</f>
        <v>-2076.02674582395</v>
      </c>
      <c r="E30" s="96">
        <f>Payments!J31/$L30*1000</f>
        <v>-62.72662332917907</v>
      </c>
      <c r="F30" s="97">
        <f>Payments!K31/$L30*1000</f>
        <v>-7.6288539471818995</v>
      </c>
      <c r="G30" s="97">
        <f>Payments!L31/$L30*1000</f>
        <v>0</v>
      </c>
      <c r="H30" s="98">
        <f t="shared" si="0"/>
        <v>-70.355477276360972</v>
      </c>
      <c r="I30" s="99">
        <f>Payments!Q31/L30*1000</f>
        <v>-265.94807974144192</v>
      </c>
      <c r="J30" s="100">
        <f>Payments!R31/L30*1000</f>
        <v>-2412.3303028417527</v>
      </c>
      <c r="K30" s="18"/>
      <c r="L30" s="101">
        <v>68688.666666666701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>
      <c r="B31" s="133" t="s">
        <v>54</v>
      </c>
      <c r="C31" s="134"/>
      <c r="D31" s="134"/>
    </row>
  </sheetData>
  <mergeCells count="8">
    <mergeCell ref="B1:J1"/>
    <mergeCell ref="L3:L4"/>
    <mergeCell ref="B31:D31"/>
    <mergeCell ref="J3:J4"/>
    <mergeCell ref="I3:I4"/>
    <mergeCell ref="E3:H3"/>
    <mergeCell ref="D3:D4"/>
    <mergeCell ref="C3:C4"/>
  </mergeCells>
  <conditionalFormatting sqref="L5:L30">
    <cfRule type="expression" dxfId="0" priority="1" stopIfTrue="1">
      <formula>ISBLANK(L5)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Payments</vt:lpstr>
      <vt:lpstr>Payments_per_capita</vt:lpstr>
      <vt:lpstr>Druckbereich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2013-03-07T14:19:51Z</cp:lastPrinted>
  <dcterms:created xsi:type="dcterms:W3CDTF">2007-03-30T08:04:01Z</dcterms:created>
  <dcterms:modified xsi:type="dcterms:W3CDTF">2013-10-09T13:37:11Z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-1801161574</vt:i4>
  </property>
  <property fmtid="{D5CDD505-2E9C-101B-9397-08002B2CF9AE}" pid="3" name="_EmailSubject">
    <vt:lpwstr>Templates</vt:lpwstr>
  </property>
  <property fmtid="{D5CDD505-2E9C-101B-9397-08002B2CF9AE}" pid="4" name="_AuthorEmail">
    <vt:lpwstr>pascal.utz@efv.admin.ch</vt:lpwstr>
  </property>
  <property fmtid="{D5CDD505-2E9C-101B-9397-08002B2CF9AE}" pid="5" name="_AuthorEmailDisplayName">
    <vt:lpwstr>Utz Pascal EFV</vt:lpwstr>
  </property>
  <property fmtid="{D5CDD505-2E9C-101B-9397-08002B2CF9AE}" pid="6" name="_ReviewingToolsShownOnce">
    <vt:lpwstr/>
  </property>
  <property fmtid="{D5CDD505-2E9C-101B-9397-08002B2CF9AE}" pid="7" name="ContentTypeId">
    <vt:lpwstr>0x010100E30D380D957B59469852DA09B4612C42</vt:lpwstr>
  </property>
</Properties>
</file>