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-15" yWindow="-120" windowWidth="20730" windowHeight="6060"/>
  </bookViews>
  <sheets>
    <sheet name="Info" sheetId="1" r:id="rId1"/>
    <sheet name="PFR" sheetId="2" r:id="rId2"/>
    <sheet name="Population" sheetId="3" r:id="rId3"/>
    <sheet name="Growth_rates" sheetId="4" r:id="rId4"/>
    <sheet name="Endowment" sheetId="5" r:id="rId5"/>
    <sheet name="Inpayment" sheetId="6" r:id="rId6"/>
    <sheet name="Outpayment" sheetId="7" r:id="rId7"/>
    <sheet name="STR" sheetId="8" r:id="rId8"/>
  </sheets>
  <externalReferences>
    <externalReference r:id="rId9"/>
  </externalReferences>
  <definedNames>
    <definedName name="A">Endowment!$D$25</definedName>
    <definedName name="B">Outpayment!$K$12</definedName>
    <definedName name="BEV">Outpayment!$C$6:$C$31</definedName>
    <definedName name="_xlnm.Print_Area">Outpayment!$A$1:$H$32</definedName>
    <definedName name="_xlnm.Print_Titles">#REF!</definedName>
    <definedName name="gamma">[1]Gamma!$C$7</definedName>
    <definedName name="p">Outpayment!$K$5</definedName>
    <definedName name="RI">Outpayment!$B$6:$B$31</definedName>
    <definedName name="RI_26">Outpayment!$K$7</definedName>
    <definedName name="RI_MIN">Outpayment!$K$8</definedName>
    <definedName name="solver_adj">Outpayment!$K$5</definedName>
    <definedName name="solver_cvg">0.0001</definedName>
    <definedName name="solver_drv">1</definedName>
    <definedName name="solver_est">1</definedName>
    <definedName name="solver_itr">1000</definedName>
    <definedName name="solver_lhs1">Outpayment!$K$8</definedName>
    <definedName name="solver_lin">2</definedName>
    <definedName name="solver_neg">2</definedName>
    <definedName name="solver_num">1</definedName>
    <definedName name="solver_nwt">1</definedName>
    <definedName name="solver_opt">Outpayment!$K$6</definedName>
    <definedName name="solver_pre">0.00000000000001</definedName>
    <definedName name="solver_rel1">2</definedName>
    <definedName name="solver_rhs1">Outpayment!$K$7</definedName>
    <definedName name="solver_scl">2</definedName>
    <definedName name="solver_sho">2</definedName>
    <definedName name="solver_tim">100</definedName>
    <definedName name="solver_tol">0.05</definedName>
    <definedName name="solver_typ">1</definedName>
    <definedName name="solver_val">0</definedName>
    <definedName name="sse">STR!$J$42</definedName>
    <definedName name="SUM">Outpayment!$D$32</definedName>
  </definedNames>
  <calcPr calcId="125725"/>
</workbook>
</file>

<file path=xl/calcChain.xml><?xml version="1.0" encoding="utf-8"?>
<calcChain xmlns="http://schemas.openxmlformats.org/spreadsheetml/2006/main">
  <c r="G40" i="8"/>
  <c r="H39"/>
  <c r="H40" s="1"/>
  <c r="G39"/>
  <c r="F39"/>
  <c r="F40" s="1"/>
  <c r="J40" s="1"/>
  <c r="J36"/>
  <c r="A35"/>
  <c r="J1"/>
  <c r="A1"/>
  <c r="H2" i="7"/>
  <c r="A1"/>
  <c r="C12" i="6"/>
  <c r="C10"/>
  <c r="C8"/>
  <c r="F2"/>
  <c r="A1"/>
  <c r="B23" i="5"/>
  <c r="C15"/>
  <c r="C14"/>
  <c r="C13"/>
  <c r="G4"/>
  <c r="D12" s="1"/>
  <c r="C4"/>
  <c r="B31" s="1"/>
  <c r="G3"/>
  <c r="B1"/>
  <c r="D33" i="4"/>
  <c r="E16"/>
  <c r="F16" s="1"/>
  <c r="E12"/>
  <c r="F12" s="1"/>
  <c r="E8"/>
  <c r="F8" s="1"/>
  <c r="H5"/>
  <c r="E5"/>
  <c r="D5"/>
  <c r="G5" s="1"/>
  <c r="C4"/>
  <c r="I2"/>
  <c r="B1"/>
  <c r="E33" i="3"/>
  <c r="D33"/>
  <c r="C33"/>
  <c r="F32"/>
  <c r="F31"/>
  <c r="G31" i="2" s="1"/>
  <c r="F30" i="3"/>
  <c r="F29"/>
  <c r="G29" i="2" s="1"/>
  <c r="F28" i="3"/>
  <c r="F27"/>
  <c r="G27" i="2" s="1"/>
  <c r="F26" i="3"/>
  <c r="F25"/>
  <c r="G25" i="2" s="1"/>
  <c r="F24" i="3"/>
  <c r="F23"/>
  <c r="G23" i="2" s="1"/>
  <c r="F22" i="3"/>
  <c r="F21"/>
  <c r="G21" i="2" s="1"/>
  <c r="F20" i="3"/>
  <c r="F19"/>
  <c r="G19" i="2" s="1"/>
  <c r="F18" i="3"/>
  <c r="F17"/>
  <c r="G17" i="2" s="1"/>
  <c r="F16" i="3"/>
  <c r="F15"/>
  <c r="G15" i="2" s="1"/>
  <c r="F14" i="3"/>
  <c r="F13"/>
  <c r="G13" i="2" s="1"/>
  <c r="F12" i="3"/>
  <c r="F11"/>
  <c r="G11" i="2" s="1"/>
  <c r="F10" i="3"/>
  <c r="F9"/>
  <c r="G9" i="2" s="1"/>
  <c r="F8" i="3"/>
  <c r="F7"/>
  <c r="F5"/>
  <c r="F1"/>
  <c r="B1"/>
  <c r="E33" i="2"/>
  <c r="D33"/>
  <c r="C33"/>
  <c r="G32"/>
  <c r="F32"/>
  <c r="E32" i="4" s="1"/>
  <c r="F32" s="1"/>
  <c r="H31" i="2"/>
  <c r="F31"/>
  <c r="E31" i="4" s="1"/>
  <c r="F31" s="1"/>
  <c r="G30" i="2"/>
  <c r="F30"/>
  <c r="E30" i="4" s="1"/>
  <c r="F30" s="1"/>
  <c r="F29" i="2"/>
  <c r="E29" i="4" s="1"/>
  <c r="F29" s="1"/>
  <c r="G28" i="2"/>
  <c r="F28"/>
  <c r="E28" i="4" s="1"/>
  <c r="F28" s="1"/>
  <c r="H27" i="2"/>
  <c r="F27"/>
  <c r="E27" i="4" s="1"/>
  <c r="F27" s="1"/>
  <c r="G26" i="2"/>
  <c r="F26"/>
  <c r="E26" i="4" s="1"/>
  <c r="F26" s="1"/>
  <c r="F25" i="2"/>
  <c r="E25" i="4" s="1"/>
  <c r="F25" s="1"/>
  <c r="G24" i="2"/>
  <c r="F24"/>
  <c r="E24" i="4" s="1"/>
  <c r="F24" s="1"/>
  <c r="H23" i="2"/>
  <c r="F23"/>
  <c r="E23" i="4" s="1"/>
  <c r="F23" s="1"/>
  <c r="G22" i="2"/>
  <c r="F22"/>
  <c r="E22" i="4" s="1"/>
  <c r="F22" s="1"/>
  <c r="F21" i="2"/>
  <c r="E21" i="4" s="1"/>
  <c r="F21" s="1"/>
  <c r="G20" i="2"/>
  <c r="F20"/>
  <c r="E20" i="4" s="1"/>
  <c r="F20" s="1"/>
  <c r="H19" i="2"/>
  <c r="F19"/>
  <c r="E19" i="4" s="1"/>
  <c r="F19" s="1"/>
  <c r="G18" i="2"/>
  <c r="F18"/>
  <c r="E18" i="4" s="1"/>
  <c r="F18" s="1"/>
  <c r="F17" i="2"/>
  <c r="E17" i="4" s="1"/>
  <c r="F17" s="1"/>
  <c r="G16" i="2"/>
  <c r="F16"/>
  <c r="H16" s="1"/>
  <c r="H15"/>
  <c r="F15"/>
  <c r="E15" i="4" s="1"/>
  <c r="F15" s="1"/>
  <c r="G14" i="2"/>
  <c r="F14"/>
  <c r="E14" i="4" s="1"/>
  <c r="F14" s="1"/>
  <c r="F13" i="2"/>
  <c r="E13" i="4" s="1"/>
  <c r="F13" s="1"/>
  <c r="G12" i="2"/>
  <c r="F12"/>
  <c r="H12" s="1"/>
  <c r="H11"/>
  <c r="F11"/>
  <c r="E11" i="4" s="1"/>
  <c r="F11" s="1"/>
  <c r="G10" i="2"/>
  <c r="F10"/>
  <c r="E10" i="4" s="1"/>
  <c r="F10" s="1"/>
  <c r="F9" i="2"/>
  <c r="E9" i="4" s="1"/>
  <c r="F9" s="1"/>
  <c r="G8" i="2"/>
  <c r="F8"/>
  <c r="H8" s="1"/>
  <c r="F7"/>
  <c r="E5"/>
  <c r="D5"/>
  <c r="C5"/>
  <c r="E4"/>
  <c r="D4"/>
  <c r="C4"/>
  <c r="I1"/>
  <c r="B1"/>
  <c r="A5" i="1"/>
  <c r="F33" i="3" l="1"/>
  <c r="J41" i="8" s="1"/>
  <c r="J42" s="1"/>
  <c r="G7" i="2"/>
  <c r="D8" i="8"/>
  <c r="C8" i="7"/>
  <c r="C9" i="6"/>
  <c r="D10" i="8"/>
  <c r="C10" i="7"/>
  <c r="C11" i="6"/>
  <c r="D12" i="8"/>
  <c r="C12" i="7"/>
  <c r="C13" i="6"/>
  <c r="D14" i="8"/>
  <c r="C14" i="7"/>
  <c r="C15" i="6"/>
  <c r="D16" i="8"/>
  <c r="C16" i="7"/>
  <c r="C17" i="6"/>
  <c r="D18" i="8"/>
  <c r="C18" i="7"/>
  <c r="C19" i="6"/>
  <c r="D20" i="8"/>
  <c r="C20" i="7"/>
  <c r="C21" i="6"/>
  <c r="D22" i="8"/>
  <c r="C22" i="7"/>
  <c r="C23" i="6"/>
  <c r="D24" i="8"/>
  <c r="C25" i="6"/>
  <c r="C24" i="7"/>
  <c r="D26" i="8"/>
  <c r="C27" i="6"/>
  <c r="C26" i="7"/>
  <c r="D28" i="8"/>
  <c r="C29" i="6"/>
  <c r="C28" i="7"/>
  <c r="D30" i="8"/>
  <c r="C31" i="6"/>
  <c r="C30" i="7"/>
  <c r="H10" i="2"/>
  <c r="H14"/>
  <c r="H18"/>
  <c r="H22"/>
  <c r="H26"/>
  <c r="H30"/>
  <c r="F33"/>
  <c r="H9"/>
  <c r="H13"/>
  <c r="H17"/>
  <c r="H20"/>
  <c r="H21"/>
  <c r="H24"/>
  <c r="H25"/>
  <c r="H28"/>
  <c r="H29"/>
  <c r="H32"/>
  <c r="E7" i="4"/>
  <c r="D7" i="8"/>
  <c r="C7" i="7"/>
  <c r="D9" i="8"/>
  <c r="C9" i="7"/>
  <c r="D11" i="8"/>
  <c r="C11" i="7"/>
  <c r="D13" i="8"/>
  <c r="C13" i="7"/>
  <c r="C14" i="6"/>
  <c r="D15" i="8"/>
  <c r="C15" i="7"/>
  <c r="C16" i="6"/>
  <c r="D17" i="8"/>
  <c r="C17" i="7"/>
  <c r="C18" i="6"/>
  <c r="D19" i="8"/>
  <c r="C19" i="7"/>
  <c r="C20" i="6"/>
  <c r="D21" i="8"/>
  <c r="C21" i="7"/>
  <c r="C22" i="6"/>
  <c r="D23" i="8"/>
  <c r="C23" i="7"/>
  <c r="C24" i="6"/>
  <c r="D25" i="8"/>
  <c r="C25" i="7"/>
  <c r="C26" i="6"/>
  <c r="D27" i="8"/>
  <c r="C27" i="7"/>
  <c r="C28" i="6"/>
  <c r="D29" i="8"/>
  <c r="C29" i="7"/>
  <c r="C30" i="6"/>
  <c r="D31" i="8"/>
  <c r="C31" i="7"/>
  <c r="C32" i="6"/>
  <c r="C12" i="5"/>
  <c r="E33" i="4" l="1"/>
  <c r="F33" s="1"/>
  <c r="D5" i="5" s="1"/>
  <c r="E5" s="1"/>
  <c r="G5" s="1"/>
  <c r="F7" i="4"/>
  <c r="D6" i="8"/>
  <c r="D32" s="1"/>
  <c r="C6" i="7"/>
  <c r="C33" i="6" s="1"/>
  <c r="C7"/>
  <c r="G33" i="2"/>
  <c r="C32" i="7" s="1"/>
  <c r="H7" i="2"/>
  <c r="H33"/>
  <c r="J43" i="8" l="1"/>
  <c r="J44" s="1"/>
  <c r="I33" i="2"/>
  <c r="I12"/>
  <c r="I8"/>
  <c r="I16"/>
  <c r="I11"/>
  <c r="I15"/>
  <c r="I19"/>
  <c r="I23"/>
  <c r="I27"/>
  <c r="I31"/>
  <c r="C11" i="8"/>
  <c r="E11" s="1"/>
  <c r="C7"/>
  <c r="E7" s="1"/>
  <c r="C15"/>
  <c r="E15" s="1"/>
  <c r="C10"/>
  <c r="E10" s="1"/>
  <c r="C14"/>
  <c r="E14" s="1"/>
  <c r="C18"/>
  <c r="E18" s="1"/>
  <c r="C22"/>
  <c r="E22" s="1"/>
  <c r="C26"/>
  <c r="E26" s="1"/>
  <c r="C30"/>
  <c r="E30" s="1"/>
  <c r="C6"/>
  <c r="I7" i="2"/>
  <c r="D24" i="5"/>
  <c r="D15"/>
  <c r="D13"/>
  <c r="I14" i="2"/>
  <c r="I22"/>
  <c r="I30"/>
  <c r="I9"/>
  <c r="I17"/>
  <c r="I21"/>
  <c r="I25"/>
  <c r="I29"/>
  <c r="I10"/>
  <c r="I18"/>
  <c r="I26"/>
  <c r="I13"/>
  <c r="I20"/>
  <c r="I24"/>
  <c r="I28"/>
  <c r="I32"/>
  <c r="C13" i="8"/>
  <c r="E13" s="1"/>
  <c r="C21"/>
  <c r="E21" s="1"/>
  <c r="C29"/>
  <c r="E29" s="1"/>
  <c r="C8"/>
  <c r="E8" s="1"/>
  <c r="C16"/>
  <c r="E16" s="1"/>
  <c r="C20"/>
  <c r="E20" s="1"/>
  <c r="C24"/>
  <c r="E24" s="1"/>
  <c r="C28"/>
  <c r="E28" s="1"/>
  <c r="C9"/>
  <c r="E9" s="1"/>
  <c r="C17"/>
  <c r="E17" s="1"/>
  <c r="C25"/>
  <c r="E25" s="1"/>
  <c r="C12"/>
  <c r="E12" s="1"/>
  <c r="C19"/>
  <c r="E19" s="1"/>
  <c r="C23"/>
  <c r="E23" s="1"/>
  <c r="C27"/>
  <c r="E27" s="1"/>
  <c r="C31"/>
  <c r="E31" s="1"/>
  <c r="B27" l="1"/>
  <c r="B28" i="6"/>
  <c r="B27" i="7"/>
  <c r="C28" i="4"/>
  <c r="B19" i="8"/>
  <c r="B19" i="7"/>
  <c r="C20" i="4"/>
  <c r="B20" i="6"/>
  <c r="B25" i="8"/>
  <c r="B26" i="6"/>
  <c r="B25" i="7"/>
  <c r="C26" i="4"/>
  <c r="B9" i="8"/>
  <c r="B9" i="7"/>
  <c r="B10" i="6"/>
  <c r="C10" i="4"/>
  <c r="B24" i="8"/>
  <c r="B24" i="7"/>
  <c r="B25" i="6"/>
  <c r="C25" i="4"/>
  <c r="B16" i="8"/>
  <c r="B16" i="7"/>
  <c r="B17" i="6"/>
  <c r="C17" i="4"/>
  <c r="B29" i="8"/>
  <c r="B30" i="6"/>
  <c r="B29" i="7"/>
  <c r="C30" i="4"/>
  <c r="B13" i="8"/>
  <c r="B13" i="7"/>
  <c r="B14" i="6"/>
  <c r="C14" i="4"/>
  <c r="B6" i="8"/>
  <c r="B6" i="7"/>
  <c r="C7" i="4"/>
  <c r="B7" i="6"/>
  <c r="B26" i="8"/>
  <c r="B26" i="7"/>
  <c r="B27" i="6"/>
  <c r="C27" i="4"/>
  <c r="B18" i="8"/>
  <c r="B18" i="7"/>
  <c r="B19" i="6"/>
  <c r="C19" i="4"/>
  <c r="B10" i="8"/>
  <c r="B10" i="7"/>
  <c r="C11" i="4"/>
  <c r="B11" i="6"/>
  <c r="B7" i="8"/>
  <c r="B7" i="7"/>
  <c r="B8" i="6"/>
  <c r="C8" i="4"/>
  <c r="B32" i="8"/>
  <c r="B32" i="7"/>
  <c r="B33" i="6"/>
  <c r="C33" i="4"/>
  <c r="B31" i="8"/>
  <c r="B32" i="6"/>
  <c r="B31" i="7"/>
  <c r="C32" i="4"/>
  <c r="B23" i="8"/>
  <c r="B23" i="7"/>
  <c r="C24" i="4"/>
  <c r="B24" i="6"/>
  <c r="B12" i="8"/>
  <c r="B12" i="7"/>
  <c r="C13" i="4"/>
  <c r="B13" i="6"/>
  <c r="B17" i="8"/>
  <c r="B17" i="7"/>
  <c r="B18" i="6"/>
  <c r="C18" i="4"/>
  <c r="B28" i="8"/>
  <c r="B28" i="7"/>
  <c r="B29" i="6"/>
  <c r="C29" i="4"/>
  <c r="B20" i="8"/>
  <c r="B20" i="7"/>
  <c r="B21" i="6"/>
  <c r="C21" i="4"/>
  <c r="B8" i="8"/>
  <c r="B8" i="7"/>
  <c r="C9" i="4"/>
  <c r="B9" i="6"/>
  <c r="B21" i="8"/>
  <c r="B21" i="7"/>
  <c r="B22" i="6"/>
  <c r="C22" i="4"/>
  <c r="C32" i="5"/>
  <c r="C32" i="8"/>
  <c r="E32" s="1"/>
  <c r="E6"/>
  <c r="J26"/>
  <c r="J18"/>
  <c r="J10"/>
  <c r="J7"/>
  <c r="B30"/>
  <c r="B30" i="7"/>
  <c r="B31" i="6"/>
  <c r="C31" i="4"/>
  <c r="B22" i="8"/>
  <c r="B22" i="7"/>
  <c r="B23" i="6"/>
  <c r="C23" i="4"/>
  <c r="B14" i="8"/>
  <c r="B14" i="7"/>
  <c r="B15" i="6"/>
  <c r="C15" i="4"/>
  <c r="B15" i="8"/>
  <c r="B15" i="7"/>
  <c r="C16" i="4"/>
  <c r="B16" i="6"/>
  <c r="B11" i="8"/>
  <c r="B11" i="7"/>
  <c r="B12" i="6"/>
  <c r="C12" i="4"/>
  <c r="J19" i="8"/>
  <c r="D12" i="6" l="1"/>
  <c r="E12"/>
  <c r="F12" s="1"/>
  <c r="H16" i="4"/>
  <c r="I16"/>
  <c r="G16"/>
  <c r="D15" i="6"/>
  <c r="D23"/>
  <c r="E23"/>
  <c r="F23" s="1"/>
  <c r="D31"/>
  <c r="J32" i="8"/>
  <c r="K13" i="7"/>
  <c r="E22" i="6"/>
  <c r="F22" s="1"/>
  <c r="D22"/>
  <c r="H9" i="4"/>
  <c r="I9"/>
  <c r="G9"/>
  <c r="D21" i="6"/>
  <c r="E21"/>
  <c r="F21" s="1"/>
  <c r="E29"/>
  <c r="F29" s="1"/>
  <c r="D29"/>
  <c r="D18"/>
  <c r="H13" i="4"/>
  <c r="I13" s="1"/>
  <c r="G13"/>
  <c r="H24"/>
  <c r="I24"/>
  <c r="G24"/>
  <c r="D31" i="7"/>
  <c r="D8" i="6"/>
  <c r="E8"/>
  <c r="F8" s="1"/>
  <c r="H11" i="4"/>
  <c r="I11" s="1"/>
  <c r="G11"/>
  <c r="D19" i="6"/>
  <c r="E19"/>
  <c r="F19" s="1"/>
  <c r="E27"/>
  <c r="F27" s="1"/>
  <c r="D27"/>
  <c r="H7" i="4"/>
  <c r="I7"/>
  <c r="G7"/>
  <c r="B33" i="8"/>
  <c r="E14" i="6"/>
  <c r="F14" s="1"/>
  <c r="D14"/>
  <c r="D29" i="7"/>
  <c r="D17" i="6"/>
  <c r="E17"/>
  <c r="F17" s="1"/>
  <c r="E25"/>
  <c r="F25" s="1"/>
  <c r="D25"/>
  <c r="D10"/>
  <c r="E10"/>
  <c r="F10" s="1"/>
  <c r="D25" i="7"/>
  <c r="H20" i="4"/>
  <c r="I20"/>
  <c r="G20"/>
  <c r="E27" i="7"/>
  <c r="F27" s="1"/>
  <c r="D27"/>
  <c r="H12" i="4"/>
  <c r="G12"/>
  <c r="I12"/>
  <c r="D11" i="7"/>
  <c r="E16" i="6"/>
  <c r="F16" s="1"/>
  <c r="D16"/>
  <c r="D15" i="7"/>
  <c r="H15" i="4"/>
  <c r="I15" s="1"/>
  <c r="G15"/>
  <c r="D14" i="7"/>
  <c r="E14"/>
  <c r="F14" s="1"/>
  <c r="H23" i="4"/>
  <c r="I23"/>
  <c r="G23"/>
  <c r="D22" i="7"/>
  <c r="H31" i="4"/>
  <c r="I31" s="1"/>
  <c r="G31"/>
  <c r="D30" i="7"/>
  <c r="E30"/>
  <c r="F30" s="1"/>
  <c r="J6" i="8"/>
  <c r="H22" i="4"/>
  <c r="I22"/>
  <c r="G22"/>
  <c r="D21" i="7"/>
  <c r="E9" i="6"/>
  <c r="F9" s="1"/>
  <c r="D9"/>
  <c r="D8" i="7"/>
  <c r="H21" i="4"/>
  <c r="I21"/>
  <c r="G21"/>
  <c r="D20" i="7"/>
  <c r="H29" i="4"/>
  <c r="I29"/>
  <c r="G29"/>
  <c r="D28" i="7"/>
  <c r="H18" i="4"/>
  <c r="I18" s="1"/>
  <c r="G18"/>
  <c r="E17" i="7"/>
  <c r="F17" s="1"/>
  <c r="D17"/>
  <c r="D13" i="6"/>
  <c r="D12" i="7"/>
  <c r="E12"/>
  <c r="F12" s="1"/>
  <c r="E24" i="6"/>
  <c r="F24" s="1"/>
  <c r="D24"/>
  <c r="D23" i="7"/>
  <c r="H32" i="4"/>
  <c r="I32"/>
  <c r="G32"/>
  <c r="D32" i="6"/>
  <c r="E32"/>
  <c r="F32" s="1"/>
  <c r="H8" i="4"/>
  <c r="G8"/>
  <c r="I8"/>
  <c r="D7" i="7"/>
  <c r="D11" i="6"/>
  <c r="D10" i="7"/>
  <c r="E10"/>
  <c r="F10" s="1"/>
  <c r="H19" i="4"/>
  <c r="I19"/>
  <c r="G19"/>
  <c r="D18" i="7"/>
  <c r="H27" i="4"/>
  <c r="I27"/>
  <c r="G27"/>
  <c r="D26" i="7"/>
  <c r="D7" i="6"/>
  <c r="K7" i="7"/>
  <c r="E6"/>
  <c r="F6" s="1"/>
  <c r="D6"/>
  <c r="H14" i="4"/>
  <c r="G14"/>
  <c r="I14"/>
  <c r="D13" i="7"/>
  <c r="H30" i="4"/>
  <c r="I30"/>
  <c r="G30"/>
  <c r="D30" i="6"/>
  <c r="E30"/>
  <c r="F30" s="1"/>
  <c r="H17" i="4"/>
  <c r="I17"/>
  <c r="G17"/>
  <c r="D16" i="7"/>
  <c r="H25" i="4"/>
  <c r="I25"/>
  <c r="G25"/>
  <c r="D24" i="7"/>
  <c r="H10" i="4"/>
  <c r="G10"/>
  <c r="I10"/>
  <c r="D9" i="7"/>
  <c r="H26" i="4"/>
  <c r="I26"/>
  <c r="G26"/>
  <c r="D26" i="6"/>
  <c r="E26"/>
  <c r="F26" s="1"/>
  <c r="E20"/>
  <c r="F20" s="1"/>
  <c r="D20"/>
  <c r="D19" i="7"/>
  <c r="H28" i="4"/>
  <c r="I28" s="1"/>
  <c r="G28"/>
  <c r="D28" i="6"/>
  <c r="J21" i="8"/>
  <c r="J8"/>
  <c r="J20"/>
  <c r="J28"/>
  <c r="J17"/>
  <c r="J12"/>
  <c r="J23"/>
  <c r="J31"/>
  <c r="J11"/>
  <c r="J15"/>
  <c r="J14"/>
  <c r="J22"/>
  <c r="J30"/>
  <c r="J13"/>
  <c r="J29"/>
  <c r="J16"/>
  <c r="J24"/>
  <c r="J9"/>
  <c r="J25"/>
  <c r="J27"/>
  <c r="D33" i="6" l="1"/>
  <c r="D32" i="7"/>
  <c r="G33" i="4"/>
  <c r="H33"/>
  <c r="I33" s="1"/>
  <c r="D6" i="5" s="1"/>
  <c r="E6" s="1"/>
  <c r="G6" s="1"/>
  <c r="D14" l="1"/>
  <c r="D25"/>
  <c r="G27" i="7" l="1"/>
  <c r="H27" s="1"/>
  <c r="G30"/>
  <c r="H30" s="1"/>
  <c r="G14"/>
  <c r="H14" s="1"/>
  <c r="G12"/>
  <c r="H12" s="1"/>
  <c r="C33" i="5"/>
  <c r="D26"/>
  <c r="E31" i="6"/>
  <c r="F31" s="1"/>
  <c r="F30" i="8" s="1"/>
  <c r="G30" s="1"/>
  <c r="H30" s="1"/>
  <c r="E13" i="6"/>
  <c r="F13" s="1"/>
  <c r="F12" i="8" s="1"/>
  <c r="G12" s="1"/>
  <c r="H12" s="1"/>
  <c r="E11" i="6"/>
  <c r="F11" s="1"/>
  <c r="F10" i="8" s="1"/>
  <c r="G10" s="1"/>
  <c r="H10" s="1"/>
  <c r="E7" i="6"/>
  <c r="F7" s="1"/>
  <c r="E15"/>
  <c r="F15" s="1"/>
  <c r="F14" i="8" s="1"/>
  <c r="G14" s="1"/>
  <c r="H14" s="1"/>
  <c r="E18" i="6"/>
  <c r="F18" s="1"/>
  <c r="F17" i="8" s="1"/>
  <c r="G17" s="1"/>
  <c r="H17" s="1"/>
  <c r="E28" i="6"/>
  <c r="F28" s="1"/>
  <c r="F27" i="8" s="1"/>
  <c r="G27" s="1"/>
  <c r="H27" s="1"/>
  <c r="F33" i="6" l="1"/>
  <c r="F6" i="8"/>
  <c r="G6" s="1"/>
  <c r="H6" s="1"/>
  <c r="K12" i="7"/>
  <c r="C34" i="5"/>
  <c r="G10" i="7"/>
  <c r="H10" s="1"/>
  <c r="G6"/>
  <c r="G17"/>
  <c r="H17" s="1"/>
  <c r="H6" l="1"/>
  <c r="E22"/>
  <c r="F22" s="1"/>
  <c r="E28"/>
  <c r="F28" s="1"/>
  <c r="E23"/>
  <c r="F23" s="1"/>
  <c r="E7"/>
  <c r="F7" s="1"/>
  <c r="E18"/>
  <c r="F18" s="1"/>
  <c r="E24"/>
  <c r="F24" s="1"/>
  <c r="E9"/>
  <c r="F9" s="1"/>
  <c r="E31"/>
  <c r="F31" s="1"/>
  <c r="E29"/>
  <c r="F29" s="1"/>
  <c r="E25"/>
  <c r="F25" s="1"/>
  <c r="E11"/>
  <c r="F11" s="1"/>
  <c r="E15"/>
  <c r="F15" s="1"/>
  <c r="E21"/>
  <c r="F21" s="1"/>
  <c r="E8"/>
  <c r="F8" s="1"/>
  <c r="E20"/>
  <c r="F20" s="1"/>
  <c r="E26"/>
  <c r="F26" s="1"/>
  <c r="E13"/>
  <c r="F13" s="1"/>
  <c r="E16"/>
  <c r="F16" s="1"/>
  <c r="E19"/>
  <c r="F19" s="1"/>
  <c r="K8"/>
  <c r="K6" s="1"/>
  <c r="F19" i="8" l="1"/>
  <c r="G19" s="1"/>
  <c r="H19" s="1"/>
  <c r="G19" i="7"/>
  <c r="H19" s="1"/>
  <c r="F13" i="8"/>
  <c r="G13" s="1"/>
  <c r="H13" s="1"/>
  <c r="G13" i="7"/>
  <c r="H13" s="1"/>
  <c r="F20" i="8"/>
  <c r="G20" s="1"/>
  <c r="H20" s="1"/>
  <c r="G20" i="7"/>
  <c r="H20" s="1"/>
  <c r="F21" i="8"/>
  <c r="G21" s="1"/>
  <c r="H21" s="1"/>
  <c r="G21" i="7"/>
  <c r="H21" s="1"/>
  <c r="F11" i="8"/>
  <c r="G11" s="1"/>
  <c r="H11" s="1"/>
  <c r="G11" i="7"/>
  <c r="H11" s="1"/>
  <c r="F29" i="8"/>
  <c r="G29" s="1"/>
  <c r="H29" s="1"/>
  <c r="G29" i="7"/>
  <c r="H29" s="1"/>
  <c r="F9" i="8"/>
  <c r="G9" s="1"/>
  <c r="H9" s="1"/>
  <c r="G9" i="7"/>
  <c r="H9" s="1"/>
  <c r="F18" i="8"/>
  <c r="G18" s="1"/>
  <c r="H18" s="1"/>
  <c r="G18" i="7"/>
  <c r="H18" s="1"/>
  <c r="F23" i="8"/>
  <c r="G23" s="1"/>
  <c r="H23" s="1"/>
  <c r="G23" i="7"/>
  <c r="H23" s="1"/>
  <c r="F22" i="8"/>
  <c r="G22" s="1"/>
  <c r="H22" s="1"/>
  <c r="G22" i="7"/>
  <c r="H22" s="1"/>
  <c r="F16" i="8"/>
  <c r="G16" s="1"/>
  <c r="H16" s="1"/>
  <c r="G16" i="7"/>
  <c r="H16" s="1"/>
  <c r="F26" i="8"/>
  <c r="G26" s="1"/>
  <c r="H26" s="1"/>
  <c r="G26" i="7"/>
  <c r="H26" s="1"/>
  <c r="F8" i="8"/>
  <c r="G8" s="1"/>
  <c r="H8" s="1"/>
  <c r="G8" i="7"/>
  <c r="H8" s="1"/>
  <c r="F15" i="8"/>
  <c r="G15" s="1"/>
  <c r="H15" s="1"/>
  <c r="G15" i="7"/>
  <c r="H15" s="1"/>
  <c r="F25" i="8"/>
  <c r="G25" s="1"/>
  <c r="H25" s="1"/>
  <c r="G25" i="7"/>
  <c r="H25" s="1"/>
  <c r="F31" i="8"/>
  <c r="G31" s="1"/>
  <c r="H31" s="1"/>
  <c r="G31" i="7"/>
  <c r="H31" s="1"/>
  <c r="F24" i="8"/>
  <c r="G24" s="1"/>
  <c r="H24" s="1"/>
  <c r="G24" i="7"/>
  <c r="H24" s="1"/>
  <c r="F7" i="8"/>
  <c r="G7" s="1"/>
  <c r="H7" s="1"/>
  <c r="F32" i="7"/>
  <c r="G7"/>
  <c r="G32" s="1"/>
  <c r="F28" i="8"/>
  <c r="G28" s="1"/>
  <c r="H28" s="1"/>
  <c r="G28" i="7"/>
  <c r="H28" s="1"/>
  <c r="H33" i="8" l="1"/>
  <c r="H7" i="7"/>
  <c r="H32" s="1"/>
</calcChain>
</file>

<file path=xl/sharedStrings.xml><?xml version="1.0" encoding="utf-8"?>
<sst xmlns="http://schemas.openxmlformats.org/spreadsheetml/2006/main" count="369" uniqueCount="138">
  <si>
    <t>Equalization of resources (ER)</t>
  </si>
  <si>
    <t>Worksheet</t>
  </si>
  <si>
    <t>Content</t>
  </si>
  <si>
    <t>PFR</t>
  </si>
  <si>
    <t>Resource potential and Resource index</t>
  </si>
  <si>
    <t>Population</t>
  </si>
  <si>
    <t>Relevant population</t>
  </si>
  <si>
    <t>Growth_rates</t>
  </si>
  <si>
    <t>Resource potential growth</t>
  </si>
  <si>
    <t>Endowment</t>
  </si>
  <si>
    <t>Extrapolation of resource equalization endowments</t>
  </si>
  <si>
    <t>Inpayment</t>
  </si>
  <si>
    <t>Inpayment of financially strong cantons</t>
  </si>
  <si>
    <t>Outpayment</t>
  </si>
  <si>
    <t>Outpayment to financially weak cantons</t>
  </si>
  <si>
    <t>STR</t>
  </si>
  <si>
    <t>Standardized tax revenue and Standardized tax rate</t>
  </si>
  <si>
    <t>Informations</t>
  </si>
  <si>
    <t>Environment</t>
  </si>
  <si>
    <t>Produktion</t>
  </si>
  <si>
    <t>Type</t>
  </si>
  <si>
    <t>Test</t>
  </si>
  <si>
    <t>WS</t>
  </si>
  <si>
    <t>FA_2011_20120427</t>
  </si>
  <si>
    <t>SWS</t>
  </si>
  <si>
    <t>RA_2011_20120427</t>
  </si>
  <si>
    <t>RefYear</t>
  </si>
  <si>
    <t>Column</t>
  </si>
  <si>
    <t>C</t>
  </si>
  <si>
    <t>D</t>
  </si>
  <si>
    <t>E</t>
  </si>
  <si>
    <t>F</t>
  </si>
  <si>
    <t>G</t>
  </si>
  <si>
    <t>H</t>
  </si>
  <si>
    <t>I</t>
  </si>
  <si>
    <t>Formula</t>
  </si>
  <si>
    <t>(C + D + E) / 3</t>
  </si>
  <si>
    <t>F / G * 1000</t>
  </si>
  <si>
    <t>H / H[total] * 100</t>
  </si>
  <si>
    <t>Potential of fiscal resources</t>
  </si>
  <si>
    <t>Relevant resident population</t>
  </si>
  <si>
    <t>Potential of fiscal resources per capita</t>
  </si>
  <si>
    <t>Resource index</t>
  </si>
  <si>
    <t>Data source</t>
  </si>
  <si>
    <t>Unit</t>
  </si>
  <si>
    <t>CHF 1,000</t>
  </si>
  <si>
    <t>Persons</t>
  </si>
  <si>
    <t>CHF</t>
  </si>
  <si>
    <t>Zurich</t>
  </si>
  <si>
    <t>Bern</t>
  </si>
  <si>
    <t>Luzern</t>
  </si>
  <si>
    <t>Uri</t>
  </si>
  <si>
    <t>Schwyz</t>
  </si>
  <si>
    <t>Obwalden</t>
  </si>
  <si>
    <t>Nidwalden</t>
  </si>
  <si>
    <t>Glarus</t>
  </si>
  <si>
    <t>Zug</t>
  </si>
  <si>
    <t>Fribourg</t>
  </si>
  <si>
    <t>Solothurn</t>
  </si>
  <si>
    <t>Basel-Stadt</t>
  </si>
  <si>
    <t>Basel-Landschaft</t>
  </si>
  <si>
    <t>Schaffhausen</t>
  </si>
  <si>
    <t>Appenzell A.Rh.</t>
  </si>
  <si>
    <t>Appenzell I.Rh.</t>
  </si>
  <si>
    <t>St. Gallen</t>
  </si>
  <si>
    <t>Graubünden</t>
  </si>
  <si>
    <t>Aargau</t>
  </si>
  <si>
    <t>Thurgau</t>
  </si>
  <si>
    <t>Ticino</t>
  </si>
  <si>
    <t>Vaud</t>
  </si>
  <si>
    <t>Valais</t>
  </si>
  <si>
    <t>Neuchâtel</t>
  </si>
  <si>
    <t>Geneva</t>
  </si>
  <si>
    <t>Jura</t>
  </si>
  <si>
    <t>Switzerland</t>
  </si>
  <si>
    <t>Average resident population</t>
  </si>
  <si>
    <t>FSO</t>
  </si>
  <si>
    <t>Total</t>
  </si>
  <si>
    <t>Potential of fiscal resources of all cantons</t>
  </si>
  <si>
    <t>Potential of fiscal resources of financially strong cantons</t>
  </si>
  <si>
    <t>Change</t>
  </si>
  <si>
    <t>Points</t>
  </si>
  <si>
    <t>%</t>
  </si>
  <si>
    <t>Endowments in accordance with extrapolation</t>
  </si>
  <si>
    <t>Growth</t>
  </si>
  <si>
    <t>Ordinary extrapolation</t>
  </si>
  <si>
    <t>Endowment adjustment</t>
  </si>
  <si>
    <t>Vertical resource equalization</t>
  </si>
  <si>
    <t>Horizontal resource equalization</t>
  </si>
  <si>
    <t>HRE range</t>
  </si>
  <si>
    <t>Upper limit (80% of VRE)</t>
  </si>
  <si>
    <t>HRE in % of VRE</t>
  </si>
  <si>
    <t>Lower limit (2/3 of VRE)</t>
  </si>
  <si>
    <t>HRE: Horizontal resource equalization</t>
  </si>
  <si>
    <t>VRE: Vertical resource equalization</t>
  </si>
  <si>
    <t>Total resource equalization</t>
  </si>
  <si>
    <t>Overall endowment</t>
  </si>
  <si>
    <t>* After endowment adjustment</t>
  </si>
  <si>
    <t>B</t>
  </si>
  <si>
    <t>(B - 100) * C</t>
  </si>
  <si>
    <t>Dotation/D[total]*(B-100)</t>
  </si>
  <si>
    <t>E * C</t>
  </si>
  <si>
    <t>Sum of the weighted deviations</t>
  </si>
  <si>
    <t>Contribution per capita</t>
  </si>
  <si>
    <t>Contribution</t>
  </si>
  <si>
    <t>of which horizontal resource equalization</t>
  </si>
  <si>
    <t>of which vertical resource equalization</t>
  </si>
  <si>
    <t>Iteration of "p"</t>
  </si>
  <si>
    <t>p</t>
  </si>
  <si>
    <t>p_dach</t>
  </si>
  <si>
    <t>RI_26</t>
  </si>
  <si>
    <t>RI_MIN</t>
  </si>
  <si>
    <t>STRev</t>
  </si>
  <si>
    <t>J</t>
  </si>
  <si>
    <t>C / D</t>
  </si>
  <si>
    <t>E + F</t>
  </si>
  <si>
    <t>G / E[total]</t>
  </si>
  <si>
    <t>E - E[total]</t>
  </si>
  <si>
    <t>Standardized tax revenue</t>
  </si>
  <si>
    <t>Standardized tax revenue per capita before equalization</t>
  </si>
  <si>
    <t>Resource equalization per capita</t>
  </si>
  <si>
    <t>Standardized tax revenue per capita after equalization</t>
  </si>
  <si>
    <t>STRev index after equalization</t>
  </si>
  <si>
    <t>Difference between STRev per capita before equalization and Swiss average</t>
  </si>
  <si>
    <t>Minimum</t>
  </si>
  <si>
    <t>A   Tax receipts of cantons and communes</t>
  </si>
  <si>
    <t>B   Direct federal tax receipts</t>
  </si>
  <si>
    <t>C   17% cantonal share of direct federal tax</t>
  </si>
  <si>
    <t>0,17 * B</t>
  </si>
  <si>
    <t>D   Total standardized tax revenue (STRev)</t>
  </si>
  <si>
    <t>A + C</t>
  </si>
  <si>
    <t>E   Relevant population</t>
  </si>
  <si>
    <t>F   Standardized tax revenue per capita</t>
  </si>
  <si>
    <t>D / E * 1000</t>
  </si>
  <si>
    <t>G   Resource potential per capita</t>
  </si>
  <si>
    <t>H   Standardized tax rate (STR)</t>
  </si>
  <si>
    <t>F / G</t>
  </si>
  <si>
    <t>in CHF</t>
  </si>
</sst>
</file>

<file path=xl/styles.xml><?xml version="1.0" encoding="utf-8"?>
<styleSheet xmlns="http://schemas.openxmlformats.org/spreadsheetml/2006/main">
  <numFmts count="7">
    <numFmt numFmtId="43" formatCode="_ * #,##0.00_ ;_ * \-#,##0.00_ ;_ * &quot;-&quot;??_ ;_ @_ "/>
    <numFmt numFmtId="164" formatCode="0.0"/>
    <numFmt numFmtId="165" formatCode="_ * #,##0_ ;_ * \-#,##0_ ;_ * &quot;-&quot;??_ ;_ @_ "/>
    <numFmt numFmtId="166" formatCode="0.0%"/>
    <numFmt numFmtId="167" formatCode="#,##0.0"/>
    <numFmt numFmtId="168" formatCode="#,##0.000000000"/>
    <numFmt numFmtId="169" formatCode="0.000000000"/>
  </numFmts>
  <fonts count="24">
    <font>
      <sz val="10"/>
      <name val="Arial"/>
    </font>
    <font>
      <b/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sz val="12"/>
      <name val="Arial"/>
      <family val="2"/>
    </font>
    <font>
      <i/>
      <sz val="8"/>
      <color indexed="8"/>
      <name val="Arial"/>
      <family val="2"/>
    </font>
    <font>
      <sz val="10"/>
      <color indexed="12"/>
      <name val="Arial"/>
      <family val="2"/>
    </font>
    <font>
      <b/>
      <sz val="14"/>
      <name val="Arial"/>
      <family val="2"/>
    </font>
    <font>
      <i/>
      <sz val="9"/>
      <name val="Arial"/>
      <family val="2"/>
    </font>
    <font>
      <sz val="9"/>
      <name val="Arial"/>
      <family val="2"/>
    </font>
    <font>
      <i/>
      <sz val="8"/>
      <name val="Arial"/>
      <family val="2"/>
    </font>
    <font>
      <b/>
      <sz val="12"/>
      <color indexed="9"/>
      <name val="Arial"/>
      <family val="2"/>
    </font>
    <font>
      <sz val="12"/>
      <color indexed="9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color indexed="8"/>
      <name val="Arial"/>
      <family val="2"/>
    </font>
    <font>
      <i/>
      <sz val="8"/>
      <color rgb="FF000000"/>
      <name val="Arial"/>
      <family val="2"/>
    </font>
    <font>
      <sz val="8"/>
      <color indexed="8"/>
      <name val="Arial"/>
      <family val="2"/>
    </font>
    <font>
      <b/>
      <sz val="18"/>
      <name val="Arial"/>
      <family val="2"/>
    </font>
    <font>
      <b/>
      <i/>
      <sz val="8"/>
      <name val="Arial"/>
      <family val="2"/>
    </font>
    <font>
      <i/>
      <sz val="8"/>
      <color rgb="FF0000FF"/>
      <name val="Arial"/>
      <family val="2"/>
    </font>
    <font>
      <sz val="8"/>
      <color indexed="12"/>
      <name val="Arial"/>
      <family val="2"/>
    </font>
    <font>
      <b/>
      <sz val="2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8"/>
        <bgColor indexed="64"/>
      </patternFill>
    </fill>
  </fills>
  <borders count="43">
    <border>
      <left/>
      <right/>
      <top/>
      <bottom/>
      <diagonal/>
    </border>
    <border diagonalUp="1" diagonalDown="1">
      <left style="thin">
        <color auto="1"/>
      </left>
      <right/>
      <top style="thin">
        <color auto="1"/>
      </top>
      <bottom style="thin">
        <color auto="1"/>
      </bottom>
      <diagonal/>
    </border>
    <border diagonalUp="1" diagonalDown="1">
      <left/>
      <right/>
      <top style="thin">
        <color auto="1"/>
      </top>
      <bottom style="thin">
        <color auto="1"/>
      </bottom>
      <diagonal/>
    </border>
    <border diagonalUp="1" diagonalDown="1">
      <left/>
      <right style="thin">
        <color auto="1"/>
      </right>
      <top style="thin">
        <color auto="1"/>
      </top>
      <bottom style="thin">
        <color auto="1"/>
      </bottom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 diagonalDown="1">
      <left style="thin">
        <color auto="1"/>
      </left>
      <right/>
      <top/>
      <bottom/>
      <diagonal/>
    </border>
    <border diagonalUp="1" diagonalDown="1">
      <left/>
      <right style="thin">
        <color auto="1"/>
      </right>
      <top style="thin">
        <color auto="1"/>
      </top>
      <bottom/>
      <diagonal/>
    </border>
    <border diagonalUp="1" diagonalDown="1">
      <left/>
      <right style="thin">
        <color auto="1"/>
      </right>
      <top/>
      <bottom/>
      <diagonal/>
    </border>
    <border diagonalUp="1" diagonalDown="1">
      <left style="thin">
        <color auto="1"/>
      </left>
      <right/>
      <top/>
      <bottom style="thin">
        <color auto="1"/>
      </bottom>
      <diagonal/>
    </border>
    <border diagonalUp="1" diagonalDown="1">
      <left/>
      <right style="thin">
        <color auto="1"/>
      </right>
      <top/>
      <bottom style="thin">
        <color auto="1"/>
      </bottom>
      <diagonal/>
    </border>
    <border diagonalUp="1" diagonalDown="1">
      <left/>
      <right/>
      <top/>
      <bottom style="thin">
        <color auto="1"/>
      </bottom>
      <diagonal/>
    </border>
    <border diagonalUp="1" diagonalDown="1">
      <left style="thin">
        <color rgb="FF000000"/>
      </left>
      <right/>
      <top style="thin">
        <color rgb="FF000000"/>
      </top>
      <bottom style="thin">
        <color rgb="FF000000"/>
      </bottom>
      <diagonal/>
    </border>
    <border diagonalUp="1" diagonalDown="1">
      <left/>
      <right/>
      <top style="thin">
        <color rgb="FF000000"/>
      </top>
      <bottom style="thin">
        <color rgb="FF000000"/>
      </bottom>
      <diagonal/>
    </border>
    <border diagonalUp="1" diagonalDown="1">
      <left/>
      <right style="thin">
        <color rgb="FF000000"/>
      </right>
      <top style="thin">
        <color rgb="FF000000"/>
      </top>
      <bottom style="thin">
        <color rgb="FF000000"/>
      </bottom>
      <diagonal/>
    </border>
    <border diagonalUp="1" diagonalDown="1">
      <left/>
      <right/>
      <top style="thin">
        <color rgb="FF000000"/>
      </top>
      <bottom/>
      <diagonal/>
    </border>
    <border diagonalUp="1" diagonalDown="1">
      <left/>
      <right style="thin">
        <color rgb="FF000000"/>
      </right>
      <top style="thin">
        <color rgb="FF000000"/>
      </top>
      <bottom/>
      <diagonal/>
    </border>
    <border diagonalUp="1" diagonalDown="1">
      <left style="thin">
        <color rgb="FF000000"/>
      </left>
      <right/>
      <top style="thin">
        <color rgb="FF000000"/>
      </top>
      <bottom/>
      <diagonal/>
    </border>
    <border diagonalUp="1" diagonalDown="1">
      <left/>
      <right style="thin">
        <color rgb="FF000000"/>
      </right>
      <top/>
      <bottom/>
      <diagonal/>
    </border>
    <border diagonalUp="1" diagonalDown="1">
      <left style="hair">
        <color auto="1"/>
      </left>
      <right/>
      <top/>
      <bottom style="thin">
        <color rgb="FF000000"/>
      </bottom>
      <diagonal/>
    </border>
    <border diagonalUp="1" diagonalDown="1">
      <left/>
      <right/>
      <top/>
      <bottom style="thin">
        <color rgb="FF000000"/>
      </bottom>
      <diagonal/>
    </border>
    <border diagonalUp="1" diagonalDown="1">
      <left/>
      <right style="hair">
        <color auto="1"/>
      </right>
      <top/>
      <bottom style="thin">
        <color rgb="FF000000"/>
      </bottom>
      <diagonal/>
    </border>
    <border diagonalUp="1" diagonalDown="1">
      <left/>
      <right style="thin">
        <color rgb="FF000000"/>
      </right>
      <top/>
      <bottom style="thin">
        <color rgb="FF000000"/>
      </bottom>
      <diagonal/>
    </border>
    <border diagonalUp="1" diagonalDown="1">
      <left style="hair">
        <color auto="1"/>
      </left>
      <right/>
      <top style="thin">
        <color rgb="FF000000"/>
      </top>
      <bottom style="thin">
        <color rgb="FF000000"/>
      </bottom>
      <diagonal/>
    </border>
    <border diagonalUp="1" diagonalDown="1">
      <left/>
      <right style="hair">
        <color auto="1"/>
      </right>
      <top style="thin">
        <color rgb="FF000000"/>
      </top>
      <bottom style="thin">
        <color rgb="FF000000"/>
      </bottom>
      <diagonal/>
    </border>
    <border diagonalUp="1" diagonalDown="1">
      <left style="hair">
        <color auto="1"/>
      </left>
      <right/>
      <top style="thin">
        <color rgb="FF000000"/>
      </top>
      <bottom/>
      <diagonal/>
    </border>
    <border diagonalUp="1" diagonalDown="1">
      <left/>
      <right style="hair">
        <color auto="1"/>
      </right>
      <top style="thin">
        <color rgb="FF000000"/>
      </top>
      <bottom/>
      <diagonal/>
    </border>
    <border diagonalUp="1" diagonalDown="1">
      <left style="hair">
        <color auto="1"/>
      </left>
      <right/>
      <top/>
      <bottom/>
      <diagonal/>
    </border>
    <border diagonalUp="1" diagonalDown="1">
      <left/>
      <right style="hair">
        <color auto="1"/>
      </right>
      <top/>
      <bottom/>
      <diagonal/>
    </border>
    <border diagonalUp="1" diagonalDown="1">
      <left style="hair">
        <color auto="1"/>
      </left>
      <right/>
      <top style="thin">
        <color auto="1"/>
      </top>
      <bottom style="hair">
        <color auto="1"/>
      </bottom>
      <diagonal/>
    </border>
    <border diagonalUp="1" diagonalDown="1">
      <left/>
      <right/>
      <top style="thin">
        <color auto="1"/>
      </top>
      <bottom style="hair">
        <color auto="1"/>
      </bottom>
      <diagonal/>
    </border>
    <border diagonalUp="1" diagonalDown="1">
      <left/>
      <right style="hair">
        <color auto="1"/>
      </right>
      <top style="thin">
        <color auto="1"/>
      </top>
      <bottom style="hair">
        <color auto="1"/>
      </bottom>
      <diagonal/>
    </border>
    <border diagonalUp="1" diagonalDown="1">
      <left style="thin">
        <color rgb="FF000000"/>
      </left>
      <right/>
      <top/>
      <bottom style="thin">
        <color rgb="FF000000"/>
      </bottom>
      <diagonal/>
    </border>
    <border diagonalUp="1" diagonalDown="1">
      <left style="hair">
        <color auto="1"/>
      </left>
      <right/>
      <top style="hair">
        <color auto="1"/>
      </top>
      <bottom style="thin">
        <color rgb="FF000000"/>
      </bottom>
      <diagonal/>
    </border>
    <border diagonalUp="1" diagonalDown="1">
      <left/>
      <right/>
      <top style="hair">
        <color auto="1"/>
      </top>
      <bottom style="thin">
        <color rgb="FF000000"/>
      </bottom>
      <diagonal/>
    </border>
    <border diagonalUp="1" diagonalDown="1">
      <left/>
      <right style="hair">
        <color auto="1"/>
      </right>
      <top style="hair">
        <color auto="1"/>
      </top>
      <bottom style="thin">
        <color rgb="FF000000"/>
      </bottom>
      <diagonal/>
    </border>
    <border diagonalUp="1" diagonalDown="1">
      <left/>
      <right style="thin">
        <color rgb="FF000000"/>
      </right>
      <top style="hair">
        <color auto="1"/>
      </top>
      <bottom style="thin">
        <color rgb="FF000000"/>
      </bottom>
      <diagonal/>
    </border>
    <border diagonalUp="1" diagonalDown="1">
      <left style="thin">
        <color rgb="FF000000"/>
      </left>
      <right/>
      <top/>
      <bottom/>
      <diagonal/>
    </border>
    <border diagonalUp="1" diagonalDown="1">
      <left/>
      <right style="thin">
        <color rgb="FF000000"/>
      </right>
      <top style="thin">
        <color auto="1"/>
      </top>
      <bottom style="hair">
        <color auto="1"/>
      </bottom>
      <diagonal/>
    </border>
    <border diagonalUp="1" diagonalDown="1">
      <left/>
      <right style="hair">
        <color auto="1"/>
      </right>
      <top/>
      <bottom style="thin">
        <color auto="1"/>
      </bottom>
      <diagonal/>
    </border>
    <border diagonalUp="1" diagonalDown="1"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 diagonalUp="1" diagonalDown="1">
      <left style="thin">
        <color rgb="FF000000"/>
      </left>
      <right style="thin">
        <color rgb="FF000000"/>
      </right>
      <top style="thin">
        <color rgb="FF000000"/>
      </top>
      <bottom/>
      <diagonal/>
    </border>
    <border diagonalUp="1" diagonalDown="1">
      <left style="thin">
        <color rgb="FF000000"/>
      </left>
      <right style="thin">
        <color rgb="FF000000"/>
      </right>
      <top/>
      <bottom/>
      <diagonal/>
    </border>
    <border diagonalUp="1" diagonalDown="1"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6">
    <xf numFmtId="0" fontId="0" fillId="0" borderId="0" xfId="0"/>
    <xf numFmtId="0" fontId="0" fillId="0" borderId="0" xfId="0"/>
    <xf numFmtId="0" fontId="0" fillId="0" borderId="0" xfId="0" applyFont="1" applyFill="1"/>
    <xf numFmtId="0" fontId="0" fillId="2" borderId="1" xfId="0" applyFont="1" applyFill="1" applyBorder="1"/>
    <xf numFmtId="0" fontId="0" fillId="2" borderId="2" xfId="0" applyFont="1" applyFill="1" applyBorder="1"/>
    <xf numFmtId="0" fontId="0" fillId="2" borderId="3" xfId="0" applyFont="1" applyFill="1" applyBorder="1"/>
    <xf numFmtId="0" fontId="0" fillId="0" borderId="1" xfId="0" applyFont="1" applyFill="1" applyBorder="1"/>
    <xf numFmtId="0" fontId="0" fillId="0" borderId="2" xfId="0" applyFont="1" applyFill="1" applyBorder="1"/>
    <xf numFmtId="0" fontId="0" fillId="0" borderId="3" xfId="0" applyFont="1" applyFill="1" applyBorder="1"/>
    <xf numFmtId="0" fontId="0" fillId="0" borderId="4" xfId="0" applyFont="1" applyFill="1" applyBorder="1"/>
    <xf numFmtId="0" fontId="1" fillId="0" borderId="1" xfId="0" applyFont="1" applyFill="1" applyBorder="1" applyAlignment="1">
      <alignment horizontal="left"/>
    </xf>
    <xf numFmtId="0" fontId="0" fillId="0" borderId="3" xfId="0" applyFont="1" applyFill="1" applyBorder="1" applyAlignment="1">
      <alignment horizontal="left"/>
    </xf>
    <xf numFmtId="0" fontId="17" fillId="0" borderId="5" xfId="0" applyFont="1" applyFill="1" applyBorder="1"/>
    <xf numFmtId="1" fontId="21" fillId="0" borderId="6" xfId="0" applyNumberFormat="1" applyFont="1" applyFill="1" applyBorder="1" applyAlignment="1" applyProtection="1">
      <alignment horizontal="left" vertical="top"/>
      <protection locked="0"/>
    </xf>
    <xf numFmtId="1" fontId="21" fillId="0" borderId="7" xfId="0" applyNumberFormat="1" applyFont="1" applyFill="1" applyBorder="1" applyAlignment="1" applyProtection="1">
      <alignment horizontal="left" vertical="top"/>
      <protection locked="0"/>
    </xf>
    <xf numFmtId="0" fontId="17" fillId="0" borderId="8" xfId="0" applyFont="1" applyFill="1" applyBorder="1"/>
    <xf numFmtId="1" fontId="21" fillId="0" borderId="9" xfId="0" applyNumberFormat="1" applyFont="1" applyFill="1" applyBorder="1" applyAlignment="1" applyProtection="1">
      <alignment horizontal="left" vertical="top"/>
      <protection locked="0"/>
    </xf>
    <xf numFmtId="0" fontId="19" fillId="0" borderId="10" xfId="0" applyFont="1" applyFill="1" applyBorder="1" applyAlignment="1" applyProtection="1">
      <alignment vertical="top"/>
      <protection locked="0"/>
    </xf>
    <xf numFmtId="0" fontId="19" fillId="0" borderId="0" xfId="0" applyFont="1" applyFill="1" applyBorder="1" applyAlignment="1" applyProtection="1">
      <alignment vertical="top" wrapText="1"/>
      <protection locked="0"/>
    </xf>
    <xf numFmtId="0" fontId="10" fillId="0" borderId="0" xfId="0" applyFont="1" applyFill="1" applyAlignment="1">
      <alignment horizontal="right"/>
    </xf>
    <xf numFmtId="0" fontId="16" fillId="0" borderId="0" xfId="0" applyFont="1" applyFill="1" applyBorder="1"/>
    <xf numFmtId="0" fontId="16" fillId="0" borderId="11" xfId="0" applyFont="1" applyFill="1" applyBorder="1" applyAlignment="1">
      <alignment horizontal="right"/>
    </xf>
    <xf numFmtId="0" fontId="16" fillId="0" borderId="12" xfId="0" applyFont="1" applyFill="1" applyBorder="1" applyAlignment="1">
      <alignment horizontal="right"/>
    </xf>
    <xf numFmtId="0" fontId="16" fillId="0" borderId="13" xfId="0" applyFont="1" applyFill="1" applyBorder="1" applyAlignment="1">
      <alignment horizontal="right"/>
    </xf>
    <xf numFmtId="0" fontId="14" fillId="0" borderId="0" xfId="0" applyFont="1" applyFill="1"/>
    <xf numFmtId="0" fontId="18" fillId="0" borderId="0" xfId="0" applyFont="1" applyFill="1" applyBorder="1"/>
    <xf numFmtId="0" fontId="18" fillId="0" borderId="11" xfId="0" applyFont="1" applyFill="1" applyBorder="1" applyAlignment="1">
      <alignment horizontal="right"/>
    </xf>
    <xf numFmtId="0" fontId="18" fillId="0" borderId="12" xfId="0" applyFont="1" applyFill="1" applyBorder="1" applyAlignment="1">
      <alignment horizontal="right"/>
    </xf>
    <xf numFmtId="0" fontId="14" fillId="0" borderId="12" xfId="0" applyFont="1" applyFill="1" applyBorder="1" applyAlignment="1">
      <alignment horizontal="right" wrapText="1"/>
    </xf>
    <xf numFmtId="0" fontId="14" fillId="0" borderId="12" xfId="0" applyFont="1" applyFill="1" applyBorder="1" applyAlignment="1">
      <alignment horizontal="right"/>
    </xf>
    <xf numFmtId="0" fontId="14" fillId="0" borderId="13" xfId="0" applyFont="1" applyFill="1" applyBorder="1" applyAlignment="1">
      <alignment horizontal="right"/>
    </xf>
    <xf numFmtId="0" fontId="0" fillId="0" borderId="0" xfId="0" applyFont="1" applyFill="1" applyBorder="1"/>
    <xf numFmtId="0" fontId="0" fillId="0" borderId="5" xfId="0" applyFont="1" applyFill="1" applyBorder="1"/>
    <xf numFmtId="0" fontId="1" fillId="0" borderId="14" xfId="0" applyFont="1" applyFill="1" applyBorder="1" applyAlignment="1">
      <alignment horizontal="right" wrapText="1"/>
    </xf>
    <xf numFmtId="0" fontId="1" fillId="0" borderId="15" xfId="0" applyFont="1" applyFill="1" applyBorder="1" applyAlignment="1">
      <alignment horizontal="right" wrapText="1"/>
    </xf>
    <xf numFmtId="0" fontId="10" fillId="0" borderId="0" xfId="0" applyFont="1" applyFill="1"/>
    <xf numFmtId="0" fontId="10" fillId="0" borderId="0" xfId="0" applyFont="1" applyFill="1" applyBorder="1"/>
    <xf numFmtId="0" fontId="10" fillId="0" borderId="1" xfId="0" applyFont="1" applyFill="1" applyBorder="1" applyAlignment="1">
      <alignment horizontal="right"/>
    </xf>
    <xf numFmtId="0" fontId="10" fillId="0" borderId="12" xfId="0" applyFont="1" applyFill="1" applyBorder="1" applyAlignment="1">
      <alignment horizontal="right" wrapText="1"/>
    </xf>
    <xf numFmtId="0" fontId="20" fillId="0" borderId="12" xfId="0" applyFont="1" applyFill="1" applyBorder="1" applyAlignment="1">
      <alignment horizontal="right" wrapText="1"/>
    </xf>
    <xf numFmtId="0" fontId="20" fillId="0" borderId="13" xfId="0" applyFont="1" applyFill="1" applyBorder="1" applyAlignment="1">
      <alignment horizontal="right" wrapText="1"/>
    </xf>
    <xf numFmtId="0" fontId="5" fillId="0" borderId="11" xfId="0" applyFont="1" applyFill="1" applyBorder="1" applyAlignment="1">
      <alignment horizontal="right"/>
    </xf>
    <xf numFmtId="0" fontId="5" fillId="0" borderId="12" xfId="0" applyFont="1" applyFill="1" applyBorder="1" applyAlignment="1">
      <alignment horizontal="right"/>
    </xf>
    <xf numFmtId="0" fontId="5" fillId="0" borderId="13" xfId="0" applyFont="1" applyFill="1" applyBorder="1" applyAlignment="1">
      <alignment horizontal="right"/>
    </xf>
    <xf numFmtId="0" fontId="0" fillId="0" borderId="16" xfId="0" applyFont="1" applyFill="1" applyBorder="1"/>
    <xf numFmtId="3" fontId="6" fillId="0" borderId="14" xfId="0" applyNumberFormat="1" applyFont="1" applyFill="1" applyBorder="1" applyProtection="1">
      <protection locked="0"/>
    </xf>
    <xf numFmtId="3" fontId="0" fillId="0" borderId="14" xfId="0" applyNumberFormat="1" applyFont="1" applyFill="1" applyBorder="1" applyProtection="1">
      <protection locked="0"/>
    </xf>
    <xf numFmtId="3" fontId="0" fillId="0" borderId="14" xfId="0" applyNumberFormat="1" applyFont="1" applyFill="1" applyBorder="1"/>
    <xf numFmtId="164" fontId="0" fillId="0" borderId="15" xfId="0" applyNumberFormat="1" applyFont="1" applyFill="1" applyBorder="1"/>
    <xf numFmtId="0" fontId="0" fillId="3" borderId="5" xfId="0" applyFont="1" applyFill="1" applyBorder="1"/>
    <xf numFmtId="3" fontId="6" fillId="3" borderId="0" xfId="0" applyNumberFormat="1" applyFont="1" applyFill="1" applyBorder="1" applyProtection="1">
      <protection locked="0"/>
    </xf>
    <xf numFmtId="3" fontId="0" fillId="3" borderId="0" xfId="0" applyNumberFormat="1" applyFont="1" applyFill="1" applyBorder="1" applyProtection="1">
      <protection locked="0"/>
    </xf>
    <xf numFmtId="3" fontId="0" fillId="3" borderId="0" xfId="0" applyNumberFormat="1" applyFont="1" applyFill="1" applyBorder="1"/>
    <xf numFmtId="164" fontId="0" fillId="3" borderId="17" xfId="0" applyNumberFormat="1" applyFont="1" applyFill="1" applyBorder="1"/>
    <xf numFmtId="3" fontId="6" fillId="0" borderId="0" xfId="0" applyNumberFormat="1" applyFont="1" applyFill="1" applyBorder="1" applyProtection="1">
      <protection locked="0"/>
    </xf>
    <xf numFmtId="3" fontId="0" fillId="0" borderId="0" xfId="0" applyNumberFormat="1" applyFont="1" applyFill="1" applyBorder="1" applyProtection="1">
      <protection locked="0"/>
    </xf>
    <xf numFmtId="3" fontId="0" fillId="0" borderId="0" xfId="0" applyNumberFormat="1" applyFont="1" applyFill="1" applyBorder="1"/>
    <xf numFmtId="164" fontId="0" fillId="0" borderId="17" xfId="0" applyNumberFormat="1" applyFont="1" applyFill="1" applyBorder="1"/>
    <xf numFmtId="0" fontId="1" fillId="0" borderId="0" xfId="0" applyFont="1" applyFill="1" applyBorder="1"/>
    <xf numFmtId="0" fontId="1" fillId="0" borderId="11" xfId="0" applyFont="1" applyFill="1" applyBorder="1"/>
    <xf numFmtId="3" fontId="1" fillId="0" borderId="12" xfId="0" applyNumberFormat="1" applyFont="1" applyFill="1" applyBorder="1"/>
    <xf numFmtId="164" fontId="1" fillId="0" borderId="13" xfId="0" applyNumberFormat="1" applyFont="1" applyFill="1" applyBorder="1"/>
    <xf numFmtId="0" fontId="16" fillId="0" borderId="1" xfId="0" applyFont="1" applyFill="1" applyBorder="1" applyAlignment="1">
      <alignment horizontal="right"/>
    </xf>
    <xf numFmtId="0" fontId="16" fillId="0" borderId="2" xfId="0" applyFont="1" applyFill="1" applyBorder="1" applyAlignment="1">
      <alignment horizontal="right"/>
    </xf>
    <xf numFmtId="0" fontId="16" fillId="0" borderId="3" xfId="0" applyFont="1" applyFill="1" applyBorder="1" applyAlignment="1">
      <alignment horizontal="right"/>
    </xf>
    <xf numFmtId="0" fontId="5" fillId="0" borderId="0" xfId="0" applyFont="1" applyFill="1" applyBorder="1"/>
    <xf numFmtId="0" fontId="18" fillId="0" borderId="1" xfId="0" applyFont="1" applyFill="1" applyBorder="1" applyAlignment="1">
      <alignment horizontal="right"/>
    </xf>
    <xf numFmtId="0" fontId="18" fillId="0" borderId="2" xfId="0" applyFont="1" applyFill="1" applyBorder="1" applyAlignment="1">
      <alignment horizontal="right"/>
    </xf>
    <xf numFmtId="0" fontId="14" fillId="0" borderId="3" xfId="0" applyFont="1" applyFill="1" applyBorder="1" applyAlignment="1">
      <alignment horizontal="right" wrapText="1"/>
    </xf>
    <xf numFmtId="0" fontId="7" fillId="0" borderId="16" xfId="0" applyFont="1" applyFill="1" applyBorder="1" applyAlignment="1">
      <alignment vertical="center" wrapText="1"/>
    </xf>
    <xf numFmtId="0" fontId="1" fillId="0" borderId="15" xfId="0" applyFont="1" applyFill="1" applyBorder="1" applyAlignment="1" applyProtection="1">
      <alignment horizontal="right" wrapText="1"/>
      <protection locked="0"/>
    </xf>
    <xf numFmtId="0" fontId="7" fillId="0" borderId="8" xfId="0" applyFont="1" applyFill="1" applyBorder="1" applyAlignment="1">
      <alignment vertical="center" wrapText="1"/>
    </xf>
    <xf numFmtId="1" fontId="1" fillId="0" borderId="18" xfId="0" applyNumberFormat="1" applyFont="1" applyFill="1" applyBorder="1" applyAlignment="1" applyProtection="1">
      <alignment horizontal="right" vertical="center"/>
      <protection locked="0"/>
    </xf>
    <xf numFmtId="1" fontId="1" fillId="0" borderId="19" xfId="0" applyNumberFormat="1" applyFont="1" applyFill="1" applyBorder="1" applyAlignment="1" applyProtection="1">
      <alignment horizontal="right" vertical="center"/>
      <protection locked="0"/>
    </xf>
    <xf numFmtId="1" fontId="1" fillId="0" borderId="20" xfId="0" applyNumberFormat="1" applyFont="1" applyFill="1" applyBorder="1" applyAlignment="1" applyProtection="1">
      <alignment horizontal="right" vertical="center"/>
      <protection locked="0"/>
    </xf>
    <xf numFmtId="1" fontId="1" fillId="0" borderId="21" xfId="0" applyNumberFormat="1" applyFont="1" applyFill="1" applyBorder="1" applyAlignment="1">
      <alignment horizontal="right" vertical="center"/>
    </xf>
    <xf numFmtId="0" fontId="5" fillId="0" borderId="11" xfId="0" applyFont="1" applyFill="1" applyBorder="1" applyAlignment="1">
      <alignment horizontal="right" vertical="center"/>
    </xf>
    <xf numFmtId="0" fontId="10" fillId="0" borderId="22" xfId="0" applyFont="1" applyFill="1" applyBorder="1" applyAlignment="1">
      <alignment horizontal="right" vertical="center"/>
    </xf>
    <xf numFmtId="0" fontId="10" fillId="0" borderId="12" xfId="0" applyFont="1" applyFill="1" applyBorder="1" applyAlignment="1">
      <alignment horizontal="right" vertical="center"/>
    </xf>
    <xf numFmtId="0" fontId="10" fillId="0" borderId="23" xfId="0" applyFont="1" applyFill="1" applyBorder="1" applyAlignment="1">
      <alignment horizontal="right" vertical="center"/>
    </xf>
    <xf numFmtId="0" fontId="10" fillId="0" borderId="13" xfId="0" applyFont="1" applyFill="1" applyBorder="1" applyAlignment="1">
      <alignment horizontal="right" vertical="center"/>
    </xf>
    <xf numFmtId="3" fontId="6" fillId="0" borderId="24" xfId="0" applyNumberFormat="1" applyFont="1" applyFill="1" applyBorder="1" applyProtection="1">
      <protection locked="0"/>
    </xf>
    <xf numFmtId="3" fontId="6" fillId="0" borderId="25" xfId="0" applyNumberFormat="1" applyFont="1" applyFill="1" applyBorder="1" applyProtection="1">
      <protection locked="0"/>
    </xf>
    <xf numFmtId="3" fontId="0" fillId="0" borderId="15" xfId="0" applyNumberFormat="1" applyFont="1" applyFill="1" applyBorder="1"/>
    <xf numFmtId="3" fontId="6" fillId="3" borderId="26" xfId="0" applyNumberFormat="1" applyFont="1" applyFill="1" applyBorder="1" applyProtection="1">
      <protection locked="0"/>
    </xf>
    <xf numFmtId="3" fontId="6" fillId="3" borderId="27" xfId="0" applyNumberFormat="1" applyFont="1" applyFill="1" applyBorder="1" applyProtection="1">
      <protection locked="0"/>
    </xf>
    <xf numFmtId="3" fontId="0" fillId="3" borderId="17" xfId="0" applyNumberFormat="1" applyFont="1" applyFill="1" applyBorder="1"/>
    <xf numFmtId="3" fontId="6" fillId="0" borderId="26" xfId="0" applyNumberFormat="1" applyFont="1" applyFill="1" applyBorder="1" applyProtection="1">
      <protection locked="0"/>
    </xf>
    <xf numFmtId="3" fontId="6" fillId="0" borderId="27" xfId="0" applyNumberFormat="1" applyFont="1" applyFill="1" applyBorder="1" applyProtection="1">
      <protection locked="0"/>
    </xf>
    <xf numFmtId="3" fontId="0" fillId="0" borderId="17" xfId="0" applyNumberFormat="1" applyFont="1" applyFill="1" applyBorder="1"/>
    <xf numFmtId="3" fontId="1" fillId="0" borderId="22" xfId="0" applyNumberFormat="1" applyFont="1" applyFill="1" applyBorder="1"/>
    <xf numFmtId="3" fontId="1" fillId="0" borderId="23" xfId="0" applyNumberFormat="1" applyFont="1" applyFill="1" applyBorder="1"/>
    <xf numFmtId="3" fontId="1" fillId="0" borderId="13" xfId="0" applyNumberFormat="1" applyFont="1" applyFill="1" applyBorder="1"/>
    <xf numFmtId="0" fontId="19" fillId="0" borderId="0" xfId="0" applyFont="1" applyFill="1" applyBorder="1" applyAlignment="1" applyProtection="1">
      <alignment vertical="top"/>
      <protection locked="0"/>
    </xf>
    <xf numFmtId="0" fontId="0" fillId="0" borderId="31" xfId="0" applyFont="1" applyFill="1" applyBorder="1"/>
    <xf numFmtId="1" fontId="1" fillId="0" borderId="32" xfId="0" applyNumberFormat="1" applyFont="1" applyFill="1" applyBorder="1" applyAlignment="1" applyProtection="1">
      <alignment horizontal="right"/>
      <protection locked="0"/>
    </xf>
    <xf numFmtId="1" fontId="1" fillId="0" borderId="33" xfId="0" applyNumberFormat="1" applyFont="1" applyFill="1" applyBorder="1" applyAlignment="1" applyProtection="1">
      <alignment horizontal="right"/>
      <protection locked="0"/>
    </xf>
    <xf numFmtId="0" fontId="1" fillId="0" borderId="34" xfId="0" applyFont="1" applyFill="1" applyBorder="1" applyAlignment="1">
      <alignment horizontal="right" vertical="center" wrapText="1"/>
    </xf>
    <xf numFmtId="0" fontId="1" fillId="0" borderId="35" xfId="0" applyFont="1" applyFill="1" applyBorder="1" applyAlignment="1">
      <alignment horizontal="right" vertical="center" wrapText="1"/>
    </xf>
    <xf numFmtId="0" fontId="0" fillId="0" borderId="17" xfId="0" applyFont="1" applyFill="1" applyBorder="1"/>
    <xf numFmtId="0" fontId="10" fillId="0" borderId="0" xfId="0" applyFont="1" applyFill="1" applyBorder="1" applyAlignment="1">
      <alignment horizontal="right" vertical="center"/>
    </xf>
    <xf numFmtId="0" fontId="5" fillId="0" borderId="22" xfId="0" applyFont="1" applyFill="1" applyBorder="1" applyAlignment="1">
      <alignment horizontal="right" vertical="center"/>
    </xf>
    <xf numFmtId="0" fontId="5" fillId="0" borderId="12" xfId="0" applyFont="1" applyFill="1" applyBorder="1" applyAlignment="1">
      <alignment horizontal="right" vertical="center"/>
    </xf>
    <xf numFmtId="0" fontId="5" fillId="0" borderId="23" xfId="0" applyFont="1" applyFill="1" applyBorder="1" applyAlignment="1">
      <alignment horizontal="right" vertical="center"/>
    </xf>
    <xf numFmtId="0" fontId="10" fillId="0" borderId="17" xfId="0" applyFont="1" applyFill="1" applyBorder="1" applyAlignment="1">
      <alignment horizontal="right" vertical="center" wrapText="1"/>
    </xf>
    <xf numFmtId="164" fontId="0" fillId="0" borderId="14" xfId="0" applyNumberFormat="1" applyFont="1" applyFill="1" applyBorder="1"/>
    <xf numFmtId="165" fontId="6" fillId="0" borderId="24" xfId="0" applyNumberFormat="1" applyFont="1" applyFill="1" applyBorder="1" applyAlignment="1" applyProtection="1">
      <alignment horizontal="right"/>
      <protection locked="0"/>
    </xf>
    <xf numFmtId="165" fontId="0" fillId="0" borderId="14" xfId="0" applyNumberFormat="1" applyFont="1" applyFill="1" applyBorder="1" applyAlignment="1">
      <alignment horizontal="right"/>
    </xf>
    <xf numFmtId="166" fontId="0" fillId="0" borderId="25" xfId="0" applyNumberFormat="1" applyFont="1" applyFill="1" applyBorder="1"/>
    <xf numFmtId="166" fontId="0" fillId="0" borderId="15" xfId="0" applyNumberFormat="1" applyFont="1" applyFill="1" applyBorder="1"/>
    <xf numFmtId="0" fontId="0" fillId="3" borderId="36" xfId="0" applyFont="1" applyFill="1" applyBorder="1"/>
    <xf numFmtId="164" fontId="0" fillId="3" borderId="0" xfId="0" applyNumberFormat="1" applyFont="1" applyFill="1" applyBorder="1"/>
    <xf numFmtId="165" fontId="6" fillId="3" borderId="26" xfId="0" applyNumberFormat="1" applyFont="1" applyFill="1" applyBorder="1" applyAlignment="1" applyProtection="1">
      <alignment horizontal="right"/>
      <protection locked="0"/>
    </xf>
    <xf numFmtId="165" fontId="0" fillId="3" borderId="0" xfId="0" applyNumberFormat="1" applyFont="1" applyFill="1" applyBorder="1" applyAlignment="1">
      <alignment horizontal="right"/>
    </xf>
    <xf numFmtId="166" fontId="0" fillId="3" borderId="27" xfId="0" applyNumberFormat="1" applyFont="1" applyFill="1" applyBorder="1"/>
    <xf numFmtId="166" fontId="0" fillId="3" borderId="17" xfId="0" applyNumberFormat="1" applyFont="1" applyFill="1" applyBorder="1"/>
    <xf numFmtId="0" fontId="0" fillId="0" borderId="36" xfId="0" applyFont="1" applyFill="1" applyBorder="1"/>
    <xf numFmtId="164" fontId="0" fillId="0" borderId="0" xfId="0" applyNumberFormat="1" applyFont="1" applyFill="1" applyBorder="1"/>
    <xf numFmtId="165" fontId="6" fillId="0" borderId="26" xfId="0" applyNumberFormat="1" applyFont="1" applyFill="1" applyBorder="1" applyAlignment="1" applyProtection="1">
      <alignment horizontal="right"/>
      <protection locked="0"/>
    </xf>
    <xf numFmtId="165" fontId="0" fillId="0" borderId="0" xfId="0" applyNumberFormat="1" applyFont="1" applyFill="1" applyBorder="1" applyAlignment="1">
      <alignment horizontal="right"/>
    </xf>
    <xf numFmtId="166" fontId="0" fillId="0" borderId="27" xfId="0" applyNumberFormat="1" applyFont="1" applyFill="1" applyBorder="1"/>
    <xf numFmtId="166" fontId="0" fillId="0" borderId="17" xfId="0" applyNumberFormat="1" applyFont="1" applyFill="1" applyBorder="1"/>
    <xf numFmtId="0" fontId="1" fillId="0" borderId="17" xfId="0" applyFont="1" applyFill="1" applyBorder="1"/>
    <xf numFmtId="0" fontId="0" fillId="3" borderId="31" xfId="0" applyFont="1" applyFill="1" applyBorder="1"/>
    <xf numFmtId="164" fontId="0" fillId="3" borderId="19" xfId="0" applyNumberFormat="1" applyFont="1" applyFill="1" applyBorder="1"/>
    <xf numFmtId="165" fontId="6" fillId="3" borderId="18" xfId="0" applyNumberFormat="1" applyFont="1" applyFill="1" applyBorder="1" applyAlignment="1" applyProtection="1">
      <alignment horizontal="right"/>
      <protection locked="0"/>
    </xf>
    <xf numFmtId="165" fontId="0" fillId="3" borderId="19" xfId="0" applyNumberFormat="1" applyFont="1" applyFill="1" applyBorder="1" applyAlignment="1">
      <alignment horizontal="right"/>
    </xf>
    <xf numFmtId="166" fontId="0" fillId="3" borderId="20" xfId="0" applyNumberFormat="1" applyFont="1" applyFill="1" applyBorder="1"/>
    <xf numFmtId="3" fontId="0" fillId="3" borderId="19" xfId="0" applyNumberFormat="1" applyFont="1" applyFill="1" applyBorder="1"/>
    <xf numFmtId="166" fontId="0" fillId="3" borderId="21" xfId="0" applyNumberFormat="1" applyFont="1" applyFill="1" applyBorder="1"/>
    <xf numFmtId="167" fontId="1" fillId="0" borderId="12" xfId="0" applyNumberFormat="1" applyFont="1" applyFill="1" applyBorder="1"/>
    <xf numFmtId="165" fontId="1" fillId="0" borderId="22" xfId="0" applyNumberFormat="1" applyFont="1" applyFill="1" applyBorder="1" applyAlignment="1" applyProtection="1">
      <alignment horizontal="right"/>
      <protection locked="0"/>
    </xf>
    <xf numFmtId="165" fontId="1" fillId="0" borderId="12" xfId="0" applyNumberFormat="1" applyFont="1" applyFill="1" applyBorder="1" applyAlignment="1">
      <alignment horizontal="right"/>
    </xf>
    <xf numFmtId="166" fontId="1" fillId="4" borderId="23" xfId="0" applyNumberFormat="1" applyFont="1" applyFill="1" applyBorder="1"/>
    <xf numFmtId="166" fontId="1" fillId="4" borderId="13" xfId="0" applyNumberFormat="1" applyFont="1" applyFill="1" applyBorder="1"/>
    <xf numFmtId="0" fontId="9" fillId="0" borderId="0" xfId="0" applyFont="1" applyFill="1" applyAlignment="1">
      <alignment horizontal="left" vertical="top"/>
    </xf>
    <xf numFmtId="0" fontId="7" fillId="0" borderId="0" xfId="0" applyFont="1" applyFill="1"/>
    <xf numFmtId="0" fontId="8" fillId="0" borderId="0" xfId="0" applyFont="1" applyFill="1" applyBorder="1"/>
    <xf numFmtId="0" fontId="1" fillId="3" borderId="11" xfId="0" applyFont="1" applyFill="1" applyBorder="1" applyAlignment="1">
      <alignment wrapText="1"/>
    </xf>
    <xf numFmtId="1" fontId="1" fillId="3" borderId="12" xfId="0" applyNumberFormat="1" applyFont="1" applyFill="1" applyBorder="1" applyAlignment="1">
      <alignment horizontal="right"/>
    </xf>
    <xf numFmtId="0" fontId="0" fillId="3" borderId="12" xfId="0" applyFont="1" applyFill="1" applyBorder="1" applyAlignment="1">
      <alignment horizontal="right"/>
    </xf>
    <xf numFmtId="0" fontId="0" fillId="3" borderId="12" xfId="0" applyFont="1" applyFill="1" applyBorder="1" applyAlignment="1">
      <alignment horizontal="right" wrapText="1"/>
    </xf>
    <xf numFmtId="1" fontId="1" fillId="3" borderId="13" xfId="0" applyNumberFormat="1" applyFont="1" applyFill="1" applyBorder="1"/>
    <xf numFmtId="166" fontId="0" fillId="0" borderId="14" xfId="0" applyNumberFormat="1" applyFont="1" applyFill="1" applyBorder="1"/>
    <xf numFmtId="3" fontId="1" fillId="0" borderId="15" xfId="0" applyNumberFormat="1" applyFont="1" applyFill="1" applyBorder="1"/>
    <xf numFmtId="3" fontId="6" fillId="0" borderId="19" xfId="0" applyNumberFormat="1" applyFont="1" applyFill="1" applyBorder="1" applyProtection="1">
      <protection locked="0"/>
    </xf>
    <xf numFmtId="166" fontId="0" fillId="0" borderId="19" xfId="0" applyNumberFormat="1" applyFont="1" applyFill="1" applyBorder="1"/>
    <xf numFmtId="3" fontId="0" fillId="0" borderId="19" xfId="0" applyNumberFormat="1" applyFont="1" applyFill="1" applyBorder="1"/>
    <xf numFmtId="3" fontId="1" fillId="0" borderId="21" xfId="0" applyNumberFormat="1" applyFont="1" applyFill="1" applyBorder="1"/>
    <xf numFmtId="0" fontId="0" fillId="0" borderId="14" xfId="0" applyFont="1" applyFill="1" applyBorder="1"/>
    <xf numFmtId="0" fontId="0" fillId="0" borderId="0" xfId="0" applyFont="1" applyFill="1" applyAlignment="1">
      <alignment horizontal="right"/>
    </xf>
    <xf numFmtId="166" fontId="0" fillId="0" borderId="0" xfId="0" applyNumberFormat="1" applyFont="1" applyFill="1" applyBorder="1"/>
    <xf numFmtId="3" fontId="0" fillId="0" borderId="0" xfId="0" applyNumberFormat="1" applyFont="1" applyFill="1"/>
    <xf numFmtId="0" fontId="1" fillId="3" borderId="11" xfId="0" applyFont="1" applyFill="1" applyBorder="1"/>
    <xf numFmtId="0" fontId="1" fillId="3" borderId="12" xfId="0" applyFont="1" applyFill="1" applyBorder="1" applyAlignment="1">
      <alignment horizontal="right"/>
    </xf>
    <xf numFmtId="1" fontId="1" fillId="3" borderId="13" xfId="0" applyNumberFormat="1" applyFont="1" applyFill="1" applyBorder="1" applyAlignment="1">
      <alignment horizontal="right"/>
    </xf>
    <xf numFmtId="0" fontId="3" fillId="0" borderId="36" xfId="0" applyFont="1" applyFill="1" applyBorder="1" applyAlignment="1">
      <alignment horizontal="left" indent="2"/>
    </xf>
    <xf numFmtId="166" fontId="3" fillId="0" borderId="0" xfId="0" applyNumberFormat="1" applyFont="1" applyFill="1" applyBorder="1"/>
    <xf numFmtId="166" fontId="3" fillId="0" borderId="17" xfId="0" applyNumberFormat="1" applyFont="1" applyFill="1" applyBorder="1"/>
    <xf numFmtId="3" fontId="0" fillId="0" borderId="21" xfId="0" applyNumberFormat="1" applyFont="1" applyFill="1" applyBorder="1"/>
    <xf numFmtId="0" fontId="10" fillId="0" borderId="0" xfId="0" applyFont="1" applyFill="1" applyAlignment="1">
      <alignment horizontal="left" indent="1"/>
    </xf>
    <xf numFmtId="0" fontId="10" fillId="0" borderId="0" xfId="0" applyFont="1" applyFill="1" applyBorder="1" applyAlignment="1">
      <alignment horizontal="left" indent="1"/>
    </xf>
    <xf numFmtId="0" fontId="11" fillId="5" borderId="11" xfId="0" applyFont="1" applyFill="1" applyBorder="1"/>
    <xf numFmtId="0" fontId="12" fillId="5" borderId="12" xfId="0" applyFont="1" applyFill="1" applyBorder="1"/>
    <xf numFmtId="0" fontId="11" fillId="5" borderId="13" xfId="0" applyFont="1" applyFill="1" applyBorder="1" applyAlignment="1">
      <alignment horizontal="center"/>
    </xf>
    <xf numFmtId="0" fontId="4" fillId="4" borderId="36" xfId="0" applyFont="1" applyFill="1" applyBorder="1"/>
    <xf numFmtId="0" fontId="4" fillId="4" borderId="0" xfId="0" applyFont="1" applyFill="1" applyBorder="1"/>
    <xf numFmtId="3" fontId="13" fillId="4" borderId="17" xfId="0" applyNumberFormat="1" applyFont="1" applyFill="1" applyBorder="1"/>
    <xf numFmtId="0" fontId="4" fillId="4" borderId="11" xfId="0" applyFont="1" applyFill="1" applyBorder="1"/>
    <xf numFmtId="0" fontId="4" fillId="4" borderId="12" xfId="0" applyFont="1" applyFill="1" applyBorder="1"/>
    <xf numFmtId="3" fontId="13" fillId="4" borderId="13" xfId="0" applyNumberFormat="1" applyFont="1" applyFill="1" applyBorder="1"/>
    <xf numFmtId="0" fontId="0" fillId="0" borderId="16" xfId="0" applyFont="1" applyFill="1" applyBorder="1" applyAlignment="1">
      <alignment horizontal="left" indent="1"/>
    </xf>
    <xf numFmtId="0" fontId="0" fillId="0" borderId="31" xfId="0" applyFont="1" applyFill="1" applyBorder="1" applyAlignment="1">
      <alignment horizontal="left" indent="1"/>
    </xf>
    <xf numFmtId="166" fontId="0" fillId="0" borderId="21" xfId="0" applyNumberFormat="1" applyFont="1" applyFill="1" applyBorder="1"/>
    <xf numFmtId="0" fontId="0" fillId="0" borderId="11" xfId="0" applyFont="1" applyFill="1" applyBorder="1" applyAlignment="1">
      <alignment horizontal="left" indent="1"/>
    </xf>
    <xf numFmtId="166" fontId="0" fillId="0" borderId="13" xfId="0" applyNumberFormat="1" applyFont="1" applyFill="1" applyBorder="1"/>
    <xf numFmtId="0" fontId="0" fillId="0" borderId="2" xfId="0" applyFont="1" applyFill="1" applyBorder="1" applyAlignment="1">
      <alignment horizontal="right"/>
    </xf>
    <xf numFmtId="0" fontId="18" fillId="0" borderId="8" xfId="0" applyFont="1" applyFill="1" applyBorder="1" applyAlignment="1">
      <alignment horizontal="right"/>
    </xf>
    <xf numFmtId="0" fontId="14" fillId="0" borderId="0" xfId="0" applyFont="1" applyFill="1" applyBorder="1"/>
    <xf numFmtId="0" fontId="18" fillId="0" borderId="10" xfId="0" applyFont="1" applyFill="1" applyBorder="1" applyAlignment="1">
      <alignment horizontal="right"/>
    </xf>
    <xf numFmtId="0" fontId="14" fillId="0" borderId="9" xfId="0" applyFont="1" applyFill="1" applyBorder="1" applyAlignment="1">
      <alignment horizontal="right" wrapText="1"/>
    </xf>
    <xf numFmtId="0" fontId="0" fillId="0" borderId="11" xfId="0" applyFont="1" applyFill="1" applyBorder="1"/>
    <xf numFmtId="0" fontId="0" fillId="0" borderId="12" xfId="0" applyFont="1" applyFill="1" applyBorder="1" applyAlignment="1" applyProtection="1">
      <alignment horizontal="right" vertical="center" wrapText="1"/>
      <protection locked="0"/>
    </xf>
    <xf numFmtId="0" fontId="0" fillId="0" borderId="12" xfId="0" applyFont="1" applyFill="1" applyBorder="1" applyAlignment="1">
      <alignment horizontal="right" vertical="center" wrapText="1"/>
    </xf>
    <xf numFmtId="0" fontId="1" fillId="0" borderId="13" xfId="0" applyFont="1" applyFill="1" applyBorder="1" applyAlignment="1">
      <alignment horizontal="right" vertical="center" wrapText="1"/>
    </xf>
    <xf numFmtId="0" fontId="10" fillId="0" borderId="2" xfId="0" applyFont="1" applyFill="1" applyBorder="1" applyAlignment="1">
      <alignment horizontal="right" vertical="center"/>
    </xf>
    <xf numFmtId="0" fontId="5" fillId="0" borderId="13" xfId="0" applyFont="1" applyFill="1" applyBorder="1" applyAlignment="1">
      <alignment horizontal="right" vertical="center"/>
    </xf>
    <xf numFmtId="0" fontId="0" fillId="0" borderId="0" xfId="0" applyFont="1" applyFill="1" applyAlignment="1">
      <alignment vertical="center"/>
    </xf>
    <xf numFmtId="0" fontId="0" fillId="0" borderId="36" xfId="0" applyFont="1" applyFill="1" applyBorder="1" applyAlignment="1">
      <alignment vertical="center" wrapText="1"/>
    </xf>
    <xf numFmtId="167" fontId="0" fillId="0" borderId="0" xfId="0" applyNumberFormat="1" applyFont="1" applyFill="1" applyBorder="1" applyAlignment="1" applyProtection="1">
      <alignment vertical="center"/>
      <protection locked="0"/>
    </xf>
    <xf numFmtId="3" fontId="0" fillId="0" borderId="0" xfId="0" applyNumberFormat="1" applyFont="1" applyFill="1" applyBorder="1" applyAlignment="1" applyProtection="1">
      <alignment vertical="center"/>
      <protection locked="0"/>
    </xf>
    <xf numFmtId="3" fontId="0" fillId="0" borderId="0" xfId="0" applyNumberFormat="1" applyFont="1" applyFill="1" applyBorder="1" applyAlignment="1">
      <alignment vertical="center"/>
    </xf>
    <xf numFmtId="3" fontId="1" fillId="0" borderId="17" xfId="0" applyNumberFormat="1" applyFont="1" applyFill="1" applyBorder="1" applyAlignment="1">
      <alignment vertical="center"/>
    </xf>
    <xf numFmtId="0" fontId="0" fillId="3" borderId="36" xfId="0" applyFont="1" applyFill="1" applyBorder="1" applyAlignment="1">
      <alignment vertical="center" wrapText="1"/>
    </xf>
    <xf numFmtId="167" fontId="0" fillId="3" borderId="0" xfId="0" applyNumberFormat="1" applyFont="1" applyFill="1" applyBorder="1" applyAlignment="1" applyProtection="1">
      <alignment vertical="center"/>
      <protection locked="0"/>
    </xf>
    <xf numFmtId="3" fontId="0" fillId="3" borderId="0" xfId="0" applyNumberFormat="1" applyFont="1" applyFill="1" applyBorder="1" applyAlignment="1" applyProtection="1">
      <alignment vertical="center"/>
      <protection locked="0"/>
    </xf>
    <xf numFmtId="3" fontId="0" fillId="3" borderId="0" xfId="0" applyNumberFormat="1" applyFont="1" applyFill="1" applyBorder="1" applyAlignment="1">
      <alignment vertical="center"/>
    </xf>
    <xf numFmtId="3" fontId="1" fillId="3" borderId="17" xfId="0" applyNumberFormat="1" applyFont="1" applyFill="1" applyBorder="1" applyAlignment="1">
      <alignment vertical="center"/>
    </xf>
    <xf numFmtId="0" fontId="1" fillId="0" borderId="11" xfId="0" applyFont="1" applyFill="1" applyBorder="1" applyAlignment="1">
      <alignment vertical="center"/>
    </xf>
    <xf numFmtId="167" fontId="1" fillId="0" borderId="12" xfId="0" applyNumberFormat="1" applyFont="1" applyFill="1" applyBorder="1" applyAlignment="1" applyProtection="1">
      <alignment vertical="center"/>
      <protection locked="0"/>
    </xf>
    <xf numFmtId="3" fontId="1" fillId="0" borderId="12" xfId="0" applyNumberFormat="1" applyFont="1" applyFill="1" applyBorder="1" applyAlignment="1">
      <alignment vertical="center"/>
    </xf>
    <xf numFmtId="3" fontId="1" fillId="0" borderId="13" xfId="0" applyNumberFormat="1" applyFont="1" applyFill="1" applyBorder="1" applyAlignment="1">
      <alignment vertical="center"/>
    </xf>
    <xf numFmtId="0" fontId="1" fillId="0" borderId="12" xfId="0" applyFont="1" applyFill="1" applyBorder="1" applyAlignment="1">
      <alignment horizontal="right" vertical="center" wrapText="1"/>
    </xf>
    <xf numFmtId="0" fontId="14" fillId="0" borderId="12" xfId="0" applyFont="1" applyFill="1" applyBorder="1" applyAlignment="1">
      <alignment horizontal="right" vertical="center" wrapText="1"/>
    </xf>
    <xf numFmtId="0" fontId="14" fillId="0" borderId="13" xfId="0" applyFont="1" applyFill="1" applyBorder="1" applyAlignment="1">
      <alignment horizontal="right" vertical="center" wrapText="1"/>
    </xf>
    <xf numFmtId="0" fontId="14" fillId="0" borderId="39" xfId="0" applyFont="1" applyFill="1" applyBorder="1" applyAlignment="1">
      <alignment vertical="center"/>
    </xf>
    <xf numFmtId="168" fontId="22" fillId="0" borderId="4" xfId="0" applyNumberFormat="1" applyFont="1" applyFill="1" applyBorder="1" applyProtection="1">
      <protection locked="0"/>
    </xf>
    <xf numFmtId="0" fontId="1" fillId="0" borderId="0" xfId="0" applyFont="1" applyFill="1" applyAlignment="1">
      <alignment vertical="center"/>
    </xf>
    <xf numFmtId="0" fontId="0" fillId="0" borderId="16" xfId="0" applyFont="1" applyFill="1" applyBorder="1" applyAlignment="1">
      <alignment vertical="center" wrapText="1"/>
    </xf>
    <xf numFmtId="167" fontId="0" fillId="0" borderId="0" xfId="0" applyNumberFormat="1" applyFont="1" applyFill="1" applyBorder="1" applyAlignment="1">
      <alignment vertical="center"/>
    </xf>
    <xf numFmtId="3" fontId="1" fillId="0" borderId="0" xfId="0" applyNumberFormat="1" applyFont="1" applyFill="1" applyBorder="1" applyAlignment="1">
      <alignment vertical="center"/>
    </xf>
    <xf numFmtId="3" fontId="14" fillId="0" borderId="0" xfId="0" applyNumberFormat="1" applyFont="1" applyFill="1" applyBorder="1" applyAlignment="1">
      <alignment vertical="center"/>
    </xf>
    <xf numFmtId="3" fontId="14" fillId="0" borderId="17" xfId="0" applyNumberFormat="1" applyFont="1" applyFill="1" applyBorder="1" applyAlignment="1">
      <alignment vertical="center"/>
    </xf>
    <xf numFmtId="169" fontId="14" fillId="0" borderId="39" xfId="0" applyNumberFormat="1" applyFont="1" applyFill="1" applyBorder="1" applyAlignment="1">
      <alignment vertical="center"/>
    </xf>
    <xf numFmtId="167" fontId="0" fillId="3" borderId="0" xfId="0" applyNumberFormat="1" applyFont="1" applyFill="1" applyBorder="1" applyAlignment="1">
      <alignment vertical="center"/>
    </xf>
    <xf numFmtId="3" fontId="1" fillId="3" borderId="0" xfId="0" applyNumberFormat="1" applyFont="1" applyFill="1" applyBorder="1" applyAlignment="1">
      <alignment vertical="center"/>
    </xf>
    <xf numFmtId="3" fontId="14" fillId="3" borderId="0" xfId="0" applyNumberFormat="1" applyFont="1" applyFill="1" applyBorder="1" applyAlignment="1">
      <alignment vertical="center"/>
    </xf>
    <xf numFmtId="3" fontId="14" fillId="3" borderId="17" xfId="0" applyNumberFormat="1" applyFont="1" applyFill="1" applyBorder="1" applyAlignment="1">
      <alignment vertical="center"/>
    </xf>
    <xf numFmtId="164" fontId="14" fillId="0" borderId="39" xfId="0" applyNumberFormat="1" applyFont="1" applyFill="1" applyBorder="1" applyAlignment="1">
      <alignment vertical="center"/>
    </xf>
    <xf numFmtId="0" fontId="14" fillId="0" borderId="5" xfId="0" applyFont="1" applyFill="1" applyBorder="1" applyAlignment="1">
      <alignment vertical="center"/>
    </xf>
    <xf numFmtId="0" fontId="14" fillId="0" borderId="7" xfId="0" applyFont="1" applyFill="1" applyBorder="1" applyAlignment="1">
      <alignment vertical="center"/>
    </xf>
    <xf numFmtId="3" fontId="14" fillId="0" borderId="39" xfId="0" applyNumberFormat="1" applyFont="1" applyFill="1" applyBorder="1" applyAlignment="1">
      <alignment vertical="center"/>
    </xf>
    <xf numFmtId="167" fontId="1" fillId="0" borderId="12" xfId="0" applyNumberFormat="1" applyFont="1" applyFill="1" applyBorder="1" applyAlignment="1">
      <alignment vertical="center"/>
    </xf>
    <xf numFmtId="3" fontId="15" fillId="0" borderId="12" xfId="0" applyNumberFormat="1" applyFont="1" applyFill="1" applyBorder="1" applyAlignment="1">
      <alignment vertical="center"/>
    </xf>
    <xf numFmtId="3" fontId="15" fillId="0" borderId="13" xfId="0" applyNumberFormat="1" applyFont="1" applyFill="1" applyBorder="1" applyAlignment="1">
      <alignment vertical="center"/>
    </xf>
    <xf numFmtId="0" fontId="0" fillId="0" borderId="4" xfId="0" applyFont="1" applyFill="1" applyBorder="1" applyAlignment="1">
      <alignment horizontal="right"/>
    </xf>
    <xf numFmtId="0" fontId="14" fillId="0" borderId="2" xfId="0" applyFont="1" applyFill="1" applyBorder="1" applyAlignment="1">
      <alignment horizontal="right"/>
    </xf>
    <xf numFmtId="0" fontId="18" fillId="0" borderId="3" xfId="0" applyFont="1" applyFill="1" applyBorder="1" applyAlignment="1">
      <alignment horizontal="right"/>
    </xf>
    <xf numFmtId="0" fontId="18" fillId="0" borderId="4" xfId="0" applyFont="1" applyFill="1" applyBorder="1" applyAlignment="1">
      <alignment horizontal="right"/>
    </xf>
    <xf numFmtId="167" fontId="1" fillId="0" borderId="12" xfId="0" applyNumberFormat="1" applyFont="1" applyFill="1" applyBorder="1" applyAlignment="1">
      <alignment horizontal="right" vertical="center" wrapText="1"/>
    </xf>
    <xf numFmtId="0" fontId="1" fillId="0" borderId="0" xfId="0" applyFont="1" applyFill="1" applyAlignment="1">
      <alignment horizontal="center" vertical="center"/>
    </xf>
    <xf numFmtId="0" fontId="0" fillId="0" borderId="39" xfId="0" applyFont="1" applyFill="1" applyBorder="1" applyAlignment="1">
      <alignment horizontal="right" vertical="center" wrapText="1"/>
    </xf>
    <xf numFmtId="0" fontId="10" fillId="0" borderId="14" xfId="0" applyFont="1" applyFill="1" applyBorder="1" applyAlignment="1">
      <alignment horizontal="right" vertical="center" wrapText="1"/>
    </xf>
    <xf numFmtId="167" fontId="10" fillId="0" borderId="14" xfId="0" applyNumberFormat="1" applyFont="1" applyFill="1" applyBorder="1" applyAlignment="1">
      <alignment horizontal="right" vertical="center" wrapText="1"/>
    </xf>
    <xf numFmtId="0" fontId="10" fillId="0" borderId="15" xfId="0" applyFont="1" applyFill="1" applyBorder="1" applyAlignment="1">
      <alignment horizontal="right" vertical="center" wrapText="1"/>
    </xf>
    <xf numFmtId="0" fontId="10" fillId="0" borderId="0" xfId="0" applyFont="1" applyFill="1" applyAlignment="1">
      <alignment horizontal="center" vertical="center"/>
    </xf>
    <xf numFmtId="0" fontId="10" fillId="0" borderId="40" xfId="0" applyFont="1" applyFill="1" applyBorder="1" applyAlignment="1">
      <alignment horizontal="right" vertical="center" wrapText="1"/>
    </xf>
    <xf numFmtId="0" fontId="0" fillId="0" borderId="16" xfId="0" applyFont="1" applyFill="1" applyBorder="1" applyAlignment="1">
      <alignment wrapText="1"/>
    </xf>
    <xf numFmtId="167" fontId="0" fillId="0" borderId="14" xfId="0" applyNumberFormat="1" applyFont="1" applyFill="1" applyBorder="1"/>
    <xf numFmtId="3" fontId="0" fillId="0" borderId="14" xfId="0" applyNumberFormat="1" applyFont="1" applyFill="1" applyBorder="1" applyAlignment="1">
      <alignment horizontal="right"/>
    </xf>
    <xf numFmtId="3" fontId="0" fillId="0" borderId="40" xfId="0" applyNumberFormat="1" applyFont="1" applyFill="1" applyBorder="1"/>
    <xf numFmtId="0" fontId="0" fillId="3" borderId="36" xfId="0" applyFont="1" applyFill="1" applyBorder="1" applyAlignment="1">
      <alignment wrapText="1"/>
    </xf>
    <xf numFmtId="167" fontId="0" fillId="3" borderId="0" xfId="0" applyNumberFormat="1" applyFont="1" applyFill="1" applyBorder="1"/>
    <xf numFmtId="3" fontId="0" fillId="3" borderId="0" xfId="0" applyNumberFormat="1" applyFont="1" applyFill="1" applyBorder="1" applyAlignment="1">
      <alignment horizontal="right"/>
    </xf>
    <xf numFmtId="3" fontId="0" fillId="3" borderId="41" xfId="0" applyNumberFormat="1" applyFont="1" applyFill="1" applyBorder="1"/>
    <xf numFmtId="0" fontId="0" fillId="0" borderId="36" xfId="0" applyFont="1" applyFill="1" applyBorder="1" applyAlignment="1">
      <alignment wrapText="1"/>
    </xf>
    <xf numFmtId="167" fontId="0" fillId="0" borderId="0" xfId="0" applyNumberFormat="1" applyFont="1" applyFill="1" applyBorder="1"/>
    <xf numFmtId="3" fontId="0" fillId="0" borderId="0" xfId="0" applyNumberFormat="1" applyFont="1" applyFill="1" applyBorder="1" applyAlignment="1">
      <alignment horizontal="right"/>
    </xf>
    <xf numFmtId="3" fontId="0" fillId="0" borderId="41" xfId="0" applyNumberFormat="1" applyFont="1" applyFill="1" applyBorder="1"/>
    <xf numFmtId="167" fontId="0" fillId="3" borderId="19" xfId="0" applyNumberFormat="1" applyFont="1" applyFill="1" applyBorder="1"/>
    <xf numFmtId="3" fontId="0" fillId="3" borderId="19" xfId="0" applyNumberFormat="1" applyFont="1" applyFill="1" applyBorder="1" applyAlignment="1">
      <alignment horizontal="right"/>
    </xf>
    <xf numFmtId="164" fontId="0" fillId="3" borderId="21" xfId="0" applyNumberFormat="1" applyFont="1" applyFill="1" applyBorder="1"/>
    <xf numFmtId="3" fontId="0" fillId="3" borderId="42" xfId="0" applyNumberFormat="1" applyFont="1" applyFill="1" applyBorder="1"/>
    <xf numFmtId="3" fontId="1" fillId="0" borderId="12" xfId="0" applyNumberFormat="1" applyFont="1" applyFill="1" applyBorder="1" applyAlignment="1">
      <alignment horizontal="right" vertical="center"/>
    </xf>
    <xf numFmtId="0" fontId="1" fillId="0" borderId="13" xfId="0" applyFont="1" applyFill="1" applyBorder="1" applyAlignment="1">
      <alignment vertical="center"/>
    </xf>
    <xf numFmtId="3" fontId="1" fillId="0" borderId="39" xfId="0" applyNumberFormat="1" applyFont="1" applyFill="1" applyBorder="1"/>
    <xf numFmtId="0" fontId="2" fillId="0" borderId="0" xfId="0" applyFont="1" applyFill="1"/>
    <xf numFmtId="0" fontId="2" fillId="0" borderId="11" xfId="0" applyFont="1" applyFill="1" applyBorder="1"/>
    <xf numFmtId="164" fontId="2" fillId="0" borderId="12" xfId="0" applyNumberFormat="1" applyFont="1" applyFill="1" applyBorder="1"/>
    <xf numFmtId="0" fontId="2" fillId="0" borderId="12" xfId="0" applyFont="1" applyFill="1" applyBorder="1" applyAlignment="1">
      <alignment horizontal="center"/>
    </xf>
    <xf numFmtId="0" fontId="2" fillId="0" borderId="12" xfId="0" applyFont="1" applyFill="1" applyBorder="1"/>
    <xf numFmtId="164" fontId="2" fillId="0" borderId="13" xfId="0" applyNumberFormat="1" applyFont="1" applyFill="1" applyBorder="1"/>
    <xf numFmtId="164" fontId="1" fillId="0" borderId="0" xfId="0" applyNumberFormat="1" applyFont="1" applyFill="1" applyBorder="1"/>
    <xf numFmtId="0" fontId="1" fillId="0" borderId="0" xfId="0" applyFont="1" applyFill="1" applyBorder="1" applyAlignment="1">
      <alignment horizontal="center"/>
    </xf>
    <xf numFmtId="0" fontId="0" fillId="0" borderId="12" xfId="0" applyFont="1" applyFill="1" applyBorder="1"/>
    <xf numFmtId="1" fontId="1" fillId="0" borderId="11" xfId="0" applyNumberFormat="1" applyFont="1" applyFill="1" applyBorder="1" applyAlignment="1" applyProtection="1">
      <alignment horizontal="right"/>
      <protection locked="0"/>
    </xf>
    <xf numFmtId="1" fontId="1" fillId="0" borderId="12" xfId="0" applyNumberFormat="1" applyFont="1" applyFill="1" applyBorder="1" applyAlignment="1" applyProtection="1">
      <alignment horizontal="right"/>
      <protection locked="0"/>
    </xf>
    <xf numFmtId="1" fontId="1" fillId="0" borderId="13" xfId="0" applyNumberFormat="1" applyFont="1" applyFill="1" applyBorder="1" applyAlignment="1" applyProtection="1">
      <alignment horizontal="right"/>
      <protection locked="0"/>
    </xf>
    <xf numFmtId="0" fontId="0" fillId="0" borderId="11" xfId="0" applyFont="1" applyFill="1" applyBorder="1" applyAlignment="1">
      <alignment horizontal="right"/>
    </xf>
    <xf numFmtId="0" fontId="1" fillId="0" borderId="13" xfId="0" applyFont="1" applyFill="1" applyBorder="1" applyAlignment="1">
      <alignment horizontal="right"/>
    </xf>
    <xf numFmtId="0" fontId="0" fillId="0" borderId="11" xfId="0" applyFont="1" applyFill="1" applyBorder="1" applyAlignment="1">
      <alignment vertical="center"/>
    </xf>
    <xf numFmtId="0" fontId="10" fillId="0" borderId="4" xfId="0" applyFont="1" applyFill="1" applyBorder="1" applyAlignment="1">
      <alignment horizontal="right"/>
    </xf>
    <xf numFmtId="0" fontId="14" fillId="0" borderId="39" xfId="0" applyFont="1" applyFill="1" applyBorder="1" applyAlignment="1">
      <alignment horizontal="right"/>
    </xf>
    <xf numFmtId="3" fontId="6" fillId="0" borderId="11" xfId="0" applyNumberFormat="1" applyFont="1" applyFill="1" applyBorder="1" applyAlignment="1" applyProtection="1">
      <alignment horizontal="right"/>
      <protection locked="0"/>
    </xf>
    <xf numFmtId="3" fontId="6" fillId="0" borderId="12" xfId="0" applyNumberFormat="1" applyFont="1" applyFill="1" applyBorder="1" applyAlignment="1" applyProtection="1">
      <alignment horizontal="right"/>
      <protection locked="0"/>
    </xf>
    <xf numFmtId="3" fontId="6" fillId="0" borderId="13" xfId="0" applyNumberFormat="1" applyFont="1" applyFill="1" applyBorder="1" applyAlignment="1" applyProtection="1">
      <alignment horizontal="right"/>
      <protection locked="0"/>
    </xf>
    <xf numFmtId="0" fontId="0" fillId="0" borderId="16" xfId="0" applyFont="1" applyFill="1" applyBorder="1" applyAlignment="1">
      <alignment horizontal="right"/>
    </xf>
    <xf numFmtId="3" fontId="0" fillId="0" borderId="15" xfId="0" applyNumberFormat="1" applyFont="1" applyFill="1" applyBorder="1" applyAlignment="1">
      <alignment horizontal="right"/>
    </xf>
    <xf numFmtId="0" fontId="0" fillId="0" borderId="36" xfId="0" applyFont="1" applyFill="1" applyBorder="1" applyAlignment="1">
      <alignment horizontal="right"/>
    </xf>
    <xf numFmtId="3" fontId="0" fillId="0" borderId="17" xfId="0" applyNumberFormat="1" applyFont="1" applyFill="1" applyBorder="1" applyAlignment="1">
      <alignment horizontal="right"/>
    </xf>
    <xf numFmtId="3" fontId="0" fillId="0" borderId="11" xfId="0" applyNumberFormat="1" applyFont="1" applyFill="1" applyBorder="1" applyAlignment="1">
      <alignment horizontal="right"/>
    </xf>
    <xf numFmtId="3" fontId="0" fillId="0" borderId="12" xfId="0" applyNumberFormat="1" applyFont="1" applyFill="1" applyBorder="1" applyAlignment="1">
      <alignment horizontal="right"/>
    </xf>
    <xf numFmtId="3" fontId="0" fillId="0" borderId="13" xfId="0" applyNumberFormat="1" applyFont="1" applyFill="1" applyBorder="1" applyAlignment="1">
      <alignment horizontal="right"/>
    </xf>
    <xf numFmtId="0" fontId="0" fillId="0" borderId="31" xfId="0" applyFont="1" applyFill="1" applyBorder="1" applyAlignment="1">
      <alignment horizontal="right"/>
    </xf>
    <xf numFmtId="0" fontId="0" fillId="0" borderId="21" xfId="0" applyFont="1" applyFill="1" applyBorder="1" applyAlignment="1">
      <alignment horizontal="right"/>
    </xf>
    <xf numFmtId="0" fontId="0" fillId="3" borderId="11" xfId="0" applyFont="1" applyFill="1" applyBorder="1" applyAlignment="1">
      <alignment vertical="center"/>
    </xf>
    <xf numFmtId="0" fontId="0" fillId="3" borderId="12" xfId="0" applyFont="1" applyFill="1" applyBorder="1"/>
    <xf numFmtId="0" fontId="10" fillId="3" borderId="4" xfId="0" applyFont="1" applyFill="1" applyBorder="1" applyAlignment="1">
      <alignment horizontal="right"/>
    </xf>
    <xf numFmtId="0" fontId="14" fillId="3" borderId="39" xfId="0" applyFont="1" applyFill="1" applyBorder="1" applyAlignment="1">
      <alignment horizontal="right"/>
    </xf>
    <xf numFmtId="3" fontId="1" fillId="3" borderId="11" xfId="0" applyNumberFormat="1" applyFont="1" applyFill="1" applyBorder="1" applyAlignment="1">
      <alignment horizontal="right"/>
    </xf>
    <xf numFmtId="3" fontId="1" fillId="3" borderId="12" xfId="0" applyNumberFormat="1" applyFont="1" applyFill="1" applyBorder="1" applyAlignment="1">
      <alignment horizontal="right"/>
    </xf>
    <xf numFmtId="3" fontId="0" fillId="3" borderId="13" xfId="0" applyNumberFormat="1" applyFont="1" applyFill="1" applyBorder="1" applyAlignment="1">
      <alignment horizontal="right"/>
    </xf>
    <xf numFmtId="0" fontId="0" fillId="0" borderId="12" xfId="0" applyFont="1" applyFill="1" applyBorder="1" applyAlignment="1">
      <alignment horizontal="right"/>
    </xf>
    <xf numFmtId="0" fontId="0" fillId="3" borderId="11" xfId="0" applyFont="1" applyFill="1" applyBorder="1" applyAlignment="1">
      <alignment horizontal="right"/>
    </xf>
    <xf numFmtId="3" fontId="1" fillId="3" borderId="13" xfId="0" applyNumberFormat="1" applyFont="1" applyFill="1" applyBorder="1" applyAlignment="1">
      <alignment horizontal="right"/>
    </xf>
    <xf numFmtId="166" fontId="1" fillId="3" borderId="13" xfId="0" applyNumberFormat="1" applyFont="1" applyFill="1" applyBorder="1" applyAlignment="1">
      <alignment horizontal="right"/>
    </xf>
    <xf numFmtId="43" fontId="0" fillId="0" borderId="0" xfId="0" applyNumberFormat="1" applyFont="1" applyFill="1"/>
    <xf numFmtId="0" fontId="7" fillId="0" borderId="0" xfId="0" applyFont="1" applyFill="1" applyAlignment="1">
      <alignment horizontal="center"/>
    </xf>
    <xf numFmtId="0" fontId="19" fillId="0" borderId="0" xfId="0" applyFont="1" applyFill="1" applyAlignment="1">
      <alignment horizontal="center"/>
    </xf>
    <xf numFmtId="0" fontId="23" fillId="0" borderId="0" xfId="0" applyFont="1" applyFill="1" applyAlignment="1">
      <alignment horizontal="center" wrapText="1"/>
    </xf>
    <xf numFmtId="0" fontId="1" fillId="0" borderId="28" xfId="0" applyFont="1" applyFill="1" applyBorder="1" applyAlignment="1" applyProtection="1">
      <alignment horizontal="center" vertical="center" wrapText="1"/>
      <protection locked="0"/>
    </xf>
    <xf numFmtId="0" fontId="1" fillId="0" borderId="29" xfId="0" applyFont="1" applyFill="1" applyBorder="1" applyAlignment="1" applyProtection="1">
      <alignment horizontal="center" vertical="center" wrapText="1"/>
      <protection locked="0"/>
    </xf>
    <xf numFmtId="0" fontId="1" fillId="0" borderId="30" xfId="0" applyFont="1" applyFill="1" applyBorder="1" applyAlignment="1" applyProtection="1">
      <alignment horizontal="center" vertical="center" wrapText="1"/>
      <protection locked="0"/>
    </xf>
    <xf numFmtId="0" fontId="1" fillId="0" borderId="25" xfId="0" applyFont="1" applyFill="1" applyBorder="1" applyAlignment="1">
      <alignment horizontal="right" vertical="center" wrapText="1"/>
    </xf>
    <xf numFmtId="0" fontId="1" fillId="0" borderId="38" xfId="0" applyFont="1" applyFill="1" applyBorder="1" applyAlignment="1">
      <alignment horizontal="right" vertical="center" wrapText="1"/>
    </xf>
    <xf numFmtId="0" fontId="1" fillId="0" borderId="28" xfId="0" applyFont="1" applyFill="1" applyBorder="1" applyAlignment="1">
      <alignment horizontal="center" vertical="center" wrapText="1"/>
    </xf>
    <xf numFmtId="0" fontId="1" fillId="0" borderId="29" xfId="0" applyFont="1" applyFill="1" applyBorder="1" applyAlignment="1">
      <alignment horizontal="center" vertical="center" wrapText="1"/>
    </xf>
    <xf numFmtId="0" fontId="1" fillId="0" borderId="37" xfId="0" applyFont="1" applyFill="1" applyBorder="1" applyAlignment="1">
      <alignment horizontal="center" vertical="center" wrapText="1"/>
    </xf>
    <xf numFmtId="0" fontId="1" fillId="0" borderId="28" xfId="0" applyFont="1" applyFill="1" applyBorder="1" applyAlignment="1">
      <alignment horizontal="center" vertical="center"/>
    </xf>
    <xf numFmtId="0" fontId="1" fillId="0" borderId="29" xfId="0" applyFont="1" applyFill="1" applyBorder="1" applyAlignment="1">
      <alignment horizontal="center" vertical="center"/>
    </xf>
    <xf numFmtId="0" fontId="1" fillId="0" borderId="30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left"/>
    </xf>
    <xf numFmtId="0" fontId="1" fillId="3" borderId="13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 applyProtection="1">
      <alignment horizontal="left" vertical="top" wrapText="1"/>
      <protection locked="0"/>
    </xf>
  </cellXfs>
  <cellStyles count="1">
    <cellStyle name="Standard" xfId="0" builtinId="0"/>
  </cellStyles>
  <dxfs count="14">
    <dxf>
      <fill>
        <patternFill patternType="lightUp">
          <fgColor indexed="39"/>
          <bgColor indexed="1"/>
        </patternFill>
      </fill>
    </dxf>
    <dxf>
      <fill>
        <patternFill patternType="lightUp">
          <fgColor indexed="39"/>
          <bgColor indexed="1"/>
        </patternFill>
      </fill>
    </dxf>
    <dxf>
      <fill>
        <patternFill patternType="lightUp">
          <fgColor indexed="39"/>
          <bgColor indexed="1"/>
        </patternFill>
      </fill>
    </dxf>
    <dxf>
      <fill>
        <patternFill patternType="lightUp">
          <fgColor indexed="39"/>
          <bgColor indexed="1"/>
        </patternFill>
      </fill>
    </dxf>
    <dxf>
      <fill>
        <patternFill patternType="lightUp">
          <fgColor indexed="39"/>
          <bgColor indexed="1"/>
        </patternFill>
      </fill>
    </dxf>
    <dxf>
      <fill>
        <patternFill patternType="lightUp">
          <fgColor indexed="39"/>
          <bgColor indexed="1"/>
        </patternFill>
      </fill>
    </dxf>
    <dxf>
      <fill>
        <patternFill patternType="lightUp">
          <fgColor indexed="39"/>
          <bgColor indexed="1"/>
        </patternFill>
      </fill>
    </dxf>
    <dxf>
      <fill>
        <patternFill patternType="lightUp">
          <fgColor indexed="39"/>
          <bgColor indexed="1"/>
        </patternFill>
      </fill>
    </dxf>
    <dxf>
      <fill>
        <patternFill patternType="lightUp">
          <fgColor indexed="39"/>
          <bgColor indexed="1"/>
        </patternFill>
      </fill>
    </dxf>
    <dxf>
      <fill>
        <patternFill patternType="lightUp">
          <fgColor indexed="39"/>
          <bgColor indexed="1"/>
        </patternFill>
      </fill>
    </dxf>
    <dxf>
      <fill>
        <patternFill patternType="lightUp">
          <fgColor indexed="39"/>
          <bgColor indexed="1"/>
        </patternFill>
      </fill>
    </dxf>
    <dxf>
      <fill>
        <patternFill patternType="lightUp">
          <fgColor indexed="39"/>
          <bgColor indexed="1"/>
        </patternFill>
      </fill>
    </dxf>
    <dxf>
      <fill>
        <patternFill patternType="lightUp">
          <fgColor indexed="39"/>
          <bgColor indexed="1"/>
        </patternFill>
      </fill>
    </dxf>
    <dxf>
      <fill>
        <patternFill patternType="lightUp">
          <fgColor indexed="39"/>
          <bgColor indexed="1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302521</xdr:colOff>
      <xdr:row>6</xdr:row>
      <xdr:rowOff>0</xdr:rowOff>
    </xdr:from>
    <xdr:to>
      <xdr:col>2</xdr:col>
      <xdr:colOff>787793</xdr:colOff>
      <xdr:row>10</xdr:row>
      <xdr:rowOff>150539</xdr:rowOff>
    </xdr:to>
    <xdr:sp macro="" textlink="">
      <xdr:nvSpPr>
        <xdr:cNvPr id="2059" name="AutoShape 2"/>
        <xdr:cNvSpPr>
          <a:spLocks noChangeArrowheads="1"/>
        </xdr:cNvSpPr>
      </xdr:nvSpPr>
      <xdr:spPr bwMode="auto">
        <a:xfrm>
          <a:off x="2552700" y="1190625"/>
          <a:ext cx="485775" cy="800100"/>
        </a:xfrm>
        <a:prstGeom prst="downArrow">
          <a:avLst>
            <a:gd name="adj1" fmla="val 50000"/>
            <a:gd name="adj2" fmla="val 41176"/>
          </a:avLst>
        </a:prstGeom>
        <a:solidFill>
          <a:srgbClr val="3366FF"/>
        </a:solidFill>
        <a:ln w="9525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387222</xdr:colOff>
      <xdr:row>15</xdr:row>
      <xdr:rowOff>0</xdr:rowOff>
    </xdr:from>
    <xdr:to>
      <xdr:col>3</xdr:col>
      <xdr:colOff>873416</xdr:colOff>
      <xdr:row>21</xdr:row>
      <xdr:rowOff>150539</xdr:rowOff>
    </xdr:to>
    <xdr:sp macro="" textlink="">
      <xdr:nvSpPr>
        <xdr:cNvPr id="2060" name="AutoShape 3"/>
        <xdr:cNvSpPr>
          <a:spLocks noChangeArrowheads="1"/>
        </xdr:cNvSpPr>
      </xdr:nvSpPr>
      <xdr:spPr bwMode="auto">
        <a:xfrm>
          <a:off x="3695700" y="2647950"/>
          <a:ext cx="485775" cy="1123950"/>
        </a:xfrm>
        <a:prstGeom prst="downArrow">
          <a:avLst>
            <a:gd name="adj1" fmla="val 50000"/>
            <a:gd name="adj2" fmla="val 57843"/>
          </a:avLst>
        </a:prstGeom>
        <a:solidFill>
          <a:srgbClr val="3366FF"/>
        </a:solidFill>
        <a:ln w="9525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377325</xdr:colOff>
      <xdr:row>6</xdr:row>
      <xdr:rowOff>112588</xdr:rowOff>
    </xdr:from>
    <xdr:to>
      <xdr:col>3</xdr:col>
      <xdr:colOff>863519</xdr:colOff>
      <xdr:row>11</xdr:row>
      <xdr:rowOff>8222</xdr:rowOff>
    </xdr:to>
    <xdr:sp macro="" textlink="">
      <xdr:nvSpPr>
        <xdr:cNvPr id="2061" name="AutoShape 4"/>
        <xdr:cNvSpPr>
          <a:spLocks noChangeArrowheads="1"/>
        </xdr:cNvSpPr>
      </xdr:nvSpPr>
      <xdr:spPr bwMode="auto">
        <a:xfrm>
          <a:off x="3686175" y="1304925"/>
          <a:ext cx="485775" cy="704850"/>
        </a:xfrm>
        <a:prstGeom prst="downArrow">
          <a:avLst>
            <a:gd name="adj1" fmla="val 50000"/>
            <a:gd name="adj2" fmla="val 36275"/>
          </a:avLst>
        </a:prstGeom>
        <a:solidFill>
          <a:srgbClr val="3366FF"/>
        </a:solidFill>
        <a:ln w="9525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510936</xdr:colOff>
      <xdr:row>6</xdr:row>
      <xdr:rowOff>103100</xdr:rowOff>
    </xdr:from>
    <xdr:to>
      <xdr:col>6</xdr:col>
      <xdr:colOff>682897</xdr:colOff>
      <xdr:row>7</xdr:row>
      <xdr:rowOff>55661</xdr:rowOff>
    </xdr:to>
    <xdr:sp macro="" textlink="">
      <xdr:nvSpPr>
        <xdr:cNvPr id="2062" name="Rectangle 5"/>
        <xdr:cNvSpPr>
          <a:spLocks noChangeArrowheads="1"/>
        </xdr:cNvSpPr>
      </xdr:nvSpPr>
      <xdr:spPr bwMode="auto">
        <a:xfrm>
          <a:off x="3819525" y="1295400"/>
          <a:ext cx="3552825" cy="114300"/>
        </a:xfrm>
        <a:prstGeom prst="rect">
          <a:avLst/>
        </a:prstGeom>
        <a:solidFill>
          <a:srgbClr val="3366FF"/>
        </a:solidFill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454911</xdr:colOff>
      <xdr:row>6</xdr:row>
      <xdr:rowOff>0</xdr:rowOff>
    </xdr:from>
    <xdr:to>
      <xdr:col>6</xdr:col>
      <xdr:colOff>682897</xdr:colOff>
      <xdr:row>6</xdr:row>
      <xdr:rowOff>112588</xdr:rowOff>
    </xdr:to>
    <xdr:sp macro="" textlink="">
      <xdr:nvSpPr>
        <xdr:cNvPr id="2063" name="Rectangle 6"/>
        <xdr:cNvSpPr>
          <a:spLocks noChangeArrowheads="1"/>
        </xdr:cNvSpPr>
      </xdr:nvSpPr>
      <xdr:spPr bwMode="auto">
        <a:xfrm>
          <a:off x="7143750" y="1190625"/>
          <a:ext cx="228600" cy="114300"/>
        </a:xfrm>
        <a:prstGeom prst="rect">
          <a:avLst/>
        </a:prstGeom>
        <a:solidFill>
          <a:srgbClr val="3366FF"/>
        </a:solidFill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303553</xdr:colOff>
      <xdr:row>6</xdr:row>
      <xdr:rowOff>0</xdr:rowOff>
    </xdr:from>
    <xdr:to>
      <xdr:col>2</xdr:col>
      <xdr:colOff>788826</xdr:colOff>
      <xdr:row>10</xdr:row>
      <xdr:rowOff>151172</xdr:rowOff>
    </xdr:to>
    <xdr:sp macro="" textlink="">
      <xdr:nvSpPr>
        <xdr:cNvPr id="7" name="AutoShape 2"/>
        <xdr:cNvSpPr>
          <a:spLocks noChangeArrowheads="1"/>
        </xdr:cNvSpPr>
      </xdr:nvSpPr>
      <xdr:spPr bwMode="auto">
        <a:xfrm>
          <a:off x="2552486" y="1190625"/>
          <a:ext cx="485272" cy="799504"/>
        </a:xfrm>
        <a:prstGeom prst="downArrow">
          <a:avLst>
            <a:gd name="adj1" fmla="val 50000"/>
            <a:gd name="adj2" fmla="val 41176"/>
          </a:avLst>
        </a:prstGeom>
        <a:solidFill>
          <a:srgbClr val="3366FF"/>
        </a:solidFill>
        <a:ln w="9525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388460</xdr:colOff>
      <xdr:row>15</xdr:row>
      <xdr:rowOff>0</xdr:rowOff>
    </xdr:from>
    <xdr:to>
      <xdr:col>3</xdr:col>
      <xdr:colOff>874653</xdr:colOff>
      <xdr:row>21</xdr:row>
      <xdr:rowOff>151172</xdr:rowOff>
    </xdr:to>
    <xdr:sp macro="" textlink="">
      <xdr:nvSpPr>
        <xdr:cNvPr id="8" name="AutoShape 3"/>
        <xdr:cNvSpPr>
          <a:spLocks noChangeArrowheads="1"/>
        </xdr:cNvSpPr>
      </xdr:nvSpPr>
      <xdr:spPr bwMode="auto">
        <a:xfrm>
          <a:off x="3694872" y="2647950"/>
          <a:ext cx="486193" cy="1123354"/>
        </a:xfrm>
        <a:prstGeom prst="downArrow">
          <a:avLst>
            <a:gd name="adj1" fmla="val 50000"/>
            <a:gd name="adj2" fmla="val 57843"/>
          </a:avLst>
        </a:prstGeom>
        <a:solidFill>
          <a:srgbClr val="3366FF"/>
        </a:solidFill>
        <a:ln w="9525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378562</xdr:colOff>
      <xdr:row>6</xdr:row>
      <xdr:rowOff>113220</xdr:rowOff>
    </xdr:from>
    <xdr:to>
      <xdr:col>3</xdr:col>
      <xdr:colOff>864756</xdr:colOff>
      <xdr:row>11</xdr:row>
      <xdr:rowOff>8855</xdr:rowOff>
    </xdr:to>
    <xdr:sp macro="" textlink="">
      <xdr:nvSpPr>
        <xdr:cNvPr id="9" name="AutoShape 4"/>
        <xdr:cNvSpPr>
          <a:spLocks noChangeArrowheads="1"/>
        </xdr:cNvSpPr>
      </xdr:nvSpPr>
      <xdr:spPr bwMode="auto">
        <a:xfrm>
          <a:off x="3684975" y="1304478"/>
          <a:ext cx="486193" cy="705259"/>
        </a:xfrm>
        <a:prstGeom prst="downArrow">
          <a:avLst>
            <a:gd name="adj1" fmla="val 50000"/>
            <a:gd name="adj2" fmla="val 36275"/>
          </a:avLst>
        </a:prstGeom>
        <a:solidFill>
          <a:srgbClr val="3366FF"/>
        </a:solidFill>
        <a:ln w="9525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512173</xdr:colOff>
      <xdr:row>6</xdr:row>
      <xdr:rowOff>103733</xdr:rowOff>
    </xdr:from>
    <xdr:to>
      <xdr:col>6</xdr:col>
      <xdr:colOff>683958</xdr:colOff>
      <xdr:row>7</xdr:row>
      <xdr:rowOff>56294</xdr:rowOff>
    </xdr:to>
    <xdr:sp macro="" textlink="">
      <xdr:nvSpPr>
        <xdr:cNvPr id="10" name="Rectangle 5"/>
        <xdr:cNvSpPr>
          <a:spLocks noChangeArrowheads="1"/>
        </xdr:cNvSpPr>
      </xdr:nvSpPr>
      <xdr:spPr bwMode="auto">
        <a:xfrm>
          <a:off x="3818585" y="1294990"/>
          <a:ext cx="3552983" cy="114486"/>
        </a:xfrm>
        <a:prstGeom prst="rect">
          <a:avLst/>
        </a:prstGeom>
        <a:solidFill>
          <a:srgbClr val="3366FF"/>
        </a:solidFill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dows\system32\inetsrv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nfo"/>
      <sheetName val="Gross_wages"/>
      <sheetName val="Gamma"/>
      <sheetName val="Calculation_SITS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E30"/>
  <sheetViews>
    <sheetView showGridLines="0" tabSelected="1" workbookViewId="0">
      <selection activeCell="A5" sqref="A5:E5"/>
    </sheetView>
  </sheetViews>
  <sheetFormatPr baseColWidth="10" defaultColWidth="11.42578125" defaultRowHeight="12.75"/>
  <cols>
    <col min="1" max="1" width="21.42578125" style="2" customWidth="1"/>
    <col min="2" max="2" width="11.5703125" style="2" customWidth="1"/>
    <col min="3" max="3" width="22.85546875" style="2" customWidth="1"/>
    <col min="4" max="4" width="12.85546875" style="2" customWidth="1"/>
    <col min="5" max="5" width="10.140625" style="2" customWidth="1"/>
    <col min="6" max="6" width="11.42578125" style="2" customWidth="1"/>
    <col min="7" max="16384" width="11.42578125" style="2"/>
  </cols>
  <sheetData>
    <row r="1" spans="1:5" ht="27.75" customHeight="1">
      <c r="A1" s="299" t="s">
        <v>0</v>
      </c>
      <c r="B1" s="299"/>
      <c r="C1" s="299"/>
      <c r="D1" s="299"/>
      <c r="E1" s="299"/>
    </row>
    <row r="2" spans="1:5" ht="24.75" customHeight="1">
      <c r="A2" s="298"/>
      <c r="B2" s="298"/>
      <c r="C2" s="298"/>
      <c r="D2" s="298"/>
      <c r="E2" s="298"/>
    </row>
    <row r="5" spans="1:5" ht="18" customHeight="1">
      <c r="A5" s="297" t="str">
        <f>"Reference year "&amp;C30</f>
        <v>Reference year 2011</v>
      </c>
      <c r="B5" s="297"/>
      <c r="C5" s="297"/>
      <c r="D5" s="297"/>
      <c r="E5" s="297"/>
    </row>
    <row r="11" spans="1:5">
      <c r="A11" s="3" t="s">
        <v>1</v>
      </c>
      <c r="B11" s="3" t="s">
        <v>2</v>
      </c>
      <c r="C11" s="4"/>
      <c r="D11" s="4"/>
      <c r="E11" s="5"/>
    </row>
    <row r="12" spans="1:5">
      <c r="A12" s="6" t="s">
        <v>3</v>
      </c>
      <c r="B12" s="6" t="s">
        <v>4</v>
      </c>
      <c r="C12" s="7"/>
      <c r="D12" s="7"/>
      <c r="E12" s="8"/>
    </row>
    <row r="13" spans="1:5">
      <c r="A13" s="6" t="s">
        <v>5</v>
      </c>
      <c r="B13" s="6" t="s">
        <v>6</v>
      </c>
      <c r="C13" s="7"/>
      <c r="D13" s="7"/>
      <c r="E13" s="8"/>
    </row>
    <row r="14" spans="1:5">
      <c r="A14" s="6" t="s">
        <v>7</v>
      </c>
      <c r="B14" s="6" t="s">
        <v>8</v>
      </c>
      <c r="C14" s="7"/>
      <c r="D14" s="7"/>
      <c r="E14" s="8"/>
    </row>
    <row r="15" spans="1:5">
      <c r="A15" s="6" t="s">
        <v>9</v>
      </c>
      <c r="B15" s="6" t="s">
        <v>10</v>
      </c>
      <c r="C15" s="7"/>
      <c r="D15" s="7"/>
      <c r="E15" s="8"/>
    </row>
    <row r="16" spans="1:5">
      <c r="A16" s="6" t="s">
        <v>11</v>
      </c>
      <c r="B16" s="6" t="s">
        <v>12</v>
      </c>
      <c r="C16" s="7"/>
      <c r="D16" s="7"/>
      <c r="E16" s="8"/>
    </row>
    <row r="17" spans="1:5">
      <c r="A17" s="9" t="s">
        <v>13</v>
      </c>
      <c r="B17" s="7" t="s">
        <v>14</v>
      </c>
      <c r="C17" s="7"/>
      <c r="D17" s="7"/>
      <c r="E17" s="8"/>
    </row>
    <row r="18" spans="1:5">
      <c r="A18" s="9" t="s">
        <v>15</v>
      </c>
      <c r="B18" s="7" t="s">
        <v>16</v>
      </c>
      <c r="C18" s="7"/>
      <c r="D18" s="7"/>
      <c r="E18" s="8"/>
    </row>
    <row r="25" spans="1:5">
      <c r="B25" s="10" t="s">
        <v>17</v>
      </c>
      <c r="C25" s="11"/>
    </row>
    <row r="26" spans="1:5">
      <c r="B26" s="12" t="s">
        <v>18</v>
      </c>
      <c r="C26" s="13" t="s">
        <v>19</v>
      </c>
    </row>
    <row r="27" spans="1:5">
      <c r="B27" s="12" t="s">
        <v>20</v>
      </c>
      <c r="C27" s="14" t="s">
        <v>21</v>
      </c>
    </row>
    <row r="28" spans="1:5">
      <c r="B28" s="12" t="s">
        <v>22</v>
      </c>
      <c r="C28" s="14" t="s">
        <v>23</v>
      </c>
    </row>
    <row r="29" spans="1:5">
      <c r="B29" s="12" t="s">
        <v>24</v>
      </c>
      <c r="C29" s="14" t="s">
        <v>25</v>
      </c>
    </row>
    <row r="30" spans="1:5">
      <c r="B30" s="15" t="s">
        <v>26</v>
      </c>
      <c r="C30" s="16">
        <v>2011</v>
      </c>
    </row>
  </sheetData>
  <mergeCells count="3">
    <mergeCell ref="A5:E5"/>
    <mergeCell ref="A2:E2"/>
    <mergeCell ref="A1:E1"/>
  </mergeCells>
  <conditionalFormatting sqref="C26:C30">
    <cfRule type="expression" dxfId="13" priority="1" stopIfTrue="1">
      <formula>ISBLANK(C26)</formula>
    </cfRule>
  </conditionalFormatting>
  <printOptions verticalCentered="1"/>
  <pageMargins left="1.1417322834645669" right="0.78740157480314965" top="1.8897637795275593" bottom="0.39370078740157483" header="0.47244094488188981" footer="0.19685039370078741"/>
  <pageSetup paperSize="9" r:id="rId1"/>
  <headerFooter>
    <oddHeader>&amp;L&amp;G</oddHeader>
    <oddFooter>&amp;CPage &amp;P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I33"/>
  <sheetViews>
    <sheetView showGridLines="0" workbookViewId="0"/>
  </sheetViews>
  <sheetFormatPr baseColWidth="10" defaultColWidth="9.140625" defaultRowHeight="12.75"/>
  <cols>
    <col min="1" max="1" width="1.42578125" style="2" customWidth="1"/>
    <col min="2" max="5" width="16.42578125" style="2" customWidth="1"/>
    <col min="6" max="9" width="17.5703125" style="2" customWidth="1"/>
  </cols>
  <sheetData>
    <row r="1" spans="1:9" ht="39.75" customHeight="1">
      <c r="B1" s="17" t="str">
        <f>"Resource potential and Resource index "&amp;Info!C30</f>
        <v>Resource potential and Resource index 2011</v>
      </c>
      <c r="C1" s="17"/>
      <c r="D1" s="17"/>
      <c r="E1" s="18"/>
      <c r="F1" s="18"/>
      <c r="G1" s="18"/>
      <c r="H1" s="18"/>
      <c r="I1" s="19" t="str">
        <f>Info!$C$28</f>
        <v>FA_2011_20120427</v>
      </c>
    </row>
    <row r="2" spans="1:9" s="2" customFormat="1">
      <c r="A2" s="20"/>
      <c r="B2" s="21" t="s">
        <v>27</v>
      </c>
      <c r="C2" s="22" t="s">
        <v>28</v>
      </c>
      <c r="D2" s="22" t="s">
        <v>29</v>
      </c>
      <c r="E2" s="22" t="s">
        <v>30</v>
      </c>
      <c r="F2" s="22" t="s">
        <v>31</v>
      </c>
      <c r="G2" s="22" t="s">
        <v>32</v>
      </c>
      <c r="H2" s="22" t="s">
        <v>33</v>
      </c>
      <c r="I2" s="23" t="s">
        <v>34</v>
      </c>
    </row>
    <row r="3" spans="1:9" s="24" customFormat="1" ht="11.25" customHeight="1">
      <c r="A3" s="25"/>
      <c r="B3" s="26" t="s">
        <v>35</v>
      </c>
      <c r="C3" s="27"/>
      <c r="D3" s="27"/>
      <c r="E3" s="27"/>
      <c r="F3" s="28" t="s">
        <v>36</v>
      </c>
      <c r="G3" s="29"/>
      <c r="H3" s="28" t="s">
        <v>37</v>
      </c>
      <c r="I3" s="30" t="s">
        <v>38</v>
      </c>
    </row>
    <row r="4" spans="1:9" ht="38.25" customHeight="1">
      <c r="A4" s="31"/>
      <c r="B4" s="32"/>
      <c r="C4" s="33" t="str">
        <f>"ATB "&amp;Info!$C$30-6</f>
        <v>ATB 2005</v>
      </c>
      <c r="D4" s="33" t="str">
        <f>"ATB "&amp;Info!$C$30-5</f>
        <v>ATB 2006</v>
      </c>
      <c r="E4" s="33" t="str">
        <f>"ATB "&amp;Info!$C$30-4</f>
        <v>ATB 2007</v>
      </c>
      <c r="F4" s="33" t="s">
        <v>39</v>
      </c>
      <c r="G4" s="33" t="s">
        <v>40</v>
      </c>
      <c r="H4" s="33" t="s">
        <v>41</v>
      </c>
      <c r="I4" s="34" t="s">
        <v>42</v>
      </c>
    </row>
    <row r="5" spans="1:9" s="35" customFormat="1" ht="11.25" customHeight="1">
      <c r="A5" s="36"/>
      <c r="B5" s="37" t="s">
        <v>43</v>
      </c>
      <c r="C5" s="38" t="str">
        <f>"ATB_"&amp;Info!$C$30&amp;"_"&amp;Info!$C$30-6</f>
        <v>ATB_2011_2005</v>
      </c>
      <c r="D5" s="38" t="str">
        <f>"ATB_"&amp;Info!$C$30&amp;"_"&amp;Info!$C$30-5</f>
        <v>ATB_2011_2006</v>
      </c>
      <c r="E5" s="38" t="str">
        <f>"ATB_"&amp;Info!$C$30&amp;"_"&amp;Info!$C$30-4</f>
        <v>ATB_2011_2007</v>
      </c>
      <c r="F5" s="39"/>
      <c r="G5" s="39"/>
      <c r="H5" s="39"/>
      <c r="I5" s="40"/>
    </row>
    <row r="6" spans="1:9" s="35" customFormat="1" ht="11.25" customHeight="1">
      <c r="A6" s="36"/>
      <c r="B6" s="41" t="s">
        <v>44</v>
      </c>
      <c r="C6" s="42" t="s">
        <v>45</v>
      </c>
      <c r="D6" s="42" t="s">
        <v>45</v>
      </c>
      <c r="E6" s="42" t="s">
        <v>45</v>
      </c>
      <c r="F6" s="42" t="s">
        <v>45</v>
      </c>
      <c r="G6" s="42" t="s">
        <v>46</v>
      </c>
      <c r="H6" s="42" t="s">
        <v>47</v>
      </c>
      <c r="I6" s="43"/>
    </row>
    <row r="7" spans="1:9">
      <c r="A7" s="31"/>
      <c r="B7" s="44" t="s">
        <v>48</v>
      </c>
      <c r="C7" s="45">
        <v>52754935.339648403</v>
      </c>
      <c r="D7" s="45">
        <v>49948611.807846501</v>
      </c>
      <c r="E7" s="45">
        <v>51718899.285873003</v>
      </c>
      <c r="F7" s="46">
        <f t="shared" ref="F7:F32" si="0">AVERAGE(C7:E7)</f>
        <v>51474148.811122634</v>
      </c>
      <c r="G7" s="47">
        <f>Population!F7</f>
        <v>1307308.6666666667</v>
      </c>
      <c r="H7" s="47">
        <f t="shared" ref="H7:H33" si="1">F7/G7*1000</f>
        <v>39374.135675524696</v>
      </c>
      <c r="I7" s="48">
        <f t="shared" ref="I7:I33" si="2">ROUND(H7/H$33*100,1)</f>
        <v>127.8</v>
      </c>
    </row>
    <row r="8" spans="1:9">
      <c r="A8" s="31"/>
      <c r="B8" s="49" t="s">
        <v>49</v>
      </c>
      <c r="C8" s="50">
        <v>21707071.7996087</v>
      </c>
      <c r="D8" s="50">
        <v>21873775.257619999</v>
      </c>
      <c r="E8" s="50">
        <v>23350957.573835202</v>
      </c>
      <c r="F8" s="51">
        <f t="shared" si="0"/>
        <v>22310601.543687966</v>
      </c>
      <c r="G8" s="52">
        <f>Population!F8</f>
        <v>966769</v>
      </c>
      <c r="H8" s="52">
        <f t="shared" si="1"/>
        <v>23077.489600605695</v>
      </c>
      <c r="I8" s="53">
        <f t="shared" si="2"/>
        <v>74.900000000000006</v>
      </c>
    </row>
    <row r="9" spans="1:9">
      <c r="A9" s="31"/>
      <c r="B9" s="32" t="s">
        <v>50</v>
      </c>
      <c r="C9" s="54">
        <v>7911382.3787111798</v>
      </c>
      <c r="D9" s="54">
        <v>8069023.7555531003</v>
      </c>
      <c r="E9" s="54">
        <v>8570758.8065276295</v>
      </c>
      <c r="F9" s="55">
        <f t="shared" si="0"/>
        <v>8183721.6469306359</v>
      </c>
      <c r="G9" s="56">
        <f>Population!F9</f>
        <v>358649</v>
      </c>
      <c r="H9" s="56">
        <f t="shared" si="1"/>
        <v>22818.19173322841</v>
      </c>
      <c r="I9" s="57">
        <f t="shared" si="2"/>
        <v>74.099999999999994</v>
      </c>
    </row>
    <row r="10" spans="1:9">
      <c r="A10" s="31"/>
      <c r="B10" s="49" t="s">
        <v>51</v>
      </c>
      <c r="C10" s="50">
        <v>594416.39418495598</v>
      </c>
      <c r="D10" s="50">
        <v>582944.13053274504</v>
      </c>
      <c r="E10" s="50">
        <v>650669.70297400304</v>
      </c>
      <c r="F10" s="51">
        <f t="shared" si="0"/>
        <v>609343.4092305681</v>
      </c>
      <c r="G10" s="52">
        <f>Population!F10</f>
        <v>34558</v>
      </c>
      <c r="H10" s="52">
        <f t="shared" si="1"/>
        <v>17632.484785883677</v>
      </c>
      <c r="I10" s="53">
        <f t="shared" si="2"/>
        <v>57.2</v>
      </c>
    </row>
    <row r="11" spans="1:9">
      <c r="A11" s="31"/>
      <c r="B11" s="32" t="s">
        <v>52</v>
      </c>
      <c r="C11" s="54">
        <v>5044355.9307979802</v>
      </c>
      <c r="D11" s="54">
        <v>5805035.5335152401</v>
      </c>
      <c r="E11" s="54">
        <v>7049726.8496321803</v>
      </c>
      <c r="F11" s="55">
        <f t="shared" si="0"/>
        <v>5966372.7713151341</v>
      </c>
      <c r="G11" s="56">
        <f>Population!F11</f>
        <v>138181</v>
      </c>
      <c r="H11" s="56">
        <f t="shared" si="1"/>
        <v>43177.953346083283</v>
      </c>
      <c r="I11" s="57">
        <f t="shared" si="2"/>
        <v>140.1</v>
      </c>
    </row>
    <row r="12" spans="1:9">
      <c r="A12" s="31"/>
      <c r="B12" s="49" t="s">
        <v>53</v>
      </c>
      <c r="C12" s="50">
        <v>620073.55329667905</v>
      </c>
      <c r="D12" s="50">
        <v>807445.25822564506</v>
      </c>
      <c r="E12" s="50">
        <v>858495.26246897597</v>
      </c>
      <c r="F12" s="51">
        <f t="shared" si="0"/>
        <v>762004.69133043336</v>
      </c>
      <c r="G12" s="52">
        <f>Population!F12</f>
        <v>33422.666666666664</v>
      </c>
      <c r="H12" s="52">
        <f t="shared" si="1"/>
        <v>22799.039314550009</v>
      </c>
      <c r="I12" s="53">
        <f t="shared" si="2"/>
        <v>74</v>
      </c>
    </row>
    <row r="13" spans="1:9">
      <c r="A13" s="31"/>
      <c r="B13" s="32" t="s">
        <v>54</v>
      </c>
      <c r="C13" s="54">
        <v>1508964.39254866</v>
      </c>
      <c r="D13" s="54">
        <v>1429251.3656027301</v>
      </c>
      <c r="E13" s="54">
        <v>1590152.2997357</v>
      </c>
      <c r="F13" s="55">
        <f t="shared" si="0"/>
        <v>1509456.0192956969</v>
      </c>
      <c r="G13" s="56">
        <f>Population!F13</f>
        <v>39344.666666666664</v>
      </c>
      <c r="H13" s="56">
        <f t="shared" si="1"/>
        <v>38364.946184040957</v>
      </c>
      <c r="I13" s="57">
        <f t="shared" si="2"/>
        <v>124.5</v>
      </c>
    </row>
    <row r="14" spans="1:9">
      <c r="A14" s="31"/>
      <c r="B14" s="49" t="s">
        <v>55</v>
      </c>
      <c r="C14" s="50">
        <v>755575.07399954204</v>
      </c>
      <c r="D14" s="50">
        <v>752294.21681161399</v>
      </c>
      <c r="E14" s="50">
        <v>791263.83426399296</v>
      </c>
      <c r="F14" s="51">
        <f t="shared" si="0"/>
        <v>766377.70835838292</v>
      </c>
      <c r="G14" s="52">
        <f>Population!F14</f>
        <v>38044.333333333336</v>
      </c>
      <c r="H14" s="52">
        <f t="shared" si="1"/>
        <v>20144.332708989939</v>
      </c>
      <c r="I14" s="53">
        <f t="shared" si="2"/>
        <v>65.400000000000006</v>
      </c>
    </row>
    <row r="15" spans="1:9">
      <c r="A15" s="31"/>
      <c r="B15" s="32" t="s">
        <v>56</v>
      </c>
      <c r="C15" s="54">
        <v>7459180.1606695401</v>
      </c>
      <c r="D15" s="54">
        <v>8081763.7640605802</v>
      </c>
      <c r="E15" s="54">
        <v>8916498.0286023803</v>
      </c>
      <c r="F15" s="55">
        <f t="shared" si="0"/>
        <v>8152480.6511108326</v>
      </c>
      <c r="G15" s="56">
        <f>Population!F15</f>
        <v>107509.33333333333</v>
      </c>
      <c r="H15" s="56">
        <f t="shared" si="1"/>
        <v>75830.445584050074</v>
      </c>
      <c r="I15" s="57">
        <f t="shared" si="2"/>
        <v>246.1</v>
      </c>
    </row>
    <row r="16" spans="1:9">
      <c r="A16" s="31"/>
      <c r="B16" s="49" t="s">
        <v>57</v>
      </c>
      <c r="C16" s="50">
        <v>5247383.2889000401</v>
      </c>
      <c r="D16" s="50">
        <v>5397769.9334566202</v>
      </c>
      <c r="E16" s="50">
        <v>5706625.4026581002</v>
      </c>
      <c r="F16" s="51">
        <f t="shared" si="0"/>
        <v>5450592.8750049202</v>
      </c>
      <c r="G16" s="52">
        <f>Population!F16</f>
        <v>259796</v>
      </c>
      <c r="H16" s="52">
        <f t="shared" si="1"/>
        <v>20980.280200637884</v>
      </c>
      <c r="I16" s="53">
        <f t="shared" si="2"/>
        <v>68.099999999999994</v>
      </c>
    </row>
    <row r="17" spans="1:9">
      <c r="A17" s="31"/>
      <c r="B17" s="32" t="s">
        <v>58</v>
      </c>
      <c r="C17" s="54">
        <v>5507228.6094834302</v>
      </c>
      <c r="D17" s="54">
        <v>5875332.6178177604</v>
      </c>
      <c r="E17" s="54">
        <v>6134861.3968105596</v>
      </c>
      <c r="F17" s="55">
        <f t="shared" si="0"/>
        <v>5839140.8747039167</v>
      </c>
      <c r="G17" s="56">
        <f>Population!F17</f>
        <v>247806.33333333334</v>
      </c>
      <c r="H17" s="56">
        <f t="shared" si="1"/>
        <v>23563.323810814294</v>
      </c>
      <c r="I17" s="57">
        <f t="shared" si="2"/>
        <v>76.5</v>
      </c>
    </row>
    <row r="18" spans="1:9">
      <c r="A18" s="31"/>
      <c r="B18" s="49" t="s">
        <v>59</v>
      </c>
      <c r="C18" s="50">
        <v>7697418.6542890398</v>
      </c>
      <c r="D18" s="50">
        <v>8122358.9450997701</v>
      </c>
      <c r="E18" s="50">
        <v>9616004.5322448909</v>
      </c>
      <c r="F18" s="51">
        <f t="shared" si="0"/>
        <v>8478594.0438778996</v>
      </c>
      <c r="G18" s="52">
        <f>Population!F18</f>
        <v>190212.33333333334</v>
      </c>
      <c r="H18" s="52">
        <f t="shared" si="1"/>
        <v>44574.365369987747</v>
      </c>
      <c r="I18" s="53">
        <f t="shared" si="2"/>
        <v>144.69999999999999</v>
      </c>
    </row>
    <row r="19" spans="1:9">
      <c r="A19" s="31"/>
      <c r="B19" s="32" t="s">
        <v>60</v>
      </c>
      <c r="C19" s="54">
        <v>7752073.57287875</v>
      </c>
      <c r="D19" s="54">
        <v>8040965.6298730001</v>
      </c>
      <c r="E19" s="54">
        <v>8347524.6372901797</v>
      </c>
      <c r="F19" s="55">
        <f t="shared" si="0"/>
        <v>8046854.6133473096</v>
      </c>
      <c r="G19" s="56">
        <f>Population!F19</f>
        <v>265913.33333333331</v>
      </c>
      <c r="H19" s="56">
        <f t="shared" si="1"/>
        <v>30261.192669343309</v>
      </c>
      <c r="I19" s="57">
        <f t="shared" si="2"/>
        <v>98.2</v>
      </c>
    </row>
    <row r="20" spans="1:9">
      <c r="A20" s="31"/>
      <c r="B20" s="49" t="s">
        <v>61</v>
      </c>
      <c r="C20" s="50">
        <v>2080379.7085649299</v>
      </c>
      <c r="D20" s="50">
        <v>2136357.59786525</v>
      </c>
      <c r="E20" s="50">
        <v>2376398.9289682098</v>
      </c>
      <c r="F20" s="51">
        <f t="shared" si="0"/>
        <v>2197712.07846613</v>
      </c>
      <c r="G20" s="52">
        <f>Population!F20</f>
        <v>74349.666666666672</v>
      </c>
      <c r="H20" s="52">
        <f t="shared" si="1"/>
        <v>29559.138285302284</v>
      </c>
      <c r="I20" s="53">
        <f t="shared" si="2"/>
        <v>95.9</v>
      </c>
    </row>
    <row r="21" spans="1:9">
      <c r="A21" s="31"/>
      <c r="B21" s="32" t="s">
        <v>62</v>
      </c>
      <c r="C21" s="54">
        <v>1123740.81483712</v>
      </c>
      <c r="D21" s="54">
        <v>1195154.9666925699</v>
      </c>
      <c r="E21" s="54">
        <v>1264693.0835903501</v>
      </c>
      <c r="F21" s="55">
        <f t="shared" si="0"/>
        <v>1194529.6217066802</v>
      </c>
      <c r="G21" s="56">
        <f>Population!F21</f>
        <v>52345</v>
      </c>
      <c r="H21" s="56">
        <f t="shared" si="1"/>
        <v>22820.319451842202</v>
      </c>
      <c r="I21" s="57">
        <f t="shared" si="2"/>
        <v>74.099999999999994</v>
      </c>
    </row>
    <row r="22" spans="1:9">
      <c r="A22" s="31"/>
      <c r="B22" s="49" t="s">
        <v>63</v>
      </c>
      <c r="C22" s="50">
        <v>367011.17154384498</v>
      </c>
      <c r="D22" s="50">
        <v>353273.22189545399</v>
      </c>
      <c r="E22" s="50">
        <v>399358.45585791703</v>
      </c>
      <c r="F22" s="51">
        <f t="shared" si="0"/>
        <v>373214.283099072</v>
      </c>
      <c r="G22" s="52">
        <f>Population!F22</f>
        <v>15051.666666666666</v>
      </c>
      <c r="H22" s="52">
        <f t="shared" si="1"/>
        <v>24795.545328251934</v>
      </c>
      <c r="I22" s="53">
        <f t="shared" si="2"/>
        <v>80.5</v>
      </c>
    </row>
    <row r="23" spans="1:9">
      <c r="A23" s="31"/>
      <c r="B23" s="32" t="s">
        <v>64</v>
      </c>
      <c r="C23" s="54">
        <v>10059027.881216601</v>
      </c>
      <c r="D23" s="54">
        <v>10070815.1644041</v>
      </c>
      <c r="E23" s="54">
        <v>11392891.787410799</v>
      </c>
      <c r="F23" s="55">
        <f t="shared" si="0"/>
        <v>10507578.277677167</v>
      </c>
      <c r="G23" s="56">
        <f>Population!F23</f>
        <v>463263</v>
      </c>
      <c r="H23" s="56">
        <f t="shared" si="1"/>
        <v>22681.669543385007</v>
      </c>
      <c r="I23" s="57">
        <f t="shared" si="2"/>
        <v>73.599999999999994</v>
      </c>
    </row>
    <row r="24" spans="1:9">
      <c r="A24" s="31"/>
      <c r="B24" s="49" t="s">
        <v>65</v>
      </c>
      <c r="C24" s="50">
        <v>4460397.0256145401</v>
      </c>
      <c r="D24" s="50">
        <v>4470510.6886202795</v>
      </c>
      <c r="E24" s="50">
        <v>4676985.6023360696</v>
      </c>
      <c r="F24" s="51">
        <f t="shared" si="0"/>
        <v>4535964.4388569631</v>
      </c>
      <c r="G24" s="52">
        <f>Population!F24</f>
        <v>191538.66666666666</v>
      </c>
      <c r="H24" s="52">
        <f t="shared" si="1"/>
        <v>23681.716688311655</v>
      </c>
      <c r="I24" s="53">
        <f t="shared" si="2"/>
        <v>76.900000000000006</v>
      </c>
    </row>
    <row r="25" spans="1:9">
      <c r="A25" s="31"/>
      <c r="B25" s="32" t="s">
        <v>66</v>
      </c>
      <c r="C25" s="54">
        <v>14231628.569227999</v>
      </c>
      <c r="D25" s="54">
        <v>14644210.4174044</v>
      </c>
      <c r="E25" s="54">
        <v>15845368.637591301</v>
      </c>
      <c r="F25" s="55">
        <f t="shared" si="0"/>
        <v>14907069.208074568</v>
      </c>
      <c r="G25" s="56">
        <f>Population!F25</f>
        <v>572912.33333333337</v>
      </c>
      <c r="H25" s="56">
        <f t="shared" si="1"/>
        <v>26019.808513009088</v>
      </c>
      <c r="I25" s="57">
        <f t="shared" si="2"/>
        <v>84.5</v>
      </c>
    </row>
    <row r="26" spans="1:9">
      <c r="A26" s="31"/>
      <c r="B26" s="49" t="s">
        <v>67</v>
      </c>
      <c r="C26" s="50">
        <v>4960038.7240944896</v>
      </c>
      <c r="D26" s="50">
        <v>5212871.3248136099</v>
      </c>
      <c r="E26" s="50">
        <v>5769946.3491816698</v>
      </c>
      <c r="F26" s="51">
        <f t="shared" si="0"/>
        <v>5314285.4660299234</v>
      </c>
      <c r="G26" s="52">
        <f>Population!F26</f>
        <v>236028</v>
      </c>
      <c r="H26" s="52">
        <f t="shared" si="1"/>
        <v>22515.487425347517</v>
      </c>
      <c r="I26" s="53">
        <f t="shared" si="2"/>
        <v>73.099999999999994</v>
      </c>
    </row>
    <row r="27" spans="1:9">
      <c r="A27" s="31"/>
      <c r="B27" s="32" t="s">
        <v>68</v>
      </c>
      <c r="C27" s="54">
        <v>8828642.8427312206</v>
      </c>
      <c r="D27" s="54">
        <v>9438771.9331743792</v>
      </c>
      <c r="E27" s="54">
        <v>10387702.0342877</v>
      </c>
      <c r="F27" s="55">
        <f t="shared" si="0"/>
        <v>9551705.6033977661</v>
      </c>
      <c r="G27" s="56">
        <f>Population!F27</f>
        <v>324871.33333333331</v>
      </c>
      <c r="H27" s="56">
        <f t="shared" si="1"/>
        <v>29401.503374867691</v>
      </c>
      <c r="I27" s="57">
        <f t="shared" si="2"/>
        <v>95.4</v>
      </c>
    </row>
    <row r="28" spans="1:9">
      <c r="A28" s="31"/>
      <c r="B28" s="49" t="s">
        <v>69</v>
      </c>
      <c r="C28" s="50">
        <v>18284197.871246401</v>
      </c>
      <c r="D28" s="50">
        <v>24407677.143410198</v>
      </c>
      <c r="E28" s="50">
        <v>31809237.6380306</v>
      </c>
      <c r="F28" s="51">
        <f t="shared" si="0"/>
        <v>24833704.217562404</v>
      </c>
      <c r="G28" s="52">
        <f>Population!F28</f>
        <v>671035</v>
      </c>
      <c r="H28" s="52">
        <f t="shared" si="1"/>
        <v>37008.061006597869</v>
      </c>
      <c r="I28" s="53">
        <f t="shared" si="2"/>
        <v>120.1</v>
      </c>
    </row>
    <row r="29" spans="1:9">
      <c r="A29" s="31"/>
      <c r="B29" s="32" t="s">
        <v>70</v>
      </c>
      <c r="C29" s="54">
        <v>5613336.2413697699</v>
      </c>
      <c r="D29" s="54">
        <v>5658364.5386141799</v>
      </c>
      <c r="E29" s="54">
        <v>6166346.9034778196</v>
      </c>
      <c r="F29" s="55">
        <f t="shared" si="0"/>
        <v>5812682.5611539232</v>
      </c>
      <c r="G29" s="56">
        <f>Population!F29</f>
        <v>293251.33333333331</v>
      </c>
      <c r="H29" s="56">
        <f t="shared" si="1"/>
        <v>19821.50428808709</v>
      </c>
      <c r="I29" s="57">
        <f t="shared" si="2"/>
        <v>64.3</v>
      </c>
    </row>
    <row r="30" spans="1:9">
      <c r="A30" s="31"/>
      <c r="B30" s="49" t="s">
        <v>71</v>
      </c>
      <c r="C30" s="50">
        <v>4918452.0999250701</v>
      </c>
      <c r="D30" s="50">
        <v>4557909.3734317804</v>
      </c>
      <c r="E30" s="50">
        <v>5269988.9327172097</v>
      </c>
      <c r="F30" s="51">
        <f t="shared" si="0"/>
        <v>4915450.1353580197</v>
      </c>
      <c r="G30" s="52">
        <f>Population!F30</f>
        <v>169520.33333333334</v>
      </c>
      <c r="H30" s="52">
        <f t="shared" si="1"/>
        <v>28996.227406494123</v>
      </c>
      <c r="I30" s="53">
        <f t="shared" si="2"/>
        <v>94.1</v>
      </c>
    </row>
    <row r="31" spans="1:9">
      <c r="A31" s="31"/>
      <c r="B31" s="32" t="s">
        <v>72</v>
      </c>
      <c r="C31" s="54">
        <v>19399699.911846399</v>
      </c>
      <c r="D31" s="54">
        <v>19439195.194588099</v>
      </c>
      <c r="E31" s="54">
        <v>20827877.139659598</v>
      </c>
      <c r="F31" s="55">
        <f t="shared" si="0"/>
        <v>19888924.082031365</v>
      </c>
      <c r="G31" s="56">
        <f>Population!F31</f>
        <v>439420.66666666669</v>
      </c>
      <c r="H31" s="56">
        <f t="shared" si="1"/>
        <v>45261.694751190655</v>
      </c>
      <c r="I31" s="57">
        <f t="shared" si="2"/>
        <v>146.9</v>
      </c>
    </row>
    <row r="32" spans="1:9">
      <c r="A32" s="31"/>
      <c r="B32" s="49" t="s">
        <v>73</v>
      </c>
      <c r="C32" s="50">
        <v>1284640.61775223</v>
      </c>
      <c r="D32" s="50">
        <v>1269028.8887316</v>
      </c>
      <c r="E32" s="50">
        <v>1365723.95860356</v>
      </c>
      <c r="F32" s="51">
        <f t="shared" si="0"/>
        <v>1306464.4883624634</v>
      </c>
      <c r="G32" s="52">
        <f>Population!F32</f>
        <v>68052.666666666672</v>
      </c>
      <c r="H32" s="52">
        <f t="shared" si="1"/>
        <v>19197.844145648909</v>
      </c>
      <c r="I32" s="53">
        <f t="shared" si="2"/>
        <v>62.3</v>
      </c>
    </row>
    <row r="33" spans="1:9">
      <c r="A33" s="58"/>
      <c r="B33" s="59" t="s">
        <v>74</v>
      </c>
      <c r="C33" s="60">
        <f>SUM(C7:C32)</f>
        <v>220171252.62898749</v>
      </c>
      <c r="D33" s="60">
        <f>SUM(D7:D32)</f>
        <v>227640712.66966119</v>
      </c>
      <c r="E33" s="60">
        <f>SUM(E7:E32)</f>
        <v>250854957.06462961</v>
      </c>
      <c r="F33" s="60">
        <f>SUM(F7:F32)</f>
        <v>232888974.12109271</v>
      </c>
      <c r="G33" s="60">
        <f>SUM(G7:G32)</f>
        <v>7559154.333333333</v>
      </c>
      <c r="H33" s="60">
        <f t="shared" si="1"/>
        <v>30808.866157703716</v>
      </c>
      <c r="I33" s="61">
        <f t="shared" si="2"/>
        <v>100</v>
      </c>
    </row>
  </sheetData>
  <conditionalFormatting sqref="C7:F32">
    <cfRule type="expression" dxfId="12" priority="1" stopIfTrue="1">
      <formula>ISBLANK(C7)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scale="95" orientation="landscape" r:id="rId1"/>
  <headerFooter>
    <oddHeader>&amp;L&amp;F&amp;R&amp;A</oddHeader>
    <oddFooter>&amp;C&amp;P/&amp;N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2">
    <pageSetUpPr fitToPage="1"/>
  </sheetPr>
  <dimension ref="A1:F33"/>
  <sheetViews>
    <sheetView showGridLines="0" workbookViewId="0"/>
  </sheetViews>
  <sheetFormatPr baseColWidth="10" defaultColWidth="11.42578125" defaultRowHeight="12.75"/>
  <cols>
    <col min="1" max="1" width="1.42578125" style="2" customWidth="1"/>
    <col min="2" max="2" width="17.7109375" style="2" customWidth="1"/>
    <col min="3" max="6" width="18.5703125" style="2" customWidth="1"/>
  </cols>
  <sheetData>
    <row r="1" spans="1:6" ht="38.25" customHeight="1">
      <c r="B1" s="17" t="str">
        <f>"Relevant population "&amp;Info!C30</f>
        <v>Relevant population 2011</v>
      </c>
      <c r="C1" s="17"/>
      <c r="D1" s="17"/>
      <c r="E1" s="18"/>
      <c r="F1" s="19" t="str">
        <f>Info!C28</f>
        <v>FA_2011_20120427</v>
      </c>
    </row>
    <row r="2" spans="1:6" s="2" customFormat="1">
      <c r="A2" s="20"/>
      <c r="B2" s="62" t="s">
        <v>27</v>
      </c>
      <c r="C2" s="63" t="s">
        <v>28</v>
      </c>
      <c r="D2" s="63" t="s">
        <v>29</v>
      </c>
      <c r="E2" s="63" t="s">
        <v>30</v>
      </c>
      <c r="F2" s="64" t="s">
        <v>31</v>
      </c>
    </row>
    <row r="3" spans="1:6" s="35" customFormat="1" ht="11.25" customHeight="1">
      <c r="A3" s="65"/>
      <c r="B3" s="66" t="s">
        <v>35</v>
      </c>
      <c r="C3" s="67"/>
      <c r="D3" s="67"/>
      <c r="E3" s="67"/>
      <c r="F3" s="68" t="s">
        <v>36</v>
      </c>
    </row>
    <row r="4" spans="1:6" ht="25.5" customHeight="1">
      <c r="A4" s="31"/>
      <c r="B4" s="69"/>
      <c r="C4" s="300" t="s">
        <v>75</v>
      </c>
      <c r="D4" s="301"/>
      <c r="E4" s="302"/>
      <c r="F4" s="70" t="s">
        <v>40</v>
      </c>
    </row>
    <row r="5" spans="1:6" ht="18">
      <c r="A5" s="31"/>
      <c r="B5" s="71"/>
      <c r="C5" s="72">
        <v>2005</v>
      </c>
      <c r="D5" s="73">
        <v>2006</v>
      </c>
      <c r="E5" s="74">
        <v>2007</v>
      </c>
      <c r="F5" s="75">
        <f>Info!C30</f>
        <v>2011</v>
      </c>
    </row>
    <row r="6" spans="1:6">
      <c r="A6" s="31"/>
      <c r="B6" s="76" t="s">
        <v>43</v>
      </c>
      <c r="C6" s="77" t="s">
        <v>76</v>
      </c>
      <c r="D6" s="78" t="s">
        <v>76</v>
      </c>
      <c r="E6" s="79" t="s">
        <v>76</v>
      </c>
      <c r="F6" s="80"/>
    </row>
    <row r="7" spans="1:6">
      <c r="A7" s="31"/>
      <c r="B7" s="44" t="s">
        <v>48</v>
      </c>
      <c r="C7" s="81">
        <v>1292481</v>
      </c>
      <c r="D7" s="45">
        <v>1306603</v>
      </c>
      <c r="E7" s="82">
        <v>1322842</v>
      </c>
      <c r="F7" s="83">
        <f t="shared" ref="F7:F32" si="0">AVERAGE(C7:E7)</f>
        <v>1307308.6666666667</v>
      </c>
    </row>
    <row r="8" spans="1:6">
      <c r="A8" s="31"/>
      <c r="B8" s="49" t="s">
        <v>49</v>
      </c>
      <c r="C8" s="84">
        <v>963657</v>
      </c>
      <c r="D8" s="50">
        <v>966743</v>
      </c>
      <c r="E8" s="85">
        <v>969907</v>
      </c>
      <c r="F8" s="86">
        <f t="shared" si="0"/>
        <v>966769</v>
      </c>
    </row>
    <row r="9" spans="1:6">
      <c r="A9" s="31"/>
      <c r="B9" s="32" t="s">
        <v>50</v>
      </c>
      <c r="C9" s="87">
        <v>355766</v>
      </c>
      <c r="D9" s="54">
        <v>358257</v>
      </c>
      <c r="E9" s="88">
        <v>361924</v>
      </c>
      <c r="F9" s="89">
        <f t="shared" si="0"/>
        <v>358649</v>
      </c>
    </row>
    <row r="10" spans="1:6">
      <c r="A10" s="31"/>
      <c r="B10" s="49" t="s">
        <v>51</v>
      </c>
      <c r="C10" s="84">
        <v>34652</v>
      </c>
      <c r="D10" s="50">
        <v>34575</v>
      </c>
      <c r="E10" s="85">
        <v>34447</v>
      </c>
      <c r="F10" s="86">
        <f t="shared" si="0"/>
        <v>34558</v>
      </c>
    </row>
    <row r="11" spans="1:6">
      <c r="A11" s="31"/>
      <c r="B11" s="32" t="s">
        <v>52</v>
      </c>
      <c r="C11" s="87">
        <v>136509</v>
      </c>
      <c r="D11" s="54">
        <v>138160</v>
      </c>
      <c r="E11" s="88">
        <v>139874</v>
      </c>
      <c r="F11" s="89">
        <f t="shared" si="0"/>
        <v>138181</v>
      </c>
    </row>
    <row r="12" spans="1:6">
      <c r="A12" s="31"/>
      <c r="B12" s="49" t="s">
        <v>53</v>
      </c>
      <c r="C12" s="84">
        <v>33078</v>
      </c>
      <c r="D12" s="50">
        <v>33405</v>
      </c>
      <c r="E12" s="85">
        <v>33785</v>
      </c>
      <c r="F12" s="86">
        <f t="shared" si="0"/>
        <v>33422.666666666664</v>
      </c>
    </row>
    <row r="13" spans="1:6">
      <c r="A13" s="31"/>
      <c r="B13" s="32" t="s">
        <v>54</v>
      </c>
      <c r="C13" s="87">
        <v>39094</v>
      </c>
      <c r="D13" s="54">
        <v>39374</v>
      </c>
      <c r="E13" s="88">
        <v>39566</v>
      </c>
      <c r="F13" s="89">
        <f t="shared" si="0"/>
        <v>39344.666666666664</v>
      </c>
    </row>
    <row r="14" spans="1:6">
      <c r="A14" s="31"/>
      <c r="B14" s="49" t="s">
        <v>55</v>
      </c>
      <c r="C14" s="84">
        <v>38098</v>
      </c>
      <c r="D14" s="50">
        <v>38001</v>
      </c>
      <c r="E14" s="85">
        <v>38034</v>
      </c>
      <c r="F14" s="86">
        <f t="shared" si="0"/>
        <v>38044.333333333336</v>
      </c>
    </row>
    <row r="15" spans="1:6">
      <c r="A15" s="31"/>
      <c r="B15" s="32" t="s">
        <v>56</v>
      </c>
      <c r="C15" s="87">
        <v>106350</v>
      </c>
      <c r="D15" s="54">
        <v>107352</v>
      </c>
      <c r="E15" s="88">
        <v>108826</v>
      </c>
      <c r="F15" s="89">
        <f t="shared" si="0"/>
        <v>107509.33333333333</v>
      </c>
    </row>
    <row r="16" spans="1:6">
      <c r="A16" s="31"/>
      <c r="B16" s="49" t="s">
        <v>57</v>
      </c>
      <c r="C16" s="84">
        <v>255462</v>
      </c>
      <c r="D16" s="50">
        <v>259775</v>
      </c>
      <c r="E16" s="85">
        <v>264151</v>
      </c>
      <c r="F16" s="86">
        <f t="shared" si="0"/>
        <v>259796</v>
      </c>
    </row>
    <row r="17" spans="1:6">
      <c r="A17" s="31"/>
      <c r="B17" s="32" t="s">
        <v>58</v>
      </c>
      <c r="C17" s="87">
        <v>246852</v>
      </c>
      <c r="D17" s="54">
        <v>247562</v>
      </c>
      <c r="E17" s="88">
        <v>249005</v>
      </c>
      <c r="F17" s="89">
        <f t="shared" si="0"/>
        <v>247806.33333333334</v>
      </c>
    </row>
    <row r="18" spans="1:6">
      <c r="A18" s="31"/>
      <c r="B18" s="49" t="s">
        <v>59</v>
      </c>
      <c r="C18" s="84">
        <v>190536</v>
      </c>
      <c r="D18" s="50">
        <v>190324</v>
      </c>
      <c r="E18" s="85">
        <v>189777</v>
      </c>
      <c r="F18" s="86">
        <f t="shared" si="0"/>
        <v>190212.33333333334</v>
      </c>
    </row>
    <row r="19" spans="1:6">
      <c r="A19" s="31"/>
      <c r="B19" s="32" t="s">
        <v>60</v>
      </c>
      <c r="C19" s="87">
        <v>264664</v>
      </c>
      <c r="D19" s="54">
        <v>265829</v>
      </c>
      <c r="E19" s="88">
        <v>267247</v>
      </c>
      <c r="F19" s="89">
        <f t="shared" si="0"/>
        <v>265913.33333333331</v>
      </c>
    </row>
    <row r="20" spans="1:6">
      <c r="A20" s="31"/>
      <c r="B20" s="49" t="s">
        <v>61</v>
      </c>
      <c r="C20" s="84">
        <v>74116</v>
      </c>
      <c r="D20" s="50">
        <v>74335</v>
      </c>
      <c r="E20" s="85">
        <v>74598</v>
      </c>
      <c r="F20" s="86">
        <f t="shared" si="0"/>
        <v>74349.666666666672</v>
      </c>
    </row>
    <row r="21" spans="1:6">
      <c r="A21" s="31"/>
      <c r="B21" s="32" t="s">
        <v>62</v>
      </c>
      <c r="C21" s="87">
        <v>52410</v>
      </c>
      <c r="D21" s="54">
        <v>52280</v>
      </c>
      <c r="E21" s="88">
        <v>52345</v>
      </c>
      <c r="F21" s="89">
        <f t="shared" si="0"/>
        <v>52345</v>
      </c>
    </row>
    <row r="22" spans="1:6">
      <c r="A22" s="31"/>
      <c r="B22" s="49" t="s">
        <v>63</v>
      </c>
      <c r="C22" s="84">
        <v>14987</v>
      </c>
      <c r="D22" s="50">
        <v>15140</v>
      </c>
      <c r="E22" s="85">
        <v>15028</v>
      </c>
      <c r="F22" s="86">
        <f t="shared" si="0"/>
        <v>15051.666666666666</v>
      </c>
    </row>
    <row r="23" spans="1:6">
      <c r="A23" s="31"/>
      <c r="B23" s="32" t="s">
        <v>64</v>
      </c>
      <c r="C23" s="87">
        <v>460917</v>
      </c>
      <c r="D23" s="54">
        <v>463020</v>
      </c>
      <c r="E23" s="88">
        <v>465852</v>
      </c>
      <c r="F23" s="89">
        <f t="shared" si="0"/>
        <v>463263</v>
      </c>
    </row>
    <row r="24" spans="1:6">
      <c r="A24" s="31"/>
      <c r="B24" s="49" t="s">
        <v>65</v>
      </c>
      <c r="C24" s="84">
        <v>191297</v>
      </c>
      <c r="D24" s="50">
        <v>191441</v>
      </c>
      <c r="E24" s="85">
        <v>191878</v>
      </c>
      <c r="F24" s="86">
        <f t="shared" si="0"/>
        <v>191538.66666666666</v>
      </c>
    </row>
    <row r="25" spans="1:6">
      <c r="A25" s="31"/>
      <c r="B25" s="32" t="s">
        <v>66</v>
      </c>
      <c r="C25" s="87">
        <v>567228</v>
      </c>
      <c r="D25" s="54">
        <v>572719</v>
      </c>
      <c r="E25" s="88">
        <v>578790</v>
      </c>
      <c r="F25" s="89">
        <f t="shared" si="0"/>
        <v>572912.33333333337</v>
      </c>
    </row>
    <row r="26" spans="1:6">
      <c r="A26" s="31"/>
      <c r="B26" s="49" t="s">
        <v>67</v>
      </c>
      <c r="C26" s="84">
        <v>234021</v>
      </c>
      <c r="D26" s="50">
        <v>235922</v>
      </c>
      <c r="E26" s="85">
        <v>238141</v>
      </c>
      <c r="F26" s="86">
        <f t="shared" si="0"/>
        <v>236028</v>
      </c>
    </row>
    <row r="27" spans="1:6">
      <c r="A27" s="31"/>
      <c r="B27" s="32" t="s">
        <v>68</v>
      </c>
      <c r="C27" s="87">
        <v>322145</v>
      </c>
      <c r="D27" s="54">
        <v>324837</v>
      </c>
      <c r="E27" s="88">
        <v>327632</v>
      </c>
      <c r="F27" s="89">
        <f t="shared" si="0"/>
        <v>324871.33333333331</v>
      </c>
    </row>
    <row r="28" spans="1:6">
      <c r="A28" s="31"/>
      <c r="B28" s="49" t="s">
        <v>69</v>
      </c>
      <c r="C28" s="84">
        <v>663530</v>
      </c>
      <c r="D28" s="50">
        <v>671432</v>
      </c>
      <c r="E28" s="85">
        <v>678143</v>
      </c>
      <c r="F28" s="86">
        <f t="shared" si="0"/>
        <v>671035</v>
      </c>
    </row>
    <row r="29" spans="1:6">
      <c r="A29" s="31"/>
      <c r="B29" s="32" t="s">
        <v>70</v>
      </c>
      <c r="C29" s="87">
        <v>289527</v>
      </c>
      <c r="D29" s="54">
        <v>293304</v>
      </c>
      <c r="E29" s="88">
        <v>296923</v>
      </c>
      <c r="F29" s="89">
        <f t="shared" si="0"/>
        <v>293251.33333333331</v>
      </c>
    </row>
    <row r="30" spans="1:6">
      <c r="A30" s="31"/>
      <c r="B30" s="49" t="s">
        <v>71</v>
      </c>
      <c r="C30" s="84">
        <v>169259</v>
      </c>
      <c r="D30" s="50">
        <v>169407</v>
      </c>
      <c r="E30" s="85">
        <v>169895</v>
      </c>
      <c r="F30" s="86">
        <f t="shared" si="0"/>
        <v>169520.33333333334</v>
      </c>
    </row>
    <row r="31" spans="1:6">
      <c r="A31" s="31"/>
      <c r="B31" s="32" t="s">
        <v>72</v>
      </c>
      <c r="C31" s="87">
        <v>436721</v>
      </c>
      <c r="D31" s="54">
        <v>439785</v>
      </c>
      <c r="E31" s="88">
        <v>441756</v>
      </c>
      <c r="F31" s="89">
        <f t="shared" si="0"/>
        <v>439420.66666666669</v>
      </c>
    </row>
    <row r="32" spans="1:6">
      <c r="A32" s="31"/>
      <c r="B32" s="49" t="s">
        <v>73</v>
      </c>
      <c r="C32" s="84">
        <v>67898</v>
      </c>
      <c r="D32" s="50">
        <v>68027</v>
      </c>
      <c r="E32" s="85">
        <v>68233</v>
      </c>
      <c r="F32" s="86">
        <f t="shared" si="0"/>
        <v>68052.666666666672</v>
      </c>
    </row>
    <row r="33" spans="1:6">
      <c r="A33" s="58"/>
      <c r="B33" s="59" t="s">
        <v>77</v>
      </c>
      <c r="C33" s="90">
        <f>SUM(C7:C32)</f>
        <v>7501255</v>
      </c>
      <c r="D33" s="60">
        <f>SUM(D7:D32)</f>
        <v>7557609</v>
      </c>
      <c r="E33" s="91">
        <f>SUM(E7:E32)</f>
        <v>7618599</v>
      </c>
      <c r="F33" s="92">
        <f>SUM(F7:F32)</f>
        <v>7559154.333333333</v>
      </c>
    </row>
  </sheetData>
  <mergeCells count="1">
    <mergeCell ref="C4:E4"/>
  </mergeCells>
  <conditionalFormatting sqref="C7:E32 C5:F5">
    <cfRule type="expression" dxfId="11" priority="1" stopIfTrue="1">
      <formula>ISBLANK(C5)</formula>
    </cfRule>
  </conditionalFormatting>
  <conditionalFormatting sqref="C7:E32 C5:F5">
    <cfRule type="expression" dxfId="10" priority="2" stopIfTrue="1">
      <formula>ISBLANK(C5)</formula>
    </cfRule>
  </conditionalFormatting>
  <conditionalFormatting sqref="C5:E5">
    <cfRule type="expression" dxfId="9" priority="3" stopIfTrue="1">
      <formula>ISBLANK(C5)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>
    <oddHeader>&amp;L&amp;F&amp;R&amp;A</oddHeader>
    <oddFooter>&amp;C&amp;P/&amp;N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3">
    <pageSetUpPr fitToPage="1"/>
  </sheetPr>
  <dimension ref="A1:I35"/>
  <sheetViews>
    <sheetView showGridLines="0" workbookViewId="0"/>
  </sheetViews>
  <sheetFormatPr baseColWidth="10" defaultColWidth="11.42578125" defaultRowHeight="12.75"/>
  <cols>
    <col min="1" max="1" width="1.42578125" style="2" customWidth="1"/>
    <col min="2" max="2" width="15.85546875" style="2" customWidth="1"/>
    <col min="3" max="3" width="11.42578125" style="2" customWidth="1"/>
    <col min="4" max="5" width="13.28515625" style="2" customWidth="1"/>
    <col min="6" max="6" width="13.7109375" style="2" customWidth="1"/>
    <col min="7" max="8" width="13.28515625" style="2" customWidth="1"/>
    <col min="9" max="9" width="14" style="2" customWidth="1"/>
  </cols>
  <sheetData>
    <row r="1" spans="1:9" ht="26.25" customHeight="1">
      <c r="B1" s="93" t="str">
        <f>"Resource potential growth "&amp;Info!C30</f>
        <v>Resource potential growth 2011</v>
      </c>
      <c r="C1" s="93"/>
      <c r="D1" s="93"/>
      <c r="E1" s="93"/>
      <c r="F1" s="93"/>
      <c r="G1" s="18"/>
      <c r="H1" s="18"/>
      <c r="I1" s="1"/>
    </row>
    <row r="2" spans="1:9" ht="18.75" customHeight="1">
      <c r="G2" s="1"/>
      <c r="H2" s="1"/>
      <c r="I2" s="19" t="str">
        <f>Info!$C$28</f>
        <v>FA_2011_20120427</v>
      </c>
    </row>
    <row r="3" spans="1:9">
      <c r="B3" s="62" t="s">
        <v>27</v>
      </c>
      <c r="C3" s="63" t="s">
        <v>28</v>
      </c>
      <c r="D3" s="63" t="s">
        <v>29</v>
      </c>
      <c r="E3" s="63" t="s">
        <v>30</v>
      </c>
      <c r="F3" s="63" t="s">
        <v>31</v>
      </c>
      <c r="G3" s="63" t="s">
        <v>32</v>
      </c>
      <c r="H3" s="63" t="s">
        <v>33</v>
      </c>
      <c r="I3" s="64" t="s">
        <v>34</v>
      </c>
    </row>
    <row r="4" spans="1:9" ht="37.5" customHeight="1">
      <c r="A4" s="31"/>
      <c r="B4" s="44"/>
      <c r="C4" s="303" t="str">
        <f>"Resource index "&amp;Info!C30</f>
        <v>Resource index 2011</v>
      </c>
      <c r="D4" s="308" t="s">
        <v>78</v>
      </c>
      <c r="E4" s="309"/>
      <c r="F4" s="310"/>
      <c r="G4" s="305" t="s">
        <v>79</v>
      </c>
      <c r="H4" s="306"/>
      <c r="I4" s="307"/>
    </row>
    <row r="5" spans="1:9" ht="16.5" customHeight="1">
      <c r="A5" s="31"/>
      <c r="B5" s="94"/>
      <c r="C5" s="304"/>
      <c r="D5" s="95">
        <f>Info!C30-1</f>
        <v>2010</v>
      </c>
      <c r="E5" s="96">
        <f>Info!C30</f>
        <v>2011</v>
      </c>
      <c r="F5" s="97" t="s">
        <v>80</v>
      </c>
      <c r="G5" s="96">
        <f>D5</f>
        <v>2010</v>
      </c>
      <c r="H5" s="96">
        <f>E5</f>
        <v>2011</v>
      </c>
      <c r="I5" s="98" t="s">
        <v>80</v>
      </c>
    </row>
    <row r="6" spans="1:9">
      <c r="A6" s="99"/>
      <c r="B6" s="76" t="s">
        <v>44</v>
      </c>
      <c r="C6" s="100" t="s">
        <v>81</v>
      </c>
      <c r="D6" s="101" t="s">
        <v>45</v>
      </c>
      <c r="E6" s="102" t="s">
        <v>45</v>
      </c>
      <c r="F6" s="103" t="s">
        <v>82</v>
      </c>
      <c r="G6" s="102" t="s">
        <v>45</v>
      </c>
      <c r="H6" s="102" t="s">
        <v>45</v>
      </c>
      <c r="I6" s="104" t="s">
        <v>82</v>
      </c>
    </row>
    <row r="7" spans="1:9">
      <c r="A7" s="99"/>
      <c r="B7" s="44" t="s">
        <v>48</v>
      </c>
      <c r="C7" s="105">
        <f>PFR!I7</f>
        <v>127.8</v>
      </c>
      <c r="D7" s="106">
        <v>49514267.335301198</v>
      </c>
      <c r="E7" s="107">
        <f>PFR!F7</f>
        <v>51474148.811122634</v>
      </c>
      <c r="F7" s="108">
        <f t="shared" ref="F7:F33" si="0">E7/D7-1</f>
        <v>3.9582156442899308E-2</v>
      </c>
      <c r="G7" s="47">
        <f t="shared" ref="G7:G32" si="1">IF($C7&gt;100,D7,"")</f>
        <v>49514267.335301198</v>
      </c>
      <c r="H7" s="47">
        <f t="shared" ref="H7:H32" si="2">IF($C7&gt;100,E7,"")</f>
        <v>51474148.811122634</v>
      </c>
      <c r="I7" s="109">
        <f t="shared" ref="I7:I32" si="3">IF(C7&gt;=100,H7/G7-1,"")</f>
        <v>3.9582156442899308E-2</v>
      </c>
    </row>
    <row r="8" spans="1:9">
      <c r="A8" s="99"/>
      <c r="B8" s="110" t="s">
        <v>49</v>
      </c>
      <c r="C8" s="111">
        <f>PFR!I8</f>
        <v>74.900000000000006</v>
      </c>
      <c r="D8" s="112">
        <v>21344560.016377799</v>
      </c>
      <c r="E8" s="113">
        <f>PFR!F8</f>
        <v>22310601.543687966</v>
      </c>
      <c r="F8" s="114">
        <f t="shared" si="0"/>
        <v>4.525937880981945E-2</v>
      </c>
      <c r="G8" s="52" t="str">
        <f t="shared" si="1"/>
        <v/>
      </c>
      <c r="H8" s="52" t="str">
        <f t="shared" si="2"/>
        <v/>
      </c>
      <c r="I8" s="115" t="str">
        <f t="shared" si="3"/>
        <v/>
      </c>
    </row>
    <row r="9" spans="1:9">
      <c r="A9" s="99"/>
      <c r="B9" s="116" t="s">
        <v>50</v>
      </c>
      <c r="C9" s="117">
        <f>PFR!I9</f>
        <v>74.099999999999994</v>
      </c>
      <c r="D9" s="118">
        <v>7780336.4399236003</v>
      </c>
      <c r="E9" s="119">
        <f>PFR!F9</f>
        <v>8183721.6469306359</v>
      </c>
      <c r="F9" s="120">
        <f t="shared" si="0"/>
        <v>5.184675625813906E-2</v>
      </c>
      <c r="G9" s="56" t="str">
        <f t="shared" si="1"/>
        <v/>
      </c>
      <c r="H9" s="56" t="str">
        <f t="shared" si="2"/>
        <v/>
      </c>
      <c r="I9" s="121" t="str">
        <f t="shared" si="3"/>
        <v/>
      </c>
    </row>
    <row r="10" spans="1:9">
      <c r="A10" s="99"/>
      <c r="B10" s="110" t="s">
        <v>51</v>
      </c>
      <c r="C10" s="111">
        <f>PFR!I10</f>
        <v>57.2</v>
      </c>
      <c r="D10" s="112">
        <v>582604.88831118494</v>
      </c>
      <c r="E10" s="113">
        <f>PFR!F10</f>
        <v>609343.4092305681</v>
      </c>
      <c r="F10" s="114">
        <f t="shared" si="0"/>
        <v>4.589477612673476E-2</v>
      </c>
      <c r="G10" s="52" t="str">
        <f t="shared" si="1"/>
        <v/>
      </c>
      <c r="H10" s="52" t="str">
        <f t="shared" si="2"/>
        <v/>
      </c>
      <c r="I10" s="115" t="str">
        <f t="shared" si="3"/>
        <v/>
      </c>
    </row>
    <row r="11" spans="1:9">
      <c r="A11" s="99"/>
      <c r="B11" s="116" t="s">
        <v>52</v>
      </c>
      <c r="C11" s="117">
        <f>PFR!I11</f>
        <v>140.1</v>
      </c>
      <c r="D11" s="118">
        <v>5144159.9017421696</v>
      </c>
      <c r="E11" s="119">
        <f>PFR!F11</f>
        <v>5966372.7713151341</v>
      </c>
      <c r="F11" s="120">
        <f t="shared" si="0"/>
        <v>0.15983423635305471</v>
      </c>
      <c r="G11" s="56">
        <f t="shared" si="1"/>
        <v>5144159.9017421696</v>
      </c>
      <c r="H11" s="56">
        <f t="shared" si="2"/>
        <v>5966372.7713151341</v>
      </c>
      <c r="I11" s="121">
        <f t="shared" si="3"/>
        <v>0.15983423635305471</v>
      </c>
    </row>
    <row r="12" spans="1:9">
      <c r="A12" s="99"/>
      <c r="B12" s="110" t="s">
        <v>53</v>
      </c>
      <c r="C12" s="111">
        <f>PFR!I12</f>
        <v>74</v>
      </c>
      <c r="D12" s="112">
        <v>679224.61741863599</v>
      </c>
      <c r="E12" s="113">
        <f>PFR!F12</f>
        <v>762004.69133043336</v>
      </c>
      <c r="F12" s="114">
        <f t="shared" si="0"/>
        <v>0.12187437231942422</v>
      </c>
      <c r="G12" s="52" t="str">
        <f t="shared" si="1"/>
        <v/>
      </c>
      <c r="H12" s="52" t="str">
        <f t="shared" si="2"/>
        <v/>
      </c>
      <c r="I12" s="115" t="str">
        <f t="shared" si="3"/>
        <v/>
      </c>
    </row>
    <row r="13" spans="1:9">
      <c r="A13" s="99"/>
      <c r="B13" s="116" t="s">
        <v>54</v>
      </c>
      <c r="C13" s="117">
        <f>PFR!I13</f>
        <v>124.5</v>
      </c>
      <c r="D13" s="118">
        <v>1417843.3394864099</v>
      </c>
      <c r="E13" s="119">
        <f>PFR!F13</f>
        <v>1509456.0192956969</v>
      </c>
      <c r="F13" s="120">
        <f t="shared" si="0"/>
        <v>6.4614105986118497E-2</v>
      </c>
      <c r="G13" s="56">
        <f t="shared" si="1"/>
        <v>1417843.3394864099</v>
      </c>
      <c r="H13" s="56">
        <f t="shared" si="2"/>
        <v>1509456.0192956969</v>
      </c>
      <c r="I13" s="121">
        <f t="shared" si="3"/>
        <v>6.4614105986118497E-2</v>
      </c>
    </row>
    <row r="14" spans="1:9">
      <c r="A14" s="99"/>
      <c r="B14" s="110" t="s">
        <v>55</v>
      </c>
      <c r="C14" s="111">
        <f>PFR!I14</f>
        <v>65.400000000000006</v>
      </c>
      <c r="D14" s="112">
        <v>746235.09125879803</v>
      </c>
      <c r="E14" s="113">
        <f>PFR!F14</f>
        <v>766377.70835838292</v>
      </c>
      <c r="F14" s="114">
        <f t="shared" si="0"/>
        <v>2.6992320966314987E-2</v>
      </c>
      <c r="G14" s="52" t="str">
        <f t="shared" si="1"/>
        <v/>
      </c>
      <c r="H14" s="52" t="str">
        <f t="shared" si="2"/>
        <v/>
      </c>
      <c r="I14" s="115" t="str">
        <f t="shared" si="3"/>
        <v/>
      </c>
    </row>
    <row r="15" spans="1:9">
      <c r="A15" s="99"/>
      <c r="B15" s="116" t="s">
        <v>56</v>
      </c>
      <c r="C15" s="117">
        <f>PFR!I15</f>
        <v>246.1</v>
      </c>
      <c r="D15" s="118">
        <v>7284250.5940181399</v>
      </c>
      <c r="E15" s="119">
        <f>PFR!F15</f>
        <v>8152480.6511108326</v>
      </c>
      <c r="F15" s="120">
        <f t="shared" si="0"/>
        <v>0.11919277705872555</v>
      </c>
      <c r="G15" s="56">
        <f t="shared" si="1"/>
        <v>7284250.5940181399</v>
      </c>
      <c r="H15" s="56">
        <f t="shared" si="2"/>
        <v>8152480.6511108326</v>
      </c>
      <c r="I15" s="121">
        <f t="shared" si="3"/>
        <v>0.11919277705872555</v>
      </c>
    </row>
    <row r="16" spans="1:9">
      <c r="A16" s="99"/>
      <c r="B16" s="110" t="s">
        <v>57</v>
      </c>
      <c r="C16" s="111">
        <f>PFR!I16</f>
        <v>68.099999999999994</v>
      </c>
      <c r="D16" s="112">
        <v>5249056.41466399</v>
      </c>
      <c r="E16" s="113">
        <f>PFR!F16</f>
        <v>5450592.8750049202</v>
      </c>
      <c r="F16" s="114">
        <f t="shared" si="0"/>
        <v>3.8394797925567881E-2</v>
      </c>
      <c r="G16" s="52" t="str">
        <f t="shared" si="1"/>
        <v/>
      </c>
      <c r="H16" s="52" t="str">
        <f t="shared" si="2"/>
        <v/>
      </c>
      <c r="I16" s="115" t="str">
        <f t="shared" si="3"/>
        <v/>
      </c>
    </row>
    <row r="17" spans="1:9">
      <c r="A17" s="99"/>
      <c r="B17" s="116" t="s">
        <v>58</v>
      </c>
      <c r="C17" s="117">
        <f>PFR!I17</f>
        <v>76.5</v>
      </c>
      <c r="D17" s="118">
        <v>5527792.8459004797</v>
      </c>
      <c r="E17" s="119">
        <f>PFR!F17</f>
        <v>5839140.8747039167</v>
      </c>
      <c r="F17" s="120">
        <f t="shared" si="0"/>
        <v>5.6324112983781482E-2</v>
      </c>
      <c r="G17" s="56" t="str">
        <f t="shared" si="1"/>
        <v/>
      </c>
      <c r="H17" s="56" t="str">
        <f t="shared" si="2"/>
        <v/>
      </c>
      <c r="I17" s="121" t="str">
        <f t="shared" si="3"/>
        <v/>
      </c>
    </row>
    <row r="18" spans="1:9">
      <c r="A18" s="99"/>
      <c r="B18" s="110" t="s">
        <v>59</v>
      </c>
      <c r="C18" s="111">
        <f>PFR!I18</f>
        <v>144.69999999999999</v>
      </c>
      <c r="D18" s="112">
        <v>7670137.46979771</v>
      </c>
      <c r="E18" s="113">
        <f>PFR!F18</f>
        <v>8478594.0438778996</v>
      </c>
      <c r="F18" s="114">
        <f t="shared" si="0"/>
        <v>0.10540314006934115</v>
      </c>
      <c r="G18" s="52">
        <f t="shared" si="1"/>
        <v>7670137.46979771</v>
      </c>
      <c r="H18" s="52">
        <f t="shared" si="2"/>
        <v>8478594.0438778996</v>
      </c>
      <c r="I18" s="115">
        <f t="shared" si="3"/>
        <v>0.10540314006934115</v>
      </c>
    </row>
    <row r="19" spans="1:9">
      <c r="A19" s="99"/>
      <c r="B19" s="116" t="s">
        <v>60</v>
      </c>
      <c r="C19" s="117">
        <f>PFR!I19</f>
        <v>98.2</v>
      </c>
      <c r="D19" s="118">
        <v>7761224.2447771002</v>
      </c>
      <c r="E19" s="119">
        <f>PFR!F19</f>
        <v>8046854.6133473096</v>
      </c>
      <c r="F19" s="120">
        <f t="shared" si="0"/>
        <v>3.68022311380094E-2</v>
      </c>
      <c r="G19" s="56" t="str">
        <f t="shared" si="1"/>
        <v/>
      </c>
      <c r="H19" s="56" t="str">
        <f t="shared" si="2"/>
        <v/>
      </c>
      <c r="I19" s="121" t="str">
        <f t="shared" si="3"/>
        <v/>
      </c>
    </row>
    <row r="20" spans="1:9">
      <c r="A20" s="99"/>
      <c r="B20" s="110" t="s">
        <v>61</v>
      </c>
      <c r="C20" s="111">
        <f>PFR!I20</f>
        <v>95.9</v>
      </c>
      <c r="D20" s="112">
        <v>2057438.9823508901</v>
      </c>
      <c r="E20" s="113">
        <f>PFR!F20</f>
        <v>2197712.07846613</v>
      </c>
      <c r="F20" s="114">
        <f t="shared" si="0"/>
        <v>6.8178496333806127E-2</v>
      </c>
      <c r="G20" s="52" t="str">
        <f t="shared" si="1"/>
        <v/>
      </c>
      <c r="H20" s="52" t="str">
        <f t="shared" si="2"/>
        <v/>
      </c>
      <c r="I20" s="115" t="str">
        <f t="shared" si="3"/>
        <v/>
      </c>
    </row>
    <row r="21" spans="1:9">
      <c r="A21" s="99"/>
      <c r="B21" s="116" t="s">
        <v>62</v>
      </c>
      <c r="C21" s="117">
        <f>PFR!I21</f>
        <v>74.099999999999994</v>
      </c>
      <c r="D21" s="118">
        <v>1141828.37711258</v>
      </c>
      <c r="E21" s="119">
        <f>PFR!F21</f>
        <v>1194529.6217066802</v>
      </c>
      <c r="F21" s="120">
        <f t="shared" si="0"/>
        <v>4.6155136490274806E-2</v>
      </c>
      <c r="G21" s="56" t="str">
        <f t="shared" si="1"/>
        <v/>
      </c>
      <c r="H21" s="56" t="str">
        <f t="shared" si="2"/>
        <v/>
      </c>
      <c r="I21" s="121" t="str">
        <f t="shared" si="3"/>
        <v/>
      </c>
    </row>
    <row r="22" spans="1:9">
      <c r="A22" s="99"/>
      <c r="B22" s="110" t="s">
        <v>63</v>
      </c>
      <c r="C22" s="111">
        <f>PFR!I22</f>
        <v>80.5</v>
      </c>
      <c r="D22" s="112">
        <v>344994.06819930399</v>
      </c>
      <c r="E22" s="113">
        <f>PFR!F22</f>
        <v>373214.283099072</v>
      </c>
      <c r="F22" s="114">
        <f t="shared" si="0"/>
        <v>8.1799130770750184E-2</v>
      </c>
      <c r="G22" s="52" t="str">
        <f t="shared" si="1"/>
        <v/>
      </c>
      <c r="H22" s="52" t="str">
        <f t="shared" si="2"/>
        <v/>
      </c>
      <c r="I22" s="115" t="str">
        <f t="shared" si="3"/>
        <v/>
      </c>
    </row>
    <row r="23" spans="1:9">
      <c r="A23" s="99"/>
      <c r="B23" s="116" t="s">
        <v>64</v>
      </c>
      <c r="C23" s="117">
        <f>PFR!I23</f>
        <v>73.599999999999994</v>
      </c>
      <c r="D23" s="118">
        <v>9910173.2714909893</v>
      </c>
      <c r="E23" s="119">
        <f>PFR!F23</f>
        <v>10507578.277677167</v>
      </c>
      <c r="F23" s="120">
        <f t="shared" si="0"/>
        <v>6.028199404996859E-2</v>
      </c>
      <c r="G23" s="56" t="str">
        <f t="shared" si="1"/>
        <v/>
      </c>
      <c r="H23" s="56" t="str">
        <f t="shared" si="2"/>
        <v/>
      </c>
      <c r="I23" s="121" t="str">
        <f t="shared" si="3"/>
        <v/>
      </c>
    </row>
    <row r="24" spans="1:9">
      <c r="A24" s="99"/>
      <c r="B24" s="110" t="s">
        <v>65</v>
      </c>
      <c r="C24" s="111">
        <f>PFR!I24</f>
        <v>76.900000000000006</v>
      </c>
      <c r="D24" s="112">
        <v>4405375.8564202497</v>
      </c>
      <c r="E24" s="113">
        <f>PFR!F24</f>
        <v>4535964.4388569631</v>
      </c>
      <c r="F24" s="114">
        <f t="shared" si="0"/>
        <v>2.9643005884820939E-2</v>
      </c>
      <c r="G24" s="52" t="str">
        <f t="shared" si="1"/>
        <v/>
      </c>
      <c r="H24" s="52" t="str">
        <f t="shared" si="2"/>
        <v/>
      </c>
      <c r="I24" s="115" t="str">
        <f t="shared" si="3"/>
        <v/>
      </c>
    </row>
    <row r="25" spans="1:9">
      <c r="A25" s="99"/>
      <c r="B25" s="116" t="s">
        <v>66</v>
      </c>
      <c r="C25" s="117">
        <f>PFR!I25</f>
        <v>84.5</v>
      </c>
      <c r="D25" s="118">
        <v>14089201.002591901</v>
      </c>
      <c r="E25" s="119">
        <f>PFR!F25</f>
        <v>14907069.208074568</v>
      </c>
      <c r="F25" s="120">
        <f t="shared" si="0"/>
        <v>5.8049296431515796E-2</v>
      </c>
      <c r="G25" s="56" t="str">
        <f t="shared" si="1"/>
        <v/>
      </c>
      <c r="H25" s="56" t="str">
        <f t="shared" si="2"/>
        <v/>
      </c>
      <c r="I25" s="121" t="str">
        <f t="shared" si="3"/>
        <v/>
      </c>
    </row>
    <row r="26" spans="1:9">
      <c r="A26" s="99"/>
      <c r="B26" s="110" t="s">
        <v>67</v>
      </c>
      <c r="C26" s="111">
        <f>PFR!I26</f>
        <v>73.099999999999994</v>
      </c>
      <c r="D26" s="112">
        <v>4979390.2494379999</v>
      </c>
      <c r="E26" s="113">
        <f>PFR!F26</f>
        <v>5314285.4660299234</v>
      </c>
      <c r="F26" s="114">
        <f t="shared" si="0"/>
        <v>6.7256270309346E-2</v>
      </c>
      <c r="G26" s="52" t="str">
        <f t="shared" si="1"/>
        <v/>
      </c>
      <c r="H26" s="52" t="str">
        <f t="shared" si="2"/>
        <v/>
      </c>
      <c r="I26" s="115" t="str">
        <f t="shared" si="3"/>
        <v/>
      </c>
    </row>
    <row r="27" spans="1:9">
      <c r="A27" s="99"/>
      <c r="B27" s="116" t="s">
        <v>68</v>
      </c>
      <c r="C27" s="117">
        <f>PFR!I27</f>
        <v>95.4</v>
      </c>
      <c r="D27" s="118">
        <v>8876999.3327387702</v>
      </c>
      <c r="E27" s="119">
        <f>PFR!F27</f>
        <v>9551705.6033977661</v>
      </c>
      <c r="F27" s="120">
        <f t="shared" si="0"/>
        <v>7.6006119339296241E-2</v>
      </c>
      <c r="G27" s="56" t="str">
        <f t="shared" si="1"/>
        <v/>
      </c>
      <c r="H27" s="56" t="str">
        <f t="shared" si="2"/>
        <v/>
      </c>
      <c r="I27" s="121" t="str">
        <f t="shared" si="3"/>
        <v/>
      </c>
    </row>
    <row r="28" spans="1:9">
      <c r="A28" s="99"/>
      <c r="B28" s="110" t="s">
        <v>69</v>
      </c>
      <c r="C28" s="111">
        <f>PFR!I28</f>
        <v>120.1</v>
      </c>
      <c r="D28" s="112">
        <v>20542759.295199499</v>
      </c>
      <c r="E28" s="113">
        <f>PFR!F28</f>
        <v>24833704.217562404</v>
      </c>
      <c r="F28" s="114">
        <f t="shared" si="0"/>
        <v>0.20887870323075974</v>
      </c>
      <c r="G28" s="52">
        <f t="shared" si="1"/>
        <v>20542759.295199499</v>
      </c>
      <c r="H28" s="52">
        <f t="shared" si="2"/>
        <v>24833704.217562404</v>
      </c>
      <c r="I28" s="115">
        <f t="shared" si="3"/>
        <v>0.20887870323075974</v>
      </c>
    </row>
    <row r="29" spans="1:9">
      <c r="A29" s="99"/>
      <c r="B29" s="116" t="s">
        <v>70</v>
      </c>
      <c r="C29" s="117">
        <f>PFR!I29</f>
        <v>64.3</v>
      </c>
      <c r="D29" s="118">
        <v>5562212.3256260799</v>
      </c>
      <c r="E29" s="119">
        <f>PFR!F29</f>
        <v>5812682.5611539232</v>
      </c>
      <c r="F29" s="120">
        <f t="shared" si="0"/>
        <v>4.5030685789156921E-2</v>
      </c>
      <c r="G29" s="56" t="str">
        <f t="shared" si="1"/>
        <v/>
      </c>
      <c r="H29" s="56" t="str">
        <f t="shared" si="2"/>
        <v/>
      </c>
      <c r="I29" s="121" t="str">
        <f t="shared" si="3"/>
        <v/>
      </c>
    </row>
    <row r="30" spans="1:9">
      <c r="A30" s="99"/>
      <c r="B30" s="110" t="s">
        <v>71</v>
      </c>
      <c r="C30" s="111">
        <f>PFR!I30</f>
        <v>94.1</v>
      </c>
      <c r="D30" s="112">
        <v>4663654.6350292098</v>
      </c>
      <c r="E30" s="113">
        <f>PFR!F30</f>
        <v>4915450.1353580197</v>
      </c>
      <c r="F30" s="114">
        <f t="shared" si="0"/>
        <v>5.3991026358930494E-2</v>
      </c>
      <c r="G30" s="52" t="str">
        <f t="shared" si="1"/>
        <v/>
      </c>
      <c r="H30" s="52" t="str">
        <f t="shared" si="2"/>
        <v/>
      </c>
      <c r="I30" s="115" t="str">
        <f t="shared" si="3"/>
        <v/>
      </c>
    </row>
    <row r="31" spans="1:9">
      <c r="A31" s="99"/>
      <c r="B31" s="116" t="s">
        <v>72</v>
      </c>
      <c r="C31" s="117">
        <f>PFR!I31</f>
        <v>146.9</v>
      </c>
      <c r="D31" s="118">
        <v>18770834.4109326</v>
      </c>
      <c r="E31" s="119">
        <f>PFR!F31</f>
        <v>19888924.082031365</v>
      </c>
      <c r="F31" s="120">
        <f t="shared" si="0"/>
        <v>5.9565262077404535E-2</v>
      </c>
      <c r="G31" s="56">
        <f t="shared" si="1"/>
        <v>18770834.4109326</v>
      </c>
      <c r="H31" s="56">
        <f t="shared" si="2"/>
        <v>19888924.082031365</v>
      </c>
      <c r="I31" s="121">
        <f t="shared" si="3"/>
        <v>5.9565262077404535E-2</v>
      </c>
    </row>
    <row r="32" spans="1:9">
      <c r="A32" s="122"/>
      <c r="B32" s="123" t="s">
        <v>73</v>
      </c>
      <c r="C32" s="124">
        <f>PFR!I32</f>
        <v>62.3</v>
      </c>
      <c r="D32" s="125">
        <v>1280230.5057301701</v>
      </c>
      <c r="E32" s="126">
        <f>PFR!F32</f>
        <v>1306464.4883624634</v>
      </c>
      <c r="F32" s="127">
        <f t="shared" si="0"/>
        <v>2.0491608749262591E-2</v>
      </c>
      <c r="G32" s="128" t="str">
        <f t="shared" si="1"/>
        <v/>
      </c>
      <c r="H32" s="128" t="str">
        <f t="shared" si="2"/>
        <v/>
      </c>
      <c r="I32" s="129" t="str">
        <f t="shared" si="3"/>
        <v/>
      </c>
    </row>
    <row r="33" spans="1:9">
      <c r="B33" s="59" t="s">
        <v>77</v>
      </c>
      <c r="C33" s="130">
        <f>PFR!I33</f>
        <v>100</v>
      </c>
      <c r="D33" s="131">
        <f>SUM(D7:D32)</f>
        <v>217326785.51183745</v>
      </c>
      <c r="E33" s="132">
        <f>SUM(E7:E32)</f>
        <v>232888974.12109271</v>
      </c>
      <c r="F33" s="133">
        <f t="shared" si="0"/>
        <v>7.1607319698784311E-2</v>
      </c>
      <c r="G33" s="60">
        <f>SUM(G7:G32)</f>
        <v>110344252.34647773</v>
      </c>
      <c r="H33" s="60">
        <f>SUM(H7:H32)</f>
        <v>120303680.59631598</v>
      </c>
      <c r="I33" s="134">
        <f>IF(H33&gt;0,H33/G33-1,0)</f>
        <v>9.0257789037945901E-2</v>
      </c>
    </row>
    <row r="34" spans="1:9">
      <c r="A34" s="135"/>
      <c r="B34" s="31"/>
      <c r="C34" s="31"/>
      <c r="D34" s="31"/>
    </row>
    <row r="35" spans="1:9">
      <c r="B35" s="31"/>
      <c r="C35" s="31"/>
      <c r="D35" s="31"/>
    </row>
  </sheetData>
  <mergeCells count="3">
    <mergeCell ref="C4:C5"/>
    <mergeCell ref="G4:I4"/>
    <mergeCell ref="D4:F4"/>
  </mergeCells>
  <conditionalFormatting sqref="G5:H5 D5:E5 C33 D7:E33">
    <cfRule type="expression" dxfId="8" priority="1" stopIfTrue="1">
      <formula>ISBLANK(C5)</formula>
    </cfRule>
  </conditionalFormatting>
  <conditionalFormatting sqref="G5:H5 D5:E5 C33 D7:E33">
    <cfRule type="expression" dxfId="7" priority="2" stopIfTrue="1">
      <formula>ISBLANK(C5)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scale="99" orientation="landscape" r:id="rId1"/>
  <headerFooter>
    <oddHeader>&amp;L&amp;F&amp;R&amp;A</oddHeader>
    <oddFooter>&amp;C&amp;P/&amp;N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4">
    <pageSetUpPr fitToPage="1"/>
  </sheetPr>
  <dimension ref="A1:H35"/>
  <sheetViews>
    <sheetView showGridLines="0" workbookViewId="0"/>
  </sheetViews>
  <sheetFormatPr baseColWidth="10" defaultColWidth="11.42578125" defaultRowHeight="12.75"/>
  <cols>
    <col min="1" max="1" width="1.42578125" style="2" customWidth="1"/>
    <col min="2" max="2" width="32" style="2" customWidth="1"/>
    <col min="3" max="3" width="15.85546875" style="2" customWidth="1"/>
    <col min="4" max="4" width="19" style="2" customWidth="1"/>
    <col min="5" max="5" width="17.140625" style="2" customWidth="1"/>
    <col min="6" max="6" width="14.5703125" style="2" customWidth="1"/>
    <col min="7" max="7" width="16.28515625" style="2" customWidth="1"/>
    <col min="8" max="8" width="6.140625" style="2" customWidth="1"/>
  </cols>
  <sheetData>
    <row r="1" spans="2:8" ht="18" customHeight="1">
      <c r="B1" s="136" t="str">
        <f>"Extrapolation of resource equalization endowments "&amp;Info!C30</f>
        <v>Extrapolation of resource equalization endowments 2011</v>
      </c>
      <c r="C1" s="1"/>
      <c r="D1" s="1"/>
      <c r="E1" s="1"/>
      <c r="F1" s="1"/>
    </row>
    <row r="2" spans="2:8">
      <c r="B2" s="137" t="s">
        <v>137</v>
      </c>
      <c r="C2" s="1"/>
      <c r="D2" s="1"/>
      <c r="E2" s="1"/>
      <c r="F2" s="1"/>
      <c r="H2" s="31"/>
    </row>
    <row r="3" spans="2:8">
      <c r="B3" s="1"/>
      <c r="C3" s="1"/>
      <c r="D3" s="1"/>
      <c r="E3" s="1"/>
      <c r="F3" s="1"/>
      <c r="G3" s="19" t="str">
        <f>Info!C28</f>
        <v>FA_2011_20120427</v>
      </c>
      <c r="H3" s="31"/>
    </row>
    <row r="4" spans="2:8" ht="24.75" customHeight="1">
      <c r="B4" s="138" t="s">
        <v>83</v>
      </c>
      <c r="C4" s="139">
        <f>G4-1</f>
        <v>2010</v>
      </c>
      <c r="D4" s="140" t="s">
        <v>84</v>
      </c>
      <c r="E4" s="141" t="s">
        <v>85</v>
      </c>
      <c r="F4" s="141" t="s">
        <v>86</v>
      </c>
      <c r="G4" s="142">
        <f>Info!C30</f>
        <v>2011</v>
      </c>
      <c r="H4" s="31"/>
    </row>
    <row r="5" spans="2:8">
      <c r="B5" s="44" t="s">
        <v>87</v>
      </c>
      <c r="C5" s="45">
        <v>1960225581.4791999</v>
      </c>
      <c r="D5" s="143">
        <f>Growth_rates!F33</f>
        <v>7.1607319698784311E-2</v>
      </c>
      <c r="E5" s="47">
        <f>C5*(1+D5)</f>
        <v>2100592081.3739164</v>
      </c>
      <c r="F5" s="45">
        <v>0</v>
      </c>
      <c r="G5" s="144">
        <f>E5+F5</f>
        <v>2100592081.3739164</v>
      </c>
      <c r="H5" s="31"/>
    </row>
    <row r="6" spans="2:8">
      <c r="B6" s="94" t="s">
        <v>88</v>
      </c>
      <c r="C6" s="145">
        <v>1405762187.38866</v>
      </c>
      <c r="D6" s="146">
        <f>Growth_rates!I33</f>
        <v>9.0257789037945901E-2</v>
      </c>
      <c r="E6" s="147">
        <f>C6*(1+D6)</f>
        <v>1532643174.3355069</v>
      </c>
      <c r="F6" s="145">
        <v>0</v>
      </c>
      <c r="G6" s="148">
        <f>E6+F6</f>
        <v>1532643174.3355069</v>
      </c>
      <c r="H6" s="31"/>
    </row>
    <row r="7" spans="2:8">
      <c r="B7" s="149"/>
      <c r="C7" s="31"/>
      <c r="D7" s="31"/>
      <c r="E7" s="1"/>
      <c r="F7" s="1"/>
      <c r="H7" s="31"/>
    </row>
    <row r="8" spans="2:8">
      <c r="B8" s="1"/>
      <c r="C8" s="1"/>
      <c r="D8" s="1"/>
      <c r="E8" s="1"/>
      <c r="F8" s="1"/>
    </row>
    <row r="9" spans="2:8">
      <c r="B9" s="1"/>
      <c r="C9" s="1"/>
      <c r="D9" s="1"/>
      <c r="E9" s="1"/>
      <c r="F9" s="1"/>
    </row>
    <row r="10" spans="2:8">
      <c r="B10" s="1"/>
      <c r="C10" s="1"/>
      <c r="D10" s="1"/>
      <c r="E10" s="150"/>
      <c r="F10" s="1"/>
    </row>
    <row r="11" spans="2:8">
      <c r="B11" s="137"/>
      <c r="C11" s="151"/>
      <c r="D11" s="151"/>
      <c r="E11" s="150"/>
      <c r="F11" s="152"/>
      <c r="G11" s="152"/>
    </row>
    <row r="12" spans="2:8">
      <c r="B12" s="153" t="s">
        <v>89</v>
      </c>
      <c r="C12" s="154">
        <f>C4</f>
        <v>2010</v>
      </c>
      <c r="D12" s="155">
        <f>G4</f>
        <v>2011</v>
      </c>
      <c r="E12" s="150"/>
      <c r="F12" s="152"/>
      <c r="G12" s="152"/>
    </row>
    <row r="13" spans="2:8">
      <c r="B13" s="116" t="s">
        <v>90</v>
      </c>
      <c r="C13" s="56">
        <f>0.8*C$5</f>
        <v>1568180465.1833601</v>
      </c>
      <c r="D13" s="89">
        <f>0.8*G5</f>
        <v>1680473665.0991333</v>
      </c>
      <c r="E13" s="150"/>
      <c r="F13" s="152"/>
      <c r="G13" s="152"/>
    </row>
    <row r="14" spans="2:8">
      <c r="B14" s="156" t="s">
        <v>91</v>
      </c>
      <c r="C14" s="157">
        <f>C6/C5</f>
        <v>0.71714306795642468</v>
      </c>
      <c r="D14" s="158">
        <f>G6/G5</f>
        <v>0.72962437015999038</v>
      </c>
      <c r="E14" s="1"/>
      <c r="F14" s="1"/>
    </row>
    <row r="15" spans="2:8">
      <c r="B15" s="94" t="s">
        <v>92</v>
      </c>
      <c r="C15" s="147">
        <f>(2/3)*C$5</f>
        <v>1306817054.3194666</v>
      </c>
      <c r="D15" s="159">
        <f>(2/3)*G5</f>
        <v>1400394720.9159441</v>
      </c>
      <c r="E15" s="1"/>
      <c r="F15" s="1"/>
    </row>
    <row r="16" spans="2:8">
      <c r="B16" s="160" t="s">
        <v>93</v>
      </c>
      <c r="E16" s="1"/>
      <c r="F16" s="1"/>
    </row>
    <row r="17" spans="2:6">
      <c r="B17" s="161" t="s">
        <v>94</v>
      </c>
      <c r="E17" s="1"/>
      <c r="F17" s="1"/>
    </row>
    <row r="18" spans="2:6">
      <c r="B18" s="1"/>
      <c r="C18" s="1"/>
      <c r="D18" s="1"/>
      <c r="E18" s="1"/>
      <c r="F18" s="1"/>
    </row>
    <row r="19" spans="2:6">
      <c r="B19" s="1"/>
      <c r="C19" s="1"/>
      <c r="D19" s="1"/>
      <c r="E19" s="1"/>
      <c r="F19" s="1"/>
    </row>
    <row r="20" spans="2:6">
      <c r="B20" s="1"/>
      <c r="C20" s="1"/>
      <c r="D20" s="1"/>
      <c r="E20" s="1"/>
      <c r="F20" s="1"/>
    </row>
    <row r="21" spans="2:6">
      <c r="B21" s="1"/>
      <c r="C21" s="1"/>
      <c r="D21" s="1"/>
      <c r="E21" s="1"/>
      <c r="F21" s="1"/>
    </row>
    <row r="22" spans="2:6">
      <c r="B22" s="137"/>
      <c r="C22" s="1"/>
      <c r="D22" s="1"/>
      <c r="E22" s="1"/>
      <c r="F22" s="1"/>
    </row>
    <row r="23" spans="2:6" ht="15.75" customHeight="1">
      <c r="B23" s="162" t="str">
        <f>"Endowments "&amp;G4</f>
        <v>Endowments 2011</v>
      </c>
      <c r="C23" s="163"/>
      <c r="D23" s="164"/>
      <c r="E23" s="1"/>
      <c r="F23" s="1"/>
    </row>
    <row r="24" spans="2:6" ht="15.75" customHeight="1">
      <c r="B24" s="165" t="s">
        <v>87</v>
      </c>
      <c r="C24" s="166"/>
      <c r="D24" s="167">
        <f>G5</f>
        <v>2100592081.3739164</v>
      </c>
      <c r="E24" s="1"/>
      <c r="F24" s="1"/>
    </row>
    <row r="25" spans="2:6" ht="15.75" customHeight="1">
      <c r="B25" s="165" t="s">
        <v>88</v>
      </c>
      <c r="C25" s="166"/>
      <c r="D25" s="167">
        <f>IF(G6&gt;D13,D13,IF(G6&lt;D15,D15,G6))</f>
        <v>1532643174.3355069</v>
      </c>
      <c r="E25" s="1"/>
      <c r="F25" s="1"/>
    </row>
    <row r="26" spans="2:6" ht="20.25" customHeight="1">
      <c r="B26" s="168" t="s">
        <v>95</v>
      </c>
      <c r="C26" s="169"/>
      <c r="D26" s="170">
        <f>D24+D25</f>
        <v>3633235255.7094231</v>
      </c>
      <c r="E26" s="1"/>
      <c r="F26" s="1"/>
    </row>
    <row r="27" spans="2:6">
      <c r="B27" s="1"/>
      <c r="C27" s="1"/>
      <c r="D27" s="1"/>
      <c r="E27" s="1"/>
      <c r="F27" s="1"/>
    </row>
    <row r="28" spans="2:6" hidden="1">
      <c r="B28" s="1"/>
      <c r="C28" s="1"/>
      <c r="D28" s="1"/>
      <c r="E28" s="1"/>
      <c r="F28" s="1"/>
    </row>
    <row r="29" spans="2:6" hidden="1">
      <c r="B29" s="1"/>
      <c r="C29" s="1"/>
      <c r="D29" s="1"/>
      <c r="E29" s="1"/>
      <c r="F29" s="1"/>
    </row>
    <row r="30" spans="2:6">
      <c r="B30" s="1"/>
      <c r="C30" s="1"/>
      <c r="D30" s="1"/>
      <c r="E30" s="1"/>
      <c r="F30" s="1"/>
    </row>
    <row r="31" spans="2:6">
      <c r="B31" s="311" t="str">
        <f>"Actual growth rates* "&amp;C4&amp;"-"&amp;G4</f>
        <v>Actual growth rates* 2010-2011</v>
      </c>
      <c r="C31" s="312"/>
      <c r="D31" s="1"/>
      <c r="E31" s="1"/>
      <c r="F31" s="1"/>
    </row>
    <row r="32" spans="2:6">
      <c r="B32" s="171" t="s">
        <v>87</v>
      </c>
      <c r="C32" s="109">
        <f>D24/C5-1</f>
        <v>7.1607319698784311E-2</v>
      </c>
      <c r="D32" s="1"/>
      <c r="E32" s="1"/>
      <c r="F32" s="1"/>
    </row>
    <row r="33" spans="2:6">
      <c r="B33" s="172" t="s">
        <v>88</v>
      </c>
      <c r="C33" s="173">
        <f>D25/C6-1</f>
        <v>9.0257789037945901E-2</v>
      </c>
      <c r="D33" s="1"/>
      <c r="E33" s="1"/>
      <c r="F33" s="1"/>
    </row>
    <row r="34" spans="2:6" ht="17.25" customHeight="1">
      <c r="B34" s="174" t="s">
        <v>96</v>
      </c>
      <c r="C34" s="175">
        <f>D26/(C5+C6)-1</f>
        <v>7.9396452153909891E-2</v>
      </c>
      <c r="D34" s="1"/>
      <c r="E34" s="1"/>
      <c r="F34" s="1"/>
    </row>
    <row r="35" spans="2:6">
      <c r="B35" s="35" t="s">
        <v>97</v>
      </c>
      <c r="C35" s="1"/>
      <c r="D35" s="1"/>
      <c r="E35" s="1"/>
      <c r="F35" s="1"/>
    </row>
  </sheetData>
  <mergeCells count="1">
    <mergeCell ref="B31:C31"/>
  </mergeCells>
  <conditionalFormatting sqref="C5:C6 F5:F6">
    <cfRule type="expression" dxfId="6" priority="1" stopIfTrue="1">
      <formula>ISBLANK(C5)</formula>
    </cfRule>
  </conditionalFormatting>
  <conditionalFormatting sqref="C5:C6 F5:F6">
    <cfRule type="expression" dxfId="5" priority="2" stopIfTrue="1">
      <formula>ISBLANK(C5)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>
    <oddHeader>&amp;L&amp;F&amp;R&amp;A</oddHeader>
    <oddFooter>&amp;C&amp;P/&amp;N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5">
    <tabColor indexed="13"/>
    <pageSetUpPr fitToPage="1"/>
  </sheetPr>
  <dimension ref="A1:F33"/>
  <sheetViews>
    <sheetView showGridLines="0" workbookViewId="0">
      <selection activeCell="A3" sqref="A3"/>
    </sheetView>
  </sheetViews>
  <sheetFormatPr baseColWidth="10" defaultColWidth="11.42578125" defaultRowHeight="12.75"/>
  <cols>
    <col min="1" max="1" width="16.5703125" style="2" customWidth="1"/>
    <col min="2" max="2" width="11.7109375" style="2" customWidth="1"/>
    <col min="3" max="3" width="14.28515625" style="2" customWidth="1"/>
    <col min="4" max="4" width="18.85546875" style="2" customWidth="1"/>
    <col min="5" max="5" width="19.7109375" style="2" customWidth="1"/>
    <col min="6" max="6" width="13" style="2" customWidth="1"/>
  </cols>
  <sheetData>
    <row r="1" spans="1:6" ht="26.25" customHeight="1">
      <c r="A1" s="93" t="str">
        <f>"Inpayments of financially strong cantons "&amp;Info!C30</f>
        <v>Inpayments of financially strong cantons 2011</v>
      </c>
      <c r="B1" s="93"/>
      <c r="C1" s="93"/>
      <c r="D1" s="93"/>
      <c r="E1" s="93"/>
      <c r="F1" s="93"/>
    </row>
    <row r="2" spans="1:6" ht="18.75" customHeight="1">
      <c r="F2" s="19" t="str">
        <f>Info!$C$28</f>
        <v>FA_2011_20120427</v>
      </c>
    </row>
    <row r="3" spans="1:6" s="2" customFormat="1">
      <c r="A3" s="62" t="s">
        <v>27</v>
      </c>
      <c r="B3" s="176" t="s">
        <v>98</v>
      </c>
      <c r="C3" s="63" t="s">
        <v>28</v>
      </c>
      <c r="D3" s="63" t="s">
        <v>29</v>
      </c>
      <c r="E3" s="63" t="s">
        <v>30</v>
      </c>
      <c r="F3" s="64" t="s">
        <v>31</v>
      </c>
    </row>
    <row r="4" spans="1:6" s="35" customFormat="1" ht="11.25" customHeight="1">
      <c r="A4" s="177" t="s">
        <v>35</v>
      </c>
      <c r="B4" s="178"/>
      <c r="C4" s="179"/>
      <c r="D4" s="179" t="s">
        <v>99</v>
      </c>
      <c r="E4" s="179" t="s">
        <v>100</v>
      </c>
      <c r="F4" s="180" t="s">
        <v>101</v>
      </c>
    </row>
    <row r="5" spans="1:6" ht="28.5" customHeight="1">
      <c r="A5" s="181"/>
      <c r="B5" s="182" t="s">
        <v>42</v>
      </c>
      <c r="C5" s="182" t="s">
        <v>6</v>
      </c>
      <c r="D5" s="183" t="s">
        <v>102</v>
      </c>
      <c r="E5" s="183" t="s">
        <v>103</v>
      </c>
      <c r="F5" s="184" t="s">
        <v>104</v>
      </c>
    </row>
    <row r="6" spans="1:6">
      <c r="A6" s="76" t="s">
        <v>44</v>
      </c>
      <c r="B6" s="185" t="s">
        <v>81</v>
      </c>
      <c r="C6" s="102" t="s">
        <v>46</v>
      </c>
      <c r="D6" s="102"/>
      <c r="E6" s="102" t="s">
        <v>47</v>
      </c>
      <c r="F6" s="186" t="s">
        <v>47</v>
      </c>
    </row>
    <row r="7" spans="1:6" s="187" customFormat="1" ht="15" customHeight="1">
      <c r="A7" s="188" t="s">
        <v>48</v>
      </c>
      <c r="B7" s="189">
        <f>PFR!I7</f>
        <v>127.8</v>
      </c>
      <c r="C7" s="190">
        <f>PFR!G7</f>
        <v>1307308.6666666667</v>
      </c>
      <c r="D7" s="191">
        <f t="shared" ref="D7:D32" si="0">IF(B7&gt;100,(B7-100)*C7,0)</f>
        <v>36343180.93333333</v>
      </c>
      <c r="E7" s="191">
        <f t="shared" ref="E7:E32" si="1">IF(B7&gt;100,A/$D$33*(B7-100),0)</f>
        <v>421.21223977434147</v>
      </c>
      <c r="F7" s="192">
        <f t="shared" ref="F7:F32" si="2">E7*C7</f>
        <v>550654411.56307471</v>
      </c>
    </row>
    <row r="8" spans="1:6" s="187" customFormat="1" ht="15" customHeight="1">
      <c r="A8" s="193" t="s">
        <v>49</v>
      </c>
      <c r="B8" s="194">
        <f>PFR!I8</f>
        <v>74.900000000000006</v>
      </c>
      <c r="C8" s="195">
        <f>PFR!G8</f>
        <v>966769</v>
      </c>
      <c r="D8" s="196">
        <f t="shared" si="0"/>
        <v>0</v>
      </c>
      <c r="E8" s="196">
        <f t="shared" si="1"/>
        <v>0</v>
      </c>
      <c r="F8" s="197">
        <f t="shared" si="2"/>
        <v>0</v>
      </c>
    </row>
    <row r="9" spans="1:6" s="187" customFormat="1" ht="15" customHeight="1">
      <c r="A9" s="188" t="s">
        <v>50</v>
      </c>
      <c r="B9" s="189">
        <f>PFR!I9</f>
        <v>74.099999999999994</v>
      </c>
      <c r="C9" s="190">
        <f>PFR!G9</f>
        <v>358649</v>
      </c>
      <c r="D9" s="191">
        <f t="shared" si="0"/>
        <v>0</v>
      </c>
      <c r="E9" s="191">
        <f t="shared" si="1"/>
        <v>0</v>
      </c>
      <c r="F9" s="192">
        <f t="shared" si="2"/>
        <v>0</v>
      </c>
    </row>
    <row r="10" spans="1:6" s="187" customFormat="1" ht="15" customHeight="1">
      <c r="A10" s="193" t="s">
        <v>51</v>
      </c>
      <c r="B10" s="194">
        <f>PFR!I10</f>
        <v>57.2</v>
      </c>
      <c r="C10" s="195">
        <f>PFR!G10</f>
        <v>34558</v>
      </c>
      <c r="D10" s="196">
        <f t="shared" si="0"/>
        <v>0</v>
      </c>
      <c r="E10" s="196">
        <f t="shared" si="1"/>
        <v>0</v>
      </c>
      <c r="F10" s="197">
        <f t="shared" si="2"/>
        <v>0</v>
      </c>
    </row>
    <row r="11" spans="1:6" s="187" customFormat="1" ht="15" customHeight="1">
      <c r="A11" s="188" t="s">
        <v>52</v>
      </c>
      <c r="B11" s="189">
        <f>PFR!I11</f>
        <v>140.1</v>
      </c>
      <c r="C11" s="190">
        <f>PFR!G11</f>
        <v>138181</v>
      </c>
      <c r="D11" s="191">
        <f t="shared" si="0"/>
        <v>5541058.0999999996</v>
      </c>
      <c r="E11" s="191">
        <f t="shared" si="1"/>
        <v>607.57592859536305</v>
      </c>
      <c r="F11" s="192">
        <f t="shared" si="2"/>
        <v>83955449.389235869</v>
      </c>
    </row>
    <row r="12" spans="1:6" s="187" customFormat="1" ht="15" customHeight="1">
      <c r="A12" s="193" t="s">
        <v>53</v>
      </c>
      <c r="B12" s="194">
        <f>PFR!I12</f>
        <v>74</v>
      </c>
      <c r="C12" s="195">
        <f>PFR!G12</f>
        <v>33422.666666666664</v>
      </c>
      <c r="D12" s="196">
        <f t="shared" si="0"/>
        <v>0</v>
      </c>
      <c r="E12" s="196">
        <f t="shared" si="1"/>
        <v>0</v>
      </c>
      <c r="F12" s="197">
        <f t="shared" si="2"/>
        <v>0</v>
      </c>
    </row>
    <row r="13" spans="1:6" s="187" customFormat="1" ht="15" customHeight="1">
      <c r="A13" s="188" t="s">
        <v>54</v>
      </c>
      <c r="B13" s="189">
        <f>PFR!I13</f>
        <v>124.5</v>
      </c>
      <c r="C13" s="190">
        <f>PFR!G13</f>
        <v>39344.666666666664</v>
      </c>
      <c r="D13" s="191">
        <f t="shared" si="0"/>
        <v>963944.33333333326</v>
      </c>
      <c r="E13" s="191">
        <f t="shared" si="1"/>
        <v>371.21222570040891</v>
      </c>
      <c r="F13" s="192">
        <f t="shared" si="2"/>
        <v>14605221.28277402</v>
      </c>
    </row>
    <row r="14" spans="1:6" s="187" customFormat="1" ht="15" customHeight="1">
      <c r="A14" s="193" t="s">
        <v>55</v>
      </c>
      <c r="B14" s="194">
        <f>PFR!I14</f>
        <v>65.400000000000006</v>
      </c>
      <c r="C14" s="195">
        <f>PFR!G14</f>
        <v>38044.333333333336</v>
      </c>
      <c r="D14" s="196">
        <f t="shared" si="0"/>
        <v>0</v>
      </c>
      <c r="E14" s="196">
        <f t="shared" si="1"/>
        <v>0</v>
      </c>
      <c r="F14" s="197">
        <f t="shared" si="2"/>
        <v>0</v>
      </c>
    </row>
    <row r="15" spans="1:6" s="187" customFormat="1" ht="15" customHeight="1">
      <c r="A15" s="188" t="s">
        <v>56</v>
      </c>
      <c r="B15" s="189">
        <f>PFR!I15</f>
        <v>246.1</v>
      </c>
      <c r="C15" s="190">
        <f>PFR!G15</f>
        <v>107509.33333333333</v>
      </c>
      <c r="D15" s="191">
        <f t="shared" si="0"/>
        <v>15707113.599999998</v>
      </c>
      <c r="E15" s="191">
        <f t="shared" si="1"/>
        <v>2213.6369867277444</v>
      </c>
      <c r="F15" s="192">
        <f t="shared" si="2"/>
        <v>237986636.68510863</v>
      </c>
    </row>
    <row r="16" spans="1:6" s="187" customFormat="1" ht="15" customHeight="1">
      <c r="A16" s="193" t="s">
        <v>57</v>
      </c>
      <c r="B16" s="194">
        <f>PFR!I16</f>
        <v>68.099999999999994</v>
      </c>
      <c r="C16" s="195">
        <f>PFR!G16</f>
        <v>259796</v>
      </c>
      <c r="D16" s="196">
        <f t="shared" si="0"/>
        <v>0</v>
      </c>
      <c r="E16" s="196">
        <f t="shared" si="1"/>
        <v>0</v>
      </c>
      <c r="F16" s="197">
        <f t="shared" si="2"/>
        <v>0</v>
      </c>
    </row>
    <row r="17" spans="1:6" s="187" customFormat="1" ht="15" customHeight="1">
      <c r="A17" s="188" t="s">
        <v>58</v>
      </c>
      <c r="B17" s="189">
        <f>PFR!I17</f>
        <v>76.5</v>
      </c>
      <c r="C17" s="190">
        <f>PFR!G17</f>
        <v>247806.33333333334</v>
      </c>
      <c r="D17" s="191">
        <f t="shared" si="0"/>
        <v>0</v>
      </c>
      <c r="E17" s="191">
        <f t="shared" si="1"/>
        <v>0</v>
      </c>
      <c r="F17" s="192">
        <f t="shared" si="2"/>
        <v>0</v>
      </c>
    </row>
    <row r="18" spans="1:6" s="187" customFormat="1" ht="15" customHeight="1">
      <c r="A18" s="193" t="s">
        <v>59</v>
      </c>
      <c r="B18" s="194">
        <f>PFR!I18</f>
        <v>144.69999999999999</v>
      </c>
      <c r="C18" s="195">
        <f>PFR!G18</f>
        <v>190212.33333333334</v>
      </c>
      <c r="D18" s="196">
        <f t="shared" si="0"/>
        <v>8502491.2999999989</v>
      </c>
      <c r="E18" s="196">
        <f t="shared" si="1"/>
        <v>677.27291791054176</v>
      </c>
      <c r="F18" s="197">
        <f t="shared" si="2"/>
        <v>128825662.01923928</v>
      </c>
    </row>
    <row r="19" spans="1:6" s="187" customFormat="1" ht="15" customHeight="1">
      <c r="A19" s="188" t="s">
        <v>60</v>
      </c>
      <c r="B19" s="189">
        <f>PFR!I19</f>
        <v>98.2</v>
      </c>
      <c r="C19" s="190">
        <f>PFR!G19</f>
        <v>265913.33333333331</v>
      </c>
      <c r="D19" s="191">
        <f t="shared" si="0"/>
        <v>0</v>
      </c>
      <c r="E19" s="191">
        <f t="shared" si="1"/>
        <v>0</v>
      </c>
      <c r="F19" s="192">
        <f t="shared" si="2"/>
        <v>0</v>
      </c>
    </row>
    <row r="20" spans="1:6" s="187" customFormat="1" ht="15" customHeight="1">
      <c r="A20" s="193" t="s">
        <v>61</v>
      </c>
      <c r="B20" s="194">
        <f>PFR!I20</f>
        <v>95.9</v>
      </c>
      <c r="C20" s="195">
        <f>PFR!G20</f>
        <v>74349.666666666672</v>
      </c>
      <c r="D20" s="196">
        <f t="shared" si="0"/>
        <v>0</v>
      </c>
      <c r="E20" s="196">
        <f t="shared" si="1"/>
        <v>0</v>
      </c>
      <c r="F20" s="197">
        <f t="shared" si="2"/>
        <v>0</v>
      </c>
    </row>
    <row r="21" spans="1:6" s="187" customFormat="1" ht="15" customHeight="1">
      <c r="A21" s="188" t="s">
        <v>62</v>
      </c>
      <c r="B21" s="189">
        <f>PFR!I21</f>
        <v>74.099999999999994</v>
      </c>
      <c r="C21" s="190">
        <f>PFR!G21</f>
        <v>52345</v>
      </c>
      <c r="D21" s="191">
        <f t="shared" si="0"/>
        <v>0</v>
      </c>
      <c r="E21" s="191">
        <f t="shared" si="1"/>
        <v>0</v>
      </c>
      <c r="F21" s="192">
        <f t="shared" si="2"/>
        <v>0</v>
      </c>
    </row>
    <row r="22" spans="1:6" s="187" customFormat="1" ht="15" customHeight="1">
      <c r="A22" s="193" t="s">
        <v>63</v>
      </c>
      <c r="B22" s="194">
        <f>PFR!I22</f>
        <v>80.5</v>
      </c>
      <c r="C22" s="195">
        <f>PFR!G22</f>
        <v>15051.666666666666</v>
      </c>
      <c r="D22" s="196">
        <f t="shared" si="0"/>
        <v>0</v>
      </c>
      <c r="E22" s="196">
        <f t="shared" si="1"/>
        <v>0</v>
      </c>
      <c r="F22" s="197">
        <f t="shared" si="2"/>
        <v>0</v>
      </c>
    </row>
    <row r="23" spans="1:6" s="187" customFormat="1" ht="15" customHeight="1">
      <c r="A23" s="188" t="s">
        <v>64</v>
      </c>
      <c r="B23" s="189">
        <f>PFR!I23</f>
        <v>73.599999999999994</v>
      </c>
      <c r="C23" s="190">
        <f>PFR!G23</f>
        <v>463263</v>
      </c>
      <c r="D23" s="191">
        <f t="shared" si="0"/>
        <v>0</v>
      </c>
      <c r="E23" s="191">
        <f t="shared" si="1"/>
        <v>0</v>
      </c>
      <c r="F23" s="192">
        <f t="shared" si="2"/>
        <v>0</v>
      </c>
    </row>
    <row r="24" spans="1:6" s="187" customFormat="1" ht="15" customHeight="1">
      <c r="A24" s="193" t="s">
        <v>65</v>
      </c>
      <c r="B24" s="194">
        <f>PFR!I24</f>
        <v>76.900000000000006</v>
      </c>
      <c r="C24" s="195">
        <f>PFR!G24</f>
        <v>191538.66666666666</v>
      </c>
      <c r="D24" s="196">
        <f t="shared" si="0"/>
        <v>0</v>
      </c>
      <c r="E24" s="196">
        <f t="shared" si="1"/>
        <v>0</v>
      </c>
      <c r="F24" s="197">
        <f t="shared" si="2"/>
        <v>0</v>
      </c>
    </row>
    <row r="25" spans="1:6" s="187" customFormat="1" ht="15" customHeight="1">
      <c r="A25" s="188" t="s">
        <v>66</v>
      </c>
      <c r="B25" s="189">
        <f>PFR!I25</f>
        <v>84.5</v>
      </c>
      <c r="C25" s="190">
        <f>PFR!G25</f>
        <v>572912.33333333337</v>
      </c>
      <c r="D25" s="191">
        <f t="shared" si="0"/>
        <v>0</v>
      </c>
      <c r="E25" s="191">
        <f t="shared" si="1"/>
        <v>0</v>
      </c>
      <c r="F25" s="192">
        <f t="shared" si="2"/>
        <v>0</v>
      </c>
    </row>
    <row r="26" spans="1:6" s="187" customFormat="1" ht="15" customHeight="1">
      <c r="A26" s="193" t="s">
        <v>67</v>
      </c>
      <c r="B26" s="194">
        <f>PFR!I26</f>
        <v>73.099999999999994</v>
      </c>
      <c r="C26" s="195">
        <f>PFR!G26</f>
        <v>236028</v>
      </c>
      <c r="D26" s="196">
        <f t="shared" si="0"/>
        <v>0</v>
      </c>
      <c r="E26" s="196">
        <f t="shared" si="1"/>
        <v>0</v>
      </c>
      <c r="F26" s="197">
        <f t="shared" si="2"/>
        <v>0</v>
      </c>
    </row>
    <row r="27" spans="1:6" s="187" customFormat="1" ht="15" customHeight="1">
      <c r="A27" s="188" t="s">
        <v>68</v>
      </c>
      <c r="B27" s="189">
        <f>PFR!I27</f>
        <v>95.4</v>
      </c>
      <c r="C27" s="190">
        <f>PFR!G27</f>
        <v>324871.33333333331</v>
      </c>
      <c r="D27" s="191">
        <f t="shared" si="0"/>
        <v>0</v>
      </c>
      <c r="E27" s="191">
        <f t="shared" si="1"/>
        <v>0</v>
      </c>
      <c r="F27" s="192">
        <f t="shared" si="2"/>
        <v>0</v>
      </c>
    </row>
    <row r="28" spans="1:6" s="187" customFormat="1" ht="15" customHeight="1">
      <c r="A28" s="193" t="s">
        <v>69</v>
      </c>
      <c r="B28" s="194">
        <f>PFR!I28</f>
        <v>120.1</v>
      </c>
      <c r="C28" s="195">
        <f>PFR!G28</f>
        <v>671035</v>
      </c>
      <c r="D28" s="196">
        <f t="shared" si="0"/>
        <v>13487803.499999996</v>
      </c>
      <c r="E28" s="196">
        <f t="shared" si="1"/>
        <v>304.54554026849866</v>
      </c>
      <c r="F28" s="197">
        <f t="shared" si="2"/>
        <v>204360716.614072</v>
      </c>
    </row>
    <row r="29" spans="1:6" s="187" customFormat="1" ht="15" customHeight="1">
      <c r="A29" s="188" t="s">
        <v>70</v>
      </c>
      <c r="B29" s="189">
        <f>PFR!I29</f>
        <v>64.3</v>
      </c>
      <c r="C29" s="190">
        <f>PFR!G29</f>
        <v>293251.33333333331</v>
      </c>
      <c r="D29" s="191">
        <f t="shared" si="0"/>
        <v>0</v>
      </c>
      <c r="E29" s="191">
        <f t="shared" si="1"/>
        <v>0</v>
      </c>
      <c r="F29" s="192">
        <f t="shared" si="2"/>
        <v>0</v>
      </c>
    </row>
    <row r="30" spans="1:6" s="187" customFormat="1" ht="15" customHeight="1">
      <c r="A30" s="193" t="s">
        <v>71</v>
      </c>
      <c r="B30" s="194">
        <f>PFR!I30</f>
        <v>94.1</v>
      </c>
      <c r="C30" s="195">
        <f>PFR!G30</f>
        <v>169520.33333333334</v>
      </c>
      <c r="D30" s="196">
        <f t="shared" si="0"/>
        <v>0</v>
      </c>
      <c r="E30" s="196">
        <f t="shared" si="1"/>
        <v>0</v>
      </c>
      <c r="F30" s="197">
        <f t="shared" si="2"/>
        <v>0</v>
      </c>
    </row>
    <row r="31" spans="1:6" s="187" customFormat="1" ht="15" customHeight="1">
      <c r="A31" s="188" t="s">
        <v>72</v>
      </c>
      <c r="B31" s="189">
        <f>PFR!I31</f>
        <v>146.9</v>
      </c>
      <c r="C31" s="190">
        <f>PFR!G31</f>
        <v>439420.66666666669</v>
      </c>
      <c r="D31" s="191">
        <f t="shared" si="0"/>
        <v>20608829.266666669</v>
      </c>
      <c r="E31" s="191">
        <f t="shared" si="1"/>
        <v>710.60626062649715</v>
      </c>
      <c r="F31" s="192">
        <f t="shared" si="2"/>
        <v>312255076.78200245</v>
      </c>
    </row>
    <row r="32" spans="1:6" s="187" customFormat="1" ht="15" customHeight="1">
      <c r="A32" s="193" t="s">
        <v>73</v>
      </c>
      <c r="B32" s="194">
        <f>PFR!I32</f>
        <v>62.3</v>
      </c>
      <c r="C32" s="195">
        <f>PFR!G32</f>
        <v>68052.666666666672</v>
      </c>
      <c r="D32" s="196">
        <f t="shared" si="0"/>
        <v>0</v>
      </c>
      <c r="E32" s="196">
        <f t="shared" si="1"/>
        <v>0</v>
      </c>
      <c r="F32" s="197">
        <f t="shared" si="2"/>
        <v>0</v>
      </c>
    </row>
    <row r="33" spans="1:6" s="187" customFormat="1" ht="15" customHeight="1">
      <c r="A33" s="198" t="s">
        <v>77</v>
      </c>
      <c r="B33" s="199">
        <f>PFR!I33</f>
        <v>100</v>
      </c>
      <c r="C33" s="200">
        <f>SUM(BEV)</f>
        <v>7559154.333333333</v>
      </c>
      <c r="D33" s="200">
        <f>SUM(D7:D32)</f>
        <v>101154421.03333333</v>
      </c>
      <c r="E33" s="200"/>
      <c r="F33" s="201">
        <f>SUM(F7:F32)</f>
        <v>1532643174.3355069</v>
      </c>
    </row>
  </sheetData>
  <conditionalFormatting sqref="B33">
    <cfRule type="expression" dxfId="4" priority="1" stopIfTrue="1">
      <formula>ISBLANK(B33)</formula>
    </cfRule>
  </conditionalFormatting>
  <conditionalFormatting sqref="B33">
    <cfRule type="expression" dxfId="3" priority="2" stopIfTrue="1">
      <formula>ISBLANK(B33)</formula>
    </cfRule>
  </conditionalFormatting>
  <printOptions horizontalCentered="1"/>
  <pageMargins left="0.78740157480314965" right="0.78740157480314965" top="0.74803149606299213" bottom="0.78740157480314965" header="0.51181102362204722" footer="0.51181102362204722"/>
  <pageSetup paperSize="9" scale="97" orientation="landscape" r:id="rId1"/>
  <headerFooter>
    <oddHeader>&amp;L&amp;F&amp;R&amp;A</oddHeader>
    <oddFooter>&amp;C&amp;P/&amp;N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6">
    <tabColor indexed="52"/>
    <pageSetUpPr fitToPage="1"/>
  </sheetPr>
  <dimension ref="A1:L32"/>
  <sheetViews>
    <sheetView showGridLines="0" workbookViewId="0">
      <selection activeCell="A3" sqref="A3"/>
    </sheetView>
  </sheetViews>
  <sheetFormatPr baseColWidth="10" defaultColWidth="11.42578125" defaultRowHeight="12.75"/>
  <cols>
    <col min="1" max="1" width="17.28515625" style="2" customWidth="1"/>
    <col min="2" max="2" width="11.85546875" style="2" customWidth="1"/>
    <col min="3" max="3" width="13.5703125" style="2" customWidth="1"/>
    <col min="4" max="4" width="15.140625" style="2" customWidth="1"/>
    <col min="5" max="5" width="13" style="2" customWidth="1"/>
    <col min="6" max="8" width="13.7109375" style="2" customWidth="1"/>
    <col min="9" max="9" width="5" style="1" customWidth="1"/>
    <col min="10" max="10" width="11.28515625" style="2" customWidth="1"/>
    <col min="11" max="11" width="12.42578125" style="2" customWidth="1"/>
  </cols>
  <sheetData>
    <row r="1" spans="1:12" ht="26.25" customHeight="1">
      <c r="A1" s="93" t="str">
        <f>"Outpayments to financially weak cantons "&amp;Info!C30</f>
        <v>Outpayments to financially weak cantons 2011</v>
      </c>
      <c r="B1" s="93"/>
      <c r="C1" s="93"/>
      <c r="D1" s="93"/>
      <c r="E1" s="93"/>
      <c r="F1" s="93"/>
      <c r="G1" s="93"/>
      <c r="H1" s="93"/>
      <c r="J1" s="1"/>
      <c r="K1" s="1"/>
    </row>
    <row r="2" spans="1:12" ht="18.75" customHeight="1">
      <c r="G2" s="1"/>
      <c r="H2" s="19" t="str">
        <f>Info!$C$28</f>
        <v>FA_2011_20120427</v>
      </c>
      <c r="I2" s="2"/>
      <c r="J2" s="1"/>
      <c r="K2" s="1"/>
    </row>
    <row r="3" spans="1:12" s="2" customFormat="1">
      <c r="A3" s="62" t="s">
        <v>27</v>
      </c>
      <c r="B3" s="176" t="s">
        <v>98</v>
      </c>
      <c r="C3" s="63" t="s">
        <v>28</v>
      </c>
      <c r="D3" s="63" t="s">
        <v>29</v>
      </c>
      <c r="E3" s="63" t="s">
        <v>30</v>
      </c>
      <c r="F3" s="63" t="s">
        <v>31</v>
      </c>
      <c r="G3" s="63" t="s">
        <v>32</v>
      </c>
      <c r="H3" s="64" t="s">
        <v>33</v>
      </c>
    </row>
    <row r="4" spans="1:12" ht="45" customHeight="1">
      <c r="A4" s="181"/>
      <c r="B4" s="183" t="s">
        <v>42</v>
      </c>
      <c r="C4" s="183" t="s">
        <v>6</v>
      </c>
      <c r="D4" s="183" t="s">
        <v>102</v>
      </c>
      <c r="E4" s="183" t="s">
        <v>103</v>
      </c>
      <c r="F4" s="202" t="s">
        <v>104</v>
      </c>
      <c r="G4" s="203" t="s">
        <v>105</v>
      </c>
      <c r="H4" s="204" t="s">
        <v>106</v>
      </c>
      <c r="J4" s="313" t="s">
        <v>107</v>
      </c>
      <c r="K4" s="314"/>
    </row>
    <row r="5" spans="1:12" s="187" customFormat="1">
      <c r="A5" s="76" t="s">
        <v>44</v>
      </c>
      <c r="B5" s="185" t="s">
        <v>81</v>
      </c>
      <c r="C5" s="102" t="s">
        <v>46</v>
      </c>
      <c r="D5" s="102"/>
      <c r="E5" s="102" t="s">
        <v>47</v>
      </c>
      <c r="F5" s="102" t="s">
        <v>47</v>
      </c>
      <c r="G5" s="102" t="s">
        <v>47</v>
      </c>
      <c r="H5" s="186" t="s">
        <v>47</v>
      </c>
      <c r="J5" s="205" t="s">
        <v>108</v>
      </c>
      <c r="K5" s="206">
        <v>0.64092983836083295</v>
      </c>
      <c r="L5" s="207"/>
    </row>
    <row r="6" spans="1:12" s="187" customFormat="1" ht="15" customHeight="1">
      <c r="A6" s="208" t="s">
        <v>48</v>
      </c>
      <c r="B6" s="209">
        <f>PFR!I7</f>
        <v>127.8</v>
      </c>
      <c r="C6" s="191">
        <f>PFR!G7</f>
        <v>1307308.6666666667</v>
      </c>
      <c r="D6" s="191">
        <f>IF(B6&lt;100,(100-RI)^(1+p)*BEV,0)</f>
        <v>0</v>
      </c>
      <c r="E6" s="191">
        <f t="shared" ref="E6:E31" si="0">IF(B6&lt;100,B/SUM*(100-RI)^(1+p),0)</f>
        <v>0</v>
      </c>
      <c r="F6" s="210">
        <f t="shared" ref="F6:F31" si="1">E6*BEV</f>
        <v>0</v>
      </c>
      <c r="G6" s="211">
        <f>Endowment!$D$25/Endowment!$D$26*F6</f>
        <v>0</v>
      </c>
      <c r="H6" s="212">
        <f t="shared" ref="H6:H31" si="2">F6-G6</f>
        <v>0</v>
      </c>
      <c r="J6" s="205" t="s">
        <v>109</v>
      </c>
      <c r="K6" s="213">
        <f>(RI_26/RI_MIN)*p</f>
        <v>0.6409298383608335</v>
      </c>
    </row>
    <row r="7" spans="1:12" s="187" customFormat="1" ht="15" customHeight="1">
      <c r="A7" s="193" t="s">
        <v>49</v>
      </c>
      <c r="B7" s="214">
        <f>PFR!I8</f>
        <v>74.900000000000006</v>
      </c>
      <c r="C7" s="196">
        <f>PFR!G8</f>
        <v>966769</v>
      </c>
      <c r="D7" s="196">
        <f>IF(B7&lt;100,(100-B7)^(1+p)*BEV,0)</f>
        <v>191464864.88679159</v>
      </c>
      <c r="E7" s="196">
        <f t="shared" si="0"/>
        <v>887.70703702968297</v>
      </c>
      <c r="F7" s="215">
        <f t="shared" si="1"/>
        <v>858207644.4821496</v>
      </c>
      <c r="G7" s="216">
        <f>Endowment!$D$25/Endowment!$D$26*F7</f>
        <v>362026127.10287881</v>
      </c>
      <c r="H7" s="217">
        <f t="shared" si="2"/>
        <v>496181517.37927079</v>
      </c>
      <c r="J7" s="205" t="s">
        <v>110</v>
      </c>
      <c r="K7" s="218">
        <f>MIN(B6:B31)</f>
        <v>57.2</v>
      </c>
    </row>
    <row r="8" spans="1:12" s="187" customFormat="1" ht="15" customHeight="1">
      <c r="A8" s="188" t="s">
        <v>50</v>
      </c>
      <c r="B8" s="209">
        <f>PFR!I9</f>
        <v>74.099999999999994</v>
      </c>
      <c r="C8" s="191">
        <f>PFR!G9</f>
        <v>358649</v>
      </c>
      <c r="D8" s="191">
        <f t="shared" ref="D8:D31" si="3">IF(B8&lt;100,(100-RI)^(1+p)*BEV,0)</f>
        <v>74781707.578064784</v>
      </c>
      <c r="E8" s="191">
        <f t="shared" si="0"/>
        <v>934.60702807009295</v>
      </c>
      <c r="F8" s="210">
        <f t="shared" si="1"/>
        <v>335195876.01031077</v>
      </c>
      <c r="G8" s="211">
        <f>Endowment!$D$25/Endowment!$D$26*F8</f>
        <v>141398955.82740128</v>
      </c>
      <c r="H8" s="212">
        <f t="shared" si="2"/>
        <v>193796920.18290949</v>
      </c>
      <c r="J8" s="205" t="s">
        <v>111</v>
      </c>
      <c r="K8" s="218">
        <f>100-((sse*SUM)/((1+p)*B*100))^(1/p)</f>
        <v>57.199999999999946</v>
      </c>
    </row>
    <row r="9" spans="1:12" s="187" customFormat="1" ht="15" customHeight="1">
      <c r="A9" s="193" t="s">
        <v>51</v>
      </c>
      <c r="B9" s="214">
        <f>PFR!I10</f>
        <v>57.2</v>
      </c>
      <c r="C9" s="196">
        <f>PFR!G10</f>
        <v>34558</v>
      </c>
      <c r="D9" s="196">
        <f t="shared" si="3"/>
        <v>16429840.996737467</v>
      </c>
      <c r="E9" s="196">
        <f t="shared" si="0"/>
        <v>2131.0225692418435</v>
      </c>
      <c r="F9" s="215">
        <f t="shared" si="1"/>
        <v>73643877.94785963</v>
      </c>
      <c r="G9" s="216">
        <f>Endowment!$D$25/Endowment!$D$26*F9</f>
        <v>31065917.543053608</v>
      </c>
      <c r="H9" s="217">
        <f t="shared" si="2"/>
        <v>42577960.404806018</v>
      </c>
      <c r="J9" s="219"/>
      <c r="K9" s="220"/>
    </row>
    <row r="10" spans="1:12" s="187" customFormat="1" ht="15" customHeight="1">
      <c r="A10" s="188" t="s">
        <v>52</v>
      </c>
      <c r="B10" s="209">
        <f>PFR!I11</f>
        <v>140.1</v>
      </c>
      <c r="C10" s="191">
        <f>PFR!G11</f>
        <v>138181</v>
      </c>
      <c r="D10" s="191">
        <f t="shared" si="3"/>
        <v>0</v>
      </c>
      <c r="E10" s="191">
        <f t="shared" si="0"/>
        <v>0</v>
      </c>
      <c r="F10" s="210">
        <f t="shared" si="1"/>
        <v>0</v>
      </c>
      <c r="G10" s="211">
        <f>Endowment!$D$25/Endowment!$D$26*F10</f>
        <v>0</v>
      </c>
      <c r="H10" s="212">
        <f t="shared" si="2"/>
        <v>0</v>
      </c>
      <c r="J10" s="219"/>
      <c r="K10" s="220"/>
    </row>
    <row r="11" spans="1:12" s="187" customFormat="1" ht="15" customHeight="1">
      <c r="A11" s="193" t="s">
        <v>53</v>
      </c>
      <c r="B11" s="214">
        <f>PFR!I12</f>
        <v>74</v>
      </c>
      <c r="C11" s="196">
        <f>PFR!G12</f>
        <v>33422.666666666664</v>
      </c>
      <c r="D11" s="196">
        <f t="shared" si="3"/>
        <v>7013149.3047550404</v>
      </c>
      <c r="E11" s="196">
        <f t="shared" si="0"/>
        <v>940.53568159281372</v>
      </c>
      <c r="F11" s="215">
        <f t="shared" si="1"/>
        <v>31435210.573982745</v>
      </c>
      <c r="G11" s="216">
        <f>Endowment!$D$25/Endowment!$D$26*F11</f>
        <v>13260622.428537626</v>
      </c>
      <c r="H11" s="217">
        <f t="shared" si="2"/>
        <v>18174588.14544512</v>
      </c>
      <c r="J11" s="219"/>
      <c r="K11" s="220"/>
    </row>
    <row r="12" spans="1:12" s="187" customFormat="1" ht="15" customHeight="1">
      <c r="A12" s="188" t="s">
        <v>54</v>
      </c>
      <c r="B12" s="209">
        <f>PFR!I13</f>
        <v>124.5</v>
      </c>
      <c r="C12" s="191">
        <f>PFR!G13</f>
        <v>39344.666666666664</v>
      </c>
      <c r="D12" s="191">
        <f t="shared" si="3"/>
        <v>0</v>
      </c>
      <c r="E12" s="191">
        <f t="shared" si="0"/>
        <v>0</v>
      </c>
      <c r="F12" s="210">
        <f t="shared" si="1"/>
        <v>0</v>
      </c>
      <c r="G12" s="211">
        <f>Endowment!$D$25/Endowment!$D$26*F12</f>
        <v>0</v>
      </c>
      <c r="H12" s="212">
        <f t="shared" si="2"/>
        <v>0</v>
      </c>
      <c r="J12" s="205" t="s">
        <v>98</v>
      </c>
      <c r="K12" s="221">
        <f>Endowment!D26</f>
        <v>3633235255.7094231</v>
      </c>
    </row>
    <row r="13" spans="1:12" s="187" customFormat="1" ht="15" customHeight="1">
      <c r="A13" s="193" t="s">
        <v>55</v>
      </c>
      <c r="B13" s="214">
        <f>PFR!I14</f>
        <v>65.400000000000006</v>
      </c>
      <c r="C13" s="196">
        <f>PFR!G14</f>
        <v>38044.333333333336</v>
      </c>
      <c r="D13" s="196">
        <f t="shared" si="3"/>
        <v>12758683.73545846</v>
      </c>
      <c r="E13" s="196">
        <f t="shared" si="0"/>
        <v>1503.2083624252325</v>
      </c>
      <c r="F13" s="215">
        <f t="shared" si="1"/>
        <v>57188560.009559691</v>
      </c>
      <c r="G13" s="216">
        <f>Endowment!$D$25/Endowment!$D$26*F13</f>
        <v>24124409.783537064</v>
      </c>
      <c r="H13" s="217">
        <f t="shared" si="2"/>
        <v>33064150.226022627</v>
      </c>
      <c r="J13" s="205" t="s">
        <v>112</v>
      </c>
      <c r="K13" s="221">
        <f>STR!E32</f>
        <v>8170.23018712455</v>
      </c>
    </row>
    <row r="14" spans="1:12" s="187" customFormat="1" ht="15" customHeight="1">
      <c r="A14" s="188" t="s">
        <v>56</v>
      </c>
      <c r="B14" s="209">
        <f>PFR!I15</f>
        <v>246.1</v>
      </c>
      <c r="C14" s="191">
        <f>PFR!G15</f>
        <v>107509.33333333333</v>
      </c>
      <c r="D14" s="191">
        <f t="shared" si="3"/>
        <v>0</v>
      </c>
      <c r="E14" s="191">
        <f t="shared" si="0"/>
        <v>0</v>
      </c>
      <c r="F14" s="210">
        <f t="shared" si="1"/>
        <v>0</v>
      </c>
      <c r="G14" s="211">
        <f>Endowment!$D$25/Endowment!$D$26*F14</f>
        <v>0</v>
      </c>
      <c r="H14" s="212">
        <f t="shared" si="2"/>
        <v>0</v>
      </c>
    </row>
    <row r="15" spans="1:12" s="187" customFormat="1" ht="15" customHeight="1">
      <c r="A15" s="193" t="s">
        <v>57</v>
      </c>
      <c r="B15" s="214">
        <f>PFR!I16</f>
        <v>68.099999999999994</v>
      </c>
      <c r="C15" s="196">
        <f>PFR!G16</f>
        <v>259796</v>
      </c>
      <c r="D15" s="196">
        <f t="shared" si="3"/>
        <v>76251336.91385594</v>
      </c>
      <c r="E15" s="196">
        <f t="shared" si="0"/>
        <v>1315.583117172974</v>
      </c>
      <c r="F15" s="215">
        <f t="shared" si="1"/>
        <v>341783231.50906992</v>
      </c>
      <c r="G15" s="216">
        <f>Endowment!$D$25/Endowment!$D$26*F15</f>
        <v>144177764.44603649</v>
      </c>
      <c r="H15" s="217">
        <f t="shared" si="2"/>
        <v>197605467.06303343</v>
      </c>
    </row>
    <row r="16" spans="1:12" s="187" customFormat="1" ht="15" customHeight="1">
      <c r="A16" s="188" t="s">
        <v>58</v>
      </c>
      <c r="B16" s="209">
        <f>PFR!I17</f>
        <v>76.5</v>
      </c>
      <c r="C16" s="191">
        <f>PFR!G17</f>
        <v>247806.33333333334</v>
      </c>
      <c r="D16" s="191">
        <f t="shared" si="3"/>
        <v>44049254.968076803</v>
      </c>
      <c r="E16" s="191">
        <f t="shared" si="0"/>
        <v>796.76354404313054</v>
      </c>
      <c r="F16" s="210">
        <f t="shared" si="1"/>
        <v>197443052.38300002</v>
      </c>
      <c r="G16" s="211">
        <f>Endowment!$D$25/Endowment!$D$26*F16</f>
        <v>83289334.506825253</v>
      </c>
      <c r="H16" s="212">
        <f t="shared" si="2"/>
        <v>114153717.87617476</v>
      </c>
    </row>
    <row r="17" spans="1:8" s="187" customFormat="1" ht="15" customHeight="1">
      <c r="A17" s="193" t="s">
        <v>59</v>
      </c>
      <c r="B17" s="214">
        <f>PFR!I18</f>
        <v>144.69999999999999</v>
      </c>
      <c r="C17" s="196">
        <f>PFR!G18</f>
        <v>190212.33333333334</v>
      </c>
      <c r="D17" s="196">
        <f t="shared" si="3"/>
        <v>0</v>
      </c>
      <c r="E17" s="196">
        <f t="shared" si="0"/>
        <v>0</v>
      </c>
      <c r="F17" s="215">
        <f t="shared" si="1"/>
        <v>0</v>
      </c>
      <c r="G17" s="216">
        <f>Endowment!$D$25/Endowment!$D$26*F17</f>
        <v>0</v>
      </c>
      <c r="H17" s="217">
        <f t="shared" si="2"/>
        <v>0</v>
      </c>
    </row>
    <row r="18" spans="1:8" s="187" customFormat="1" ht="15" customHeight="1">
      <c r="A18" s="188" t="s">
        <v>60</v>
      </c>
      <c r="B18" s="209">
        <f>PFR!I19</f>
        <v>98.2</v>
      </c>
      <c r="C18" s="191">
        <f>PFR!G19</f>
        <v>265913.33333333331</v>
      </c>
      <c r="D18" s="191">
        <f t="shared" si="3"/>
        <v>697628.77351695986</v>
      </c>
      <c r="E18" s="191">
        <f t="shared" si="0"/>
        <v>11.75946488561525</v>
      </c>
      <c r="F18" s="210">
        <f t="shared" si="1"/>
        <v>3126998.5059502362</v>
      </c>
      <c r="G18" s="211">
        <f>Endowment!$D$25/Endowment!$D$26*F18</f>
        <v>1319092.3733250417</v>
      </c>
      <c r="H18" s="212">
        <f t="shared" si="2"/>
        <v>1807906.1326251945</v>
      </c>
    </row>
    <row r="19" spans="1:8" s="187" customFormat="1" ht="15" customHeight="1">
      <c r="A19" s="193" t="s">
        <v>61</v>
      </c>
      <c r="B19" s="214">
        <f>PFR!I20</f>
        <v>95.9</v>
      </c>
      <c r="C19" s="196">
        <f>PFR!G20</f>
        <v>74349.666666666672</v>
      </c>
      <c r="D19" s="196">
        <f t="shared" si="3"/>
        <v>753033.57588613033</v>
      </c>
      <c r="E19" s="196">
        <f t="shared" si="0"/>
        <v>45.398196890142998</v>
      </c>
      <c r="F19" s="215">
        <f t="shared" si="1"/>
        <v>3375340.8060498354</v>
      </c>
      <c r="G19" s="216">
        <f>Endowment!$D$25/Endowment!$D$26*F19</f>
        <v>1423853.0354782308</v>
      </c>
      <c r="H19" s="217">
        <f t="shared" si="2"/>
        <v>1951487.7705716046</v>
      </c>
    </row>
    <row r="20" spans="1:8" s="187" customFormat="1" ht="15" customHeight="1">
      <c r="A20" s="188" t="s">
        <v>62</v>
      </c>
      <c r="B20" s="209">
        <f>PFR!I21</f>
        <v>74.099999999999994</v>
      </c>
      <c r="C20" s="191">
        <f>PFR!G21</f>
        <v>52345</v>
      </c>
      <c r="D20" s="191">
        <f t="shared" si="3"/>
        <v>10914427.429530827</v>
      </c>
      <c r="E20" s="191">
        <f t="shared" si="0"/>
        <v>934.60702807009295</v>
      </c>
      <c r="F20" s="210">
        <f t="shared" si="1"/>
        <v>48922004.884329014</v>
      </c>
      <c r="G20" s="211">
        <f>Endowment!$D$25/Endowment!$D$26*F20</f>
        <v>20637247.957711633</v>
      </c>
      <c r="H20" s="212">
        <f t="shared" si="2"/>
        <v>28284756.92661738</v>
      </c>
    </row>
    <row r="21" spans="1:8" s="187" customFormat="1" ht="15" customHeight="1">
      <c r="A21" s="193" t="s">
        <v>63</v>
      </c>
      <c r="B21" s="214">
        <f>PFR!I22</f>
        <v>80.5</v>
      </c>
      <c r="C21" s="196">
        <f>PFR!G22</f>
        <v>15051.666666666666</v>
      </c>
      <c r="D21" s="196">
        <f t="shared" si="3"/>
        <v>1969885.0226399456</v>
      </c>
      <c r="E21" s="196">
        <f t="shared" si="0"/>
        <v>586.62366027921701</v>
      </c>
      <c r="F21" s="215">
        <f t="shared" si="1"/>
        <v>8829663.7933026813</v>
      </c>
      <c r="G21" s="216">
        <f>Endowment!$D$25/Endowment!$D$26*F21</f>
        <v>3724703.4645545748</v>
      </c>
      <c r="H21" s="217">
        <f t="shared" si="2"/>
        <v>5104960.328748107</v>
      </c>
    </row>
    <row r="22" spans="1:8" s="187" customFormat="1" ht="15" customHeight="1">
      <c r="A22" s="188" t="s">
        <v>64</v>
      </c>
      <c r="B22" s="209">
        <f>PFR!I23</f>
        <v>73.599999999999994</v>
      </c>
      <c r="C22" s="191">
        <f>PFR!G23</f>
        <v>463263</v>
      </c>
      <c r="D22" s="191">
        <f t="shared" si="3"/>
        <v>99673547.865307078</v>
      </c>
      <c r="E22" s="191">
        <f t="shared" si="0"/>
        <v>964.39642328924276</v>
      </c>
      <c r="F22" s="210">
        <f t="shared" si="1"/>
        <v>446769180.24224448</v>
      </c>
      <c r="G22" s="211">
        <f>Endowment!$D$25/Endowment!$D$26*F22</f>
        <v>188465014.34932387</v>
      </c>
      <c r="H22" s="212">
        <f t="shared" si="2"/>
        <v>258304165.89292061</v>
      </c>
    </row>
    <row r="23" spans="1:8" s="187" customFormat="1" ht="15" customHeight="1">
      <c r="A23" s="193" t="s">
        <v>65</v>
      </c>
      <c r="B23" s="214">
        <f>PFR!I24</f>
        <v>76.900000000000006</v>
      </c>
      <c r="C23" s="196">
        <f>PFR!G24</f>
        <v>191538.66666666666</v>
      </c>
      <c r="D23" s="196">
        <f t="shared" si="3"/>
        <v>33101528.300076179</v>
      </c>
      <c r="E23" s="196">
        <f t="shared" si="0"/>
        <v>774.63100318144291</v>
      </c>
      <c r="F23" s="215">
        <f t="shared" si="1"/>
        <v>148371789.50803599</v>
      </c>
      <c r="G23" s="216">
        <f>Endowment!$D$25/Endowment!$D$26*F23</f>
        <v>62589123.590631284</v>
      </c>
      <c r="H23" s="217">
        <f t="shared" si="2"/>
        <v>85782665.917404711</v>
      </c>
    </row>
    <row r="24" spans="1:8" s="187" customFormat="1" ht="15" customHeight="1">
      <c r="A24" s="188" t="s">
        <v>66</v>
      </c>
      <c r="B24" s="209">
        <f>PFR!I25</f>
        <v>84.5</v>
      </c>
      <c r="C24" s="191">
        <f>PFR!G25</f>
        <v>572912.33333333337</v>
      </c>
      <c r="D24" s="191">
        <f t="shared" si="3"/>
        <v>51444502.616935998</v>
      </c>
      <c r="E24" s="191">
        <f t="shared" si="0"/>
        <v>402.48906907625201</v>
      </c>
      <c r="F24" s="210">
        <f t="shared" si="1"/>
        <v>230590951.70563674</v>
      </c>
      <c r="G24" s="211">
        <f>Endowment!$D$25/Endowment!$D$26*F24</f>
        <v>97272437.186610252</v>
      </c>
      <c r="H24" s="212">
        <f t="shared" si="2"/>
        <v>133318514.51902649</v>
      </c>
    </row>
    <row r="25" spans="1:8" s="187" customFormat="1" ht="15" customHeight="1">
      <c r="A25" s="193" t="s">
        <v>67</v>
      </c>
      <c r="B25" s="214">
        <f>PFR!I26</f>
        <v>73.099999999999994</v>
      </c>
      <c r="C25" s="196">
        <f>PFR!G26</f>
        <v>236028</v>
      </c>
      <c r="D25" s="196">
        <f t="shared" si="3"/>
        <v>52370498.047823906</v>
      </c>
      <c r="E25" s="196">
        <f t="shared" si="0"/>
        <v>994.54964522273508</v>
      </c>
      <c r="F25" s="215">
        <f t="shared" si="1"/>
        <v>234741563.66263172</v>
      </c>
      <c r="G25" s="216">
        <f>Endowment!$D$25/Endowment!$D$26*F25</f>
        <v>99023330.436698332</v>
      </c>
      <c r="H25" s="217">
        <f t="shared" si="2"/>
        <v>135718233.22593337</v>
      </c>
    </row>
    <row r="26" spans="1:8" s="187" customFormat="1" ht="15" customHeight="1">
      <c r="A26" s="188" t="s">
        <v>68</v>
      </c>
      <c r="B26" s="209">
        <f>PFR!I27</f>
        <v>95.4</v>
      </c>
      <c r="C26" s="191">
        <f>PFR!G27</f>
        <v>324871.33333333331</v>
      </c>
      <c r="D26" s="191">
        <f t="shared" si="3"/>
        <v>3974207.0778884105</v>
      </c>
      <c r="E26" s="191">
        <f t="shared" si="0"/>
        <v>54.833048385483551</v>
      </c>
      <c r="F26" s="210">
        <f t="shared" si="1"/>
        <v>17813685.539723221</v>
      </c>
      <c r="G26" s="211">
        <f>Endowment!$D$25/Endowment!$D$26*F26</f>
        <v>7514521.254662036</v>
      </c>
      <c r="H26" s="212">
        <f t="shared" si="2"/>
        <v>10299164.285061184</v>
      </c>
    </row>
    <row r="27" spans="1:8" s="187" customFormat="1" ht="15" customHeight="1">
      <c r="A27" s="193" t="s">
        <v>69</v>
      </c>
      <c r="B27" s="214">
        <f>PFR!I28</f>
        <v>120.1</v>
      </c>
      <c r="C27" s="196">
        <f>PFR!G28</f>
        <v>671035</v>
      </c>
      <c r="D27" s="196">
        <f t="shared" si="3"/>
        <v>0</v>
      </c>
      <c r="E27" s="196">
        <f t="shared" si="0"/>
        <v>0</v>
      </c>
      <c r="F27" s="215">
        <f t="shared" si="1"/>
        <v>0</v>
      </c>
      <c r="G27" s="216">
        <f>Endowment!$D$25/Endowment!$D$26*F27</f>
        <v>0</v>
      </c>
      <c r="H27" s="217">
        <f t="shared" si="2"/>
        <v>0</v>
      </c>
    </row>
    <row r="28" spans="1:8" s="187" customFormat="1" ht="15" customHeight="1">
      <c r="A28" s="188" t="s">
        <v>70</v>
      </c>
      <c r="B28" s="209">
        <f>PFR!I29</f>
        <v>64.3</v>
      </c>
      <c r="C28" s="191">
        <f>PFR!G29</f>
        <v>293251.33333333331</v>
      </c>
      <c r="D28" s="191">
        <f t="shared" si="3"/>
        <v>103528423.39234357</v>
      </c>
      <c r="E28" s="191">
        <f t="shared" si="0"/>
        <v>1582.4241198825146</v>
      </c>
      <c r="F28" s="210">
        <f t="shared" si="1"/>
        <v>464047983.05437386</v>
      </c>
      <c r="G28" s="211">
        <f>Endowment!$D$25/Endowment!$D$26*F28</f>
        <v>195753900.7898823</v>
      </c>
      <c r="H28" s="212">
        <f t="shared" si="2"/>
        <v>268294082.26449156</v>
      </c>
    </row>
    <row r="29" spans="1:8" s="187" customFormat="1" ht="15" customHeight="1">
      <c r="A29" s="193" t="s">
        <v>71</v>
      </c>
      <c r="B29" s="214">
        <f>PFR!I30</f>
        <v>94.1</v>
      </c>
      <c r="C29" s="196">
        <f>PFR!G30</f>
        <v>169520.33333333334</v>
      </c>
      <c r="D29" s="196">
        <f t="shared" si="3"/>
        <v>3119865.4490655661</v>
      </c>
      <c r="E29" s="196">
        <f t="shared" si="0"/>
        <v>82.493049042644046</v>
      </c>
      <c r="F29" s="215">
        <f t="shared" si="1"/>
        <v>13984249.171392033</v>
      </c>
      <c r="G29" s="216">
        <f>Endowment!$D$25/Endowment!$D$26*F29</f>
        <v>5899112.6454199292</v>
      </c>
      <c r="H29" s="217">
        <f t="shared" si="2"/>
        <v>8085136.5259721037</v>
      </c>
    </row>
    <row r="30" spans="1:8" s="187" customFormat="1" ht="15" customHeight="1">
      <c r="A30" s="188" t="s">
        <v>72</v>
      </c>
      <c r="B30" s="209">
        <f>PFR!I31</f>
        <v>146.9</v>
      </c>
      <c r="C30" s="191">
        <f>PFR!G31</f>
        <v>439420.66666666669</v>
      </c>
      <c r="D30" s="191">
        <f t="shared" si="3"/>
        <v>0</v>
      </c>
      <c r="E30" s="191">
        <f t="shared" si="0"/>
        <v>0</v>
      </c>
      <c r="F30" s="210">
        <f t="shared" si="1"/>
        <v>0</v>
      </c>
      <c r="G30" s="211">
        <f>Endowment!$D$25/Endowment!$D$26*F30</f>
        <v>0</v>
      </c>
      <c r="H30" s="212">
        <f t="shared" si="2"/>
        <v>0</v>
      </c>
    </row>
    <row r="31" spans="1:8" s="187" customFormat="1" ht="15" customHeight="1">
      <c r="A31" s="193" t="s">
        <v>73</v>
      </c>
      <c r="B31" s="214">
        <f>PFR!I32</f>
        <v>62.3</v>
      </c>
      <c r="C31" s="196">
        <f>PFR!G32</f>
        <v>68052.666666666672</v>
      </c>
      <c r="D31" s="196">
        <f t="shared" si="3"/>
        <v>26273062.856494725</v>
      </c>
      <c r="E31" s="196">
        <f t="shared" si="0"/>
        <v>1730.4890122329982</v>
      </c>
      <c r="F31" s="215">
        <f t="shared" si="1"/>
        <v>117764391.91982149</v>
      </c>
      <c r="G31" s="216">
        <f>Endowment!$D$25/Endowment!$D$26*F31</f>
        <v>49677705.612939566</v>
      </c>
      <c r="H31" s="217">
        <f t="shared" si="2"/>
        <v>68086686.30688192</v>
      </c>
    </row>
    <row r="32" spans="1:8">
      <c r="A32" s="198" t="s">
        <v>77</v>
      </c>
      <c r="B32" s="222">
        <f>PFR!I33</f>
        <v>100</v>
      </c>
      <c r="C32" s="200">
        <f>PFR!G33</f>
        <v>7559154.333333333</v>
      </c>
      <c r="D32" s="200">
        <f>SUM(D6:D31)</f>
        <v>810569448.79124928</v>
      </c>
      <c r="E32" s="200"/>
      <c r="F32" s="200">
        <f>SUM(F6:F31)</f>
        <v>3633235255.7094235</v>
      </c>
      <c r="G32" s="223">
        <f>SUM(G6:G31)</f>
        <v>1532643174.3355069</v>
      </c>
      <c r="H32" s="224">
        <f>SUM(H6:H31)</f>
        <v>2100592081.3739161</v>
      </c>
    </row>
  </sheetData>
  <mergeCells count="1">
    <mergeCell ref="J4:K4"/>
  </mergeCells>
  <conditionalFormatting sqref="K5">
    <cfRule type="expression" dxfId="2" priority="1" stopIfTrue="1">
      <formula>ISBLANK(K5)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scale="90" orientation="landscape" r:id="rId1"/>
  <headerFooter>
    <oddHeader>&amp;L&amp;F&amp;R&amp;A</oddHeader>
    <oddFooter>&amp;C&amp;P/&amp;N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7">
    <pageSetUpPr fitToPage="1"/>
  </sheetPr>
  <dimension ref="A1:J48"/>
  <sheetViews>
    <sheetView showGridLines="0" workbookViewId="0">
      <selection activeCell="A2" sqref="A2"/>
    </sheetView>
  </sheetViews>
  <sheetFormatPr baseColWidth="10" defaultColWidth="11.42578125" defaultRowHeight="12.75"/>
  <cols>
    <col min="1" max="1" width="17.42578125" style="2" customWidth="1"/>
    <col min="2" max="2" width="13.85546875" style="2" customWidth="1"/>
    <col min="3" max="3" width="17.42578125" style="2" customWidth="1"/>
    <col min="4" max="4" width="16.7109375" style="2" customWidth="1"/>
    <col min="5" max="5" width="19.140625" style="2" customWidth="1"/>
    <col min="6" max="6" width="15.140625" style="2" customWidth="1"/>
    <col min="7" max="7" width="18.5703125" style="2" customWidth="1"/>
    <col min="8" max="8" width="13.42578125" style="2" customWidth="1"/>
    <col min="9" max="9" width="2.42578125" style="2" customWidth="1"/>
    <col min="10" max="10" width="19.28515625" style="2" customWidth="1"/>
  </cols>
  <sheetData>
    <row r="1" spans="1:10" ht="23.25" customHeight="1">
      <c r="A1" s="17" t="str">
        <f>"Standardized tax revenue (STRev) "&amp;Info!C30</f>
        <v>Standardized tax revenue (STRev) 2011</v>
      </c>
      <c r="B1" s="17"/>
      <c r="C1" s="17"/>
      <c r="D1" s="17"/>
      <c r="E1" s="17"/>
      <c r="F1" s="17"/>
      <c r="G1" s="17"/>
      <c r="H1" s="17"/>
      <c r="I1" s="1"/>
      <c r="J1" s="19" t="str">
        <f>Info!$C$28</f>
        <v>FA_2011_20120427</v>
      </c>
    </row>
    <row r="2" spans="1:10" s="2" customFormat="1">
      <c r="A2" s="62" t="s">
        <v>27</v>
      </c>
      <c r="B2" s="176" t="s">
        <v>98</v>
      </c>
      <c r="C2" s="63" t="s">
        <v>28</v>
      </c>
      <c r="D2" s="63" t="s">
        <v>29</v>
      </c>
      <c r="E2" s="63" t="s">
        <v>30</v>
      </c>
      <c r="F2" s="63" t="s">
        <v>31</v>
      </c>
      <c r="G2" s="63" t="s">
        <v>32</v>
      </c>
      <c r="H2" s="64" t="s">
        <v>33</v>
      </c>
      <c r="J2" s="225" t="s">
        <v>113</v>
      </c>
    </row>
    <row r="3" spans="1:10" s="24" customFormat="1" ht="11.25" customHeight="1">
      <c r="A3" s="66" t="s">
        <v>35</v>
      </c>
      <c r="B3" s="226"/>
      <c r="C3" s="67"/>
      <c r="D3" s="67"/>
      <c r="E3" s="67" t="s">
        <v>114</v>
      </c>
      <c r="F3" s="67"/>
      <c r="G3" s="67" t="s">
        <v>115</v>
      </c>
      <c r="H3" s="227" t="s">
        <v>116</v>
      </c>
      <c r="J3" s="228" t="s">
        <v>117</v>
      </c>
    </row>
    <row r="4" spans="1:10" ht="51" customHeight="1">
      <c r="A4" s="181"/>
      <c r="B4" s="229" t="s">
        <v>42</v>
      </c>
      <c r="C4" s="229" t="s">
        <v>118</v>
      </c>
      <c r="D4" s="202" t="s">
        <v>6</v>
      </c>
      <c r="E4" s="229" t="s">
        <v>119</v>
      </c>
      <c r="F4" s="202" t="s">
        <v>120</v>
      </c>
      <c r="G4" s="229" t="s">
        <v>121</v>
      </c>
      <c r="H4" s="184" t="s">
        <v>122</v>
      </c>
      <c r="I4" s="230"/>
      <c r="J4" s="231" t="s">
        <v>123</v>
      </c>
    </row>
    <row r="5" spans="1:10" s="35" customFormat="1" ht="11.25" customHeight="1">
      <c r="A5" s="76" t="s">
        <v>44</v>
      </c>
      <c r="B5" s="185" t="s">
        <v>81</v>
      </c>
      <c r="C5" s="102" t="s">
        <v>47</v>
      </c>
      <c r="D5" s="102" t="s">
        <v>46</v>
      </c>
      <c r="E5" s="102" t="s">
        <v>47</v>
      </c>
      <c r="F5" s="232" t="s">
        <v>47</v>
      </c>
      <c r="G5" s="233" t="s">
        <v>47</v>
      </c>
      <c r="H5" s="234" t="s">
        <v>81</v>
      </c>
      <c r="I5" s="235"/>
      <c r="J5" s="236" t="s">
        <v>47</v>
      </c>
    </row>
    <row r="6" spans="1:10">
      <c r="A6" s="237" t="s">
        <v>48</v>
      </c>
      <c r="B6" s="238">
        <f>PFR!I7</f>
        <v>127.8</v>
      </c>
      <c r="C6" s="47">
        <f>PFR!H7/PFR!$H$33*sse*D6</f>
        <v>13650474584.830376</v>
      </c>
      <c r="D6" s="239">
        <f>PFR!G7</f>
        <v>1307308.6666666667</v>
      </c>
      <c r="E6" s="47">
        <f t="shared" ref="E6:E32" si="0">C6/D6</f>
        <v>10441.661508781941</v>
      </c>
      <c r="F6" s="47">
        <f>IF(B6&gt;100,-Inpayment!F7,Outpayment!F6)/D6</f>
        <v>-421.21223977434147</v>
      </c>
      <c r="G6" s="47">
        <f t="shared" ref="G6:G31" si="1">E6+F6</f>
        <v>10020.4492690076</v>
      </c>
      <c r="H6" s="48">
        <f t="shared" ref="H6:H31" si="2">ROUND(G6/E$32*100,1)</f>
        <v>122.6</v>
      </c>
      <c r="J6" s="240">
        <f t="shared" ref="J6:J32" si="3">E6-E$32</f>
        <v>2271.431321657391</v>
      </c>
    </row>
    <row r="7" spans="1:10">
      <c r="A7" s="241" t="s">
        <v>49</v>
      </c>
      <c r="B7" s="242">
        <f>PFR!I8</f>
        <v>74.900000000000006</v>
      </c>
      <c r="C7" s="52">
        <f>PFR!H8/PFR!$H$33*sse*D7</f>
        <v>5916567954.5648384</v>
      </c>
      <c r="D7" s="243">
        <f>PFR!G8</f>
        <v>966769</v>
      </c>
      <c r="E7" s="52">
        <f t="shared" si="0"/>
        <v>6119.9396697296233</v>
      </c>
      <c r="F7" s="52">
        <f>IF(B7&gt;100,-Inpayment!F8,Outpayment!F7)/D7</f>
        <v>887.70703702968297</v>
      </c>
      <c r="G7" s="52">
        <f t="shared" si="1"/>
        <v>7007.6467067593067</v>
      </c>
      <c r="H7" s="53">
        <f t="shared" si="2"/>
        <v>85.8</v>
      </c>
      <c r="J7" s="244">
        <f t="shared" si="3"/>
        <v>-2050.2905173949266</v>
      </c>
    </row>
    <row r="8" spans="1:10">
      <c r="A8" s="245" t="s">
        <v>50</v>
      </c>
      <c r="B8" s="246">
        <f>PFR!I9</f>
        <v>74.099999999999994</v>
      </c>
      <c r="C8" s="56">
        <f>PFR!H9/PFR!$H$33*sse*D8</f>
        <v>2170248307.7605348</v>
      </c>
      <c r="D8" s="247">
        <f>PFR!G9</f>
        <v>358649</v>
      </c>
      <c r="E8" s="56">
        <f t="shared" si="0"/>
        <v>6051.1762412847511</v>
      </c>
      <c r="F8" s="56">
        <f>IF(B8&gt;100,-Inpayment!F9,Outpayment!F8)/D8</f>
        <v>934.60702807009295</v>
      </c>
      <c r="G8" s="56">
        <f t="shared" si="1"/>
        <v>6985.7832693548444</v>
      </c>
      <c r="H8" s="57">
        <f t="shared" si="2"/>
        <v>85.5</v>
      </c>
      <c r="J8" s="248">
        <f t="shared" si="3"/>
        <v>-2119.0539458397989</v>
      </c>
    </row>
    <row r="9" spans="1:10">
      <c r="A9" s="241" t="s">
        <v>51</v>
      </c>
      <c r="B9" s="242">
        <f>PFR!I10</f>
        <v>57.2</v>
      </c>
      <c r="C9" s="52">
        <f>PFR!H10/PFR!$H$33*sse*D9</f>
        <v>161592312.1265569</v>
      </c>
      <c r="D9" s="243">
        <f>PFR!G10</f>
        <v>34558</v>
      </c>
      <c r="E9" s="52">
        <f t="shared" si="0"/>
        <v>4675.9740762358033</v>
      </c>
      <c r="F9" s="52">
        <f>IF(B9&gt;100,-Inpayment!F10,Outpayment!F9)/D9</f>
        <v>2131.0225692418435</v>
      </c>
      <c r="G9" s="52">
        <f t="shared" si="1"/>
        <v>6806.9966454776468</v>
      </c>
      <c r="H9" s="53">
        <f t="shared" si="2"/>
        <v>83.3</v>
      </c>
      <c r="J9" s="244">
        <f t="shared" si="3"/>
        <v>-3494.2561108887467</v>
      </c>
    </row>
    <row r="10" spans="1:10">
      <c r="A10" s="245" t="s">
        <v>52</v>
      </c>
      <c r="B10" s="246">
        <f>PFR!I11</f>
        <v>140.1</v>
      </c>
      <c r="C10" s="56">
        <f>PFR!H11/PFR!$H$33*sse*D10</f>
        <v>1582227618.3197939</v>
      </c>
      <c r="D10" s="247">
        <f>PFR!G11</f>
        <v>138181</v>
      </c>
      <c r="E10" s="56">
        <f t="shared" si="0"/>
        <v>11450.399246783523</v>
      </c>
      <c r="F10" s="56">
        <f>IF(B10&gt;100,-Inpayment!F11,Outpayment!F10)/D10</f>
        <v>-607.57592859536305</v>
      </c>
      <c r="G10" s="56">
        <f t="shared" si="1"/>
        <v>10842.823318188161</v>
      </c>
      <c r="H10" s="57">
        <f t="shared" si="2"/>
        <v>132.69999999999999</v>
      </c>
      <c r="J10" s="248">
        <f t="shared" si="3"/>
        <v>3280.1690596589733</v>
      </c>
    </row>
    <row r="11" spans="1:10">
      <c r="A11" s="241" t="s">
        <v>53</v>
      </c>
      <c r="B11" s="242">
        <f>PFR!I12</f>
        <v>74</v>
      </c>
      <c r="C11" s="52">
        <f>PFR!H12/PFR!$H$33*sse*D11</f>
        <v>202076691.1696842</v>
      </c>
      <c r="D11" s="243">
        <f>PFR!G12</f>
        <v>33422.666666666664</v>
      </c>
      <c r="E11" s="52">
        <f t="shared" si="0"/>
        <v>6046.0971946089749</v>
      </c>
      <c r="F11" s="52">
        <f>IF(B11&gt;100,-Inpayment!F12,Outpayment!F11)/D11</f>
        <v>940.53568159281372</v>
      </c>
      <c r="G11" s="52">
        <f t="shared" si="1"/>
        <v>6986.6328762017883</v>
      </c>
      <c r="H11" s="53">
        <f t="shared" si="2"/>
        <v>85.5</v>
      </c>
      <c r="J11" s="244">
        <f t="shared" si="3"/>
        <v>-2124.1329925155751</v>
      </c>
    </row>
    <row r="12" spans="1:10">
      <c r="A12" s="245" t="s">
        <v>54</v>
      </c>
      <c r="B12" s="246">
        <f>PFR!I13</f>
        <v>124.5</v>
      </c>
      <c r="C12" s="56">
        <f>PFR!H13/PFR!$H$33*sse*D12</f>
        <v>400293963.16822273</v>
      </c>
      <c r="D12" s="247">
        <f>PFR!G13</f>
        <v>39344.666666666664</v>
      </c>
      <c r="E12" s="56">
        <f t="shared" si="0"/>
        <v>10174.033664068558</v>
      </c>
      <c r="F12" s="56">
        <f>IF(B12&gt;100,-Inpayment!F13,Outpayment!F12)/D12</f>
        <v>-371.21222570040891</v>
      </c>
      <c r="G12" s="56">
        <f t="shared" si="1"/>
        <v>9802.8214383681498</v>
      </c>
      <c r="H12" s="57">
        <f t="shared" si="2"/>
        <v>120</v>
      </c>
      <c r="J12" s="248">
        <f t="shared" si="3"/>
        <v>2003.8034769440083</v>
      </c>
    </row>
    <row r="13" spans="1:10">
      <c r="A13" s="241" t="s">
        <v>55</v>
      </c>
      <c r="B13" s="242">
        <f>PFR!I14</f>
        <v>65.400000000000006</v>
      </c>
      <c r="C13" s="52">
        <f>PFR!H14/PFR!$H$33*sse*D13</f>
        <v>203236375.38356203</v>
      </c>
      <c r="D13" s="243">
        <f>PFR!G14</f>
        <v>38044.333333333336</v>
      </c>
      <c r="E13" s="52">
        <f t="shared" si="0"/>
        <v>5342.0932258916009</v>
      </c>
      <c r="F13" s="52">
        <f>IF(B13&gt;100,-Inpayment!F14,Outpayment!F13)/D13</f>
        <v>1503.2083624252325</v>
      </c>
      <c r="G13" s="52">
        <f t="shared" si="1"/>
        <v>6845.3015883168337</v>
      </c>
      <c r="H13" s="53">
        <f t="shared" si="2"/>
        <v>83.8</v>
      </c>
      <c r="J13" s="244">
        <f t="shared" si="3"/>
        <v>-2828.136961232949</v>
      </c>
    </row>
    <row r="14" spans="1:10">
      <c r="A14" s="245" t="s">
        <v>56</v>
      </c>
      <c r="B14" s="246">
        <f>PFR!I15</f>
        <v>246.1</v>
      </c>
      <c r="C14" s="56">
        <f>PFR!H15/PFR!$H$33*sse*D14</f>
        <v>2161963480.7300224</v>
      </c>
      <c r="D14" s="247">
        <f>PFR!G15</f>
        <v>107509.33333333333</v>
      </c>
      <c r="E14" s="56">
        <f t="shared" si="0"/>
        <v>20109.542248084097</v>
      </c>
      <c r="F14" s="56">
        <f>IF(B14&gt;100,-Inpayment!F15,Outpayment!F14)/D14</f>
        <v>-2213.6369867277444</v>
      </c>
      <c r="G14" s="56">
        <f t="shared" si="1"/>
        <v>17895.905261356354</v>
      </c>
      <c r="H14" s="57">
        <f t="shared" si="2"/>
        <v>219</v>
      </c>
      <c r="J14" s="248">
        <f t="shared" si="3"/>
        <v>11939.312060959546</v>
      </c>
    </row>
    <row r="15" spans="1:10">
      <c r="A15" s="241" t="s">
        <v>57</v>
      </c>
      <c r="B15" s="242">
        <f>PFR!I16</f>
        <v>68.099999999999994</v>
      </c>
      <c r="C15" s="52">
        <f>PFR!H16/PFR!$H$33*sse*D15</f>
        <v>1445447496.092155</v>
      </c>
      <c r="D15" s="243">
        <f>PFR!G16</f>
        <v>259796</v>
      </c>
      <c r="E15" s="52">
        <f t="shared" si="0"/>
        <v>5563.7788730086486</v>
      </c>
      <c r="F15" s="52">
        <f>IF(B15&gt;100,-Inpayment!F16,Outpayment!F15)/D15</f>
        <v>1315.583117172974</v>
      </c>
      <c r="G15" s="52">
        <f t="shared" si="1"/>
        <v>6879.3619901816228</v>
      </c>
      <c r="H15" s="53">
        <f t="shared" si="2"/>
        <v>84.2</v>
      </c>
      <c r="J15" s="244">
        <f t="shared" si="3"/>
        <v>-2606.4513141159014</v>
      </c>
    </row>
    <row r="16" spans="1:10">
      <c r="A16" s="245" t="s">
        <v>58</v>
      </c>
      <c r="B16" s="246">
        <f>PFR!I17</f>
        <v>76.5</v>
      </c>
      <c r="C16" s="56">
        <f>PFR!H17/PFR!$H$33*sse*D16</f>
        <v>1548486880.2758479</v>
      </c>
      <c r="D16" s="247">
        <f>PFR!G17</f>
        <v>247806.33333333334</v>
      </c>
      <c r="E16" s="56">
        <f t="shared" si="0"/>
        <v>6248.7784692448586</v>
      </c>
      <c r="F16" s="56">
        <f>IF(B16&gt;100,-Inpayment!F17,Outpayment!F16)/D16</f>
        <v>796.76354404313054</v>
      </c>
      <c r="G16" s="56">
        <f t="shared" si="1"/>
        <v>7045.542013287989</v>
      </c>
      <c r="H16" s="57">
        <f t="shared" si="2"/>
        <v>86.2</v>
      </c>
      <c r="J16" s="248">
        <f t="shared" si="3"/>
        <v>-1921.4517178796914</v>
      </c>
    </row>
    <row r="17" spans="1:10">
      <c r="A17" s="241" t="s">
        <v>59</v>
      </c>
      <c r="B17" s="242">
        <f>PFR!I18</f>
        <v>144.69999999999999</v>
      </c>
      <c r="C17" s="52">
        <f>PFR!H18/PFR!$H$33*sse*D17</f>
        <v>2248445776.8448</v>
      </c>
      <c r="D17" s="243">
        <f>PFR!G18</f>
        <v>190212.33333333334</v>
      </c>
      <c r="E17" s="52">
        <f t="shared" si="0"/>
        <v>11820.71497385273</v>
      </c>
      <c r="F17" s="52">
        <f>IF(B17&gt;100,-Inpayment!F18,Outpayment!F17)/D17</f>
        <v>-677.27291791054176</v>
      </c>
      <c r="G17" s="52">
        <f t="shared" si="1"/>
        <v>11143.442055942189</v>
      </c>
      <c r="H17" s="53">
        <f t="shared" si="2"/>
        <v>136.4</v>
      </c>
      <c r="J17" s="244">
        <f t="shared" si="3"/>
        <v>3650.4847867281796</v>
      </c>
    </row>
    <row r="18" spans="1:10">
      <c r="A18" s="245" t="s">
        <v>60</v>
      </c>
      <c r="B18" s="246">
        <f>PFR!I19</f>
        <v>98.2</v>
      </c>
      <c r="C18" s="56">
        <f>PFR!H19/PFR!$H$33*sse*D18</f>
        <v>2133952419.3081429</v>
      </c>
      <c r="D18" s="247">
        <f>PFR!G19</f>
        <v>265913.33333333331</v>
      </c>
      <c r="E18" s="56">
        <f t="shared" si="0"/>
        <v>8024.9921753007611</v>
      </c>
      <c r="F18" s="56">
        <f>IF(B18&gt;100,-Inpayment!F19,Outpayment!F18)/D18</f>
        <v>11.75946488561525</v>
      </c>
      <c r="G18" s="56">
        <f t="shared" si="1"/>
        <v>8036.7516401863768</v>
      </c>
      <c r="H18" s="57">
        <f t="shared" si="2"/>
        <v>98.4</v>
      </c>
      <c r="J18" s="248">
        <f t="shared" si="3"/>
        <v>-145.23801182378884</v>
      </c>
    </row>
    <row r="19" spans="1:10">
      <c r="A19" s="241" t="s">
        <v>61</v>
      </c>
      <c r="B19" s="242">
        <f>PFR!I20</f>
        <v>95.9</v>
      </c>
      <c r="C19" s="52">
        <f>PFR!H20/PFR!$H$33*sse*D19</f>
        <v>582813190.01421213</v>
      </c>
      <c r="D19" s="243">
        <f>PFR!G20</f>
        <v>74349.666666666672</v>
      </c>
      <c r="E19" s="52">
        <f t="shared" si="0"/>
        <v>7838.8137586029807</v>
      </c>
      <c r="F19" s="52">
        <f>IF(B19&gt;100,-Inpayment!F20,Outpayment!F19)/D19</f>
        <v>45.398196890142998</v>
      </c>
      <c r="G19" s="52">
        <f t="shared" si="1"/>
        <v>7884.2119554931232</v>
      </c>
      <c r="H19" s="53">
        <f t="shared" si="2"/>
        <v>96.5</v>
      </c>
      <c r="J19" s="244">
        <f t="shared" si="3"/>
        <v>-331.41642852156929</v>
      </c>
    </row>
    <row r="20" spans="1:10">
      <c r="A20" s="245" t="s">
        <v>62</v>
      </c>
      <c r="B20" s="246">
        <f>PFR!I21</f>
        <v>74.099999999999994</v>
      </c>
      <c r="C20" s="56">
        <f>PFR!H21/PFR!$H$33*sse*D20</f>
        <v>316778356.09805495</v>
      </c>
      <c r="D20" s="247">
        <f>PFR!G21</f>
        <v>52345</v>
      </c>
      <c r="E20" s="56">
        <f t="shared" si="0"/>
        <v>6051.740492846594</v>
      </c>
      <c r="F20" s="56">
        <f>IF(B20&gt;100,-Inpayment!F21,Outpayment!F20)/D20</f>
        <v>934.60702807009295</v>
      </c>
      <c r="G20" s="56">
        <f t="shared" si="1"/>
        <v>6986.3475209166872</v>
      </c>
      <c r="H20" s="57">
        <f t="shared" si="2"/>
        <v>85.5</v>
      </c>
      <c r="J20" s="248">
        <f t="shared" si="3"/>
        <v>-2118.489694277956</v>
      </c>
    </row>
    <row r="21" spans="1:10">
      <c r="A21" s="241" t="s">
        <v>63</v>
      </c>
      <c r="B21" s="242">
        <f>PFR!I22</f>
        <v>80.5</v>
      </c>
      <c r="C21" s="52">
        <f>PFR!H22/PFR!$H$33*sse*D21</f>
        <v>98973022.455083922</v>
      </c>
      <c r="D21" s="243">
        <f>PFR!G22</f>
        <v>15051.666666666666</v>
      </c>
      <c r="E21" s="52">
        <f t="shared" si="0"/>
        <v>6575.5523721681275</v>
      </c>
      <c r="F21" s="52">
        <f>IF(B21&gt;100,-Inpayment!F22,Outpayment!F21)/D21</f>
        <v>586.62366027921701</v>
      </c>
      <c r="G21" s="52">
        <f t="shared" si="1"/>
        <v>7162.1760324473444</v>
      </c>
      <c r="H21" s="53">
        <f t="shared" si="2"/>
        <v>87.7</v>
      </c>
      <c r="J21" s="244">
        <f t="shared" si="3"/>
        <v>-1594.6778149564225</v>
      </c>
    </row>
    <row r="22" spans="1:10">
      <c r="A22" s="245" t="s">
        <v>64</v>
      </c>
      <c r="B22" s="246">
        <f>PFR!I23</f>
        <v>73.599999999999994</v>
      </c>
      <c r="C22" s="56">
        <f>PFR!H23/PFR!$H$33*sse*D22</f>
        <v>2786513882.0237188</v>
      </c>
      <c r="D22" s="247">
        <f>PFR!G23</f>
        <v>463263</v>
      </c>
      <c r="E22" s="56">
        <f t="shared" si="0"/>
        <v>6014.9718022456336</v>
      </c>
      <c r="F22" s="56">
        <f>IF(B22&gt;100,-Inpayment!F23,Outpayment!F22)/D22</f>
        <v>964.39642328924276</v>
      </c>
      <c r="G22" s="56">
        <f t="shared" si="1"/>
        <v>6979.3682255348767</v>
      </c>
      <c r="H22" s="57">
        <f t="shared" si="2"/>
        <v>85.4</v>
      </c>
      <c r="J22" s="248">
        <f t="shared" si="3"/>
        <v>-2155.2583848789163</v>
      </c>
    </row>
    <row r="23" spans="1:10">
      <c r="A23" s="241" t="s">
        <v>65</v>
      </c>
      <c r="B23" s="242">
        <f>PFR!I24</f>
        <v>76.900000000000006</v>
      </c>
      <c r="C23" s="52">
        <f>PFR!H24/PFR!$H$33*sse*D23</f>
        <v>1202896380.4241087</v>
      </c>
      <c r="D23" s="243">
        <f>PFR!G24</f>
        <v>191538.66666666666</v>
      </c>
      <c r="E23" s="52">
        <f t="shared" si="0"/>
        <v>6280.1751800721286</v>
      </c>
      <c r="F23" s="52">
        <f>IF(B23&gt;100,-Inpayment!F24,Outpayment!F23)/D23</f>
        <v>774.63100318144291</v>
      </c>
      <c r="G23" s="52">
        <f t="shared" si="1"/>
        <v>7054.8061832535714</v>
      </c>
      <c r="H23" s="53">
        <f t="shared" si="2"/>
        <v>86.3</v>
      </c>
      <c r="J23" s="244">
        <f t="shared" si="3"/>
        <v>-1890.0550070524214</v>
      </c>
    </row>
    <row r="24" spans="1:10">
      <c r="A24" s="245" t="s">
        <v>66</v>
      </c>
      <c r="B24" s="246">
        <f>PFR!I25</f>
        <v>84.5</v>
      </c>
      <c r="C24" s="56">
        <f>PFR!H25/PFR!$H$33*sse*D24</f>
        <v>3953218733.2675076</v>
      </c>
      <c r="D24" s="247">
        <f>PFR!G25</f>
        <v>572912.33333333337</v>
      </c>
      <c r="E24" s="56">
        <f t="shared" si="0"/>
        <v>6900.2157978809564</v>
      </c>
      <c r="F24" s="56">
        <f>IF(B24&gt;100,-Inpayment!F25,Outpayment!F24)/D24</f>
        <v>402.48906907625201</v>
      </c>
      <c r="G24" s="56">
        <f t="shared" si="1"/>
        <v>7302.7048669572087</v>
      </c>
      <c r="H24" s="57">
        <f t="shared" si="2"/>
        <v>89.4</v>
      </c>
      <c r="J24" s="248">
        <f t="shared" si="3"/>
        <v>-1270.0143892435935</v>
      </c>
    </row>
    <row r="25" spans="1:10">
      <c r="A25" s="241" t="s">
        <v>67</v>
      </c>
      <c r="B25" s="242">
        <f>PFR!I26</f>
        <v>73.099999999999994</v>
      </c>
      <c r="C25" s="52">
        <f>PFR!H26/PFR!$H$33*sse*D25</f>
        <v>1409300014.9795542</v>
      </c>
      <c r="D25" s="243">
        <f>PFR!G26</f>
        <v>236028</v>
      </c>
      <c r="E25" s="52">
        <f t="shared" si="0"/>
        <v>5970.9018208837688</v>
      </c>
      <c r="F25" s="52">
        <f>IF(B25&gt;100,-Inpayment!F26,Outpayment!F25)/D25</f>
        <v>994.54964522273508</v>
      </c>
      <c r="G25" s="52">
        <f t="shared" si="1"/>
        <v>6965.4514661065041</v>
      </c>
      <c r="H25" s="53">
        <f t="shared" si="2"/>
        <v>85.3</v>
      </c>
      <c r="J25" s="244">
        <f t="shared" si="3"/>
        <v>-2199.3283662407812</v>
      </c>
    </row>
    <row r="26" spans="1:10">
      <c r="A26" s="245" t="s">
        <v>68</v>
      </c>
      <c r="B26" s="246">
        <f>PFR!I27</f>
        <v>95.4</v>
      </c>
      <c r="C26" s="56">
        <f>PFR!H27/PFR!$H$33*sse*D26</f>
        <v>2533025170.7394762</v>
      </c>
      <c r="D26" s="247">
        <f>PFR!G27</f>
        <v>324871.33333333331</v>
      </c>
      <c r="E26" s="56">
        <f t="shared" si="0"/>
        <v>7797.0104187077441</v>
      </c>
      <c r="F26" s="56">
        <f>IF(B26&gt;100,-Inpayment!F27,Outpayment!F26)/D26</f>
        <v>54.833048385483551</v>
      </c>
      <c r="G26" s="56">
        <f t="shared" si="1"/>
        <v>7851.8434670932274</v>
      </c>
      <c r="H26" s="57">
        <f t="shared" si="2"/>
        <v>96.1</v>
      </c>
      <c r="J26" s="248">
        <f t="shared" si="3"/>
        <v>-373.21976841680589</v>
      </c>
    </row>
    <row r="27" spans="1:10">
      <c r="A27" s="241" t="s">
        <v>69</v>
      </c>
      <c r="B27" s="242">
        <f>PFR!I28</f>
        <v>120.1</v>
      </c>
      <c r="C27" s="52">
        <f>PFR!H28/PFR!$H$33*sse*D27</f>
        <v>6585671761.4295063</v>
      </c>
      <c r="D27" s="243">
        <f>PFR!G28</f>
        <v>671035</v>
      </c>
      <c r="E27" s="52">
        <f t="shared" si="0"/>
        <v>9814.2000960151199</v>
      </c>
      <c r="F27" s="52">
        <f>IF(B27&gt;100,-Inpayment!F28,Outpayment!F27)/D27</f>
        <v>-304.54554026849866</v>
      </c>
      <c r="G27" s="52">
        <f t="shared" si="1"/>
        <v>9509.6545557466216</v>
      </c>
      <c r="H27" s="53">
        <f t="shared" si="2"/>
        <v>116.4</v>
      </c>
      <c r="J27" s="244">
        <f t="shared" si="3"/>
        <v>1643.96990889057</v>
      </c>
    </row>
    <row r="28" spans="1:10">
      <c r="A28" s="245" t="s">
        <v>70</v>
      </c>
      <c r="B28" s="246">
        <f>PFR!I29</f>
        <v>64.3</v>
      </c>
      <c r="C28" s="56">
        <f>PFR!H29/PFR!$H$33*sse*D28</f>
        <v>1541470376.9433317</v>
      </c>
      <c r="D28" s="247">
        <f>PFR!G29</f>
        <v>293251.33333333331</v>
      </c>
      <c r="E28" s="56">
        <f t="shared" si="0"/>
        <v>5256.4820743412311</v>
      </c>
      <c r="F28" s="56">
        <f>IF(B28&gt;100,-Inpayment!F29,Outpayment!F28)/D28</f>
        <v>1582.4241198825146</v>
      </c>
      <c r="G28" s="56">
        <f t="shared" si="1"/>
        <v>6838.9061942237458</v>
      </c>
      <c r="H28" s="57">
        <f t="shared" si="2"/>
        <v>83.7</v>
      </c>
      <c r="J28" s="248">
        <f t="shared" si="3"/>
        <v>-2913.7481127833189</v>
      </c>
    </row>
    <row r="29" spans="1:10">
      <c r="A29" s="241" t="s">
        <v>71</v>
      </c>
      <c r="B29" s="242">
        <f>PFR!I30</f>
        <v>94.1</v>
      </c>
      <c r="C29" s="52">
        <f>PFR!H30/PFR!$H$33*sse*D29</f>
        <v>1303532524.489399</v>
      </c>
      <c r="D29" s="243">
        <f>PFR!G30</f>
        <v>169520.33333333334</v>
      </c>
      <c r="E29" s="52">
        <f t="shared" si="0"/>
        <v>7689.5349298672072</v>
      </c>
      <c r="F29" s="52">
        <f>IF(B29&gt;100,-Inpayment!F30,Outpayment!F29)/D29</f>
        <v>82.493049042644046</v>
      </c>
      <c r="G29" s="52">
        <f t="shared" si="1"/>
        <v>7772.0279789098513</v>
      </c>
      <c r="H29" s="53">
        <f t="shared" si="2"/>
        <v>95.1</v>
      </c>
      <c r="J29" s="244">
        <f t="shared" si="3"/>
        <v>-480.69525725734275</v>
      </c>
    </row>
    <row r="30" spans="1:10">
      <c r="A30" s="245" t="s">
        <v>72</v>
      </c>
      <c r="B30" s="246">
        <f>PFR!I31</f>
        <v>146.9</v>
      </c>
      <c r="C30" s="56">
        <f>PFR!H31/PFR!$H$33*sse*D30</f>
        <v>5274361188.5180931</v>
      </c>
      <c r="D30" s="247">
        <f>PFR!G31</f>
        <v>439420.66666666669</v>
      </c>
      <c r="E30" s="56">
        <f t="shared" si="0"/>
        <v>12002.988454157276</v>
      </c>
      <c r="F30" s="56">
        <f>IF(B30&gt;100,-Inpayment!F31,Outpayment!F30)/D30</f>
        <v>-710.60626062649703</v>
      </c>
      <c r="G30" s="56">
        <f t="shared" si="1"/>
        <v>11292.382193530779</v>
      </c>
      <c r="H30" s="57">
        <f t="shared" si="2"/>
        <v>138.19999999999999</v>
      </c>
      <c r="J30" s="248">
        <f t="shared" si="3"/>
        <v>3832.7582670327256</v>
      </c>
    </row>
    <row r="31" spans="1:10">
      <c r="A31" s="241" t="s">
        <v>73</v>
      </c>
      <c r="B31" s="249">
        <f>PFR!I32</f>
        <v>62.3</v>
      </c>
      <c r="C31" s="128">
        <f>PFR!H32/PFR!$H$33*sse*D31</f>
        <v>346462461.37676108</v>
      </c>
      <c r="D31" s="250">
        <f>PFR!G32</f>
        <v>68052.666666666672</v>
      </c>
      <c r="E31" s="128">
        <f t="shared" si="0"/>
        <v>5091.0930952021627</v>
      </c>
      <c r="F31" s="128">
        <f>IF(B31&gt;100,-Inpayment!F32,Outpayment!F31)/D31</f>
        <v>1730.4890122329982</v>
      </c>
      <c r="G31" s="128">
        <f t="shared" si="1"/>
        <v>6821.5821074351607</v>
      </c>
      <c r="H31" s="251">
        <f t="shared" si="2"/>
        <v>83.5</v>
      </c>
      <c r="J31" s="252">
        <f t="shared" si="3"/>
        <v>-3079.1370919223873</v>
      </c>
    </row>
    <row r="32" spans="1:10">
      <c r="A32" s="198" t="s">
        <v>74</v>
      </c>
      <c r="B32" s="222">
        <f>PFR!I33</f>
        <v>100</v>
      </c>
      <c r="C32" s="200">
        <f>SUM(C6:C31)</f>
        <v>61760030923.333351</v>
      </c>
      <c r="D32" s="253">
        <f>SUM(D6:D31)</f>
        <v>7559154.333333333</v>
      </c>
      <c r="E32" s="200">
        <f t="shared" si="0"/>
        <v>8170.23018712455</v>
      </c>
      <c r="F32" s="200"/>
      <c r="G32" s="200"/>
      <c r="H32" s="254"/>
      <c r="J32" s="255">
        <f t="shared" si="3"/>
        <v>0</v>
      </c>
    </row>
    <row r="33" spans="1:10" s="256" customFormat="1" ht="18.75" customHeight="1">
      <c r="A33" s="257" t="s">
        <v>124</v>
      </c>
      <c r="B33" s="258">
        <f>MIN(B6:B31)</f>
        <v>57.2</v>
      </c>
      <c r="C33" s="258"/>
      <c r="D33" s="259"/>
      <c r="E33" s="260"/>
      <c r="F33" s="260"/>
      <c r="G33" s="260"/>
      <c r="H33" s="261">
        <f>MIN(H6:H31)</f>
        <v>83.3</v>
      </c>
    </row>
    <row r="34" spans="1:10" s="2" customFormat="1" ht="14.25" customHeight="1">
      <c r="A34" s="58"/>
      <c r="B34" s="262"/>
      <c r="C34" s="262"/>
      <c r="D34" s="263"/>
      <c r="E34" s="31"/>
      <c r="F34" s="31"/>
      <c r="G34" s="31"/>
      <c r="H34" s="262"/>
    </row>
    <row r="35" spans="1:10" ht="26.25" customHeight="1">
      <c r="A35" s="315" t="str">
        <f>"Standardized tax rate (STR) "&amp;Info!C30</f>
        <v>Standardized tax rate (STR) 2011</v>
      </c>
      <c r="B35" s="315"/>
      <c r="C35" s="315"/>
      <c r="D35" s="315"/>
      <c r="E35" s="315"/>
      <c r="F35" s="315"/>
      <c r="G35" s="315"/>
      <c r="H35" s="315"/>
      <c r="I35" s="1"/>
      <c r="J35" s="1"/>
    </row>
    <row r="36" spans="1:10" ht="15.75" customHeight="1">
      <c r="A36" s="181"/>
      <c r="B36" s="264"/>
      <c r="C36" s="264"/>
      <c r="D36" s="26" t="s">
        <v>44</v>
      </c>
      <c r="E36" s="66" t="s">
        <v>35</v>
      </c>
      <c r="F36" s="265">
        <v>2005</v>
      </c>
      <c r="G36" s="266">
        <v>2006</v>
      </c>
      <c r="H36" s="267">
        <v>2007</v>
      </c>
      <c r="I36" s="268"/>
      <c r="J36" s="269" t="str">
        <f>F36&amp;" - "&amp;H36</f>
        <v>2005 - 2007</v>
      </c>
    </row>
    <row r="37" spans="1:10" ht="15" customHeight="1">
      <c r="A37" s="270" t="s">
        <v>125</v>
      </c>
      <c r="B37" s="264"/>
      <c r="C37" s="264"/>
      <c r="D37" s="271" t="s">
        <v>45</v>
      </c>
      <c r="E37" s="272"/>
      <c r="F37" s="273">
        <v>56210714</v>
      </c>
      <c r="G37" s="274">
        <v>58972820</v>
      </c>
      <c r="H37" s="275">
        <v>62985037</v>
      </c>
      <c r="I37" s="276"/>
      <c r="J37" s="277"/>
    </row>
    <row r="38" spans="1:10" ht="15" customHeight="1">
      <c r="A38" s="270" t="s">
        <v>126</v>
      </c>
      <c r="B38" s="264"/>
      <c r="C38" s="264"/>
      <c r="D38" s="271" t="s">
        <v>45</v>
      </c>
      <c r="E38" s="272"/>
      <c r="F38" s="273">
        <v>12213083</v>
      </c>
      <c r="G38" s="274">
        <v>14230498</v>
      </c>
      <c r="H38" s="275">
        <v>15388900</v>
      </c>
      <c r="I38" s="278"/>
      <c r="J38" s="279"/>
    </row>
    <row r="39" spans="1:10" ht="15" customHeight="1">
      <c r="A39" s="270" t="s">
        <v>127</v>
      </c>
      <c r="B39" s="264"/>
      <c r="C39" s="264"/>
      <c r="D39" s="271" t="s">
        <v>45</v>
      </c>
      <c r="E39" s="272" t="s">
        <v>128</v>
      </c>
      <c r="F39" s="280">
        <f>0.17*F38</f>
        <v>2076224.11</v>
      </c>
      <c r="G39" s="281">
        <f>0.17*G38</f>
        <v>2419184.66</v>
      </c>
      <c r="H39" s="282">
        <f>0.17*H38</f>
        <v>2616113</v>
      </c>
      <c r="I39" s="283"/>
      <c r="J39" s="284"/>
    </row>
    <row r="40" spans="1:10" ht="15.75" customHeight="1">
      <c r="A40" s="285" t="s">
        <v>129</v>
      </c>
      <c r="B40" s="286"/>
      <c r="C40" s="286"/>
      <c r="D40" s="287" t="s">
        <v>45</v>
      </c>
      <c r="E40" s="288" t="s">
        <v>130</v>
      </c>
      <c r="F40" s="289">
        <f>F37+F39</f>
        <v>58286938.109999999</v>
      </c>
      <c r="G40" s="290">
        <f>G37+G39</f>
        <v>61392004.659999996</v>
      </c>
      <c r="H40" s="290">
        <f>H37+H39</f>
        <v>65601150</v>
      </c>
      <c r="I40" s="140"/>
      <c r="J40" s="291">
        <f>AVERAGE(F40:H40)</f>
        <v>61760030.923333324</v>
      </c>
    </row>
    <row r="41" spans="1:10" ht="15" customHeight="1">
      <c r="A41" s="270" t="s">
        <v>131</v>
      </c>
      <c r="B41" s="264"/>
      <c r="C41" s="264"/>
      <c r="D41" s="42" t="s">
        <v>46</v>
      </c>
      <c r="E41" s="272"/>
      <c r="F41" s="280"/>
      <c r="G41" s="281"/>
      <c r="H41" s="281"/>
      <c r="I41" s="292"/>
      <c r="J41" s="282">
        <f>Population!F33</f>
        <v>7559154.333333333</v>
      </c>
    </row>
    <row r="42" spans="1:10" ht="15.75" customHeight="1">
      <c r="A42" s="285" t="s">
        <v>132</v>
      </c>
      <c r="B42" s="286"/>
      <c r="C42" s="286"/>
      <c r="D42" s="287" t="s">
        <v>47</v>
      </c>
      <c r="E42" s="288" t="s">
        <v>133</v>
      </c>
      <c r="F42" s="293"/>
      <c r="G42" s="140"/>
      <c r="H42" s="140"/>
      <c r="I42" s="140"/>
      <c r="J42" s="294">
        <f>J40/J41*1000</f>
        <v>8170.2301871245472</v>
      </c>
    </row>
    <row r="43" spans="1:10" ht="15" customHeight="1">
      <c r="A43" s="270" t="s">
        <v>134</v>
      </c>
      <c r="B43" s="264"/>
      <c r="C43" s="264"/>
      <c r="D43" s="271" t="s">
        <v>47</v>
      </c>
      <c r="E43" s="272"/>
      <c r="F43" s="268"/>
      <c r="G43" s="292"/>
      <c r="H43" s="292"/>
      <c r="I43" s="292"/>
      <c r="J43" s="282">
        <f>PFR!H33</f>
        <v>30808.866157703716</v>
      </c>
    </row>
    <row r="44" spans="1:10" ht="15.75" customHeight="1">
      <c r="A44" s="285" t="s">
        <v>135</v>
      </c>
      <c r="B44" s="286"/>
      <c r="C44" s="286"/>
      <c r="D44" s="287" t="s">
        <v>82</v>
      </c>
      <c r="E44" s="288" t="s">
        <v>136</v>
      </c>
      <c r="F44" s="293"/>
      <c r="G44" s="140"/>
      <c r="H44" s="140"/>
      <c r="I44" s="140"/>
      <c r="J44" s="295">
        <f>sse/J43</f>
        <v>0.2651908754221256</v>
      </c>
    </row>
    <row r="48" spans="1:10">
      <c r="A48" s="296"/>
    </row>
  </sheetData>
  <mergeCells count="1">
    <mergeCell ref="A35:H35"/>
  </mergeCells>
  <conditionalFormatting sqref="J43">
    <cfRule type="expression" dxfId="1" priority="1" stopIfTrue="1">
      <formula>ISBLANK($F$12)</formula>
    </cfRule>
  </conditionalFormatting>
  <conditionalFormatting sqref="F36:H38">
    <cfRule type="expression" dxfId="0" priority="2" stopIfTrue="1">
      <formula>ISBLANK(F36)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6" orientation="landscape" r:id="rId1"/>
  <headerFooter>
    <oddHeader>&amp;L&amp;F&amp;R&amp;A</oddHead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8</vt:i4>
      </vt:variant>
      <vt:variant>
        <vt:lpstr>Benannte Bereiche</vt:lpstr>
      </vt:variant>
      <vt:variant>
        <vt:i4>14</vt:i4>
      </vt:variant>
    </vt:vector>
  </HeadingPairs>
  <TitlesOfParts>
    <vt:vector size="22" baseType="lpstr">
      <vt:lpstr>Info</vt:lpstr>
      <vt:lpstr>PFR</vt:lpstr>
      <vt:lpstr>Population</vt:lpstr>
      <vt:lpstr>Growth_rates</vt:lpstr>
      <vt:lpstr>Endowment</vt:lpstr>
      <vt:lpstr>Inpayment</vt:lpstr>
      <vt:lpstr>Outpayment</vt:lpstr>
      <vt:lpstr>STR</vt:lpstr>
      <vt:lpstr>A</vt:lpstr>
      <vt:lpstr>B</vt:lpstr>
      <vt:lpstr>BEV</vt:lpstr>
      <vt:lpstr>Druckbereich</vt:lpstr>
      <vt:lpstr>p</vt:lpstr>
      <vt:lpstr>RI</vt:lpstr>
      <vt:lpstr>RI_26</vt:lpstr>
      <vt:lpstr>RI_MIN</vt:lpstr>
      <vt:lpstr>solver_adj</vt:lpstr>
      <vt:lpstr>solver_lhs1</vt:lpstr>
      <vt:lpstr>solver_opt</vt:lpstr>
      <vt:lpstr>solver_rhs1</vt:lpstr>
      <vt:lpstr>sse</vt:lpstr>
      <vt:lpstr>SUM</vt:lpstr>
    </vt:vector>
  </TitlesOfParts>
  <Company>BIT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Utz Pascal EFV</dc:creator>
  <cp:lastModifiedBy>U80820015</cp:lastModifiedBy>
  <cp:lastPrinted>2011-12-22T13:05:40Z</cp:lastPrinted>
  <dcterms:created xsi:type="dcterms:W3CDTF">2010-11-03T16:06:04Z</dcterms:created>
  <dcterms:modified xsi:type="dcterms:W3CDTF">2012-05-21T08:45:58Z</dcterms:modified>
</cp:coreProperties>
</file>