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25725"/>
</workbook>
</file>

<file path=xl/calcChain.xml><?xml version="1.0" encoding="utf-8"?>
<calcChain xmlns="http://schemas.openxmlformats.org/spreadsheetml/2006/main">
  <c r="H39" i="8"/>
  <c r="H40" s="1"/>
  <c r="G39"/>
  <c r="G40" s="1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C4"/>
  <c r="B31" s="1"/>
  <c r="G3"/>
  <c r="B1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C17" i="6" s="1"/>
  <c r="F17" i="2"/>
  <c r="E17" i="4" s="1"/>
  <c r="F17" s="1"/>
  <c r="G16" i="2"/>
  <c r="F16"/>
  <c r="E16" i="4" s="1"/>
  <c r="F16" s="1"/>
  <c r="G15" i="2"/>
  <c r="F15"/>
  <c r="E15" i="4" s="1"/>
  <c r="F15" s="1"/>
  <c r="G14" i="2"/>
  <c r="C14" i="6" s="1"/>
  <c r="F14" i="2"/>
  <c r="E14" i="4" s="1"/>
  <c r="F14" s="1"/>
  <c r="G13" i="2"/>
  <c r="F13"/>
  <c r="E13" i="4" s="1"/>
  <c r="F13" s="1"/>
  <c r="G12" i="2"/>
  <c r="C12" i="6" s="1"/>
  <c r="F12" i="2"/>
  <c r="E12" i="4" s="1"/>
  <c r="F12" s="1"/>
  <c r="G11" i="2"/>
  <c r="F11"/>
  <c r="E11" i="4" s="1"/>
  <c r="F11" s="1"/>
  <c r="G10" i="2"/>
  <c r="C10" i="6" s="1"/>
  <c r="F10" i="2"/>
  <c r="E10" i="4" s="1"/>
  <c r="F10" s="1"/>
  <c r="G9" i="2"/>
  <c r="F9"/>
  <c r="E9" i="4" s="1"/>
  <c r="F9" s="1"/>
  <c r="G8" i="2"/>
  <c r="C8" i="6" s="1"/>
  <c r="F8" i="2"/>
  <c r="E8" i="4" s="1"/>
  <c r="F8" s="1"/>
  <c r="G7" i="2"/>
  <c r="G33" s="1"/>
  <c r="C32" i="7" s="1"/>
  <c r="F7" i="2"/>
  <c r="F33" s="1"/>
  <c r="H33" s="1"/>
  <c r="E5"/>
  <c r="D5"/>
  <c r="C5"/>
  <c r="E4"/>
  <c r="D4"/>
  <c r="C4"/>
  <c r="I1"/>
  <c r="B1"/>
  <c r="A5" i="1"/>
  <c r="J43" i="8" l="1"/>
  <c r="I33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C12" i="5"/>
  <c r="B23"/>
  <c r="J42" i="8"/>
  <c r="J44" s="1"/>
  <c r="D6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D14" i="8"/>
  <c r="C14" i="7"/>
  <c r="D15" i="8"/>
  <c r="C15" i="7"/>
  <c r="C16" i="6"/>
  <c r="D16" i="8"/>
  <c r="C16" i="7"/>
  <c r="D17" i="8"/>
  <c r="C17" i="7"/>
  <c r="C18" i="6"/>
  <c r="D18" i="8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C7"/>
  <c r="C9"/>
  <c r="C11"/>
  <c r="C13"/>
  <c r="C15"/>
  <c r="C19"/>
  <c r="E33" i="4" l="1"/>
  <c r="F33" s="1"/>
  <c r="D5" i="5" s="1"/>
  <c r="E5" s="1"/>
  <c r="G5" s="1"/>
  <c r="F7" i="4"/>
  <c r="C30" i="8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4" i="8"/>
  <c r="E14" s="1"/>
  <c r="I15" i="2"/>
  <c r="C12" i="8"/>
  <c r="E12" s="1"/>
  <c r="I13" i="2"/>
  <c r="C10" i="8"/>
  <c r="E10" s="1"/>
  <c r="I11" i="2"/>
  <c r="C8" i="8"/>
  <c r="E8" s="1"/>
  <c r="I9" i="2"/>
  <c r="C6" i="8"/>
  <c r="I7" i="2"/>
  <c r="D32" i="8"/>
  <c r="C31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9" i="8"/>
  <c r="E9" s="1"/>
  <c r="I10" i="2"/>
  <c r="C7" i="8"/>
  <c r="E7" s="1"/>
  <c r="I8" i="2"/>
  <c r="B32" i="8"/>
  <c r="B32" i="7"/>
  <c r="B33" i="6"/>
  <c r="C33" i="4"/>
  <c r="C33" i="6"/>
  <c r="B7" i="8" l="1"/>
  <c r="B7" i="7"/>
  <c r="B8" i="6"/>
  <c r="C8" i="4"/>
  <c r="B11" i="8"/>
  <c r="B11" i="7"/>
  <c r="B12" i="6"/>
  <c r="C12" i="4"/>
  <c r="B13" i="8"/>
  <c r="B13" i="7"/>
  <c r="B14" i="6"/>
  <c r="C14" i="4"/>
  <c r="B15" i="8"/>
  <c r="B15" i="7"/>
  <c r="B16" i="6"/>
  <c r="C16" i="4"/>
  <c r="B17" i="8"/>
  <c r="B17" i="7"/>
  <c r="C18" i="4"/>
  <c r="B18" i="6"/>
  <c r="B19" i="8"/>
  <c r="B19" i="7"/>
  <c r="B20" i="6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C32" i="8"/>
  <c r="E32" s="1"/>
  <c r="E6"/>
  <c r="J8"/>
  <c r="J10"/>
  <c r="J12"/>
  <c r="J14"/>
  <c r="J16"/>
  <c r="J18"/>
  <c r="J20"/>
  <c r="J22"/>
  <c r="J24"/>
  <c r="J26"/>
  <c r="J28"/>
  <c r="J30"/>
  <c r="D24" i="5"/>
  <c r="D15"/>
  <c r="D13"/>
  <c r="B9" i="8"/>
  <c r="B9" i="7"/>
  <c r="B10" i="6"/>
  <c r="C10" i="4"/>
  <c r="B6" i="8"/>
  <c r="B6" i="7"/>
  <c r="C7" i="4"/>
  <c r="B7" i="6"/>
  <c r="B8" i="8"/>
  <c r="B8" i="7"/>
  <c r="C9" i="4"/>
  <c r="B9" i="6"/>
  <c r="B10" i="8"/>
  <c r="B10" i="7"/>
  <c r="C11" i="4"/>
  <c r="B11" i="6"/>
  <c r="B12" i="8"/>
  <c r="B12" i="7"/>
  <c r="C13" i="4"/>
  <c r="B13" i="6"/>
  <c r="B14" i="8"/>
  <c r="B14" i="7"/>
  <c r="B15" i="6"/>
  <c r="C15" i="4"/>
  <c r="B16" i="8"/>
  <c r="B16" i="7"/>
  <c r="B17" i="6"/>
  <c r="C17" i="4"/>
  <c r="B18" i="8"/>
  <c r="B18" i="7"/>
  <c r="B19" i="6"/>
  <c r="C19" i="4"/>
  <c r="B20" i="8"/>
  <c r="B20" i="7"/>
  <c r="B21" i="6"/>
  <c r="C21" i="4"/>
  <c r="B22" i="8"/>
  <c r="B22" i="7"/>
  <c r="B23" i="6"/>
  <c r="C23" i="4"/>
  <c r="B24" i="8"/>
  <c r="B24" i="7"/>
  <c r="B25" i="6"/>
  <c r="C25" i="4"/>
  <c r="B26" i="8"/>
  <c r="B26" i="7"/>
  <c r="B27" i="6"/>
  <c r="C27" i="4"/>
  <c r="B28" i="8"/>
  <c r="B28" i="7"/>
  <c r="B29" i="6"/>
  <c r="C29" i="4"/>
  <c r="B30" i="8"/>
  <c r="B30" i="7"/>
  <c r="B31" i="6"/>
  <c r="C31" i="4"/>
  <c r="D30" i="7" l="1"/>
  <c r="E30"/>
  <c r="F30" s="1"/>
  <c r="D28"/>
  <c r="D26"/>
  <c r="D24"/>
  <c r="D22"/>
  <c r="H21" i="4"/>
  <c r="I21"/>
  <c r="G21"/>
  <c r="D20" i="7"/>
  <c r="H19" i="4"/>
  <c r="I19"/>
  <c r="G19"/>
  <c r="D18" i="7"/>
  <c r="E18"/>
  <c r="F18" s="1"/>
  <c r="H17" i="4"/>
  <c r="I17"/>
  <c r="G17"/>
  <c r="D16" i="7"/>
  <c r="H15" i="4"/>
  <c r="I15"/>
  <c r="G15"/>
  <c r="D14" i="7"/>
  <c r="E14"/>
  <c r="F14" s="1"/>
  <c r="D13" i="6"/>
  <c r="D12" i="7"/>
  <c r="E12"/>
  <c r="F12" s="1"/>
  <c r="D11" i="6"/>
  <c r="D10" i="7"/>
  <c r="E10"/>
  <c r="F10" s="1"/>
  <c r="E9" i="6"/>
  <c r="F9" s="1"/>
  <c r="D9"/>
  <c r="D8" i="7"/>
  <c r="D7" i="6"/>
  <c r="K7" i="7"/>
  <c r="E6"/>
  <c r="F6" s="1"/>
  <c r="D6"/>
  <c r="H10" i="4"/>
  <c r="I10"/>
  <c r="G10"/>
  <c r="D9" i="7"/>
  <c r="C32" i="5"/>
  <c r="J32" i="8"/>
  <c r="K13" i="7"/>
  <c r="D31"/>
  <c r="D29"/>
  <c r="E27"/>
  <c r="F27" s="1"/>
  <c r="D27"/>
  <c r="D25"/>
  <c r="D23"/>
  <c r="D21"/>
  <c r="D20" i="6"/>
  <c r="E20"/>
  <c r="F20" s="1"/>
  <c r="H18" i="4"/>
  <c r="G18"/>
  <c r="I18" s="1"/>
  <c r="E16" i="6"/>
  <c r="F16" s="1"/>
  <c r="D16"/>
  <c r="E14"/>
  <c r="F14" s="1"/>
  <c r="D14"/>
  <c r="D12"/>
  <c r="E12"/>
  <c r="F12" s="1"/>
  <c r="D8"/>
  <c r="E8"/>
  <c r="F8" s="1"/>
  <c r="H31" i="4"/>
  <c r="G31"/>
  <c r="I31" s="1"/>
  <c r="H29"/>
  <c r="I29"/>
  <c r="G29"/>
  <c r="H27"/>
  <c r="I27"/>
  <c r="G27"/>
  <c r="H25"/>
  <c r="I25"/>
  <c r="G25"/>
  <c r="H23"/>
  <c r="I23"/>
  <c r="G23"/>
  <c r="D31" i="6"/>
  <c r="E29"/>
  <c r="F29" s="1"/>
  <c r="D29"/>
  <c r="E27"/>
  <c r="F27" s="1"/>
  <c r="D27"/>
  <c r="E25"/>
  <c r="F25" s="1"/>
  <c r="D25"/>
  <c r="E23"/>
  <c r="F23" s="1"/>
  <c r="D23"/>
  <c r="E21"/>
  <c r="F21" s="1"/>
  <c r="D21"/>
  <c r="D19"/>
  <c r="D17"/>
  <c r="E17"/>
  <c r="F17" s="1"/>
  <c r="D15"/>
  <c r="H13" i="4"/>
  <c r="I13" s="1"/>
  <c r="G13"/>
  <c r="H11"/>
  <c r="I11"/>
  <c r="G11"/>
  <c r="H9"/>
  <c r="I9"/>
  <c r="G9"/>
  <c r="H7"/>
  <c r="I7"/>
  <c r="G7"/>
  <c r="B33" i="8"/>
  <c r="D10" i="6"/>
  <c r="E10"/>
  <c r="F10" s="1"/>
  <c r="J6" i="8"/>
  <c r="H32" i="4"/>
  <c r="I32"/>
  <c r="G32"/>
  <c r="D32" i="6"/>
  <c r="E32"/>
  <c r="F32" s="1"/>
  <c r="H30" i="4"/>
  <c r="I30"/>
  <c r="G30"/>
  <c r="D30" i="6"/>
  <c r="E30"/>
  <c r="F30" s="1"/>
  <c r="H28" i="4"/>
  <c r="I28" s="1"/>
  <c r="G28"/>
  <c r="D28" i="6"/>
  <c r="H26" i="4"/>
  <c r="I26"/>
  <c r="G26"/>
  <c r="D26" i="6"/>
  <c r="E26"/>
  <c r="F26" s="1"/>
  <c r="H24" i="4"/>
  <c r="I24"/>
  <c r="G24"/>
  <c r="D24" i="6"/>
  <c r="E24"/>
  <c r="F24" s="1"/>
  <c r="H22" i="4"/>
  <c r="I22"/>
  <c r="G22"/>
  <c r="D22" i="6"/>
  <c r="E22"/>
  <c r="F22" s="1"/>
  <c r="H20" i="4"/>
  <c r="I20"/>
  <c r="G20"/>
  <c r="D19" i="7"/>
  <c r="D18" i="6"/>
  <c r="E17" i="7"/>
  <c r="F17" s="1"/>
  <c r="D17"/>
  <c r="H16" i="4"/>
  <c r="I16"/>
  <c r="G16"/>
  <c r="D15" i="7"/>
  <c r="H14" i="4"/>
  <c r="I14"/>
  <c r="G14"/>
  <c r="D13" i="7"/>
  <c r="H12" i="4"/>
  <c r="I12"/>
  <c r="G12"/>
  <c r="D11" i="7"/>
  <c r="H8" i="4"/>
  <c r="I8"/>
  <c r="G8"/>
  <c r="D7" i="7"/>
  <c r="J31" i="8"/>
  <c r="J29"/>
  <c r="J27"/>
  <c r="J25"/>
  <c r="J23"/>
  <c r="J21"/>
  <c r="J19"/>
  <c r="J17"/>
  <c r="J15"/>
  <c r="J13"/>
  <c r="J11"/>
  <c r="J9"/>
  <c r="J7"/>
  <c r="D32" i="7" l="1"/>
  <c r="G33" i="4"/>
  <c r="H33"/>
  <c r="I33" s="1"/>
  <c r="D6" i="5" s="1"/>
  <c r="E6" s="1"/>
  <c r="G6" s="1"/>
  <c r="D33" i="6"/>
  <c r="D14" i="5" l="1"/>
  <c r="D25"/>
  <c r="C33" l="1"/>
  <c r="D26"/>
  <c r="E19" i="6"/>
  <c r="F19" s="1"/>
  <c r="F18" i="8" s="1"/>
  <c r="G18" s="1"/>
  <c r="H18" s="1"/>
  <c r="E15" i="6"/>
  <c r="F15" s="1"/>
  <c r="F14" i="8" s="1"/>
  <c r="G14" s="1"/>
  <c r="H14" s="1"/>
  <c r="E18" i="6"/>
  <c r="F18" s="1"/>
  <c r="F17" i="8" s="1"/>
  <c r="G17" s="1"/>
  <c r="H17" s="1"/>
  <c r="E13" i="6"/>
  <c r="F13" s="1"/>
  <c r="F12" i="8" s="1"/>
  <c r="G12" s="1"/>
  <c r="H12" s="1"/>
  <c r="E11" i="6"/>
  <c r="F11" s="1"/>
  <c r="F10" i="8" s="1"/>
  <c r="G10" s="1"/>
  <c r="H10" s="1"/>
  <c r="E7" i="6"/>
  <c r="F7" s="1"/>
  <c r="E31"/>
  <c r="F31" s="1"/>
  <c r="F30" i="8" s="1"/>
  <c r="G30" s="1"/>
  <c r="H30" s="1"/>
  <c r="E28" i="6"/>
  <c r="F28" s="1"/>
  <c r="F27" i="8" s="1"/>
  <c r="G27" s="1"/>
  <c r="H27" s="1"/>
  <c r="G12" i="7" l="1"/>
  <c r="H12" s="1"/>
  <c r="G14"/>
  <c r="H14" s="1"/>
  <c r="G18"/>
  <c r="H18" s="1"/>
  <c r="G30"/>
  <c r="H30" s="1"/>
  <c r="G27"/>
  <c r="H27" s="1"/>
  <c r="F33" i="6"/>
  <c r="F6" i="8"/>
  <c r="G6" s="1"/>
  <c r="H6" s="1"/>
  <c r="K12" i="7"/>
  <c r="C34" i="5"/>
  <c r="G10" i="7"/>
  <c r="H10" s="1"/>
  <c r="G6"/>
  <c r="G17"/>
  <c r="H17" s="1"/>
  <c r="H6" l="1"/>
  <c r="E28"/>
  <c r="F28" s="1"/>
  <c r="E26"/>
  <c r="F26" s="1"/>
  <c r="E24"/>
  <c r="F24" s="1"/>
  <c r="E22"/>
  <c r="F22" s="1"/>
  <c r="E19"/>
  <c r="F19" s="1"/>
  <c r="E7"/>
  <c r="F7" s="1"/>
  <c r="E20"/>
  <c r="F20" s="1"/>
  <c r="E16"/>
  <c r="F16" s="1"/>
  <c r="E8"/>
  <c r="F8" s="1"/>
  <c r="E9"/>
  <c r="F9" s="1"/>
  <c r="E31"/>
  <c r="F31" s="1"/>
  <c r="E29"/>
  <c r="F29" s="1"/>
  <c r="E25"/>
  <c r="F25" s="1"/>
  <c r="E23"/>
  <c r="F23" s="1"/>
  <c r="E21"/>
  <c r="F21" s="1"/>
  <c r="E15"/>
  <c r="F15" s="1"/>
  <c r="E13"/>
  <c r="F13" s="1"/>
  <c r="E11"/>
  <c r="F11" s="1"/>
  <c r="K8"/>
  <c r="K6" s="1"/>
  <c r="F11" i="8" l="1"/>
  <c r="G11" s="1"/>
  <c r="H11" s="1"/>
  <c r="G11" i="7"/>
  <c r="H11" s="1"/>
  <c r="F15" i="8"/>
  <c r="G15" s="1"/>
  <c r="H15" s="1"/>
  <c r="G15" i="7"/>
  <c r="H15" s="1"/>
  <c r="F23" i="8"/>
  <c r="G23" s="1"/>
  <c r="H23" s="1"/>
  <c r="G23" i="7"/>
  <c r="H23" s="1"/>
  <c r="F29" i="8"/>
  <c r="G29" s="1"/>
  <c r="H29" s="1"/>
  <c r="G29" i="7"/>
  <c r="H29" s="1"/>
  <c r="F9" i="8"/>
  <c r="G9" s="1"/>
  <c r="H9" s="1"/>
  <c r="G9" i="7"/>
  <c r="H9" s="1"/>
  <c r="F16" i="8"/>
  <c r="G16" s="1"/>
  <c r="H16" s="1"/>
  <c r="G16" i="7"/>
  <c r="H16" s="1"/>
  <c r="F7" i="8"/>
  <c r="G7" s="1"/>
  <c r="H7" s="1"/>
  <c r="F32" i="7"/>
  <c r="G7"/>
  <c r="H7" s="1"/>
  <c r="F22" i="8"/>
  <c r="G22" s="1"/>
  <c r="H22" s="1"/>
  <c r="G22" i="7"/>
  <c r="H22" s="1"/>
  <c r="F26" i="8"/>
  <c r="G26" s="1"/>
  <c r="H26" s="1"/>
  <c r="G26" i="7"/>
  <c r="H26" s="1"/>
  <c r="F13" i="8"/>
  <c r="G13" s="1"/>
  <c r="H13" s="1"/>
  <c r="G13" i="7"/>
  <c r="H13" s="1"/>
  <c r="F21" i="8"/>
  <c r="G21" s="1"/>
  <c r="H21" s="1"/>
  <c r="G21" i="7"/>
  <c r="H21" s="1"/>
  <c r="F25" i="8"/>
  <c r="G25" s="1"/>
  <c r="H25" s="1"/>
  <c r="G25" i="7"/>
  <c r="H25" s="1"/>
  <c r="F31" i="8"/>
  <c r="G31" s="1"/>
  <c r="H31" s="1"/>
  <c r="G31" i="7"/>
  <c r="H31" s="1"/>
  <c r="F8" i="8"/>
  <c r="G8" s="1"/>
  <c r="H8" s="1"/>
  <c r="G8" i="7"/>
  <c r="H8" s="1"/>
  <c r="F20" i="8"/>
  <c r="G20" s="1"/>
  <c r="H20" s="1"/>
  <c r="G20" i="7"/>
  <c r="H20" s="1"/>
  <c r="F19" i="8"/>
  <c r="G19" s="1"/>
  <c r="H19" s="1"/>
  <c r="G19" i="7"/>
  <c r="H19" s="1"/>
  <c r="F24" i="8"/>
  <c r="G24" s="1"/>
  <c r="H24" s="1"/>
  <c r="G24" i="7"/>
  <c r="H24" s="1"/>
  <c r="F28" i="8"/>
  <c r="G28" s="1"/>
  <c r="H28" s="1"/>
  <c r="G28" i="7"/>
  <c r="H28" s="1"/>
  <c r="H32" l="1"/>
  <c r="G32"/>
  <c r="H33" i="8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<sst xmlns="http://schemas.openxmlformats.org/spreadsheetml/2006/main" count="369" uniqueCount="138">
  <si>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</si>
  <si>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</si>
  <si>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</si>
  <si>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</si>
  <si>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</si>
  <si>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</si>
  <si>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</si>
  <si>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</si>
  <si>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</si>
  <si>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</si>
  <si>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</si>
  <si>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</si>
  <si>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</si>
  <si>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</si>
  <si>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</si>
  <si>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</si>
  <si>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</si>
  <si>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</si>
  <si>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</si>
  <si>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</si>
  <si>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</si>
  <si>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Simulation</t>
  </si>
  <si>
    <t>WS</t>
  </si>
  <si>
    <t>FA_2010_20120518</t>
  </si>
  <si>
    <t>SWS</t>
  </si>
  <si>
    <t>RA_2010_20120518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</si>
  <si>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</si>
  <si>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</si>
  <si>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</si>
  <si>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</si>
  <si>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</si>
  <si>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</si>
  <si>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</si>
  <si>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</si>
  <si>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</si>
  <si>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</si>
  <si>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</si>
  <si>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</si>
  <si>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</si>
  <si>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</si>
  <si>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</si>
  <si>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</si>
  <si>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</si>
  <si>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</si>
  <si>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</si>
  <si>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</si>
  <si>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</si>
  <si>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</si>
  <si>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</si>
  <si>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</si>
  <si>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</si>
  <si>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</si>
  <si>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</si>
  <si>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</si>
  <si>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</si>
  <si>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</si>
  <si>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</si>
  <si>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</si>
  <si>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</si>
  <si>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</si>
  <si>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</si>
  <si>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</si>
  <si>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</si>
  <si>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</si>
  <si>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</si>
  <si>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</si>
  <si>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</si>
  <si>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</si>
  <si>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</si>
  <si>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</si>
  <si>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</si>
  <si>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</si>
  <si>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</si>
  <si>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</si>
  <si>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</si>
  <si>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</si>
  <si>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</si>
  <si>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</si>
  <si>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</si>
  <si>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</si>
  <si>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</si>
  <si>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</si>
  <si>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</si>
  <si>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</si>
  <si>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</si>
  <si>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</si>
  <si>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</si>
  <si>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</si>
  <si>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</si>
  <si>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</si>
  <si>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</si>
  <si>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</si>
  <si>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</si>
  <si>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</si>
  <si>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</si>
  <si>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</si>
  <si>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</si>
  <si>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</si>
  <si>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</si>
  <si>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</si>
  <si>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</si>
  <si>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</si>
  <si>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</si>
  <si>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</si>
  <si>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</si>
  <si>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</si>
  <si>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</si>
  <si>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</si>
  <si>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</si>
  <si>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</si>
  <si>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</si>
  <si>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</si>
  <si>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STRev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</si>
  <si>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</si>
  <si>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</si>
  <si>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</si>
  <si>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</si>
  <si>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</si>
  <si>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</si>
  <si>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</si>
  <si>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</si>
  <si>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</si>
  <si>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STRev index after equalization</t>
  </si>
  <si>
    <t>Difference between STRev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</si>
  <si>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</si>
  <si>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</si>
  <si>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</si>
  <si>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</si>
  <si>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</si>
  <si>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(STRev)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</si>
  <si>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</si>
  <si>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</si>
  <si>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</si>
  <si>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</si>
  <si>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</si>
  <si>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(STR)</t>
  </si>
  <si>
    <t>F / G</t>
  </si>
  <si>
    <t>in CHF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</si>
</sst>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6" formatCode="0.0"/>
    <numFmt numFmtId="167" formatCode="_ * #,##0_ ;_ * \-#,##0_ ;_ * &quot;-&quot;??_ ;_ @_ "/>
    <numFmt numFmtId="168" formatCode="0.0%"/>
    <numFmt numFmtId="169" formatCode="#,##0.0"/>
    <numFmt numFmtId="170" formatCode="#,##0.000000000"/>
    <numFmt numFmtId="171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6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6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6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6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6" fontId="0" fillId="0" borderId="14" xfId="0" applyNumberFormat="1" applyFont="1" applyFill="1" applyBorder="1"/>
    <xf numFmtId="167" fontId="6" fillId="0" borderId="24" xfId="0" applyNumberFormat="1" applyFont="1" applyFill="1" applyBorder="1" applyAlignment="1" applyProtection="1">
      <alignment horizontal="right"/>
      <protection locked="0"/>
    </xf>
    <xf numFmtId="167" fontId="0" fillId="0" borderId="14" xfId="0" applyNumberFormat="1" applyFont="1" applyFill="1" applyBorder="1" applyAlignment="1">
      <alignment horizontal="right"/>
    </xf>
    <xf numFmtId="168" fontId="0" fillId="0" borderId="25" xfId="0" applyNumberFormat="1" applyFont="1" applyFill="1" applyBorder="1"/>
    <xf numFmtId="168" fontId="0" fillId="0" borderId="15" xfId="0" applyNumberFormat="1" applyFont="1" applyFill="1" applyBorder="1"/>
    <xf numFmtId="0" fontId="0" fillId="3" borderId="36" xfId="0" applyFont="1" applyFill="1" applyBorder="1"/>
    <xf numFmtId="166" fontId="0" fillId="3" borderId="0" xfId="0" applyNumberFormat="1" applyFont="1" applyFill="1" applyBorder="1"/>
    <xf numFmtId="167" fontId="6" fillId="3" borderId="26" xfId="0" applyNumberFormat="1" applyFont="1" applyFill="1" applyBorder="1" applyAlignment="1" applyProtection="1">
      <alignment horizontal="right"/>
      <protection locked="0"/>
    </xf>
    <xf numFmtId="167" fontId="0" fillId="3" borderId="0" xfId="0" applyNumberFormat="1" applyFont="1" applyFill="1" applyBorder="1" applyAlignment="1">
      <alignment horizontal="right"/>
    </xf>
    <xf numFmtId="168" fontId="0" fillId="3" borderId="27" xfId="0" applyNumberFormat="1" applyFont="1" applyFill="1" applyBorder="1"/>
    <xf numFmtId="168" fontId="0" fillId="3" borderId="17" xfId="0" applyNumberFormat="1" applyFont="1" applyFill="1" applyBorder="1"/>
    <xf numFmtId="0" fontId="0" fillId="0" borderId="36" xfId="0" applyFont="1" applyFill="1" applyBorder="1"/>
    <xf numFmtId="166" fontId="0" fillId="0" borderId="0" xfId="0" applyNumberFormat="1" applyFont="1" applyFill="1" applyBorder="1"/>
    <xf numFmtId="167" fontId="6" fillId="0" borderId="26" xfId="0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Font="1" applyFill="1" applyBorder="1" applyAlignment="1">
      <alignment horizontal="right"/>
    </xf>
    <xf numFmtId="168" fontId="0" fillId="0" borderId="27" xfId="0" applyNumberFormat="1" applyFont="1" applyFill="1" applyBorder="1"/>
    <xf numFmtId="168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6" fontId="0" fillId="3" borderId="19" xfId="0" applyNumberFormat="1" applyFont="1" applyFill="1" applyBorder="1"/>
    <xf numFmtId="167" fontId="6" fillId="3" borderId="18" xfId="0" applyNumberFormat="1" applyFont="1" applyFill="1" applyBorder="1" applyAlignment="1" applyProtection="1">
      <alignment horizontal="right"/>
      <protection locked="0"/>
    </xf>
    <xf numFmtId="167" fontId="0" fillId="3" borderId="19" xfId="0" applyNumberFormat="1" applyFont="1" applyFill="1" applyBorder="1" applyAlignment="1">
      <alignment horizontal="right"/>
    </xf>
    <xf numFmtId="168" fontId="0" fillId="3" borderId="20" xfId="0" applyNumberFormat="1" applyFont="1" applyFill="1" applyBorder="1"/>
    <xf numFmtId="3" fontId="0" fillId="3" borderId="19" xfId="0" applyNumberFormat="1" applyFont="1" applyFill="1" applyBorder="1"/>
    <xf numFmtId="168" fontId="0" fillId="3" borderId="21" xfId="0" applyNumberFormat="1" applyFont="1" applyFill="1" applyBorder="1"/>
    <xf numFmtId="169" fontId="1" fillId="0" borderId="12" xfId="0" applyNumberFormat="1" applyFont="1" applyFill="1" applyBorder="1"/>
    <xf numFmtId="167" fontId="1" fillId="0" borderId="22" xfId="0" applyNumberFormat="1" applyFont="1" applyFill="1" applyBorder="1" applyAlignment="1" applyProtection="1">
      <alignment horizontal="right"/>
      <protection locked="0"/>
    </xf>
    <xf numFmtId="167" fontId="1" fillId="0" borderId="12" xfId="0" applyNumberFormat="1" applyFont="1" applyFill="1" applyBorder="1" applyAlignment="1">
      <alignment horizontal="right"/>
    </xf>
    <xf numFmtId="168" fontId="1" fillId="4" borderId="23" xfId="0" applyNumberFormat="1" applyFont="1" applyFill="1" applyBorder="1"/>
    <xf numFmtId="168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8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8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8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8" fontId="3" fillId="0" borderId="0" xfId="0" applyNumberFormat="1" applyFont="1" applyFill="1" applyBorder="1"/>
    <xf numFmtId="168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8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8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9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9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70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71" fontId="14" fillId="0" borderId="39" xfId="0" applyNumberFormat="1" applyFont="1" applyFill="1" applyBorder="1" applyAlignment="1">
      <alignment vertical="center"/>
    </xf>
    <xf numFmtId="169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6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9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9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9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9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9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9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9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6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6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4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inetsr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4.75" customHeight="1">
      <c r="A2" s="298"/>
      <c r="B2" s="298"/>
      <c r="C2" s="298"/>
      <c r="D2" s="298"/>
      <c r="E2" s="298"/>
    </row>
    <row r="5" spans="1:5" ht="18" customHeight="1">
      <c r="A5" s="297" t="str">
        <f>"Reference year "&amp;C30</f>
        <v>Reference year 2010</v>
      </c>
      <c r="B5" s="297"/>
      <c r="C5" s="297"/>
      <c r="D5" s="297"/>
      <c r="E5" s="297"/>
    </row>
    <row r="11" spans="1:5">
      <c r="A11" s="3" t="s">
        <v>1</v>
      </c>
      <c r="B11" s="3" t="s">
        <v>2</v>
      </c>
      <c r="C11" s="4"/>
      <c r="D11" s="4"/>
      <c r="E11" s="5"/>
    </row>
    <row r="12" spans="1:5">
      <c r="A12" s="6" t="s">
        <v>3</v>
      </c>
      <c r="B12" s="6" t="s">
        <v>4</v>
      </c>
      <c r="C12" s="7"/>
      <c r="D12" s="7"/>
      <c r="E12" s="8"/>
    </row>
    <row r="13" spans="1:5">
      <c r="A13" s="6" t="s">
        <v>5</v>
      </c>
      <c r="B13" s="6" t="s">
        <v>6</v>
      </c>
      <c r="C13" s="7"/>
      <c r="D13" s="7"/>
      <c r="E13" s="8"/>
    </row>
    <row r="14" spans="1:5">
      <c r="A14" s="6" t="s">
        <v>7</v>
      </c>
      <c r="B14" s="6" t="s">
        <v>8</v>
      </c>
      <c r="C14" s="7"/>
      <c r="D14" s="7"/>
      <c r="E14" s="8"/>
    </row>
    <row r="15" spans="1:5">
      <c r="A15" s="6" t="s">
        <v>9</v>
      </c>
      <c r="B15" s="6" t="s">
        <v>10</v>
      </c>
      <c r="C15" s="7"/>
      <c r="D15" s="7"/>
      <c r="E15" s="8"/>
    </row>
    <row r="16" spans="1:5">
      <c r="A16" s="6" t="s">
        <v>11</v>
      </c>
      <c r="B16" s="6" t="s">
        <v>12</v>
      </c>
      <c r="C16" s="7"/>
      <c r="D16" s="7"/>
      <c r="E16" s="8"/>
    </row>
    <row r="17" spans="1:5">
      <c r="A17" s="9" t="s">
        <v>13</v>
      </c>
      <c r="B17" s="7" t="s">
        <v>14</v>
      </c>
      <c r="C17" s="7"/>
      <c r="D17" s="7"/>
      <c r="E17" s="8"/>
    </row>
    <row r="18" spans="1:5">
      <c r="A18" s="9" t="s">
        <v>15</v>
      </c>
      <c r="B18" s="7" t="s">
        <v>16</v>
      </c>
      <c r="C18" s="7"/>
      <c r="D18" s="7"/>
      <c r="E18" s="8"/>
    </row>
    <row r="25" spans="1:5">
      <c r="B25" s="10" t="s">
        <v>17</v>
      </c>
      <c r="C25" s="11"/>
    </row>
    <row r="26" spans="1:5">
      <c r="B26" s="12" t="s">
        <v>18</v>
      </c>
      <c r="C26" s="13" t="s">
        <v>19</v>
      </c>
    </row>
    <row r="27" spans="1:5">
      <c r="B27" s="12" t="s">
        <v>20</v>
      </c>
      <c r="C27" s="14" t="s">
        <v>21</v>
      </c>
    </row>
    <row r="28" spans="1:5">
      <c r="B28" s="12" t="s">
        <v>22</v>
      </c>
      <c r="C28" s="14" t="s">
        <v>23</v>
      </c>
    </row>
    <row r="29" spans="1:5">
      <c r="B29" s="12" t="s">
        <v>24</v>
      </c>
      <c r="C29" s="14" t="s">
        <v>25</v>
      </c>
    </row>
    <row r="30" spans="1:5">
      <c r="B30" s="15" t="s">
        <v>26</v>
      </c>
      <c r="C30" s="16">
        <v>2010</v>
      </c>
    </row>
  </sheetData>
  <mergeCells count="3">
    <mergeCell ref="A5:E5"/>
    <mergeCell ref="A2:E2"/>
    <mergeCell ref="A1:E1"/>
  </mergeCells>
  <conditionalFormatting sqref="C26:C30">
    <cfRule type="expression" dxfId="13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>
      <c r="B1" s="17" t="str">
        <f>"Resource potential and Resource index "&amp;Info!C30</f>
        <v>Resource potential and Resource index 2010</v>
      </c>
      <c r="C1" s="17"/>
      <c r="D1" s="17"/>
      <c r="E1" s="18"/>
      <c r="F1" s="18"/>
      <c r="G1" s="18"/>
      <c r="H1" s="18"/>
      <c r="I1" s="19" t="str">
        <f>Info!$C$28</f>
        <v>FA_2010_20120518</v>
      </c>
    </row>
    <row r="2" spans="1:9" s="2" customFormat="1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>
      <c r="A4" s="31"/>
      <c r="B4" s="32"/>
      <c r="C4" s="33" t="str">
        <f>"ATB "&amp;Info!$C$30-6</f>
        <v>ATB 2004</v>
      </c>
      <c r="D4" s="33" t="str">
        <f>"ATB "&amp;Info!$C$30-5</f>
        <v>ATB 2005</v>
      </c>
      <c r="E4" s="33" t="str">
        <f>"ATB "&amp;Info!$C$30-4</f>
        <v>ATB 2006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>
      <c r="A5" s="36"/>
      <c r="B5" s="37" t="s">
        <v>43</v>
      </c>
      <c r="C5" s="38" t="str">
        <f>"ATB_"&amp;Info!$C$30&amp;"_"&amp;Info!$C$30-6</f>
        <v>ATB_2010_2004</v>
      </c>
      <c r="D5" s="38" t="str">
        <f>"ATB_"&amp;Info!$C$30&amp;"_"&amp;Info!$C$30-5</f>
        <v>ATB_2010_2005</v>
      </c>
      <c r="E5" s="38" t="str">
        <f>"ATB_"&amp;Info!$C$30&amp;"_"&amp;Info!$C$30-4</f>
        <v>ATB_2010_2006</v>
      </c>
      <c r="F5" s="39"/>
      <c r="G5" s="39"/>
      <c r="H5" s="39"/>
      <c r="I5" s="40"/>
    </row>
    <row r="6" spans="1:9" s="35" customFormat="1" ht="11.25" customHeight="1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A7" s="31"/>
      <c r="B7" s="44" t="s">
        <v>48</v>
      </c>
      <c r="C7" s="45">
        <v>45840843.615403898</v>
      </c>
      <c r="D7" s="45">
        <v>52754164.408040099</v>
      </c>
      <c r="E7" s="45">
        <v>49947793.982459404</v>
      </c>
      <c r="F7" s="46">
        <f t="shared" ref="F7:F32" si="0">AVERAGE(C7:E7)</f>
        <v>49514267.335301131</v>
      </c>
      <c r="G7" s="47">
        <f>Population!F7</f>
        <v>1293367.3333333333</v>
      </c>
      <c r="H7" s="47">
        <f t="shared" ref="H7:H33" si="1">F7/G7*1000</f>
        <v>38283.220906538903</v>
      </c>
      <c r="I7" s="48">
        <f t="shared" ref="I7:I33" si="2">ROUND(H7/H$33*100,1)</f>
        <v>132.19999999999999</v>
      </c>
    </row>
    <row r="8" spans="1:9">
      <c r="A8" s="31"/>
      <c r="B8" s="49" t="s">
        <v>49</v>
      </c>
      <c r="C8" s="50">
        <v>20173283.392567702</v>
      </c>
      <c r="D8" s="50">
        <v>21706917.393011399</v>
      </c>
      <c r="E8" s="50">
        <v>22153479.263554201</v>
      </c>
      <c r="F8" s="51">
        <f t="shared" si="0"/>
        <v>21344560.016377766</v>
      </c>
      <c r="G8" s="52">
        <f>Population!F8</f>
        <v>964015.66666666663</v>
      </c>
      <c r="H8" s="52">
        <f t="shared" si="1"/>
        <v>22141.299933622551</v>
      </c>
      <c r="I8" s="53">
        <f t="shared" si="2"/>
        <v>76.5</v>
      </c>
    </row>
    <row r="9" spans="1:9">
      <c r="A9" s="31"/>
      <c r="B9" s="32" t="s">
        <v>50</v>
      </c>
      <c r="C9" s="54">
        <v>7360620.1955142803</v>
      </c>
      <c r="D9" s="54">
        <v>7911374.1266591996</v>
      </c>
      <c r="E9" s="54">
        <v>8069014.9975973098</v>
      </c>
      <c r="F9" s="55">
        <f t="shared" si="0"/>
        <v>7780336.4399235966</v>
      </c>
      <c r="G9" s="56">
        <f>Population!F9</f>
        <v>355971.33333333331</v>
      </c>
      <c r="H9" s="56">
        <f t="shared" si="1"/>
        <v>21856.637631654601</v>
      </c>
      <c r="I9" s="57">
        <f t="shared" si="2"/>
        <v>75.5</v>
      </c>
    </row>
    <row r="10" spans="1:9">
      <c r="A10" s="31"/>
      <c r="B10" s="49" t="s">
        <v>51</v>
      </c>
      <c r="C10" s="50">
        <v>570454.14021585404</v>
      </c>
      <c r="D10" s="50">
        <v>594416.39418495598</v>
      </c>
      <c r="E10" s="50">
        <v>582944.13053274504</v>
      </c>
      <c r="F10" s="51">
        <f t="shared" si="0"/>
        <v>582604.88831118506</v>
      </c>
      <c r="G10" s="52">
        <f>Population!F10</f>
        <v>34664</v>
      </c>
      <c r="H10" s="52">
        <f t="shared" si="1"/>
        <v>16807.203101522762</v>
      </c>
      <c r="I10" s="53">
        <f t="shared" si="2"/>
        <v>58</v>
      </c>
    </row>
    <row r="11" spans="1:9">
      <c r="A11" s="31"/>
      <c r="B11" s="32" t="s">
        <v>52</v>
      </c>
      <c r="C11" s="54">
        <v>4583090.52543897</v>
      </c>
      <c r="D11" s="54">
        <v>5044354.6054344801</v>
      </c>
      <c r="E11" s="54">
        <v>5805034.5743530504</v>
      </c>
      <c r="F11" s="55">
        <f t="shared" si="0"/>
        <v>5144159.9017421668</v>
      </c>
      <c r="G11" s="56">
        <f>Population!F11</f>
        <v>136614.66666666666</v>
      </c>
      <c r="H11" s="56">
        <f t="shared" si="1"/>
        <v>37654.521489216633</v>
      </c>
      <c r="I11" s="57">
        <f t="shared" si="2"/>
        <v>130</v>
      </c>
    </row>
    <row r="12" spans="1:9">
      <c r="A12" s="31"/>
      <c r="B12" s="49" t="s">
        <v>53</v>
      </c>
      <c r="C12" s="50">
        <v>610155.04073358304</v>
      </c>
      <c r="D12" s="50">
        <v>620073.55329667905</v>
      </c>
      <c r="E12" s="50">
        <v>807445.25822564506</v>
      </c>
      <c r="F12" s="51">
        <f t="shared" si="0"/>
        <v>679224.61741863564</v>
      </c>
      <c r="G12" s="52">
        <f>Population!F12</f>
        <v>33177.666666666664</v>
      </c>
      <c r="H12" s="52">
        <f t="shared" si="1"/>
        <v>20472.344370770566</v>
      </c>
      <c r="I12" s="53">
        <f t="shared" si="2"/>
        <v>70.7</v>
      </c>
    </row>
    <row r="13" spans="1:9">
      <c r="A13" s="31"/>
      <c r="B13" s="32" t="s">
        <v>54</v>
      </c>
      <c r="C13" s="54">
        <v>1315314.7835768701</v>
      </c>
      <c r="D13" s="54">
        <v>1508964.15860061</v>
      </c>
      <c r="E13" s="54">
        <v>1429251.0762817501</v>
      </c>
      <c r="F13" s="55">
        <f t="shared" si="0"/>
        <v>1417843.3394864101</v>
      </c>
      <c r="G13" s="56">
        <f>Population!F13</f>
        <v>39069.666666666664</v>
      </c>
      <c r="H13" s="56">
        <f t="shared" si="1"/>
        <v>36290.131461399986</v>
      </c>
      <c r="I13" s="57">
        <f t="shared" si="2"/>
        <v>125.3</v>
      </c>
    </row>
    <row r="14" spans="1:9">
      <c r="A14" s="31"/>
      <c r="B14" s="49" t="s">
        <v>55</v>
      </c>
      <c r="C14" s="50">
        <v>730835.98296523897</v>
      </c>
      <c r="D14" s="50">
        <v>755575.07399954204</v>
      </c>
      <c r="E14" s="50">
        <v>752294.21681161399</v>
      </c>
      <c r="F14" s="51">
        <f t="shared" si="0"/>
        <v>746235.09125879838</v>
      </c>
      <c r="G14" s="52">
        <f>Population!F14</f>
        <v>38124</v>
      </c>
      <c r="H14" s="52">
        <f t="shared" si="1"/>
        <v>19573.892856436851</v>
      </c>
      <c r="I14" s="53">
        <f t="shared" si="2"/>
        <v>67.599999999999994</v>
      </c>
    </row>
    <row r="15" spans="1:9">
      <c r="A15" s="31"/>
      <c r="B15" s="32" t="s">
        <v>56</v>
      </c>
      <c r="C15" s="54">
        <v>6311816.8844612204</v>
      </c>
      <c r="D15" s="54">
        <v>7459175.0393491099</v>
      </c>
      <c r="E15" s="54">
        <v>8081759.8582440801</v>
      </c>
      <c r="F15" s="55">
        <f t="shared" si="0"/>
        <v>7284250.5940181362</v>
      </c>
      <c r="G15" s="56">
        <f>Population!F15</f>
        <v>106127.33333333333</v>
      </c>
      <c r="H15" s="56">
        <f t="shared" si="1"/>
        <v>68636.894617328886</v>
      </c>
      <c r="I15" s="57">
        <f t="shared" si="2"/>
        <v>237</v>
      </c>
    </row>
    <row r="16" spans="1:9">
      <c r="A16" s="31"/>
      <c r="B16" s="49" t="s">
        <v>57</v>
      </c>
      <c r="C16" s="50">
        <v>5102016.0216353098</v>
      </c>
      <c r="D16" s="50">
        <v>5247383.2889000401</v>
      </c>
      <c r="E16" s="50">
        <v>5397769.9334566202</v>
      </c>
      <c r="F16" s="51">
        <f t="shared" si="0"/>
        <v>5249056.41466399</v>
      </c>
      <c r="G16" s="52">
        <f>Population!F16</f>
        <v>255726.66666666666</v>
      </c>
      <c r="H16" s="52">
        <f t="shared" si="1"/>
        <v>20526.042446351537</v>
      </c>
      <c r="I16" s="53">
        <f t="shared" si="2"/>
        <v>70.900000000000006</v>
      </c>
    </row>
    <row r="17" spans="1:9">
      <c r="A17" s="31"/>
      <c r="B17" s="32" t="s">
        <v>58</v>
      </c>
      <c r="C17" s="54">
        <v>5201270.8955119904</v>
      </c>
      <c r="D17" s="54">
        <v>5507010.3578548403</v>
      </c>
      <c r="E17" s="54">
        <v>5875097.2843346</v>
      </c>
      <c r="F17" s="55">
        <f t="shared" si="0"/>
        <v>5527792.8459004769</v>
      </c>
      <c r="G17" s="56">
        <f>Population!F17</f>
        <v>246851</v>
      </c>
      <c r="H17" s="56">
        <f t="shared" si="1"/>
        <v>22393.236591711102</v>
      </c>
      <c r="I17" s="57">
        <f t="shared" si="2"/>
        <v>77.3</v>
      </c>
    </row>
    <row r="18" spans="1:9">
      <c r="A18" s="31"/>
      <c r="B18" s="49" t="s">
        <v>59</v>
      </c>
      <c r="C18" s="50">
        <v>7202539.3219811404</v>
      </c>
      <c r="D18" s="50">
        <v>7691479.9684333103</v>
      </c>
      <c r="E18" s="50">
        <v>8116393.1189786596</v>
      </c>
      <c r="F18" s="51">
        <f t="shared" si="0"/>
        <v>7670137.4697977034</v>
      </c>
      <c r="G18" s="52">
        <f>Population!F18</f>
        <v>190602.66666666666</v>
      </c>
      <c r="H18" s="52">
        <f t="shared" si="1"/>
        <v>40241.501359535214</v>
      </c>
      <c r="I18" s="53">
        <f t="shared" si="2"/>
        <v>139</v>
      </c>
    </row>
    <row r="19" spans="1:9">
      <c r="A19" s="31"/>
      <c r="B19" s="32" t="s">
        <v>60</v>
      </c>
      <c r="C19" s="54">
        <v>7496657.13257147</v>
      </c>
      <c r="D19" s="54">
        <v>7749142.1540174698</v>
      </c>
      <c r="E19" s="54">
        <v>8037873.4477423597</v>
      </c>
      <c r="F19" s="55">
        <f t="shared" si="0"/>
        <v>7761224.2447771011</v>
      </c>
      <c r="G19" s="56">
        <f>Population!F19</f>
        <v>264840.33333333331</v>
      </c>
      <c r="H19" s="56">
        <f t="shared" si="1"/>
        <v>29305.295560886756</v>
      </c>
      <c r="I19" s="57">
        <f t="shared" si="2"/>
        <v>101.2</v>
      </c>
    </row>
    <row r="20" spans="1:9">
      <c r="A20" s="31"/>
      <c r="B20" s="49" t="s">
        <v>61</v>
      </c>
      <c r="C20" s="50">
        <v>1956896.1634162499</v>
      </c>
      <c r="D20" s="50">
        <v>2079735.97630619</v>
      </c>
      <c r="E20" s="50">
        <v>2135684.80733022</v>
      </c>
      <c r="F20" s="51">
        <f t="shared" si="0"/>
        <v>2057438.9823508866</v>
      </c>
      <c r="G20" s="52">
        <f>Population!F20</f>
        <v>74205.333333333328</v>
      </c>
      <c r="H20" s="52">
        <f t="shared" si="1"/>
        <v>27726.295266524688</v>
      </c>
      <c r="I20" s="53">
        <f t="shared" si="2"/>
        <v>95.7</v>
      </c>
    </row>
    <row r="21" spans="1:9">
      <c r="A21" s="31"/>
      <c r="B21" s="32" t="s">
        <v>62</v>
      </c>
      <c r="C21" s="54">
        <v>1106613.62437191</v>
      </c>
      <c r="D21" s="54">
        <v>1123721.32659761</v>
      </c>
      <c r="E21" s="54">
        <v>1195150.18036821</v>
      </c>
      <c r="F21" s="55">
        <f t="shared" si="0"/>
        <v>1141828.3771125767</v>
      </c>
      <c r="G21" s="56">
        <f>Population!F21</f>
        <v>52410</v>
      </c>
      <c r="H21" s="56">
        <f t="shared" si="1"/>
        <v>21786.460162422754</v>
      </c>
      <c r="I21" s="57">
        <f t="shared" si="2"/>
        <v>75.2</v>
      </c>
    </row>
    <row r="22" spans="1:9">
      <c r="A22" s="31"/>
      <c r="B22" s="49" t="s">
        <v>63</v>
      </c>
      <c r="C22" s="50">
        <v>314702.10831370001</v>
      </c>
      <c r="D22" s="50">
        <v>367008.10727058101</v>
      </c>
      <c r="E22" s="50">
        <v>353271.98901363299</v>
      </c>
      <c r="F22" s="51">
        <f t="shared" si="0"/>
        <v>344994.06819930469</v>
      </c>
      <c r="G22" s="52">
        <f>Population!F22</f>
        <v>14934</v>
      </c>
      <c r="H22" s="52">
        <f t="shared" si="1"/>
        <v>23101.250046826346</v>
      </c>
      <c r="I22" s="53">
        <f t="shared" si="2"/>
        <v>79.8</v>
      </c>
    </row>
    <row r="23" spans="1:9">
      <c r="A23" s="31"/>
      <c r="B23" s="32" t="s">
        <v>64</v>
      </c>
      <c r="C23" s="54">
        <v>9601502.3355569895</v>
      </c>
      <c r="D23" s="54">
        <v>10058314.3977003</v>
      </c>
      <c r="E23" s="54">
        <v>10070703.0812157</v>
      </c>
      <c r="F23" s="55">
        <f t="shared" si="0"/>
        <v>9910173.2714909967</v>
      </c>
      <c r="G23" s="56">
        <f>Population!F23</f>
        <v>461104.66666666669</v>
      </c>
      <c r="H23" s="56">
        <f t="shared" si="1"/>
        <v>21492.242408067141</v>
      </c>
      <c r="I23" s="57">
        <f t="shared" si="2"/>
        <v>74.2</v>
      </c>
    </row>
    <row r="24" spans="1:9">
      <c r="A24" s="31"/>
      <c r="B24" s="49" t="s">
        <v>65</v>
      </c>
      <c r="C24" s="50">
        <v>4281314.1735628098</v>
      </c>
      <c r="D24" s="50">
        <v>4460270.3577062897</v>
      </c>
      <c r="E24" s="50">
        <v>4474543.0379916504</v>
      </c>
      <c r="F24" s="51">
        <f t="shared" si="0"/>
        <v>4405375.8564202497</v>
      </c>
      <c r="G24" s="52">
        <f>Population!F24</f>
        <v>191452</v>
      </c>
      <c r="H24" s="52">
        <f t="shared" si="1"/>
        <v>23010.341267890904</v>
      </c>
      <c r="I24" s="53">
        <f t="shared" si="2"/>
        <v>79.5</v>
      </c>
    </row>
    <row r="25" spans="1:9">
      <c r="A25" s="31"/>
      <c r="B25" s="32" t="s">
        <v>66</v>
      </c>
      <c r="C25" s="54">
        <v>13394513.5005037</v>
      </c>
      <c r="D25" s="54">
        <v>14230312.1806834</v>
      </c>
      <c r="E25" s="54">
        <v>14642777.3265885</v>
      </c>
      <c r="F25" s="55">
        <f t="shared" si="0"/>
        <v>14089201.002591869</v>
      </c>
      <c r="G25" s="56">
        <f>Population!F25</f>
        <v>567760.33333333337</v>
      </c>
      <c r="H25" s="56">
        <f t="shared" si="1"/>
        <v>24815.402160756566</v>
      </c>
      <c r="I25" s="57">
        <f t="shared" si="2"/>
        <v>85.7</v>
      </c>
    </row>
    <row r="26" spans="1:9">
      <c r="A26" s="31"/>
      <c r="B26" s="49" t="s">
        <v>67</v>
      </c>
      <c r="C26" s="50">
        <v>4766181.5173499696</v>
      </c>
      <c r="D26" s="50">
        <v>4959583.3955121003</v>
      </c>
      <c r="E26" s="50">
        <v>5212405.8354519103</v>
      </c>
      <c r="F26" s="51">
        <f t="shared" si="0"/>
        <v>4979390.2494379934</v>
      </c>
      <c r="G26" s="52">
        <f>Population!F26</f>
        <v>234298.66666666666</v>
      </c>
      <c r="H26" s="52">
        <f t="shared" si="1"/>
        <v>21252.320042102929</v>
      </c>
      <c r="I26" s="53">
        <f t="shared" si="2"/>
        <v>73.400000000000006</v>
      </c>
    </row>
    <row r="27" spans="1:9">
      <c r="A27" s="31"/>
      <c r="B27" s="32" t="s">
        <v>68</v>
      </c>
      <c r="C27" s="54">
        <v>8363583.2223107098</v>
      </c>
      <c r="D27" s="54">
        <v>8828642.8427312206</v>
      </c>
      <c r="E27" s="54">
        <v>9438771.9331743792</v>
      </c>
      <c r="F27" s="55">
        <f t="shared" si="0"/>
        <v>8876999.3327387702</v>
      </c>
      <c r="G27" s="56">
        <f>Population!F27</f>
        <v>322125.33333333331</v>
      </c>
      <c r="H27" s="56">
        <f t="shared" si="1"/>
        <v>27557.594557621785</v>
      </c>
      <c r="I27" s="57">
        <f t="shared" si="2"/>
        <v>95.2</v>
      </c>
    </row>
    <row r="28" spans="1:9">
      <c r="A28" s="31"/>
      <c r="B28" s="49" t="s">
        <v>69</v>
      </c>
      <c r="C28" s="50">
        <v>19159291.137407999</v>
      </c>
      <c r="D28" s="50">
        <v>18281833.770403799</v>
      </c>
      <c r="E28" s="50">
        <v>24187152.9777865</v>
      </c>
      <c r="F28" s="51">
        <f t="shared" si="0"/>
        <v>20542759.295199435</v>
      </c>
      <c r="G28" s="52">
        <f>Population!F28</f>
        <v>663789</v>
      </c>
      <c r="H28" s="52">
        <f t="shared" si="1"/>
        <v>30947.724796884904</v>
      </c>
      <c r="I28" s="53">
        <f t="shared" si="2"/>
        <v>106.9</v>
      </c>
    </row>
    <row r="29" spans="1:9">
      <c r="A29" s="31"/>
      <c r="B29" s="32" t="s">
        <v>70</v>
      </c>
      <c r="C29" s="54">
        <v>5415174.6535766004</v>
      </c>
      <c r="D29" s="54">
        <v>5613222.7203530902</v>
      </c>
      <c r="E29" s="54">
        <v>5658239.6029485399</v>
      </c>
      <c r="F29" s="55">
        <f t="shared" si="0"/>
        <v>5562212.3256260762</v>
      </c>
      <c r="G29" s="56">
        <f>Population!F29</f>
        <v>289793.33333333331</v>
      </c>
      <c r="H29" s="56">
        <f t="shared" si="1"/>
        <v>19193.72078593737</v>
      </c>
      <c r="I29" s="57">
        <f t="shared" si="2"/>
        <v>66.3</v>
      </c>
    </row>
    <row r="30" spans="1:9">
      <c r="A30" s="31"/>
      <c r="B30" s="49" t="s">
        <v>71</v>
      </c>
      <c r="C30" s="50">
        <v>4516854.7531097801</v>
      </c>
      <c r="D30" s="50">
        <v>4917367.4442553502</v>
      </c>
      <c r="E30" s="50">
        <v>4556741.7077224804</v>
      </c>
      <c r="F30" s="51">
        <f t="shared" si="0"/>
        <v>4663654.6350292042</v>
      </c>
      <c r="G30" s="52">
        <f>Population!F30</f>
        <v>169114</v>
      </c>
      <c r="H30" s="52">
        <f t="shared" si="1"/>
        <v>27576.98732824724</v>
      </c>
      <c r="I30" s="53">
        <f t="shared" si="2"/>
        <v>95.2</v>
      </c>
    </row>
    <row r="31" spans="1:9">
      <c r="A31" s="31"/>
      <c r="B31" s="32" t="s">
        <v>72</v>
      </c>
      <c r="C31" s="54">
        <v>17455320.039039899</v>
      </c>
      <c r="D31" s="54">
        <v>19408328.853172</v>
      </c>
      <c r="E31" s="54">
        <v>19448854.340585899</v>
      </c>
      <c r="F31" s="55">
        <f t="shared" si="0"/>
        <v>18770834.4109326</v>
      </c>
      <c r="G31" s="56">
        <f>Population!F31</f>
        <v>436247</v>
      </c>
      <c r="H31" s="56">
        <f t="shared" si="1"/>
        <v>43027.996549965043</v>
      </c>
      <c r="I31" s="57">
        <f t="shared" si="2"/>
        <v>148.6</v>
      </c>
    </row>
    <row r="32" spans="1:9">
      <c r="A32" s="31"/>
      <c r="B32" s="49" t="s">
        <v>73</v>
      </c>
      <c r="C32" s="50">
        <v>1287377.6555183299</v>
      </c>
      <c r="D32" s="50">
        <v>1283734.3821507001</v>
      </c>
      <c r="E32" s="50">
        <v>1269579.4795214799</v>
      </c>
      <c r="F32" s="51">
        <f t="shared" si="0"/>
        <v>1280230.5057301701</v>
      </c>
      <c r="G32" s="52">
        <f>Population!F32</f>
        <v>67939.333333333328</v>
      </c>
      <c r="H32" s="52">
        <f t="shared" si="1"/>
        <v>18843.730765636552</v>
      </c>
      <c r="I32" s="53">
        <f t="shared" si="2"/>
        <v>65.099999999999994</v>
      </c>
    </row>
    <row r="33" spans="1:9">
      <c r="A33" s="58"/>
      <c r="B33" s="59" t="s">
        <v>74</v>
      </c>
      <c r="C33" s="60">
        <f>SUM(C7:C32)</f>
        <v>204118222.81661618</v>
      </c>
      <c r="D33" s="60">
        <f>SUM(D7:D32)</f>
        <v>220162106.27662438</v>
      </c>
      <c r="E33" s="60">
        <f>SUM(E7:E32)</f>
        <v>227700027.44227114</v>
      </c>
      <c r="F33" s="60">
        <f>SUM(F7:F32)</f>
        <v>217326785.51183718</v>
      </c>
      <c r="G33" s="60">
        <f>SUM(G7:G32)</f>
        <v>7504325.3333333321</v>
      </c>
      <c r="H33" s="60">
        <f t="shared" si="1"/>
        <v>28960.203064024572</v>
      </c>
      <c r="I33" s="61">
        <f t="shared" si="2"/>
        <v>100</v>
      </c>
    </row>
  </sheetData>
  <conditionalFormatting sqref="C7:F32">
    <cfRule type="expression" dxfId="12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17" t="str">
        <f>"Relevant population "&amp;Info!C30</f>
        <v>Relevant population 2010</v>
      </c>
      <c r="C1" s="17"/>
      <c r="D1" s="17"/>
      <c r="E1" s="18"/>
      <c r="F1" s="19" t="str">
        <f>Info!C28</f>
        <v>FA_2010_20120518</v>
      </c>
    </row>
    <row r="2" spans="1:6" s="2" customFormat="1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>
      <c r="A4" s="31"/>
      <c r="B4" s="69"/>
      <c r="C4" s="300" t="s">
        <v>75</v>
      </c>
      <c r="D4" s="301"/>
      <c r="E4" s="302"/>
      <c r="F4" s="70" t="s">
        <v>40</v>
      </c>
    </row>
    <row r="5" spans="1:6" ht="18">
      <c r="A5" s="31"/>
      <c r="B5" s="71"/>
      <c r="C5" s="72">
        <v>2004</v>
      </c>
      <c r="D5" s="73">
        <v>2005</v>
      </c>
      <c r="E5" s="74">
        <v>2006</v>
      </c>
      <c r="F5" s="75">
        <f>Info!C30</f>
        <v>2010</v>
      </c>
    </row>
    <row r="6" spans="1:6">
      <c r="A6" s="31"/>
      <c r="B6" s="76" t="s">
        <v>43</v>
      </c>
      <c r="C6" s="77" t="s">
        <v>76</v>
      </c>
      <c r="D6" s="78" t="s">
        <v>76</v>
      </c>
      <c r="E6" s="79" t="s">
        <v>76</v>
      </c>
      <c r="F6" s="80"/>
    </row>
    <row r="7" spans="1:6">
      <c r="A7" s="31"/>
      <c r="B7" s="44" t="s">
        <v>48</v>
      </c>
      <c r="C7" s="81">
        <v>1281018</v>
      </c>
      <c r="D7" s="45">
        <v>1292481</v>
      </c>
      <c r="E7" s="82">
        <v>1306603</v>
      </c>
      <c r="F7" s="83">
        <f t="shared" ref="F7:F32" si="0">AVERAGE(C7:E7)</f>
        <v>1293367.3333333333</v>
      </c>
    </row>
    <row r="8" spans="1:6">
      <c r="A8" s="31"/>
      <c r="B8" s="49" t="s">
        <v>49</v>
      </c>
      <c r="C8" s="84">
        <v>961647</v>
      </c>
      <c r="D8" s="50">
        <v>963657</v>
      </c>
      <c r="E8" s="85">
        <v>966743</v>
      </c>
      <c r="F8" s="86">
        <f t="shared" si="0"/>
        <v>964015.66666666663</v>
      </c>
    </row>
    <row r="9" spans="1:6">
      <c r="A9" s="31"/>
      <c r="B9" s="32" t="s">
        <v>50</v>
      </c>
      <c r="C9" s="87">
        <v>353891</v>
      </c>
      <c r="D9" s="54">
        <v>355766</v>
      </c>
      <c r="E9" s="88">
        <v>358257</v>
      </c>
      <c r="F9" s="89">
        <f t="shared" si="0"/>
        <v>355971.33333333331</v>
      </c>
    </row>
    <row r="10" spans="1:6">
      <c r="A10" s="31"/>
      <c r="B10" s="49" t="s">
        <v>51</v>
      </c>
      <c r="C10" s="84">
        <v>34765</v>
      </c>
      <c r="D10" s="50">
        <v>34652</v>
      </c>
      <c r="E10" s="85">
        <v>34575</v>
      </c>
      <c r="F10" s="86">
        <f t="shared" si="0"/>
        <v>34664</v>
      </c>
    </row>
    <row r="11" spans="1:6">
      <c r="A11" s="31"/>
      <c r="B11" s="32" t="s">
        <v>52</v>
      </c>
      <c r="C11" s="87">
        <v>135175</v>
      </c>
      <c r="D11" s="54">
        <v>136509</v>
      </c>
      <c r="E11" s="88">
        <v>138160</v>
      </c>
      <c r="F11" s="89">
        <f t="shared" si="0"/>
        <v>136614.66666666666</v>
      </c>
    </row>
    <row r="12" spans="1:6">
      <c r="A12" s="31"/>
      <c r="B12" s="49" t="s">
        <v>53</v>
      </c>
      <c r="C12" s="84">
        <v>33050</v>
      </c>
      <c r="D12" s="50">
        <v>33078</v>
      </c>
      <c r="E12" s="85">
        <v>33405</v>
      </c>
      <c r="F12" s="86">
        <f t="shared" si="0"/>
        <v>33177.666666666664</v>
      </c>
    </row>
    <row r="13" spans="1:6">
      <c r="A13" s="31"/>
      <c r="B13" s="32" t="s">
        <v>54</v>
      </c>
      <c r="C13" s="87">
        <v>38741</v>
      </c>
      <c r="D13" s="54">
        <v>39094</v>
      </c>
      <c r="E13" s="88">
        <v>39374</v>
      </c>
      <c r="F13" s="89">
        <f t="shared" si="0"/>
        <v>39069.666666666664</v>
      </c>
    </row>
    <row r="14" spans="1:6">
      <c r="A14" s="31"/>
      <c r="B14" s="49" t="s">
        <v>55</v>
      </c>
      <c r="C14" s="84">
        <v>38273</v>
      </c>
      <c r="D14" s="50">
        <v>38098</v>
      </c>
      <c r="E14" s="85">
        <v>38001</v>
      </c>
      <c r="F14" s="86">
        <f t="shared" si="0"/>
        <v>38124</v>
      </c>
    </row>
    <row r="15" spans="1:6">
      <c r="A15" s="31"/>
      <c r="B15" s="32" t="s">
        <v>56</v>
      </c>
      <c r="C15" s="87">
        <v>104680</v>
      </c>
      <c r="D15" s="54">
        <v>106350</v>
      </c>
      <c r="E15" s="88">
        <v>107352</v>
      </c>
      <c r="F15" s="89">
        <f t="shared" si="0"/>
        <v>106127.33333333333</v>
      </c>
    </row>
    <row r="16" spans="1:6">
      <c r="A16" s="31"/>
      <c r="B16" s="49" t="s">
        <v>57</v>
      </c>
      <c r="C16" s="84">
        <v>251943</v>
      </c>
      <c r="D16" s="50">
        <v>255462</v>
      </c>
      <c r="E16" s="85">
        <v>259775</v>
      </c>
      <c r="F16" s="86">
        <f t="shared" si="0"/>
        <v>255726.66666666666</v>
      </c>
    </row>
    <row r="17" spans="1:6">
      <c r="A17" s="31"/>
      <c r="B17" s="32" t="s">
        <v>58</v>
      </c>
      <c r="C17" s="87">
        <v>246139</v>
      </c>
      <c r="D17" s="54">
        <v>246852</v>
      </c>
      <c r="E17" s="88">
        <v>247562</v>
      </c>
      <c r="F17" s="89">
        <f t="shared" si="0"/>
        <v>246851</v>
      </c>
    </row>
    <row r="18" spans="1:6">
      <c r="A18" s="31"/>
      <c r="B18" s="49" t="s">
        <v>59</v>
      </c>
      <c r="C18" s="84">
        <v>190948</v>
      </c>
      <c r="D18" s="50">
        <v>190536</v>
      </c>
      <c r="E18" s="85">
        <v>190324</v>
      </c>
      <c r="F18" s="86">
        <f t="shared" si="0"/>
        <v>190602.66666666666</v>
      </c>
    </row>
    <row r="19" spans="1:6">
      <c r="A19" s="31"/>
      <c r="B19" s="32" t="s">
        <v>60</v>
      </c>
      <c r="C19" s="87">
        <v>264028</v>
      </c>
      <c r="D19" s="54">
        <v>264664</v>
      </c>
      <c r="E19" s="88">
        <v>265829</v>
      </c>
      <c r="F19" s="89">
        <f t="shared" si="0"/>
        <v>264840.33333333331</v>
      </c>
    </row>
    <row r="20" spans="1:6">
      <c r="A20" s="31"/>
      <c r="B20" s="49" t="s">
        <v>61</v>
      </c>
      <c r="C20" s="84">
        <v>74165</v>
      </c>
      <c r="D20" s="50">
        <v>74116</v>
      </c>
      <c r="E20" s="85">
        <v>74335</v>
      </c>
      <c r="F20" s="86">
        <f t="shared" si="0"/>
        <v>74205.333333333328</v>
      </c>
    </row>
    <row r="21" spans="1:6">
      <c r="A21" s="31"/>
      <c r="B21" s="32" t="s">
        <v>62</v>
      </c>
      <c r="C21" s="87">
        <v>52540</v>
      </c>
      <c r="D21" s="54">
        <v>52410</v>
      </c>
      <c r="E21" s="88">
        <v>52280</v>
      </c>
      <c r="F21" s="89">
        <f t="shared" si="0"/>
        <v>52410</v>
      </c>
    </row>
    <row r="22" spans="1:6">
      <c r="A22" s="31"/>
      <c r="B22" s="49" t="s">
        <v>63</v>
      </c>
      <c r="C22" s="84">
        <v>14675</v>
      </c>
      <c r="D22" s="50">
        <v>14987</v>
      </c>
      <c r="E22" s="85">
        <v>15140</v>
      </c>
      <c r="F22" s="86">
        <f t="shared" si="0"/>
        <v>14934</v>
      </c>
    </row>
    <row r="23" spans="1:6">
      <c r="A23" s="31"/>
      <c r="B23" s="32" t="s">
        <v>64</v>
      </c>
      <c r="C23" s="87">
        <v>459377</v>
      </c>
      <c r="D23" s="54">
        <v>460917</v>
      </c>
      <c r="E23" s="88">
        <v>463020</v>
      </c>
      <c r="F23" s="89">
        <f t="shared" si="0"/>
        <v>461104.66666666669</v>
      </c>
    </row>
    <row r="24" spans="1:6">
      <c r="A24" s="31"/>
      <c r="B24" s="49" t="s">
        <v>65</v>
      </c>
      <c r="C24" s="84">
        <v>191618</v>
      </c>
      <c r="D24" s="50">
        <v>191297</v>
      </c>
      <c r="E24" s="85">
        <v>191441</v>
      </c>
      <c r="F24" s="86">
        <f t="shared" si="0"/>
        <v>191452</v>
      </c>
    </row>
    <row r="25" spans="1:6">
      <c r="A25" s="31"/>
      <c r="B25" s="32" t="s">
        <v>66</v>
      </c>
      <c r="C25" s="87">
        <v>563334</v>
      </c>
      <c r="D25" s="54">
        <v>567228</v>
      </c>
      <c r="E25" s="88">
        <v>572719</v>
      </c>
      <c r="F25" s="89">
        <f t="shared" si="0"/>
        <v>567760.33333333337</v>
      </c>
    </row>
    <row r="26" spans="1:6">
      <c r="A26" s="31"/>
      <c r="B26" s="49" t="s">
        <v>67</v>
      </c>
      <c r="C26" s="84">
        <v>232953</v>
      </c>
      <c r="D26" s="50">
        <v>234021</v>
      </c>
      <c r="E26" s="85">
        <v>235922</v>
      </c>
      <c r="F26" s="86">
        <f t="shared" si="0"/>
        <v>234298.66666666666</v>
      </c>
    </row>
    <row r="27" spans="1:6">
      <c r="A27" s="31"/>
      <c r="B27" s="32" t="s">
        <v>68</v>
      </c>
      <c r="C27" s="87">
        <v>319394</v>
      </c>
      <c r="D27" s="54">
        <v>322145</v>
      </c>
      <c r="E27" s="88">
        <v>324837</v>
      </c>
      <c r="F27" s="89">
        <f t="shared" si="0"/>
        <v>322125.33333333331</v>
      </c>
    </row>
    <row r="28" spans="1:6">
      <c r="A28" s="31"/>
      <c r="B28" s="49" t="s">
        <v>69</v>
      </c>
      <c r="C28" s="84">
        <v>656405</v>
      </c>
      <c r="D28" s="50">
        <v>663530</v>
      </c>
      <c r="E28" s="85">
        <v>671432</v>
      </c>
      <c r="F28" s="86">
        <f t="shared" si="0"/>
        <v>663789</v>
      </c>
    </row>
    <row r="29" spans="1:6">
      <c r="A29" s="31"/>
      <c r="B29" s="32" t="s">
        <v>70</v>
      </c>
      <c r="C29" s="87">
        <v>286549</v>
      </c>
      <c r="D29" s="54">
        <v>289527</v>
      </c>
      <c r="E29" s="88">
        <v>293304</v>
      </c>
      <c r="F29" s="89">
        <f t="shared" si="0"/>
        <v>289793.33333333331</v>
      </c>
    </row>
    <row r="30" spans="1:6">
      <c r="A30" s="31"/>
      <c r="B30" s="49" t="s">
        <v>71</v>
      </c>
      <c r="C30" s="84">
        <v>168676</v>
      </c>
      <c r="D30" s="50">
        <v>169259</v>
      </c>
      <c r="E30" s="85">
        <v>169407</v>
      </c>
      <c r="F30" s="86">
        <f t="shared" si="0"/>
        <v>169114</v>
      </c>
    </row>
    <row r="31" spans="1:6">
      <c r="A31" s="31"/>
      <c r="B31" s="32" t="s">
        <v>72</v>
      </c>
      <c r="C31" s="87">
        <v>432235</v>
      </c>
      <c r="D31" s="54">
        <v>436721</v>
      </c>
      <c r="E31" s="88">
        <v>439785</v>
      </c>
      <c r="F31" s="89">
        <f t="shared" si="0"/>
        <v>436247</v>
      </c>
    </row>
    <row r="32" spans="1:6">
      <c r="A32" s="31"/>
      <c r="B32" s="49" t="s">
        <v>73</v>
      </c>
      <c r="C32" s="84">
        <v>67893</v>
      </c>
      <c r="D32" s="50">
        <v>67898</v>
      </c>
      <c r="E32" s="85">
        <v>68027</v>
      </c>
      <c r="F32" s="86">
        <f t="shared" si="0"/>
        <v>67939.333333333328</v>
      </c>
    </row>
    <row r="33" spans="1:6">
      <c r="A33" s="58"/>
      <c r="B33" s="59" t="s">
        <v>77</v>
      </c>
      <c r="C33" s="90">
        <f>SUM(C7:C32)</f>
        <v>7454112</v>
      </c>
      <c r="D33" s="60">
        <f>SUM(D7:D32)</f>
        <v>7501255</v>
      </c>
      <c r="E33" s="91">
        <f>SUM(E7:E32)</f>
        <v>7557609</v>
      </c>
      <c r="F33" s="92">
        <f>SUM(F7:F32)</f>
        <v>7504325.3333333321</v>
      </c>
    </row>
  </sheetData>
  <mergeCells count="1">
    <mergeCell ref="C4:E4"/>
  </mergeCells>
  <conditionalFormatting sqref="C7:E32 C5:F5">
    <cfRule type="expression" dxfId="11" priority="1" stopIfTrue="1">
      <formula>ISBLANK(C5)</formula>
    </cfRule>
  </conditionalFormatting>
  <conditionalFormatting sqref="C7:E32 C5:F5">
    <cfRule type="expression" dxfId="10" priority="2" stopIfTrue="1">
      <formula>ISBLANK(C5)</formula>
    </cfRule>
  </conditionalFormatting>
  <conditionalFormatting sqref="C5:E5">
    <cfRule type="expression" dxfId="9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3" t="str">
        <f>"Resource potential growth "&amp;Info!C30</f>
        <v>Resource potential growth 2010</v>
      </c>
      <c r="C1" s="93"/>
      <c r="D1" s="93"/>
      <c r="E1" s="93"/>
      <c r="F1" s="93"/>
      <c r="G1" s="18"/>
      <c r="H1" s="18"/>
      <c r="I1" s="1"/>
    </row>
    <row r="2" spans="1:9" ht="18.75" customHeight="1">
      <c r="G2" s="1"/>
      <c r="H2" s="1"/>
      <c r="I2" s="19" t="str">
        <f>Info!$C$28</f>
        <v>FA_2010_20120518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>
      <c r="A4" s="31"/>
      <c r="B4" s="44"/>
      <c r="C4" s="303" t="str">
        <f>"Resource index "&amp;Info!C30</f>
        <v>Resource index 2010</v>
      </c>
      <c r="D4" s="308" t="s">
        <v>78</v>
      </c>
      <c r="E4" s="309"/>
      <c r="F4" s="310"/>
      <c r="G4" s="305" t="s">
        <v>79</v>
      </c>
      <c r="H4" s="306"/>
      <c r="I4" s="307"/>
    </row>
    <row r="5" spans="1:9" ht="16.5" customHeight="1">
      <c r="A5" s="31"/>
      <c r="B5" s="94"/>
      <c r="C5" s="304"/>
      <c r="D5" s="95">
        <f>Info!C30-1</f>
        <v>2009</v>
      </c>
      <c r="E5" s="96">
        <f>Info!C30</f>
        <v>2010</v>
      </c>
      <c r="F5" s="97" t="s">
        <v>80</v>
      </c>
      <c r="G5" s="96">
        <f>D5</f>
        <v>2009</v>
      </c>
      <c r="H5" s="96">
        <f>E5</f>
        <v>2010</v>
      </c>
      <c r="I5" s="98" t="s">
        <v>80</v>
      </c>
    </row>
    <row r="6" spans="1:9">
      <c r="A6" s="99"/>
      <c r="B6" s="76" t="s">
        <v>44</v>
      </c>
      <c r="C6" s="100" t="s">
        <v>81</v>
      </c>
      <c r="D6" s="101" t="s">
        <v>45</v>
      </c>
      <c r="E6" s="102" t="s">
        <v>45</v>
      </c>
      <c r="F6" s="103" t="s">
        <v>82</v>
      </c>
      <c r="G6" s="102" t="s">
        <v>45</v>
      </c>
      <c r="H6" s="102" t="s">
        <v>45</v>
      </c>
      <c r="I6" s="104" t="s">
        <v>82</v>
      </c>
    </row>
    <row r="7" spans="1:9">
      <c r="A7" s="99"/>
      <c r="B7" s="44" t="s">
        <v>48</v>
      </c>
      <c r="C7" s="105">
        <f>PFR!I7</f>
        <v>132.19999999999999</v>
      </c>
      <c r="D7" s="106">
        <v>46542441.483056001</v>
      </c>
      <c r="E7" s="107">
        <f>PFR!F7</f>
        <v>49514267.335301131</v>
      </c>
      <c r="F7" s="108">
        <f t="shared" ref="F7:F33" si="0">E7/D7-1</f>
        <v>6.3851954421579649E-2</v>
      </c>
      <c r="G7" s="47">
        <f t="shared" ref="G7:G32" si="1">IF($C7&gt;100,D7,"")</f>
        <v>46542441.483056001</v>
      </c>
      <c r="H7" s="47">
        <f t="shared" ref="H7:H32" si="2">IF($C7&gt;100,E7,"")</f>
        <v>49514267.335301131</v>
      </c>
      <c r="I7" s="109">
        <f t="shared" ref="I7:I32" si="3">IF(C7&gt;=100,H7/G7-1,"")</f>
        <v>6.3851954421579649E-2</v>
      </c>
    </row>
    <row r="8" spans="1:9">
      <c r="A8" s="99"/>
      <c r="B8" s="110" t="s">
        <v>49</v>
      </c>
      <c r="C8" s="111">
        <f>PFR!I8</f>
        <v>76.5</v>
      </c>
      <c r="D8" s="112">
        <v>20511267.200183999</v>
      </c>
      <c r="E8" s="113">
        <f>PFR!F8</f>
        <v>21344560.016377766</v>
      </c>
      <c r="F8" s="114">
        <f t="shared" si="0"/>
        <v>4.062610115996601E-2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>
      <c r="A9" s="99"/>
      <c r="B9" s="116" t="s">
        <v>50</v>
      </c>
      <c r="C9" s="117">
        <f>PFR!I9</f>
        <v>75.5</v>
      </c>
      <c r="D9" s="118">
        <v>7499792.7037089895</v>
      </c>
      <c r="E9" s="119">
        <f>PFR!F9</f>
        <v>7780336.4399235966</v>
      </c>
      <c r="F9" s="120">
        <f t="shared" si="0"/>
        <v>3.7406865402541678E-2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>
      <c r="A10" s="99"/>
      <c r="B10" s="110" t="s">
        <v>51</v>
      </c>
      <c r="C10" s="111">
        <f>PFR!I10</f>
        <v>58</v>
      </c>
      <c r="D10" s="112">
        <v>582948.17464585195</v>
      </c>
      <c r="E10" s="113">
        <f>PFR!F10</f>
        <v>582604.88831118506</v>
      </c>
      <c r="F10" s="114">
        <f t="shared" si="0"/>
        <v>-5.8887968021414938E-4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>
      <c r="A11" s="99"/>
      <c r="B11" s="116" t="s">
        <v>52</v>
      </c>
      <c r="C11" s="117">
        <f>PFR!I11</f>
        <v>130</v>
      </c>
      <c r="D11" s="118">
        <v>4672834.5987300798</v>
      </c>
      <c r="E11" s="119">
        <f>PFR!F11</f>
        <v>5144159.9017421668</v>
      </c>
      <c r="F11" s="120">
        <f t="shared" si="0"/>
        <v>0.10086496601873685</v>
      </c>
      <c r="G11" s="56">
        <f t="shared" si="1"/>
        <v>4672834.5987300798</v>
      </c>
      <c r="H11" s="56">
        <f t="shared" si="2"/>
        <v>5144159.9017421668</v>
      </c>
      <c r="I11" s="121">
        <f t="shared" si="3"/>
        <v>0.10086496601873685</v>
      </c>
    </row>
    <row r="12" spans="1:9">
      <c r="A12" s="99"/>
      <c r="B12" s="110" t="s">
        <v>53</v>
      </c>
      <c r="C12" s="111">
        <f>PFR!I12</f>
        <v>70.7</v>
      </c>
      <c r="D12" s="112">
        <v>604450.49695295398</v>
      </c>
      <c r="E12" s="113">
        <f>PFR!F12</f>
        <v>679224.61741863564</v>
      </c>
      <c r="F12" s="114">
        <f t="shared" si="0"/>
        <v>0.12370594588410366</v>
      </c>
      <c r="G12" s="52" t="str">
        <f t="shared" si="1"/>
        <v/>
      </c>
      <c r="H12" s="52" t="str">
        <f t="shared" si="2"/>
        <v/>
      </c>
      <c r="I12" s="115" t="str">
        <f t="shared" si="3"/>
        <v/>
      </c>
    </row>
    <row r="13" spans="1:9">
      <c r="A13" s="99"/>
      <c r="B13" s="116" t="s">
        <v>54</v>
      </c>
      <c r="C13" s="117">
        <f>PFR!I13</f>
        <v>125.3</v>
      </c>
      <c r="D13" s="118">
        <v>1370299.0022949099</v>
      </c>
      <c r="E13" s="119">
        <f>PFR!F13</f>
        <v>1417843.3394864101</v>
      </c>
      <c r="F13" s="120">
        <f t="shared" si="0"/>
        <v>3.4696323292854547E-2</v>
      </c>
      <c r="G13" s="56">
        <f t="shared" si="1"/>
        <v>1370299.0022949099</v>
      </c>
      <c r="H13" s="56">
        <f t="shared" si="2"/>
        <v>1417843.3394864101</v>
      </c>
      <c r="I13" s="121">
        <f t="shared" si="3"/>
        <v>3.4696323292854547E-2</v>
      </c>
    </row>
    <row r="14" spans="1:9">
      <c r="A14" s="99"/>
      <c r="B14" s="110" t="s">
        <v>55</v>
      </c>
      <c r="C14" s="111">
        <f>PFR!I14</f>
        <v>67.599999999999994</v>
      </c>
      <c r="D14" s="112">
        <v>729372.65181367903</v>
      </c>
      <c r="E14" s="113">
        <f>PFR!F14</f>
        <v>746235.09125879838</v>
      </c>
      <c r="F14" s="114">
        <f t="shared" si="0"/>
        <v>2.3119100233863543E-2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>
      <c r="A15" s="99"/>
      <c r="B15" s="116" t="s">
        <v>56</v>
      </c>
      <c r="C15" s="117">
        <f>PFR!I15</f>
        <v>237</v>
      </c>
      <c r="D15" s="118">
        <v>6491833.46143407</v>
      </c>
      <c r="E15" s="119">
        <f>PFR!F15</f>
        <v>7284250.5940181362</v>
      </c>
      <c r="F15" s="120">
        <f t="shared" si="0"/>
        <v>0.12206368775347753</v>
      </c>
      <c r="G15" s="56">
        <f t="shared" si="1"/>
        <v>6491833.46143407</v>
      </c>
      <c r="H15" s="56">
        <f t="shared" si="2"/>
        <v>7284250.5940181362</v>
      </c>
      <c r="I15" s="121">
        <f t="shared" si="3"/>
        <v>0.12206368775347753</v>
      </c>
    </row>
    <row r="16" spans="1:9">
      <c r="A16" s="99"/>
      <c r="B16" s="110" t="s">
        <v>57</v>
      </c>
      <c r="C16" s="111">
        <f>PFR!I16</f>
        <v>70.900000000000006</v>
      </c>
      <c r="D16" s="112">
        <v>5129029.94091924</v>
      </c>
      <c r="E16" s="113">
        <f>PFR!F16</f>
        <v>5249056.41466399</v>
      </c>
      <c r="F16" s="114">
        <f t="shared" si="0"/>
        <v>2.3401398534873552E-2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>
      <c r="A17" s="99"/>
      <c r="B17" s="116" t="s">
        <v>58</v>
      </c>
      <c r="C17" s="117">
        <f>PFR!I17</f>
        <v>77.3</v>
      </c>
      <c r="D17" s="118">
        <v>5197748.2073285002</v>
      </c>
      <c r="E17" s="119">
        <f>PFR!F17</f>
        <v>5527792.8459004769</v>
      </c>
      <c r="F17" s="120">
        <f t="shared" si="0"/>
        <v>6.3497619624327761E-2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>
      <c r="A18" s="99"/>
      <c r="B18" s="110" t="s">
        <v>59</v>
      </c>
      <c r="C18" s="111">
        <f>PFR!I18</f>
        <v>139</v>
      </c>
      <c r="D18" s="112">
        <v>7366252.5411817497</v>
      </c>
      <c r="E18" s="113">
        <f>PFR!F18</f>
        <v>7670137.4697977034</v>
      </c>
      <c r="F18" s="114">
        <f t="shared" si="0"/>
        <v>4.125366689738863E-2</v>
      </c>
      <c r="G18" s="52">
        <f t="shared" si="1"/>
        <v>7366252.5411817497</v>
      </c>
      <c r="H18" s="52">
        <f t="shared" si="2"/>
        <v>7670137.4697977034</v>
      </c>
      <c r="I18" s="115">
        <f t="shared" si="3"/>
        <v>4.125366689738863E-2</v>
      </c>
    </row>
    <row r="19" spans="1:9">
      <c r="A19" s="99"/>
      <c r="B19" s="116" t="s">
        <v>60</v>
      </c>
      <c r="C19" s="117">
        <f>PFR!I19</f>
        <v>101.2</v>
      </c>
      <c r="D19" s="118">
        <v>7497557.2110766498</v>
      </c>
      <c r="E19" s="119">
        <f>PFR!F19</f>
        <v>7761224.2447771011</v>
      </c>
      <c r="F19" s="120">
        <f t="shared" si="0"/>
        <v>3.5167058586884625E-2</v>
      </c>
      <c r="G19" s="56">
        <f t="shared" si="1"/>
        <v>7497557.2110766498</v>
      </c>
      <c r="H19" s="56">
        <f t="shared" si="2"/>
        <v>7761224.2447771011</v>
      </c>
      <c r="I19" s="121">
        <f t="shared" si="3"/>
        <v>3.5167058586884625E-2</v>
      </c>
    </row>
    <row r="20" spans="1:9">
      <c r="A20" s="99"/>
      <c r="B20" s="110" t="s">
        <v>61</v>
      </c>
      <c r="C20" s="111">
        <f>PFR!I20</f>
        <v>95.7</v>
      </c>
      <c r="D20" s="112">
        <v>1973612.86856707</v>
      </c>
      <c r="E20" s="113">
        <f>PFR!F20</f>
        <v>2057438.9823508866</v>
      </c>
      <c r="F20" s="114">
        <f t="shared" si="0"/>
        <v>4.2473432920346665E-2</v>
      </c>
      <c r="G20" s="52" t="str">
        <f t="shared" si="1"/>
        <v/>
      </c>
      <c r="H20" s="52" t="str">
        <f t="shared" si="2"/>
        <v/>
      </c>
      <c r="I20" s="115" t="str">
        <f t="shared" si="3"/>
        <v/>
      </c>
    </row>
    <row r="21" spans="1:9">
      <c r="A21" s="99"/>
      <c r="B21" s="116" t="s">
        <v>62</v>
      </c>
      <c r="C21" s="117">
        <f>PFR!I21</f>
        <v>75.2</v>
      </c>
      <c r="D21" s="118">
        <v>1105416.7860699301</v>
      </c>
      <c r="E21" s="119">
        <f>PFR!F21</f>
        <v>1141828.3771125767</v>
      </c>
      <c r="F21" s="120">
        <f t="shared" si="0"/>
        <v>3.2939242013955816E-2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>
      <c r="A22" s="99"/>
      <c r="B22" s="110" t="s">
        <v>63</v>
      </c>
      <c r="C22" s="111">
        <f>PFR!I22</f>
        <v>79.8</v>
      </c>
      <c r="D22" s="112">
        <v>331937.485907013</v>
      </c>
      <c r="E22" s="113">
        <f>PFR!F22</f>
        <v>344994.06819930469</v>
      </c>
      <c r="F22" s="114">
        <f t="shared" si="0"/>
        <v>3.9334461597836157E-2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>
      <c r="A23" s="99"/>
      <c r="B23" s="116" t="s">
        <v>64</v>
      </c>
      <c r="C23" s="117">
        <f>PFR!I23</f>
        <v>74.2</v>
      </c>
      <c r="D23" s="118">
        <v>9683586.0139393304</v>
      </c>
      <c r="E23" s="119">
        <f>PFR!F23</f>
        <v>9910173.2714909967</v>
      </c>
      <c r="F23" s="120">
        <f t="shared" si="0"/>
        <v>2.3399106201514419E-2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>
      <c r="A24" s="99"/>
      <c r="B24" s="110" t="s">
        <v>65</v>
      </c>
      <c r="C24" s="111">
        <f>PFR!I24</f>
        <v>79.5</v>
      </c>
      <c r="D24" s="112">
        <v>4289217.3544382099</v>
      </c>
      <c r="E24" s="113">
        <f>PFR!F24</f>
        <v>4405375.8564202497</v>
      </c>
      <c r="F24" s="114">
        <f t="shared" si="0"/>
        <v>2.7081514500972181E-2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>
      <c r="A25" s="99"/>
      <c r="B25" s="116" t="s">
        <v>66</v>
      </c>
      <c r="C25" s="117">
        <f>PFR!I25</f>
        <v>85.7</v>
      </c>
      <c r="D25" s="118">
        <v>13673848.7969092</v>
      </c>
      <c r="E25" s="119">
        <f>PFR!F25</f>
        <v>14089201.002591869</v>
      </c>
      <c r="F25" s="120">
        <f t="shared" si="0"/>
        <v>3.0375661735893456E-2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>
      <c r="A26" s="99"/>
      <c r="B26" s="110" t="s">
        <v>67</v>
      </c>
      <c r="C26" s="111">
        <f>PFR!I26</f>
        <v>73.400000000000006</v>
      </c>
      <c r="D26" s="112">
        <v>4735611.22829617</v>
      </c>
      <c r="E26" s="113">
        <f>PFR!F26</f>
        <v>4979390.2494379934</v>
      </c>
      <c r="F26" s="114">
        <f t="shared" si="0"/>
        <v>5.1477836627550344E-2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>
      <c r="A27" s="99"/>
      <c r="B27" s="116" t="s">
        <v>68</v>
      </c>
      <c r="C27" s="117">
        <f>PFR!I27</f>
        <v>95.2</v>
      </c>
      <c r="D27" s="118">
        <v>8477925.8625967801</v>
      </c>
      <c r="E27" s="119">
        <f>PFR!F27</f>
        <v>8876999.3327387702</v>
      </c>
      <c r="F27" s="120">
        <f t="shared" si="0"/>
        <v>4.7072064159305427E-2</v>
      </c>
      <c r="G27" s="56" t="str">
        <f t="shared" si="1"/>
        <v/>
      </c>
      <c r="H27" s="56" t="str">
        <f t="shared" si="2"/>
        <v/>
      </c>
      <c r="I27" s="121" t="str">
        <f t="shared" si="3"/>
        <v/>
      </c>
    </row>
    <row r="28" spans="1:9">
      <c r="A28" s="99"/>
      <c r="B28" s="110" t="s">
        <v>69</v>
      </c>
      <c r="C28" s="111">
        <f>PFR!I28</f>
        <v>106.9</v>
      </c>
      <c r="D28" s="112">
        <v>18439738.080446601</v>
      </c>
      <c r="E28" s="113">
        <f>PFR!F28</f>
        <v>20542759.295199435</v>
      </c>
      <c r="F28" s="114">
        <f t="shared" si="0"/>
        <v>0.11404832354874217</v>
      </c>
      <c r="G28" s="52">
        <f t="shared" si="1"/>
        <v>18439738.080446601</v>
      </c>
      <c r="H28" s="52">
        <f t="shared" si="2"/>
        <v>20542759.295199435</v>
      </c>
      <c r="I28" s="115">
        <f t="shared" si="3"/>
        <v>0.11404832354874217</v>
      </c>
    </row>
    <row r="29" spans="1:9">
      <c r="A29" s="99"/>
      <c r="B29" s="116" t="s">
        <v>70</v>
      </c>
      <c r="C29" s="117">
        <f>PFR!I29</f>
        <v>66.3</v>
      </c>
      <c r="D29" s="118">
        <v>5399844.2002437497</v>
      </c>
      <c r="E29" s="119">
        <f>PFR!F29</f>
        <v>5562212.3256260762</v>
      </c>
      <c r="F29" s="120">
        <f t="shared" si="0"/>
        <v>3.0069038913196344E-2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>
      <c r="A30" s="99"/>
      <c r="B30" s="110" t="s">
        <v>71</v>
      </c>
      <c r="C30" s="111">
        <f>PFR!I30</f>
        <v>95.2</v>
      </c>
      <c r="D30" s="112">
        <v>4556552.0824561603</v>
      </c>
      <c r="E30" s="113">
        <f>PFR!F30</f>
        <v>4663654.6350292042</v>
      </c>
      <c r="F30" s="114">
        <f t="shared" si="0"/>
        <v>2.3505174666040851E-2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>
      <c r="A31" s="99"/>
      <c r="B31" s="116" t="s">
        <v>72</v>
      </c>
      <c r="C31" s="117">
        <f>PFR!I31</f>
        <v>148.6</v>
      </c>
      <c r="D31" s="118">
        <v>18083121.457854599</v>
      </c>
      <c r="E31" s="119">
        <f>PFR!F31</f>
        <v>18770834.4109326</v>
      </c>
      <c r="F31" s="120">
        <f t="shared" si="0"/>
        <v>3.8030654977395217E-2</v>
      </c>
      <c r="G31" s="56">
        <f t="shared" si="1"/>
        <v>18083121.457854599</v>
      </c>
      <c r="H31" s="56">
        <f t="shared" si="2"/>
        <v>18770834.4109326</v>
      </c>
      <c r="I31" s="121">
        <f t="shared" si="3"/>
        <v>3.8030654977395217E-2</v>
      </c>
    </row>
    <row r="32" spans="1:9">
      <c r="A32" s="122"/>
      <c r="B32" s="123" t="s">
        <v>73</v>
      </c>
      <c r="C32" s="124">
        <f>PFR!I32</f>
        <v>65.099999999999994</v>
      </c>
      <c r="D32" s="125">
        <v>1265684.50832412</v>
      </c>
      <c r="E32" s="126">
        <f>PFR!F32</f>
        <v>1280230.5057301701</v>
      </c>
      <c r="F32" s="127">
        <f t="shared" si="0"/>
        <v>1.1492593383567895E-2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>
      <c r="B33" s="59" t="s">
        <v>77</v>
      </c>
      <c r="C33" s="130">
        <f>PFR!I33</f>
        <v>100</v>
      </c>
      <c r="D33" s="131">
        <f>SUM(D7:D32)</f>
        <v>206211924.39937562</v>
      </c>
      <c r="E33" s="132">
        <f>SUM(E7:E32)</f>
        <v>217326785.51183718</v>
      </c>
      <c r="F33" s="133">
        <f t="shared" si="0"/>
        <v>5.3900186154778984E-2</v>
      </c>
      <c r="G33" s="60">
        <f>SUM(G7:G32)</f>
        <v>110464077.83607467</v>
      </c>
      <c r="H33" s="60">
        <f>SUM(H7:H32)</f>
        <v>118105476.5912547</v>
      </c>
      <c r="I33" s="134">
        <f>IF(H33&gt;0,H33/G33-1,0)</f>
        <v>6.9175417971801156E-2</v>
      </c>
    </row>
    <row r="34" spans="1:9">
      <c r="A34" s="135"/>
      <c r="B34" s="31"/>
      <c r="C34" s="31"/>
      <c r="D34" s="31"/>
    </row>
    <row r="35" spans="1:9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136" t="str">
        <f>"Extrapolation of resource equalization endowments "&amp;Info!C30</f>
        <v>Extrapolation of resource equalization endowments 2010</v>
      </c>
      <c r="C1" s="1"/>
      <c r="D1" s="1"/>
      <c r="E1" s="1"/>
      <c r="F1" s="1"/>
    </row>
    <row r="2" spans="2:8">
      <c r="B2" s="137" t="s">
        <v>137</v>
      </c>
      <c r="C2" s="1"/>
      <c r="D2" s="1"/>
      <c r="E2" s="1"/>
      <c r="F2" s="1"/>
      <c r="H2" s="31"/>
    </row>
    <row r="3" spans="2:8">
      <c r="B3" s="1"/>
      <c r="C3" s="1"/>
      <c r="D3" s="1"/>
      <c r="E3" s="1"/>
      <c r="F3" s="1"/>
      <c r="G3" s="19" t="str">
        <f>Info!C28</f>
        <v>FA_2010_20120518</v>
      </c>
      <c r="H3" s="31"/>
    </row>
    <row r="4" spans="2:8" ht="24.75" customHeight="1">
      <c r="B4" s="138" t="s">
        <v>83</v>
      </c>
      <c r="C4" s="139">
        <f>G4-1</f>
        <v>2009</v>
      </c>
      <c r="D4" s="140" t="s">
        <v>84</v>
      </c>
      <c r="E4" s="141" t="s">
        <v>85</v>
      </c>
      <c r="F4" s="141" t="s">
        <v>86</v>
      </c>
      <c r="G4" s="142">
        <f>Info!C30</f>
        <v>2010</v>
      </c>
      <c r="H4" s="31"/>
    </row>
    <row r="5" spans="2:8">
      <c r="B5" s="44" t="s">
        <v>87</v>
      </c>
      <c r="C5" s="45">
        <v>1861534669.8211999</v>
      </c>
      <c r="D5" s="143">
        <f>Growth_rates!F33</f>
        <v>5.3900186154778984E-2</v>
      </c>
      <c r="E5" s="47">
        <f>C5*(1+D5)</f>
        <v>1961871735.0581377</v>
      </c>
      <c r="F5" s="45">
        <v>0</v>
      </c>
      <c r="G5" s="144">
        <f>E5+F5</f>
        <v>1961871735.0581377</v>
      </c>
      <c r="H5" s="31"/>
    </row>
    <row r="6" spans="2:8">
      <c r="B6" s="94" t="s">
        <v>88</v>
      </c>
      <c r="C6" s="145">
        <v>1315153415.6884301</v>
      </c>
      <c r="D6" s="146">
        <f>Growth_rates!I33</f>
        <v>6.9175417971801156E-2</v>
      </c>
      <c r="E6" s="147">
        <f>C6*(1+D6)</f>
        <v>1406129702.9157193</v>
      </c>
      <c r="F6" s="145">
        <v>0</v>
      </c>
      <c r="G6" s="148">
        <f>E6+F6</f>
        <v>1406129702.9157193</v>
      </c>
      <c r="H6" s="31"/>
    </row>
    <row r="7" spans="2:8">
      <c r="B7" s="149"/>
      <c r="C7" s="31"/>
      <c r="D7" s="31"/>
      <c r="E7" s="1"/>
      <c r="F7" s="1"/>
      <c r="H7" s="31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0"/>
      <c r="F10" s="1"/>
    </row>
    <row r="11" spans="2:8">
      <c r="B11" s="137"/>
      <c r="C11" s="151"/>
      <c r="D11" s="151"/>
      <c r="E11" s="150"/>
      <c r="F11" s="152"/>
      <c r="G11" s="152"/>
    </row>
    <row r="12" spans="2:8">
      <c r="B12" s="153" t="s">
        <v>89</v>
      </c>
      <c r="C12" s="154">
        <f>C4</f>
        <v>2009</v>
      </c>
      <c r="D12" s="155">
        <f>G4</f>
        <v>2010</v>
      </c>
      <c r="E12" s="150"/>
      <c r="F12" s="152"/>
      <c r="G12" s="152"/>
    </row>
    <row r="13" spans="2:8">
      <c r="B13" s="116" t="s">
        <v>90</v>
      </c>
      <c r="C13" s="56">
        <f>0.8*C$5</f>
        <v>1489227735.8569601</v>
      </c>
      <c r="D13" s="89">
        <f>0.8*G5</f>
        <v>1569497388.0465102</v>
      </c>
      <c r="E13" s="150"/>
      <c r="F13" s="152"/>
      <c r="G13" s="152"/>
    </row>
    <row r="14" spans="2:8">
      <c r="B14" s="156" t="s">
        <v>91</v>
      </c>
      <c r="C14" s="157">
        <f>C6/C5</f>
        <v>0.70648881109195261</v>
      </c>
      <c r="D14" s="158">
        <f>G6/G5</f>
        <v>0.71672866160847681</v>
      </c>
      <c r="E14" s="1"/>
      <c r="F14" s="1"/>
    </row>
    <row r="15" spans="2:8">
      <c r="B15" s="94" t="s">
        <v>92</v>
      </c>
      <c r="C15" s="147">
        <f>(2/3)*C$5</f>
        <v>1241023113.2141333</v>
      </c>
      <c r="D15" s="159">
        <f>(2/3)*G5</f>
        <v>1307914490.0387583</v>
      </c>
      <c r="E15" s="1"/>
      <c r="F15" s="1"/>
    </row>
    <row r="16" spans="2:8">
      <c r="B16" s="160" t="s">
        <v>93</v>
      </c>
      <c r="E16" s="1"/>
      <c r="F16" s="1"/>
    </row>
    <row r="17" spans="2:6">
      <c r="B17" s="161" t="s">
        <v>94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7"/>
      <c r="C22" s="1"/>
      <c r="D22" s="1"/>
      <c r="E22" s="1"/>
      <c r="F22" s="1"/>
    </row>
    <row r="23" spans="2:6" ht="15.75" customHeight="1">
      <c r="B23" s="162" t="str">
        <f>"Endowments "&amp;G4</f>
        <v>Endowments 2010</v>
      </c>
      <c r="C23" s="163"/>
      <c r="D23" s="164"/>
      <c r="E23" s="1"/>
      <c r="F23" s="1"/>
    </row>
    <row r="24" spans="2:6" ht="15.75" customHeight="1">
      <c r="B24" s="165" t="s">
        <v>87</v>
      </c>
      <c r="C24" s="166"/>
      <c r="D24" s="167">
        <f>G5</f>
        <v>1961871735.0581377</v>
      </c>
      <c r="E24" s="1"/>
      <c r="F24" s="1"/>
    </row>
    <row r="25" spans="2:6" ht="15.75" customHeight="1">
      <c r="B25" s="165" t="s">
        <v>88</v>
      </c>
      <c r="C25" s="166"/>
      <c r="D25" s="167">
        <f>IF(G6&gt;D13,D13,IF(G6&lt;D15,D15,G6))</f>
        <v>1406129702.9157193</v>
      </c>
      <c r="E25" s="1"/>
      <c r="F25" s="1"/>
    </row>
    <row r="26" spans="2:6" ht="20.25" customHeight="1">
      <c r="B26" s="168" t="s">
        <v>95</v>
      </c>
      <c r="C26" s="169"/>
      <c r="D26" s="170">
        <f>D24+D25</f>
        <v>3368001437.9738569</v>
      </c>
      <c r="E26" s="1"/>
      <c r="F26" s="1"/>
    </row>
    <row r="27" spans="2:6">
      <c r="B27" s="1"/>
      <c r="C27" s="1"/>
      <c r="D27" s="1"/>
      <c r="E27" s="1"/>
      <c r="F27" s="1"/>
    </row>
    <row r="28" spans="2:6" hidden="1">
      <c r="B28" s="1"/>
      <c r="C28" s="1"/>
      <c r="D28" s="1"/>
      <c r="E28" s="1"/>
      <c r="F28" s="1"/>
    </row>
    <row r="29" spans="2:6" hidden="1">
      <c r="B29" s="1"/>
      <c r="C29" s="1"/>
      <c r="D29" s="1"/>
      <c r="E29" s="1"/>
      <c r="F29" s="1"/>
    </row>
    <row r="30" spans="2:6">
      <c r="B30" s="1"/>
      <c r="C30" s="1"/>
      <c r="D30" s="1"/>
      <c r="E30" s="1"/>
      <c r="F30" s="1"/>
    </row>
    <row r="31" spans="2:6">
      <c r="B31" s="311" t="str">
        <f>"Actual growth rates* "&amp;C4&amp;"-"&amp;G4</f>
        <v>Actual growth rates* 2009-2010</v>
      </c>
      <c r="C31" s="312"/>
      <c r="D31" s="1"/>
      <c r="E31" s="1"/>
      <c r="F31" s="1"/>
    </row>
    <row r="32" spans="2:6">
      <c r="B32" s="171" t="s">
        <v>87</v>
      </c>
      <c r="C32" s="109">
        <f>D24/C5-1</f>
        <v>5.3900186154778984E-2</v>
      </c>
      <c r="D32" s="1"/>
      <c r="E32" s="1"/>
      <c r="F32" s="1"/>
    </row>
    <row r="33" spans="2:6">
      <c r="B33" s="172" t="s">
        <v>88</v>
      </c>
      <c r="C33" s="173">
        <f>D25/C6-1</f>
        <v>6.9175417971801156E-2</v>
      </c>
      <c r="D33" s="1"/>
      <c r="E33" s="1"/>
      <c r="F33" s="1"/>
    </row>
    <row r="34" spans="2:6" ht="17.25" customHeight="1">
      <c r="B34" s="174" t="s">
        <v>96</v>
      </c>
      <c r="C34" s="175">
        <f>D26/(C5+C6)-1</f>
        <v>6.0224153997648466E-2</v>
      </c>
      <c r="D34" s="1"/>
      <c r="E34" s="1"/>
      <c r="F34" s="1"/>
    </row>
    <row r="35" spans="2:6">
      <c r="B35" s="35" t="s">
        <v>97</v>
      </c>
      <c r="C35" s="1"/>
      <c r="D35" s="1"/>
      <c r="E35" s="1"/>
      <c r="F35" s="1"/>
    </row>
  </sheetData>
  <mergeCells count="1">
    <mergeCell ref="B31:C31"/>
  </mergeCells>
  <conditionalFormatting sqref="C5:C6 F5:F6">
    <cfRule type="expression" dxfId="6" priority="1" stopIfTrue="1">
      <formula>ISBLANK(C5)</formula>
    </cfRule>
  </conditionalFormatting>
  <conditionalFormatting sqref="C5:C6 F5:F6">
    <cfRule type="expression" dxfId="5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>
      <c r="A1" s="93" t="str">
        <f>"Inpayments of financially strong cantons "&amp;Info!C30</f>
        <v>Inpayments of financially strong cantons 2010</v>
      </c>
      <c r="B1" s="93"/>
      <c r="C1" s="93"/>
      <c r="D1" s="93"/>
      <c r="E1" s="93"/>
      <c r="F1" s="93"/>
    </row>
    <row r="2" spans="1:6" ht="18.75" customHeight="1">
      <c r="F2" s="19" t="str">
        <f>Info!$C$28</f>
        <v>FA_2010_20120518</v>
      </c>
    </row>
    <row r="3" spans="1:6" s="2" customFormat="1">
      <c r="A3" s="62" t="s">
        <v>27</v>
      </c>
      <c r="B3" s="176" t="s">
        <v>98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>
      <c r="A4" s="177" t="s">
        <v>35</v>
      </c>
      <c r="B4" s="178"/>
      <c r="C4" s="179"/>
      <c r="D4" s="179" t="s">
        <v>99</v>
      </c>
      <c r="E4" s="179" t="s">
        <v>100</v>
      </c>
      <c r="F4" s="180" t="s">
        <v>101</v>
      </c>
    </row>
    <row r="5" spans="1:6" ht="28.5" customHeight="1">
      <c r="A5" s="181"/>
      <c r="B5" s="182" t="s">
        <v>42</v>
      </c>
      <c r="C5" s="182" t="s">
        <v>6</v>
      </c>
      <c r="D5" s="183" t="s">
        <v>102</v>
      </c>
      <c r="E5" s="183" t="s">
        <v>103</v>
      </c>
      <c r="F5" s="184" t="s">
        <v>104</v>
      </c>
    </row>
    <row r="6" spans="1:6">
      <c r="A6" s="76" t="s">
        <v>44</v>
      </c>
      <c r="B6" s="185" t="s">
        <v>81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PFR!I7</f>
        <v>132.19999999999999</v>
      </c>
      <c r="C7" s="190">
        <f>PFR!G7</f>
        <v>1293367.3333333333</v>
      </c>
      <c r="D7" s="191">
        <f t="shared" ref="D7:D32" si="0">IF(B7&gt;100,(B7-100)*C7,0)</f>
        <v>41646428.133333318</v>
      </c>
      <c r="E7" s="191">
        <f t="shared" ref="E7:E32" si="1">IF(B7&gt;100,A/$D$33*(B7-100),0)</f>
        <v>477.58005532536492</v>
      </c>
      <c r="F7" s="192">
        <f t="shared" ref="F7:F32" si="2">E7*C7</f>
        <v>617686442.60935295</v>
      </c>
    </row>
    <row r="8" spans="1:6" s="187" customFormat="1" ht="15" customHeight="1">
      <c r="A8" s="193" t="s">
        <v>49</v>
      </c>
      <c r="B8" s="194">
        <f>PFR!I8</f>
        <v>76.5</v>
      </c>
      <c r="C8" s="195">
        <f>PFR!G8</f>
        <v>964015.66666666663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PFR!I9</f>
        <v>75.5</v>
      </c>
      <c r="C9" s="190">
        <f>PFR!G9</f>
        <v>355971.33333333331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PFR!I10</f>
        <v>58</v>
      </c>
      <c r="C10" s="195">
        <f>PFR!G10</f>
        <v>34664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PFR!I11</f>
        <v>130</v>
      </c>
      <c r="C11" s="190">
        <f>PFR!G11</f>
        <v>136614.66666666666</v>
      </c>
      <c r="D11" s="191">
        <f t="shared" si="0"/>
        <v>4098439.9999999995</v>
      </c>
      <c r="E11" s="191">
        <f t="shared" si="1"/>
        <v>444.9503621043774</v>
      </c>
      <c r="F11" s="192">
        <f t="shared" si="2"/>
        <v>60786745.40210215</v>
      </c>
    </row>
    <row r="12" spans="1:6" s="187" customFormat="1" ht="15" customHeight="1">
      <c r="A12" s="193" t="s">
        <v>53</v>
      </c>
      <c r="B12" s="194">
        <f>PFR!I12</f>
        <v>70.7</v>
      </c>
      <c r="C12" s="195">
        <f>PFR!G12</f>
        <v>33177.666666666664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PFR!I13</f>
        <v>125.3</v>
      </c>
      <c r="C13" s="190">
        <f>PFR!G13</f>
        <v>39069.666666666664</v>
      </c>
      <c r="D13" s="191">
        <f t="shared" si="0"/>
        <v>988462.56666666653</v>
      </c>
      <c r="E13" s="191">
        <f t="shared" si="1"/>
        <v>375.24147204135824</v>
      </c>
      <c r="F13" s="192">
        <f t="shared" si="2"/>
        <v>14660559.232165186</v>
      </c>
    </row>
    <row r="14" spans="1:6" s="187" customFormat="1" ht="15" customHeight="1">
      <c r="A14" s="193" t="s">
        <v>55</v>
      </c>
      <c r="B14" s="194">
        <f>PFR!I14</f>
        <v>67.599999999999994</v>
      </c>
      <c r="C14" s="195">
        <f>PFR!G14</f>
        <v>38124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PFR!I15</f>
        <v>237</v>
      </c>
      <c r="C15" s="190">
        <f>PFR!G15</f>
        <v>106127.33333333333</v>
      </c>
      <c r="D15" s="191">
        <f t="shared" si="0"/>
        <v>14539444.666666666</v>
      </c>
      <c r="E15" s="191">
        <f t="shared" si="1"/>
        <v>2031.9399869433237</v>
      </c>
      <c r="F15" s="192">
        <f t="shared" si="2"/>
        <v>215644372.30766308</v>
      </c>
    </row>
    <row r="16" spans="1:6" s="187" customFormat="1" ht="15" customHeight="1">
      <c r="A16" s="193" t="s">
        <v>57</v>
      </c>
      <c r="B16" s="194">
        <f>PFR!I16</f>
        <v>70.900000000000006</v>
      </c>
      <c r="C16" s="195">
        <f>PFR!G16</f>
        <v>255726.66666666666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PFR!I17</f>
        <v>77.3</v>
      </c>
      <c r="C17" s="190">
        <f>PFR!G17</f>
        <v>246851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PFR!I18</f>
        <v>139</v>
      </c>
      <c r="C18" s="195">
        <f>PFR!G18</f>
        <v>190602.66666666666</v>
      </c>
      <c r="D18" s="196">
        <f t="shared" si="0"/>
        <v>7433504</v>
      </c>
      <c r="E18" s="196">
        <f t="shared" si="1"/>
        <v>578.43547073569061</v>
      </c>
      <c r="F18" s="197">
        <f t="shared" si="2"/>
        <v>110251343.21681125</v>
      </c>
    </row>
    <row r="19" spans="1:6" s="187" customFormat="1" ht="15" customHeight="1">
      <c r="A19" s="188" t="s">
        <v>60</v>
      </c>
      <c r="B19" s="189">
        <f>PFR!I19</f>
        <v>101.2</v>
      </c>
      <c r="C19" s="190">
        <f>PFR!G19</f>
        <v>264840.33333333331</v>
      </c>
      <c r="D19" s="191">
        <f t="shared" si="0"/>
        <v>317808.40000000072</v>
      </c>
      <c r="E19" s="191">
        <f t="shared" si="1"/>
        <v>17.798014484175138</v>
      </c>
      <c r="F19" s="192">
        <f t="shared" si="2"/>
        <v>4713632.0886604376</v>
      </c>
    </row>
    <row r="20" spans="1:6" s="187" customFormat="1" ht="15" customHeight="1">
      <c r="A20" s="193" t="s">
        <v>61</v>
      </c>
      <c r="B20" s="194">
        <f>PFR!I20</f>
        <v>95.7</v>
      </c>
      <c r="C20" s="195">
        <f>PFR!G20</f>
        <v>74205.333333333328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>
      <c r="A21" s="188" t="s">
        <v>62</v>
      </c>
      <c r="B21" s="189">
        <f>PFR!I21</f>
        <v>75.2</v>
      </c>
      <c r="C21" s="190">
        <f>PFR!G21</f>
        <v>52410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PFR!I22</f>
        <v>79.8</v>
      </c>
      <c r="C22" s="195">
        <f>PFR!G22</f>
        <v>14934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PFR!I23</f>
        <v>74.2</v>
      </c>
      <c r="C23" s="190">
        <f>PFR!G23</f>
        <v>461104.66666666669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PFR!I24</f>
        <v>79.5</v>
      </c>
      <c r="C24" s="195">
        <f>PFR!G24</f>
        <v>191452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PFR!I25</f>
        <v>85.7</v>
      </c>
      <c r="C25" s="190">
        <f>PFR!G25</f>
        <v>567760.33333333337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PFR!I26</f>
        <v>73.400000000000006</v>
      </c>
      <c r="C26" s="195">
        <f>PFR!G26</f>
        <v>234298.66666666666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PFR!I27</f>
        <v>95.2</v>
      </c>
      <c r="C27" s="190">
        <f>PFR!G27</f>
        <v>322125.33333333331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>
      <c r="A28" s="193" t="s">
        <v>69</v>
      </c>
      <c r="B28" s="194">
        <f>PFR!I28</f>
        <v>106.9</v>
      </c>
      <c r="C28" s="195">
        <f>PFR!G28</f>
        <v>663789</v>
      </c>
      <c r="D28" s="196">
        <f t="shared" si="0"/>
        <v>4580144.1000000034</v>
      </c>
      <c r="E28" s="196">
        <f t="shared" si="1"/>
        <v>102.33858328400689</v>
      </c>
      <c r="F28" s="197">
        <f t="shared" si="2"/>
        <v>67931225.85950765</v>
      </c>
    </row>
    <row r="29" spans="1:6" s="187" customFormat="1" ht="15" customHeight="1">
      <c r="A29" s="188" t="s">
        <v>70</v>
      </c>
      <c r="B29" s="189">
        <f>PFR!I29</f>
        <v>66.3</v>
      </c>
      <c r="C29" s="190">
        <f>PFR!G29</f>
        <v>289793.33333333331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PFR!I30</f>
        <v>95.2</v>
      </c>
      <c r="C30" s="195">
        <f>PFR!G30</f>
        <v>169114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PFR!I31</f>
        <v>148.6</v>
      </c>
      <c r="C31" s="190">
        <f>PFR!G31</f>
        <v>436247</v>
      </c>
      <c r="D31" s="191">
        <f t="shared" si="0"/>
        <v>21201604.199999999</v>
      </c>
      <c r="E31" s="191">
        <f t="shared" si="1"/>
        <v>720.8195866090914</v>
      </c>
      <c r="F31" s="192">
        <f t="shared" si="2"/>
        <v>314455382.19945627</v>
      </c>
    </row>
    <row r="32" spans="1:6" s="187" customFormat="1" ht="15" customHeight="1">
      <c r="A32" s="193" t="s">
        <v>73</v>
      </c>
      <c r="B32" s="194">
        <f>PFR!I32</f>
        <v>65.099999999999994</v>
      </c>
      <c r="C32" s="195">
        <f>PFR!G32</f>
        <v>67939.333333333328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77</v>
      </c>
      <c r="B33" s="199">
        <f>PFR!I33</f>
        <v>100</v>
      </c>
      <c r="C33" s="200">
        <f>SUM(BEV)</f>
        <v>7504325.3333333321</v>
      </c>
      <c r="D33" s="200">
        <f>SUM(D7:D32)</f>
        <v>94805836.066666663</v>
      </c>
      <c r="E33" s="200"/>
      <c r="F33" s="201">
        <f>SUM(F7:F32)</f>
        <v>1406129702.915719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3" t="str">
        <f>"Outpayments to financially weak cantons "&amp;Info!C30</f>
        <v>Outpayments to financially weak cantons 2010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>
      <c r="G2" s="1"/>
      <c r="H2" s="19" t="str">
        <f>Info!$C$28</f>
        <v>FA_2010_20120518</v>
      </c>
      <c r="I2" s="2"/>
      <c r="J2" s="1"/>
      <c r="K2" s="1"/>
    </row>
    <row r="3" spans="1:12" s="2" customFormat="1">
      <c r="A3" s="62" t="s">
        <v>27</v>
      </c>
      <c r="B3" s="176" t="s">
        <v>98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42</v>
      </c>
      <c r="C4" s="183" t="s">
        <v>6</v>
      </c>
      <c r="D4" s="183" t="s">
        <v>102</v>
      </c>
      <c r="E4" s="183" t="s">
        <v>103</v>
      </c>
      <c r="F4" s="202" t="s">
        <v>104</v>
      </c>
      <c r="G4" s="203" t="s">
        <v>105</v>
      </c>
      <c r="H4" s="204" t="s">
        <v>106</v>
      </c>
      <c r="J4" s="313" t="s">
        <v>107</v>
      </c>
      <c r="K4" s="314"/>
    </row>
    <row r="5" spans="1:12" s="187" customFormat="1">
      <c r="A5" s="76" t="s">
        <v>44</v>
      </c>
      <c r="B5" s="185" t="s">
        <v>81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108</v>
      </c>
      <c r="K5" s="206">
        <v>0.59374820110547</v>
      </c>
      <c r="L5" s="207"/>
    </row>
    <row r="6" spans="1:12" s="187" customFormat="1" ht="15" customHeight="1">
      <c r="A6" s="208" t="s">
        <v>48</v>
      </c>
      <c r="B6" s="209">
        <f>PFR!I7</f>
        <v>132.19999999999999</v>
      </c>
      <c r="C6" s="191">
        <f>PFR!G7</f>
        <v>1293367.3333333333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109</v>
      </c>
      <c r="K6" s="213">
        <f>(RI_26/RI_MIN)*p</f>
        <v>0.59374820110547122</v>
      </c>
    </row>
    <row r="7" spans="1:12" s="187" customFormat="1" ht="15" customHeight="1">
      <c r="A7" s="193" t="s">
        <v>49</v>
      </c>
      <c r="B7" s="214">
        <f>PFR!I8</f>
        <v>76.5</v>
      </c>
      <c r="C7" s="196">
        <f>PFR!G8</f>
        <v>964015.66666666663</v>
      </c>
      <c r="D7" s="196">
        <f>IF(B7&lt;100,(100-B7)^(1+p)*BEV,0)</f>
        <v>147645777.43759871</v>
      </c>
      <c r="E7" s="196">
        <f t="shared" si="0"/>
        <v>816.92450484144194</v>
      </c>
      <c r="F7" s="215">
        <f t="shared" si="1"/>
        <v>787528021.15105915</v>
      </c>
      <c r="G7" s="216">
        <f>Endowment!$D$25/Endowment!$D$26*F7</f>
        <v>328790400.72058862</v>
      </c>
      <c r="H7" s="217">
        <f t="shared" si="2"/>
        <v>458737620.43047053</v>
      </c>
      <c r="J7" s="205" t="s">
        <v>110</v>
      </c>
      <c r="K7" s="218">
        <f>MIN(B6:B31)</f>
        <v>58</v>
      </c>
    </row>
    <row r="8" spans="1:12" s="187" customFormat="1" ht="15" customHeight="1">
      <c r="A8" s="188" t="s">
        <v>50</v>
      </c>
      <c r="B8" s="209">
        <f>PFR!I9</f>
        <v>75.5</v>
      </c>
      <c r="C8" s="191">
        <f>PFR!G9</f>
        <v>355971.33333333331</v>
      </c>
      <c r="D8" s="191">
        <f t="shared" ref="D8:D31" si="3">IF(B8&lt;100,(100-RI)^(1+p)*BEV,0)</f>
        <v>58263419.949125849</v>
      </c>
      <c r="E8" s="191">
        <f t="shared" si="0"/>
        <v>873.02349653462431</v>
      </c>
      <c r="F8" s="210">
        <f t="shared" si="1"/>
        <v>310771338.09275889</v>
      </c>
      <c r="G8" s="211">
        <f>Endowment!$D$25/Endowment!$D$26*F8</f>
        <v>129746028.12817551</v>
      </c>
      <c r="H8" s="212">
        <f t="shared" si="2"/>
        <v>181025309.9645834</v>
      </c>
      <c r="J8" s="205" t="s">
        <v>111</v>
      </c>
      <c r="K8" s="218">
        <f>100-((sse*SUM)/((1+p)*B*100))^(1/p)</f>
        <v>57.999999999999886</v>
      </c>
    </row>
    <row r="9" spans="1:12" s="187" customFormat="1" ht="15" customHeight="1">
      <c r="A9" s="193" t="s">
        <v>51</v>
      </c>
      <c r="B9" s="214">
        <f>PFR!I10</f>
        <v>58</v>
      </c>
      <c r="C9" s="196">
        <f>PFR!G10</f>
        <v>34664</v>
      </c>
      <c r="D9" s="196">
        <f t="shared" si="3"/>
        <v>13394586.541905988</v>
      </c>
      <c r="E9" s="196">
        <f t="shared" si="0"/>
        <v>2061.0836633219133</v>
      </c>
      <c r="F9" s="215">
        <f t="shared" si="1"/>
        <v>71445404.105390802</v>
      </c>
      <c r="G9" s="216">
        <f>Endowment!$D$25/Endowment!$D$26*F9</f>
        <v>29828225.046674248</v>
      </c>
      <c r="H9" s="217">
        <f t="shared" si="2"/>
        <v>41617179.05871655</v>
      </c>
      <c r="J9" s="219"/>
      <c r="K9" s="220"/>
    </row>
    <row r="10" spans="1:12" s="187" customFormat="1" ht="15" customHeight="1">
      <c r="A10" s="188" t="s">
        <v>52</v>
      </c>
      <c r="B10" s="209">
        <f>PFR!I11</f>
        <v>130</v>
      </c>
      <c r="C10" s="191">
        <f>PFR!G11</f>
        <v>136614.66666666666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PFR!I12</f>
        <v>70.7</v>
      </c>
      <c r="C11" s="196">
        <f>PFR!G12</f>
        <v>33177.666666666664</v>
      </c>
      <c r="D11" s="196">
        <f t="shared" si="3"/>
        <v>7222099.5538041545</v>
      </c>
      <c r="E11" s="196">
        <f t="shared" si="0"/>
        <v>1161.0812603030063</v>
      </c>
      <c r="F11" s="215">
        <f t="shared" si="1"/>
        <v>38521967.027246371</v>
      </c>
      <c r="G11" s="216">
        <f>Endowment!$D$25/Endowment!$D$26*F11</f>
        <v>16082796.59296616</v>
      </c>
      <c r="H11" s="217">
        <f t="shared" si="2"/>
        <v>22439170.434280209</v>
      </c>
      <c r="J11" s="219"/>
      <c r="K11" s="220"/>
    </row>
    <row r="12" spans="1:12" s="187" customFormat="1" ht="15" customHeight="1">
      <c r="A12" s="188" t="s">
        <v>54</v>
      </c>
      <c r="B12" s="209">
        <f>PFR!I13</f>
        <v>125.3</v>
      </c>
      <c r="C12" s="191">
        <f>PFR!G13</f>
        <v>39069.666666666664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98</v>
      </c>
      <c r="K12" s="221">
        <f>Endowment!D26</f>
        <v>3368001437.9738569</v>
      </c>
    </row>
    <row r="13" spans="1:12" s="187" customFormat="1" ht="15" customHeight="1">
      <c r="A13" s="193" t="s">
        <v>55</v>
      </c>
      <c r="B13" s="214">
        <f>PFR!I14</f>
        <v>67.599999999999994</v>
      </c>
      <c r="C13" s="196">
        <f>PFR!G14</f>
        <v>38124</v>
      </c>
      <c r="D13" s="196">
        <f t="shared" si="3"/>
        <v>9741522.8505078908</v>
      </c>
      <c r="E13" s="196">
        <f t="shared" si="0"/>
        <v>1362.9294542492812</v>
      </c>
      <c r="F13" s="215">
        <f t="shared" si="1"/>
        <v>51960322.5137996</v>
      </c>
      <c r="G13" s="216">
        <f>Endowment!$D$25/Endowment!$D$26*F13</f>
        <v>21693266.527726796</v>
      </c>
      <c r="H13" s="217">
        <f t="shared" si="2"/>
        <v>30267055.986072805</v>
      </c>
      <c r="J13" s="205" t="s">
        <v>112</v>
      </c>
      <c r="K13" s="221">
        <f>STR!E32</f>
        <v>7821.0675732075588</v>
      </c>
    </row>
    <row r="14" spans="1:12" s="187" customFormat="1" ht="15" customHeight="1">
      <c r="A14" s="188" t="s">
        <v>56</v>
      </c>
      <c r="B14" s="209">
        <f>PFR!I15</f>
        <v>237</v>
      </c>
      <c r="C14" s="191">
        <f>PFR!G15</f>
        <v>106127.33333333333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PFR!I16</f>
        <v>70.900000000000006</v>
      </c>
      <c r="C15" s="196">
        <f>PFR!G16</f>
        <v>255726.66666666666</v>
      </c>
      <c r="D15" s="196">
        <f t="shared" si="3"/>
        <v>55062108.207145125</v>
      </c>
      <c r="E15" s="196">
        <f t="shared" si="0"/>
        <v>1148.4756779240799</v>
      </c>
      <c r="F15" s="215">
        <f t="shared" si="1"/>
        <v>293695856.86326522</v>
      </c>
      <c r="G15" s="216">
        <f>Endowment!$D$25/Endowment!$D$26*F15</f>
        <v>122617069.96394885</v>
      </c>
      <c r="H15" s="217">
        <f t="shared" si="2"/>
        <v>171078786.89931637</v>
      </c>
    </row>
    <row r="16" spans="1:12" s="187" customFormat="1" ht="15" customHeight="1">
      <c r="A16" s="188" t="s">
        <v>58</v>
      </c>
      <c r="B16" s="209">
        <f>PFR!I17</f>
        <v>77.3</v>
      </c>
      <c r="C16" s="191">
        <f>PFR!G17</f>
        <v>246851</v>
      </c>
      <c r="D16" s="191">
        <f t="shared" si="3"/>
        <v>35776566.72572156</v>
      </c>
      <c r="E16" s="191">
        <f t="shared" si="0"/>
        <v>773.0520835320134</v>
      </c>
      <c r="F16" s="210">
        <f t="shared" si="1"/>
        <v>190828679.87196103</v>
      </c>
      <c r="G16" s="211">
        <f>Endowment!$D$25/Endowment!$D$26*F16</f>
        <v>79670356.405068219</v>
      </c>
      <c r="H16" s="212">
        <f t="shared" si="2"/>
        <v>111158323.46689281</v>
      </c>
    </row>
    <row r="17" spans="1:8" s="187" customFormat="1" ht="15" customHeight="1">
      <c r="A17" s="193" t="s">
        <v>59</v>
      </c>
      <c r="B17" s="214">
        <f>PFR!I18</f>
        <v>139</v>
      </c>
      <c r="C17" s="196">
        <f>PFR!G18</f>
        <v>190602.66666666666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PFR!I19</f>
        <v>101.2</v>
      </c>
      <c r="C18" s="191">
        <f>PFR!G19</f>
        <v>264840.33333333331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Endowment!$D$25/Endowment!$D$26*F18</f>
        <v>0</v>
      </c>
      <c r="H18" s="212">
        <f t="shared" si="2"/>
        <v>0</v>
      </c>
    </row>
    <row r="19" spans="1:8" s="187" customFormat="1" ht="15" customHeight="1">
      <c r="A19" s="193" t="s">
        <v>61</v>
      </c>
      <c r="B19" s="214">
        <f>PFR!I20</f>
        <v>95.7</v>
      </c>
      <c r="C19" s="196">
        <f>PFR!G20</f>
        <v>74205.333333333328</v>
      </c>
      <c r="D19" s="196">
        <f t="shared" si="3"/>
        <v>758620.07636882795</v>
      </c>
      <c r="E19" s="196">
        <f t="shared" si="0"/>
        <v>54.529836560372985</v>
      </c>
      <c r="F19" s="215">
        <f t="shared" si="1"/>
        <v>4046404.6985746641</v>
      </c>
      <c r="G19" s="216">
        <f>Endowment!$D$25/Endowment!$D$26*F19</f>
        <v>1689360.8691884791</v>
      </c>
      <c r="H19" s="217">
        <f t="shared" si="2"/>
        <v>2357043.8293861849</v>
      </c>
    </row>
    <row r="20" spans="1:8" s="187" customFormat="1" ht="15" customHeight="1">
      <c r="A20" s="188" t="s">
        <v>62</v>
      </c>
      <c r="B20" s="209">
        <f>PFR!I21</f>
        <v>75.2</v>
      </c>
      <c r="C20" s="191">
        <f>PFR!G21</f>
        <v>52410</v>
      </c>
      <c r="D20" s="191">
        <f t="shared" si="3"/>
        <v>8746192.2139451131</v>
      </c>
      <c r="E20" s="191">
        <f t="shared" si="0"/>
        <v>890.12262971433915</v>
      </c>
      <c r="F20" s="210">
        <f t="shared" si="1"/>
        <v>46651327.023328513</v>
      </c>
      <c r="G20" s="211">
        <f>Endowment!$D$25/Endowment!$D$26*F20</f>
        <v>19476778.088135179</v>
      </c>
      <c r="H20" s="212">
        <f t="shared" si="2"/>
        <v>27174548.935193334</v>
      </c>
    </row>
    <row r="21" spans="1:8" s="187" customFormat="1" ht="15" customHeight="1">
      <c r="A21" s="193" t="s">
        <v>63</v>
      </c>
      <c r="B21" s="214">
        <f>PFR!I22</f>
        <v>79.8</v>
      </c>
      <c r="C21" s="196">
        <f>PFR!G22</f>
        <v>14934</v>
      </c>
      <c r="D21" s="196">
        <f t="shared" si="3"/>
        <v>1797121.9300434745</v>
      </c>
      <c r="E21" s="196">
        <f t="shared" si="0"/>
        <v>641.86897047500315</v>
      </c>
      <c r="F21" s="215">
        <f t="shared" si="1"/>
        <v>9585671.2050736975</v>
      </c>
      <c r="G21" s="216">
        <f>Endowment!$D$25/Endowment!$D$26*F21</f>
        <v>4001986.7129114531</v>
      </c>
      <c r="H21" s="217">
        <f t="shared" si="2"/>
        <v>5583684.4921622444</v>
      </c>
    </row>
    <row r="22" spans="1:8" s="187" customFormat="1" ht="15" customHeight="1">
      <c r="A22" s="188" t="s">
        <v>64</v>
      </c>
      <c r="B22" s="209">
        <f>PFR!I23</f>
        <v>74.2</v>
      </c>
      <c r="C22" s="191">
        <f>PFR!G23</f>
        <v>461104.66666666669</v>
      </c>
      <c r="D22" s="191">
        <f t="shared" si="3"/>
        <v>81953194.075290546</v>
      </c>
      <c r="E22" s="191">
        <f t="shared" si="0"/>
        <v>948.00657945755006</v>
      </c>
      <c r="F22" s="210">
        <f t="shared" si="1"/>
        <v>437130257.81858051</v>
      </c>
      <c r="G22" s="211">
        <f>Endowment!$D$25/Endowment!$D$26*F22</f>
        <v>182500468.26930228</v>
      </c>
      <c r="H22" s="212">
        <f t="shared" si="2"/>
        <v>254629789.54927823</v>
      </c>
    </row>
    <row r="23" spans="1:8" s="187" customFormat="1" ht="15" customHeight="1">
      <c r="A23" s="193" t="s">
        <v>65</v>
      </c>
      <c r="B23" s="214">
        <f>PFR!I24</f>
        <v>79.5</v>
      </c>
      <c r="C23" s="196">
        <f>PFR!G24</f>
        <v>191452</v>
      </c>
      <c r="D23" s="196">
        <f t="shared" si="3"/>
        <v>23586595.758689038</v>
      </c>
      <c r="E23" s="196">
        <f t="shared" si="0"/>
        <v>657.12855695200449</v>
      </c>
      <c r="F23" s="215">
        <f t="shared" si="1"/>
        <v>125808576.48557517</v>
      </c>
      <c r="G23" s="216">
        <f>Endowment!$D$25/Endowment!$D$26*F23</f>
        <v>52524673.619003519</v>
      </c>
      <c r="H23" s="217">
        <f t="shared" si="2"/>
        <v>73283902.86657165</v>
      </c>
    </row>
    <row r="24" spans="1:8" s="187" customFormat="1" ht="15" customHeight="1">
      <c r="A24" s="188" t="s">
        <v>66</v>
      </c>
      <c r="B24" s="209">
        <f>PFR!I25</f>
        <v>85.7</v>
      </c>
      <c r="C24" s="191">
        <f>PFR!G25</f>
        <v>567760.33333333337</v>
      </c>
      <c r="D24" s="191">
        <f t="shared" si="3"/>
        <v>39398508.266393572</v>
      </c>
      <c r="E24" s="191">
        <f t="shared" si="0"/>
        <v>370.13462660553142</v>
      </c>
      <c r="F24" s="210">
        <f t="shared" si="1"/>
        <v>210147758.97976542</v>
      </c>
      <c r="G24" s="211">
        <f>Endowment!$D$25/Endowment!$D$26*F24</f>
        <v>87736009.424149007</v>
      </c>
      <c r="H24" s="212">
        <f t="shared" si="2"/>
        <v>122411749.55561641</v>
      </c>
    </row>
    <row r="25" spans="1:8" s="187" customFormat="1" ht="15" customHeight="1">
      <c r="A25" s="193" t="s">
        <v>67</v>
      </c>
      <c r="B25" s="214">
        <f>PFR!I26</f>
        <v>73.400000000000006</v>
      </c>
      <c r="C25" s="196">
        <f>PFR!G26</f>
        <v>234298.66666666666</v>
      </c>
      <c r="D25" s="196">
        <f t="shared" si="3"/>
        <v>43719215.698456205</v>
      </c>
      <c r="E25" s="196">
        <f t="shared" si="0"/>
        <v>995.28516223258896</v>
      </c>
      <c r="F25" s="215">
        <f t="shared" si="1"/>
        <v>233193986.4642126</v>
      </c>
      <c r="G25" s="216">
        <f>Endowment!$D$25/Endowment!$D$26*F25</f>
        <v>97357734.830991104</v>
      </c>
      <c r="H25" s="217">
        <f t="shared" si="2"/>
        <v>135836251.63322151</v>
      </c>
    </row>
    <row r="26" spans="1:8" s="187" customFormat="1" ht="15" customHeight="1">
      <c r="A26" s="188" t="s">
        <v>68</v>
      </c>
      <c r="B26" s="209">
        <f>PFR!I27</f>
        <v>95.2</v>
      </c>
      <c r="C26" s="191">
        <f>PFR!G27</f>
        <v>322125.33333333331</v>
      </c>
      <c r="D26" s="191">
        <f t="shared" si="3"/>
        <v>3924206.7236577137</v>
      </c>
      <c r="E26" s="191">
        <f t="shared" si="0"/>
        <v>64.978844036743908</v>
      </c>
      <c r="F26" s="210">
        <f t="shared" si="1"/>
        <v>20931331.794950809</v>
      </c>
      <c r="G26" s="211">
        <f>Endowment!$D$25/Endowment!$D$26*F26</f>
        <v>8738763.2993917353</v>
      </c>
      <c r="H26" s="212">
        <f t="shared" si="2"/>
        <v>12192568.495559074</v>
      </c>
    </row>
    <row r="27" spans="1:8" s="187" customFormat="1" ht="15" customHeight="1">
      <c r="A27" s="193" t="s">
        <v>69</v>
      </c>
      <c r="B27" s="214">
        <f>PFR!I28</f>
        <v>106.9</v>
      </c>
      <c r="C27" s="196">
        <f>PFR!G28</f>
        <v>663789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Endowment!$D$25/Endowment!$D$26*F27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PFR!I29</f>
        <v>66.3</v>
      </c>
      <c r="C28" s="191">
        <f>PFR!G29</f>
        <v>289793.33333333331</v>
      </c>
      <c r="D28" s="191">
        <f t="shared" si="3"/>
        <v>78839851.360461771</v>
      </c>
      <c r="E28" s="191">
        <f t="shared" si="0"/>
        <v>1451.1168696339814</v>
      </c>
      <c r="F28" s="210">
        <f t="shared" si="1"/>
        <v>420523994.70746356</v>
      </c>
      <c r="G28" s="211">
        <f>Endowment!$D$25/Endowment!$D$26*F28</f>
        <v>175567407.15130511</v>
      </c>
      <c r="H28" s="212">
        <f t="shared" si="2"/>
        <v>244956587.55615845</v>
      </c>
    </row>
    <row r="29" spans="1:8" s="187" customFormat="1" ht="15" customHeight="1">
      <c r="A29" s="193" t="s">
        <v>71</v>
      </c>
      <c r="B29" s="214">
        <f>PFR!I30</f>
        <v>95.2</v>
      </c>
      <c r="C29" s="196">
        <f>PFR!G30</f>
        <v>169114</v>
      </c>
      <c r="D29" s="196">
        <f t="shared" si="3"/>
        <v>2060186.6018961065</v>
      </c>
      <c r="E29" s="196">
        <f t="shared" si="0"/>
        <v>64.978844036743908</v>
      </c>
      <c r="F29" s="215">
        <f t="shared" si="1"/>
        <v>10988832.23042991</v>
      </c>
      <c r="G29" s="216">
        <f>Endowment!$D$25/Endowment!$D$26*F29</f>
        <v>4587801.9009578079</v>
      </c>
      <c r="H29" s="217">
        <f t="shared" si="2"/>
        <v>6401030.3294721022</v>
      </c>
    </row>
    <row r="30" spans="1:8" s="187" customFormat="1" ht="15" customHeight="1">
      <c r="A30" s="188" t="s">
        <v>72</v>
      </c>
      <c r="B30" s="209">
        <f>PFR!I31</f>
        <v>148.6</v>
      </c>
      <c r="C30" s="191">
        <f>PFR!G31</f>
        <v>436247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PFR!I32</f>
        <v>65.099999999999994</v>
      </c>
      <c r="C31" s="196">
        <f>PFR!G32</f>
        <v>67939.333333333328</v>
      </c>
      <c r="D31" s="196">
        <f t="shared" si="3"/>
        <v>19543238.398229189</v>
      </c>
      <c r="E31" s="196">
        <f t="shared" si="0"/>
        <v>1534.3351461660102</v>
      </c>
      <c r="F31" s="215">
        <f t="shared" si="1"/>
        <v>104241706.94042128</v>
      </c>
      <c r="G31" s="216">
        <f>Endowment!$D$25/Endowment!$D$26*F31</f>
        <v>43520575.365235284</v>
      </c>
      <c r="H31" s="217">
        <f t="shared" si="2"/>
        <v>60721131.575185999</v>
      </c>
    </row>
    <row r="32" spans="1:8">
      <c r="A32" s="198" t="s">
        <v>77</v>
      </c>
      <c r="B32" s="222">
        <f>PFR!I33</f>
        <v>100</v>
      </c>
      <c r="C32" s="200">
        <f>PFR!G33</f>
        <v>7504325.3333333321</v>
      </c>
      <c r="D32" s="200">
        <f>SUM(D6:D31)</f>
        <v>631433012.36924076</v>
      </c>
      <c r="E32" s="200"/>
      <c r="F32" s="200">
        <f>SUM(F6:F31)</f>
        <v>3368001437.9738579</v>
      </c>
      <c r="G32" s="223">
        <f>SUM(G6:G31)</f>
        <v>1406129702.9157193</v>
      </c>
      <c r="H32" s="224">
        <f>SUM(H6:H31)</f>
        <v>1961871735.0581374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17" t="str">
        <f>"Standardized tax revenue (STRev) "&amp;Info!C30</f>
        <v>Standardized tax revenue (STRev) 2010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FA_2010_20120518</v>
      </c>
    </row>
    <row r="2" spans="1:10" s="2" customFormat="1">
      <c r="A2" s="62" t="s">
        <v>27</v>
      </c>
      <c r="B2" s="176" t="s">
        <v>98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113</v>
      </c>
    </row>
    <row r="3" spans="1:10" s="24" customFormat="1" ht="11.25" customHeight="1">
      <c r="A3" s="66" t="s">
        <v>35</v>
      </c>
      <c r="B3" s="226"/>
      <c r="C3" s="67"/>
      <c r="D3" s="67"/>
      <c r="E3" s="67" t="s">
        <v>114</v>
      </c>
      <c r="F3" s="67"/>
      <c r="G3" s="67" t="s">
        <v>115</v>
      </c>
      <c r="H3" s="227" t="s">
        <v>116</v>
      </c>
      <c r="J3" s="228" t="s">
        <v>117</v>
      </c>
    </row>
    <row r="4" spans="1:10" ht="51" customHeight="1">
      <c r="A4" s="181"/>
      <c r="B4" s="229" t="s">
        <v>42</v>
      </c>
      <c r="C4" s="229" t="s">
        <v>118</v>
      </c>
      <c r="D4" s="202" t="s">
        <v>6</v>
      </c>
      <c r="E4" s="229" t="s">
        <v>119</v>
      </c>
      <c r="F4" s="202" t="s">
        <v>120</v>
      </c>
      <c r="G4" s="229" t="s">
        <v>121</v>
      </c>
      <c r="H4" s="184" t="s">
        <v>122</v>
      </c>
      <c r="I4" s="230"/>
      <c r="J4" s="231" t="s">
        <v>123</v>
      </c>
    </row>
    <row r="5" spans="1:10" s="35" customFormat="1" ht="11.25" customHeight="1">
      <c r="A5" s="76" t="s">
        <v>44</v>
      </c>
      <c r="B5" s="185" t="s">
        <v>81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>
      <c r="A6" s="237" t="s">
        <v>48</v>
      </c>
      <c r="B6" s="238">
        <f>PFR!I7</f>
        <v>132.19999999999999</v>
      </c>
      <c r="C6" s="47">
        <f>PFR!H7/PFR!$H$33*sse*D6</f>
        <v>13371951495.337255</v>
      </c>
      <c r="D6" s="239">
        <f>PFR!G7</f>
        <v>1293367.3333333333</v>
      </c>
      <c r="E6" s="47">
        <f t="shared" ref="E6:E32" si="0">C6/D6</f>
        <v>10338.86595919689</v>
      </c>
      <c r="F6" s="47">
        <f>IF(B6&gt;100,-Inpayment!F7,Outpayment!F6)/D6</f>
        <v>-477.58005532536487</v>
      </c>
      <c r="G6" s="47">
        <f t="shared" ref="G6:G31" si="1">E6+F6</f>
        <v>9861.2859038715251</v>
      </c>
      <c r="H6" s="48">
        <f t="shared" ref="H6:H31" si="2">ROUND(G6/E$32*100,1)</f>
        <v>126.1</v>
      </c>
      <c r="J6" s="240">
        <f t="shared" ref="J6:J32" si="3">E6-E$32</f>
        <v>2517.7983859893311</v>
      </c>
    </row>
    <row r="7" spans="1:10">
      <c r="A7" s="241" t="s">
        <v>49</v>
      </c>
      <c r="B7" s="242">
        <f>PFR!I8</f>
        <v>76.5</v>
      </c>
      <c r="C7" s="52">
        <f>PFR!H8/PFR!$H$33*sse*D7</f>
        <v>5764367253.8971367</v>
      </c>
      <c r="D7" s="243">
        <f>PFR!G8</f>
        <v>964015.66666666663</v>
      </c>
      <c r="E7" s="52">
        <f t="shared" si="0"/>
        <v>5979.53690299342</v>
      </c>
      <c r="F7" s="52">
        <f>IF(B7&gt;100,-Inpayment!F8,Outpayment!F7)/D7</f>
        <v>816.92450484144194</v>
      </c>
      <c r="G7" s="52">
        <f t="shared" si="1"/>
        <v>6796.4614078348623</v>
      </c>
      <c r="H7" s="53">
        <f t="shared" si="2"/>
        <v>86.9</v>
      </c>
      <c r="J7" s="244">
        <f t="shared" si="3"/>
        <v>-1841.5306702141388</v>
      </c>
    </row>
    <row r="8" spans="1:10">
      <c r="A8" s="245" t="s">
        <v>50</v>
      </c>
      <c r="B8" s="246">
        <f>PFR!I9</f>
        <v>75.5</v>
      </c>
      <c r="C8" s="56">
        <f>PFR!H9/PFR!$H$33*sse*D8</f>
        <v>2101177844.1057398</v>
      </c>
      <c r="D8" s="247">
        <f>PFR!G9</f>
        <v>355971.33333333331</v>
      </c>
      <c r="E8" s="56">
        <f t="shared" si="0"/>
        <v>5902.6602632021113</v>
      </c>
      <c r="F8" s="56">
        <f>IF(B8&gt;100,-Inpayment!F9,Outpayment!F8)/D8</f>
        <v>873.02349653462431</v>
      </c>
      <c r="G8" s="56">
        <f t="shared" si="1"/>
        <v>6775.6837597367357</v>
      </c>
      <c r="H8" s="57">
        <f t="shared" si="2"/>
        <v>86.6</v>
      </c>
      <c r="J8" s="248">
        <f t="shared" si="3"/>
        <v>-1918.4073100054475</v>
      </c>
    </row>
    <row r="9" spans="1:10">
      <c r="A9" s="241" t="s">
        <v>51</v>
      </c>
      <c r="B9" s="242">
        <f>PFR!I10</f>
        <v>58</v>
      </c>
      <c r="C9" s="52">
        <f>PFR!H10/PFR!$H$33*sse*D9</f>
        <v>157339787.6350939</v>
      </c>
      <c r="D9" s="243">
        <f>PFR!G10</f>
        <v>34664</v>
      </c>
      <c r="E9" s="52">
        <f t="shared" si="0"/>
        <v>4538.9968738487742</v>
      </c>
      <c r="F9" s="52">
        <f>IF(B9&gt;100,-Inpayment!F10,Outpayment!F9)/D9</f>
        <v>2061.0836633219133</v>
      </c>
      <c r="G9" s="52">
        <f t="shared" si="1"/>
        <v>6600.0805371706874</v>
      </c>
      <c r="H9" s="53">
        <f t="shared" si="2"/>
        <v>84.4</v>
      </c>
      <c r="J9" s="244">
        <f t="shared" si="3"/>
        <v>-3282.0706993587846</v>
      </c>
    </row>
    <row r="10" spans="1:10">
      <c r="A10" s="245" t="s">
        <v>52</v>
      </c>
      <c r="B10" s="246">
        <f>PFR!I11</f>
        <v>130</v>
      </c>
      <c r="C10" s="56">
        <f>PFR!H11/PFR!$H$33*sse*D10</f>
        <v>1389245168.9639199</v>
      </c>
      <c r="D10" s="247">
        <f>PFR!G11</f>
        <v>136614.66666666666</v>
      </c>
      <c r="E10" s="56">
        <f t="shared" si="0"/>
        <v>10169.077763470394</v>
      </c>
      <c r="F10" s="56">
        <f>IF(B10&gt;100,-Inpayment!F11,Outpayment!F10)/D10</f>
        <v>-444.9503621043774</v>
      </c>
      <c r="G10" s="56">
        <f t="shared" si="1"/>
        <v>9724.1274013660168</v>
      </c>
      <c r="H10" s="57">
        <f t="shared" si="2"/>
        <v>124.3</v>
      </c>
      <c r="J10" s="248">
        <f t="shared" si="3"/>
        <v>2348.0101902628348</v>
      </c>
    </row>
    <row r="11" spans="1:10">
      <c r="A11" s="241" t="s">
        <v>53</v>
      </c>
      <c r="B11" s="242">
        <f>PFR!I12</f>
        <v>70.7</v>
      </c>
      <c r="C11" s="52">
        <f>PFR!H12/PFR!$H$33*sse*D11</f>
        <v>183433162.34602952</v>
      </c>
      <c r="D11" s="243">
        <f>PFR!G12</f>
        <v>33177.666666666664</v>
      </c>
      <c r="E11" s="52">
        <f t="shared" si="0"/>
        <v>5528.8144337866697</v>
      </c>
      <c r="F11" s="52">
        <f>IF(B11&gt;100,-Inpayment!F12,Outpayment!F11)/D11</f>
        <v>1161.0812603030063</v>
      </c>
      <c r="G11" s="52">
        <f t="shared" si="1"/>
        <v>6689.895694089676</v>
      </c>
      <c r="H11" s="53">
        <f t="shared" si="2"/>
        <v>85.5</v>
      </c>
      <c r="J11" s="244">
        <f t="shared" si="3"/>
        <v>-2292.2531394208891</v>
      </c>
    </row>
    <row r="12" spans="1:10">
      <c r="A12" s="245" t="s">
        <v>54</v>
      </c>
      <c r="B12" s="246">
        <f>PFR!I13</f>
        <v>125.3</v>
      </c>
      <c r="C12" s="56">
        <f>PFR!H13/PFR!$H$33*sse*D12</f>
        <v>382906450.68441194</v>
      </c>
      <c r="D12" s="247">
        <f>PFR!G13</f>
        <v>39069.666666666664</v>
      </c>
      <c r="E12" s="56">
        <f t="shared" si="0"/>
        <v>9800.607052813657</v>
      </c>
      <c r="F12" s="56">
        <f>IF(B12&gt;100,-Inpayment!F13,Outpayment!F12)/D12</f>
        <v>-375.24147204135824</v>
      </c>
      <c r="G12" s="56">
        <f t="shared" si="1"/>
        <v>9425.3655807722989</v>
      </c>
      <c r="H12" s="57">
        <f t="shared" si="2"/>
        <v>120.5</v>
      </c>
      <c r="J12" s="248">
        <f t="shared" si="3"/>
        <v>1979.5394796060982</v>
      </c>
    </row>
    <row r="13" spans="1:10">
      <c r="A13" s="241" t="s">
        <v>55</v>
      </c>
      <c r="B13" s="242">
        <f>PFR!I14</f>
        <v>67.599999999999994</v>
      </c>
      <c r="C13" s="52">
        <f>PFR!H14/PFR!$H$33*sse*D13</f>
        <v>201530184.76185712</v>
      </c>
      <c r="D13" s="243">
        <f>PFR!G14</f>
        <v>38124</v>
      </c>
      <c r="E13" s="52">
        <f t="shared" si="0"/>
        <v>5286.1762869021386</v>
      </c>
      <c r="F13" s="52">
        <f>IF(B13&gt;100,-Inpayment!F14,Outpayment!F13)/D13</f>
        <v>1362.9294542492812</v>
      </c>
      <c r="G13" s="52">
        <f t="shared" si="1"/>
        <v>6649.1057411514194</v>
      </c>
      <c r="H13" s="53">
        <f t="shared" si="2"/>
        <v>85</v>
      </c>
      <c r="J13" s="244">
        <f t="shared" si="3"/>
        <v>-2534.8912863054202</v>
      </c>
    </row>
    <row r="14" spans="1:10">
      <c r="A14" s="245" t="s">
        <v>56</v>
      </c>
      <c r="B14" s="246">
        <f>PFR!I15</f>
        <v>237</v>
      </c>
      <c r="C14" s="56">
        <f>PFR!H15/PFR!$H$33*sse*D14</f>
        <v>1967203613.5259056</v>
      </c>
      <c r="D14" s="247">
        <f>PFR!G15</f>
        <v>106127.33333333333</v>
      </c>
      <c r="E14" s="56">
        <f t="shared" si="0"/>
        <v>18536.257830460632</v>
      </c>
      <c r="F14" s="56">
        <f>IF(B14&gt;100,-Inpayment!F15,Outpayment!F14)/D14</f>
        <v>-2031.9399869433237</v>
      </c>
      <c r="G14" s="56">
        <f t="shared" si="1"/>
        <v>16504.31784351731</v>
      </c>
      <c r="H14" s="57">
        <f t="shared" si="2"/>
        <v>211</v>
      </c>
      <c r="J14" s="248">
        <f t="shared" si="3"/>
        <v>10715.190257253074</v>
      </c>
    </row>
    <row r="15" spans="1:10">
      <c r="A15" s="241" t="s">
        <v>57</v>
      </c>
      <c r="B15" s="242">
        <f>PFR!I16</f>
        <v>70.900000000000006</v>
      </c>
      <c r="C15" s="52">
        <f>PFR!H16/PFR!$H$33*sse*D15</f>
        <v>1417573793.3848774</v>
      </c>
      <c r="D15" s="243">
        <f>PFR!G16</f>
        <v>255726.66666666666</v>
      </c>
      <c r="E15" s="52">
        <f t="shared" si="0"/>
        <v>5543.3162753912156</v>
      </c>
      <c r="F15" s="52">
        <f>IF(B15&gt;100,-Inpayment!F16,Outpayment!F15)/D15</f>
        <v>1148.4756779240799</v>
      </c>
      <c r="G15" s="52">
        <f t="shared" si="1"/>
        <v>6691.7919533152954</v>
      </c>
      <c r="H15" s="53">
        <f t="shared" si="2"/>
        <v>85.6</v>
      </c>
      <c r="J15" s="244">
        <f t="shared" si="3"/>
        <v>-2277.7512978163431</v>
      </c>
    </row>
    <row r="16" spans="1:10">
      <c r="A16" s="245" t="s">
        <v>58</v>
      </c>
      <c r="B16" s="246">
        <f>PFR!I17</f>
        <v>77.3</v>
      </c>
      <c r="C16" s="56">
        <f>PFR!H17/PFR!$H$33*sse*D16</f>
        <v>1492850077.152493</v>
      </c>
      <c r="D16" s="247">
        <f>PFR!G17</f>
        <v>246851</v>
      </c>
      <c r="E16" s="56">
        <f t="shared" si="0"/>
        <v>6047.5755704959392</v>
      </c>
      <c r="F16" s="56">
        <f>IF(B16&gt;100,-Inpayment!F17,Outpayment!F16)/D16</f>
        <v>773.0520835320134</v>
      </c>
      <c r="G16" s="56">
        <f t="shared" si="1"/>
        <v>6820.6276540279523</v>
      </c>
      <c r="H16" s="57">
        <f t="shared" si="2"/>
        <v>87.2</v>
      </c>
      <c r="J16" s="248">
        <f t="shared" si="3"/>
        <v>-1773.4920027116195</v>
      </c>
    </row>
    <row r="17" spans="1:10">
      <c r="A17" s="241" t="s">
        <v>59</v>
      </c>
      <c r="B17" s="242">
        <f>PFR!I18</f>
        <v>139</v>
      </c>
      <c r="C17" s="52">
        <f>PFR!H18/PFR!$H$33*sse*D17</f>
        <v>2071417224.3356683</v>
      </c>
      <c r="D17" s="243">
        <f>PFR!G18</f>
        <v>190602.66666666666</v>
      </c>
      <c r="E17" s="52">
        <f t="shared" si="0"/>
        <v>10867.72425885438</v>
      </c>
      <c r="F17" s="52">
        <f>IF(B17&gt;100,-Inpayment!F18,Outpayment!F17)/D17</f>
        <v>-578.43547073569061</v>
      </c>
      <c r="G17" s="52">
        <f t="shared" si="1"/>
        <v>10289.288788118689</v>
      </c>
      <c r="H17" s="53">
        <f t="shared" si="2"/>
        <v>131.6</v>
      </c>
      <c r="J17" s="244">
        <f t="shared" si="3"/>
        <v>3046.6566856468207</v>
      </c>
    </row>
    <row r="18" spans="1:10">
      <c r="A18" s="245" t="s">
        <v>60</v>
      </c>
      <c r="B18" s="246">
        <f>PFR!I19</f>
        <v>101.2</v>
      </c>
      <c r="C18" s="56">
        <f>PFR!H19/PFR!$H$33*sse*D18</f>
        <v>2096016355.1002033</v>
      </c>
      <c r="D18" s="247">
        <f>PFR!G19</f>
        <v>264840.33333333331</v>
      </c>
      <c r="E18" s="56">
        <f t="shared" si="0"/>
        <v>7914.264148210822</v>
      </c>
      <c r="F18" s="56">
        <f>IF(B18&gt;100,-Inpayment!F19,Outpayment!F18)/D18</f>
        <v>-17.798014484175138</v>
      </c>
      <c r="G18" s="56">
        <f t="shared" si="1"/>
        <v>7896.4661337266471</v>
      </c>
      <c r="H18" s="57">
        <f t="shared" si="2"/>
        <v>101</v>
      </c>
      <c r="J18" s="248">
        <f t="shared" si="3"/>
        <v>93.196575003263206</v>
      </c>
    </row>
    <row r="19" spans="1:10">
      <c r="A19" s="241" t="s">
        <v>61</v>
      </c>
      <c r="B19" s="242">
        <f>PFR!I20</f>
        <v>95.7</v>
      </c>
      <c r="C19" s="52">
        <f>PFR!H20/PFR!$H$33*sse*D19</f>
        <v>555637309.34977353</v>
      </c>
      <c r="D19" s="243">
        <f>PFR!G20</f>
        <v>74205.333333333328</v>
      </c>
      <c r="E19" s="52">
        <f t="shared" si="0"/>
        <v>7487.8352321905013</v>
      </c>
      <c r="F19" s="52">
        <f>IF(B19&gt;100,-Inpayment!F20,Outpayment!F19)/D19</f>
        <v>54.529836560372985</v>
      </c>
      <c r="G19" s="52">
        <f t="shared" si="1"/>
        <v>7542.3650687508743</v>
      </c>
      <c r="H19" s="53">
        <f t="shared" si="2"/>
        <v>96.4</v>
      </c>
      <c r="J19" s="244">
        <f t="shared" si="3"/>
        <v>-333.23234101705748</v>
      </c>
    </row>
    <row r="20" spans="1:10">
      <c r="A20" s="245" t="s">
        <v>62</v>
      </c>
      <c r="B20" s="246">
        <f>PFR!I21</f>
        <v>75.2</v>
      </c>
      <c r="C20" s="56">
        <f>PFR!H21/PFR!$H$33*sse*D20</f>
        <v>308365133.85836554</v>
      </c>
      <c r="D20" s="247">
        <f>PFR!G21</f>
        <v>52410</v>
      </c>
      <c r="E20" s="56">
        <f t="shared" si="0"/>
        <v>5883.7079537944201</v>
      </c>
      <c r="F20" s="56">
        <f>IF(B20&gt;100,-Inpayment!F21,Outpayment!F20)/D20</f>
        <v>890.12262971433915</v>
      </c>
      <c r="G20" s="56">
        <f t="shared" si="1"/>
        <v>6773.8305835087594</v>
      </c>
      <c r="H20" s="57">
        <f t="shared" si="2"/>
        <v>86.6</v>
      </c>
      <c r="J20" s="248">
        <f t="shared" si="3"/>
        <v>-1937.3596194131387</v>
      </c>
    </row>
    <row r="21" spans="1:10">
      <c r="A21" s="241" t="s">
        <v>63</v>
      </c>
      <c r="B21" s="242">
        <f>PFR!I22</f>
        <v>79.8</v>
      </c>
      <c r="C21" s="52">
        <f>PFR!H22/PFR!$H$33*sse*D21</f>
        <v>93169993.103203386</v>
      </c>
      <c r="D21" s="243">
        <f>PFR!G22</f>
        <v>14934</v>
      </c>
      <c r="E21" s="52">
        <f t="shared" si="0"/>
        <v>6238.783521039466</v>
      </c>
      <c r="F21" s="52">
        <f>IF(B21&gt;100,-Inpayment!F22,Outpayment!F21)/D21</f>
        <v>641.86897047500315</v>
      </c>
      <c r="G21" s="52">
        <f t="shared" si="1"/>
        <v>6880.6524915144691</v>
      </c>
      <c r="H21" s="53">
        <f t="shared" si="2"/>
        <v>88</v>
      </c>
      <c r="J21" s="244">
        <f t="shared" si="3"/>
        <v>-1582.2840521680928</v>
      </c>
    </row>
    <row r="22" spans="1:10">
      <c r="A22" s="245" t="s">
        <v>64</v>
      </c>
      <c r="B22" s="246">
        <f>PFR!I23</f>
        <v>74.2</v>
      </c>
      <c r="C22" s="56">
        <f>PFR!H23/PFR!$H$33*sse*D22</f>
        <v>2676367104.4423709</v>
      </c>
      <c r="D22" s="247">
        <f>PFR!G23</f>
        <v>461104.66666666669</v>
      </c>
      <c r="E22" s="56">
        <f t="shared" si="0"/>
        <v>5804.2507437408367</v>
      </c>
      <c r="F22" s="56">
        <f>IF(B22&gt;100,-Inpayment!F23,Outpayment!F22)/D22</f>
        <v>948.00657945755006</v>
      </c>
      <c r="G22" s="56">
        <f t="shared" si="1"/>
        <v>6752.257323198387</v>
      </c>
      <c r="H22" s="57">
        <f t="shared" si="2"/>
        <v>86.3</v>
      </c>
      <c r="J22" s="248">
        <f t="shared" si="3"/>
        <v>-2016.8168294667221</v>
      </c>
    </row>
    <row r="23" spans="1:10">
      <c r="A23" s="241" t="s">
        <v>65</v>
      </c>
      <c r="B23" s="242">
        <f>PFR!I24</f>
        <v>79.5</v>
      </c>
      <c r="C23" s="52">
        <f>PFR!H24/PFR!$H$33*sse*D23</f>
        <v>1189727232.9986126</v>
      </c>
      <c r="D23" s="243">
        <f>PFR!G24</f>
        <v>191452</v>
      </c>
      <c r="E23" s="52">
        <f t="shared" si="0"/>
        <v>6214.2324603483521</v>
      </c>
      <c r="F23" s="52">
        <f>IF(B23&gt;100,-Inpayment!F24,Outpayment!F23)/D23</f>
        <v>657.12855695200449</v>
      </c>
      <c r="G23" s="52">
        <f t="shared" si="1"/>
        <v>6871.3610173003563</v>
      </c>
      <c r="H23" s="53">
        <f t="shared" si="2"/>
        <v>87.9</v>
      </c>
      <c r="J23" s="244">
        <f t="shared" si="3"/>
        <v>-1606.8351128592067</v>
      </c>
    </row>
    <row r="24" spans="1:10">
      <c r="A24" s="245" t="s">
        <v>66</v>
      </c>
      <c r="B24" s="246">
        <f>PFR!I25</f>
        <v>85.7</v>
      </c>
      <c r="C24" s="56">
        <f>PFR!H25/PFR!$H$33*sse*D24</f>
        <v>3804966175.4844527</v>
      </c>
      <c r="D24" s="247">
        <f>PFR!G25</f>
        <v>567760.33333333337</v>
      </c>
      <c r="E24" s="56">
        <f t="shared" si="0"/>
        <v>6701.7118880873777</v>
      </c>
      <c r="F24" s="56">
        <f>IF(B24&gt;100,-Inpayment!F25,Outpayment!F24)/D24</f>
        <v>370.13462660553142</v>
      </c>
      <c r="G24" s="56">
        <f t="shared" si="1"/>
        <v>7071.8465146929093</v>
      </c>
      <c r="H24" s="57">
        <f t="shared" si="2"/>
        <v>90.4</v>
      </c>
      <c r="J24" s="248">
        <f t="shared" si="3"/>
        <v>-1119.3556851201811</v>
      </c>
    </row>
    <row r="25" spans="1:10">
      <c r="A25" s="241" t="s">
        <v>67</v>
      </c>
      <c r="B25" s="242">
        <f>PFR!I26</f>
        <v>73.400000000000006</v>
      </c>
      <c r="C25" s="52">
        <f>PFR!H26/PFR!$H$33*sse*D25</f>
        <v>1344747049.1877608</v>
      </c>
      <c r="D25" s="243">
        <f>PFR!G26</f>
        <v>234298.66666666666</v>
      </c>
      <c r="E25" s="52">
        <f t="shared" si="0"/>
        <v>5739.4566871390398</v>
      </c>
      <c r="F25" s="52">
        <f>IF(B25&gt;100,-Inpayment!F26,Outpayment!F25)/D25</f>
        <v>995.28516223258896</v>
      </c>
      <c r="G25" s="52">
        <f t="shared" si="1"/>
        <v>6734.7418493716286</v>
      </c>
      <c r="H25" s="53">
        <f t="shared" si="2"/>
        <v>86.1</v>
      </c>
      <c r="J25" s="244">
        <f t="shared" si="3"/>
        <v>-2081.610886068519</v>
      </c>
    </row>
    <row r="26" spans="1:10">
      <c r="A26" s="245" t="s">
        <v>68</v>
      </c>
      <c r="B26" s="246">
        <f>PFR!I27</f>
        <v>95.2</v>
      </c>
      <c r="C26" s="56">
        <f>PFR!H27/PFR!$H$33*sse*D26</f>
        <v>2397345470.0983734</v>
      </c>
      <c r="D26" s="247">
        <f>PFR!G27</f>
        <v>322125.33333333331</v>
      </c>
      <c r="E26" s="56">
        <f t="shared" si="0"/>
        <v>7442.2754810706401</v>
      </c>
      <c r="F26" s="56">
        <f>IF(B26&gt;100,-Inpayment!F27,Outpayment!F26)/D26</f>
        <v>64.978844036743908</v>
      </c>
      <c r="G26" s="56">
        <f t="shared" si="1"/>
        <v>7507.2543251073839</v>
      </c>
      <c r="H26" s="57">
        <f t="shared" si="2"/>
        <v>96</v>
      </c>
      <c r="J26" s="248">
        <f t="shared" si="3"/>
        <v>-378.79209213691865</v>
      </c>
    </row>
    <row r="27" spans="1:10">
      <c r="A27" s="241" t="s">
        <v>69</v>
      </c>
      <c r="B27" s="242">
        <f>PFR!I28</f>
        <v>106.9</v>
      </c>
      <c r="C27" s="52">
        <f>PFR!H28/PFR!$H$33*sse*D27</f>
        <v>5547830870.9609165</v>
      </c>
      <c r="D27" s="243">
        <f>PFR!G28</f>
        <v>663789</v>
      </c>
      <c r="E27" s="52">
        <f t="shared" si="0"/>
        <v>8357.8228487680826</v>
      </c>
      <c r="F27" s="52">
        <f>IF(B27&gt;100,-Inpayment!F28,Outpayment!F27)/D27</f>
        <v>-102.33858328400689</v>
      </c>
      <c r="G27" s="52">
        <f t="shared" si="1"/>
        <v>8255.4842654840759</v>
      </c>
      <c r="H27" s="53">
        <f t="shared" si="2"/>
        <v>105.6</v>
      </c>
      <c r="J27" s="244">
        <f t="shared" si="3"/>
        <v>536.75527556052384</v>
      </c>
    </row>
    <row r="28" spans="1:10">
      <c r="A28" s="245" t="s">
        <v>70</v>
      </c>
      <c r="B28" s="246">
        <f>PFR!I29</f>
        <v>66.3</v>
      </c>
      <c r="C28" s="56">
        <f>PFR!H29/PFR!$H$33*sse*D28</f>
        <v>1502145491.1443574</v>
      </c>
      <c r="D28" s="247">
        <f>PFR!G29</f>
        <v>289793.33333333331</v>
      </c>
      <c r="E28" s="56">
        <f t="shared" si="0"/>
        <v>5183.5060312326859</v>
      </c>
      <c r="F28" s="56">
        <f>IF(B28&gt;100,-Inpayment!F29,Outpayment!F28)/D28</f>
        <v>1451.1168696339814</v>
      </c>
      <c r="G28" s="56">
        <f t="shared" si="1"/>
        <v>6634.6229008666669</v>
      </c>
      <c r="H28" s="57">
        <f t="shared" si="2"/>
        <v>84.8</v>
      </c>
      <c r="J28" s="248">
        <f t="shared" si="3"/>
        <v>-2637.5615419748729</v>
      </c>
    </row>
    <row r="29" spans="1:10">
      <c r="A29" s="241" t="s">
        <v>71</v>
      </c>
      <c r="B29" s="242">
        <f>PFR!I30</f>
        <v>95.2</v>
      </c>
      <c r="C29" s="52">
        <f>PFR!H30/PFR!$H$33*sse*D29</f>
        <v>1259478670.0227363</v>
      </c>
      <c r="D29" s="243">
        <f>PFR!G30</f>
        <v>169114</v>
      </c>
      <c r="E29" s="52">
        <f t="shared" si="0"/>
        <v>7447.5127430179427</v>
      </c>
      <c r="F29" s="52">
        <f>IF(B29&gt;100,-Inpayment!F30,Outpayment!F29)/D29</f>
        <v>64.978844036743908</v>
      </c>
      <c r="G29" s="52">
        <f t="shared" si="1"/>
        <v>7512.4915870546865</v>
      </c>
      <c r="H29" s="53">
        <f t="shared" si="2"/>
        <v>96.1</v>
      </c>
      <c r="J29" s="244">
        <f t="shared" si="3"/>
        <v>-373.55483018961604</v>
      </c>
    </row>
    <row r="30" spans="1:10">
      <c r="A30" s="245" t="s">
        <v>72</v>
      </c>
      <c r="B30" s="246">
        <f>PFR!I31</f>
        <v>148.6</v>
      </c>
      <c r="C30" s="56">
        <f>PFR!H31/PFR!$H$33*sse*D30</f>
        <v>5069300239.6714487</v>
      </c>
      <c r="D30" s="247">
        <f>PFR!G31</f>
        <v>436247</v>
      </c>
      <c r="E30" s="56">
        <f t="shared" si="0"/>
        <v>11620.252379205929</v>
      </c>
      <c r="F30" s="56">
        <f>IF(B30&gt;100,-Inpayment!F31,Outpayment!F30)/D30</f>
        <v>-720.8195866090914</v>
      </c>
      <c r="G30" s="56">
        <f t="shared" si="1"/>
        <v>10899.432792596837</v>
      </c>
      <c r="H30" s="57">
        <f t="shared" si="2"/>
        <v>139.4</v>
      </c>
      <c r="J30" s="248">
        <f t="shared" si="3"/>
        <v>3799.1848059983704</v>
      </c>
    </row>
    <row r="31" spans="1:10">
      <c r="A31" s="241" t="s">
        <v>73</v>
      </c>
      <c r="B31" s="249">
        <f>PFR!I32</f>
        <v>65.099999999999994</v>
      </c>
      <c r="C31" s="128">
        <f>PFR!H32/PFR!$H$33*sse*D31</f>
        <v>345742371.78038222</v>
      </c>
      <c r="D31" s="250">
        <f>PFR!G32</f>
        <v>67939.333333333328</v>
      </c>
      <c r="E31" s="128">
        <f t="shared" si="0"/>
        <v>5088.9868183435556</v>
      </c>
      <c r="F31" s="128">
        <f>IF(B31&gt;100,-Inpayment!F32,Outpayment!F31)/D31</f>
        <v>1534.3351461660102</v>
      </c>
      <c r="G31" s="128">
        <f t="shared" si="1"/>
        <v>6623.321964509566</v>
      </c>
      <c r="H31" s="251">
        <f t="shared" si="2"/>
        <v>84.7</v>
      </c>
      <c r="J31" s="252">
        <f t="shared" si="3"/>
        <v>-2732.0807548640032</v>
      </c>
    </row>
    <row r="32" spans="1:10">
      <c r="A32" s="198" t="s">
        <v>74</v>
      </c>
      <c r="B32" s="222">
        <f>PFR!I33</f>
        <v>100</v>
      </c>
      <c r="C32" s="200">
        <f>SUM(C6:C31)</f>
        <v>58691835523.333328</v>
      </c>
      <c r="D32" s="253">
        <f>SUM(D6:D31)</f>
        <v>7504325.3333333321</v>
      </c>
      <c r="E32" s="200">
        <f t="shared" si="0"/>
        <v>7821.0675732075588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124</v>
      </c>
      <c r="B33" s="258">
        <f>MIN(B6:B31)</f>
        <v>58</v>
      </c>
      <c r="C33" s="258"/>
      <c r="D33" s="259"/>
      <c r="E33" s="260"/>
      <c r="F33" s="260"/>
      <c r="G33" s="260"/>
      <c r="H33" s="261">
        <f>MIN(H6:H31)</f>
        <v>84.4</v>
      </c>
    </row>
    <row r="34" spans="1:10" s="2" customFormat="1" ht="14.25" customHeight="1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>
      <c r="A35" s="315" t="str">
        <f>"Standardized tax rate (STR) "&amp;Info!C30</f>
        <v>Standardized tax rate (STR) 2010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" t="s">
        <v>44</v>
      </c>
      <c r="E36" s="66" t="s">
        <v>35</v>
      </c>
      <c r="F36" s="265">
        <v>2004</v>
      </c>
      <c r="G36" s="266">
        <v>2005</v>
      </c>
      <c r="H36" s="267">
        <v>2006</v>
      </c>
      <c r="I36" s="268"/>
      <c r="J36" s="269" t="str">
        <f>F36&amp;" - "&amp;H36</f>
        <v>2004 - 2006</v>
      </c>
    </row>
    <row r="37" spans="1:10" ht="15" customHeight="1">
      <c r="A37" s="270" t="s">
        <v>125</v>
      </c>
      <c r="B37" s="264"/>
      <c r="C37" s="264"/>
      <c r="D37" s="271" t="s">
        <v>45</v>
      </c>
      <c r="E37" s="272"/>
      <c r="F37" s="273">
        <v>54386868</v>
      </c>
      <c r="G37" s="274">
        <v>56210714</v>
      </c>
      <c r="H37" s="275">
        <v>58972820</v>
      </c>
      <c r="I37" s="276"/>
      <c r="J37" s="277"/>
    </row>
    <row r="38" spans="1:10" ht="15" customHeight="1">
      <c r="A38" s="270" t="s">
        <v>126</v>
      </c>
      <c r="B38" s="264"/>
      <c r="C38" s="264"/>
      <c r="D38" s="271" t="s">
        <v>45</v>
      </c>
      <c r="E38" s="272"/>
      <c r="F38" s="273">
        <v>11821740</v>
      </c>
      <c r="G38" s="274">
        <v>12213083</v>
      </c>
      <c r="H38" s="275">
        <v>14230498</v>
      </c>
      <c r="I38" s="278"/>
      <c r="J38" s="279"/>
    </row>
    <row r="39" spans="1:10" ht="15" customHeight="1">
      <c r="A39" s="270" t="s">
        <v>127</v>
      </c>
      <c r="B39" s="264"/>
      <c r="C39" s="264"/>
      <c r="D39" s="271" t="s">
        <v>45</v>
      </c>
      <c r="E39" s="272" t="s">
        <v>128</v>
      </c>
      <c r="F39" s="280">
        <f>0.17*F38</f>
        <v>2009695.8</v>
      </c>
      <c r="G39" s="281">
        <f>0.17*G38</f>
        <v>2076224.11</v>
      </c>
      <c r="H39" s="282">
        <f>0.17*H38</f>
        <v>2419184.66</v>
      </c>
      <c r="I39" s="283"/>
      <c r="J39" s="284"/>
    </row>
    <row r="40" spans="1:10" ht="15.75" customHeight="1">
      <c r="A40" s="285" t="s">
        <v>129</v>
      </c>
      <c r="B40" s="286"/>
      <c r="C40" s="286"/>
      <c r="D40" s="287" t="s">
        <v>45</v>
      </c>
      <c r="E40" s="288" t="s">
        <v>130</v>
      </c>
      <c r="F40" s="289">
        <f>F37+F39</f>
        <v>56396563.799999997</v>
      </c>
      <c r="G40" s="290">
        <f>G37+G39</f>
        <v>58286938.109999999</v>
      </c>
      <c r="H40" s="290">
        <f>H37+H39</f>
        <v>61392004.659999996</v>
      </c>
      <c r="I40" s="140"/>
      <c r="J40" s="291">
        <f>AVERAGE(F40:H40)</f>
        <v>58691835.523333333</v>
      </c>
    </row>
    <row r="41" spans="1:10" ht="15" customHeight="1">
      <c r="A41" s="270" t="s">
        <v>131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7504325.3333333321</v>
      </c>
    </row>
    <row r="42" spans="1:10" ht="15.75" customHeight="1">
      <c r="A42" s="285" t="s">
        <v>132</v>
      </c>
      <c r="B42" s="286"/>
      <c r="C42" s="286"/>
      <c r="D42" s="287" t="s">
        <v>47</v>
      </c>
      <c r="E42" s="288" t="s">
        <v>133</v>
      </c>
      <c r="F42" s="293"/>
      <c r="G42" s="140"/>
      <c r="H42" s="140"/>
      <c r="I42" s="140"/>
      <c r="J42" s="294">
        <f>J40/J41*1000</f>
        <v>7821.0675732075597</v>
      </c>
    </row>
    <row r="43" spans="1:10" ht="15" customHeight="1">
      <c r="A43" s="270" t="s">
        <v>134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28960.203064024572</v>
      </c>
    </row>
    <row r="44" spans="1:10" ht="15.75" customHeight="1">
      <c r="A44" s="285" t="s">
        <v>135</v>
      </c>
      <c r="B44" s="286"/>
      <c r="C44" s="286"/>
      <c r="D44" s="287" t="s">
        <v>82</v>
      </c>
      <c r="E44" s="288" t="s">
        <v>136</v>
      </c>
      <c r="F44" s="293"/>
      <c r="G44" s="140"/>
      <c r="H44" s="140"/>
      <c r="I44" s="140"/>
      <c r="J44" s="295">
        <f>sse/J43</f>
        <v>0.27006259437880725</v>
      </c>
    </row>
    <row r="48" spans="1:10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2011-12-22T13:05:40Z</cp:lastPrinted>
  <dcterms:created xsi:type="dcterms:W3CDTF">2010-11-03T16:06:04Z</dcterms:created>
  <dcterms:modified xsi:type="dcterms:W3CDTF">2012-05-21T08:45:37Z</dcterms:modified>
</cp:coreProperties>
</file>