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PI" sheetId="2" r:id="rId2"/>
    <sheet name="ITS" sheetId="3" r:id="rId3"/>
    <sheet name="Wealth" sheetId="4" r:id="rId4"/>
    <sheet name="LE" sheetId="5" r:id="rId5"/>
    <sheet name="REPART" sheetId="6" r:id="rId6"/>
    <sheet name="ATB_Total" sheetId="7" r:id="rId7"/>
    <sheet name="ATB_per_capita" sheetId="8" r:id="rId8"/>
    <sheet name="ATB_in_perc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G5"/>
  <c r="F5"/>
  <c r="E5"/>
  <c r="D5"/>
  <c r="C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D8"/>
  <c r="D8" i="8" s="1"/>
  <c r="D7" i="7"/>
  <c r="H5"/>
  <c r="G5"/>
  <c r="F5"/>
  <c r="E5"/>
  <c r="D5"/>
  <c r="C5"/>
  <c r="H1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B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D35" s="1"/>
  <c r="D3"/>
  <c r="A1"/>
  <c r="B35" i="4"/>
  <c r="C34"/>
  <c r="D34" s="1"/>
  <c r="E32" i="7" s="1"/>
  <c r="C33" i="4"/>
  <c r="D33" s="1"/>
  <c r="E31" i="7" s="1"/>
  <c r="C32" i="4"/>
  <c r="D32" s="1"/>
  <c r="E30" i="7" s="1"/>
  <c r="C31" i="4"/>
  <c r="D31" s="1"/>
  <c r="E29" i="7" s="1"/>
  <c r="C30" i="4"/>
  <c r="D30" s="1"/>
  <c r="E28" i="7" s="1"/>
  <c r="C29" i="4"/>
  <c r="D29" s="1"/>
  <c r="E27" i="7" s="1"/>
  <c r="C28" i="4"/>
  <c r="D28" s="1"/>
  <c r="E26" i="7" s="1"/>
  <c r="C27" i="4"/>
  <c r="D27" s="1"/>
  <c r="E25" i="7" s="1"/>
  <c r="C26" i="4"/>
  <c r="D26" s="1"/>
  <c r="E24" i="7" s="1"/>
  <c r="C25" i="4"/>
  <c r="D25" s="1"/>
  <c r="E23" i="7" s="1"/>
  <c r="C24" i="4"/>
  <c r="D24" s="1"/>
  <c r="E22" i="7" s="1"/>
  <c r="C23" i="4"/>
  <c r="D23" s="1"/>
  <c r="E21" i="7" s="1"/>
  <c r="C22" i="4"/>
  <c r="D22" s="1"/>
  <c r="E20" i="7" s="1"/>
  <c r="C21" i="4"/>
  <c r="D21" s="1"/>
  <c r="E19" i="7" s="1"/>
  <c r="C20" i="4"/>
  <c r="D20" s="1"/>
  <c r="E18" i="7" s="1"/>
  <c r="C19" i="4"/>
  <c r="D19" s="1"/>
  <c r="E17" i="7" s="1"/>
  <c r="C18" i="4"/>
  <c r="D18" s="1"/>
  <c r="E16" i="7" s="1"/>
  <c r="C17" i="4"/>
  <c r="D17" s="1"/>
  <c r="E15" i="7" s="1"/>
  <c r="C16" i="4"/>
  <c r="D16" s="1"/>
  <c r="E14" i="7" s="1"/>
  <c r="C15" i="4"/>
  <c r="D15" s="1"/>
  <c r="E13" i="7" s="1"/>
  <c r="C14" i="4"/>
  <c r="D14" s="1"/>
  <c r="E12" i="7" s="1"/>
  <c r="C13" i="4"/>
  <c r="D13" s="1"/>
  <c r="E11" i="7" s="1"/>
  <c r="C12" i="4"/>
  <c r="D12" s="1"/>
  <c r="E10" i="7" s="1"/>
  <c r="C11" i="4"/>
  <c r="D11" s="1"/>
  <c r="E9" i="7" s="1"/>
  <c r="C10" i="4"/>
  <c r="D10" s="1"/>
  <c r="E8" i="7" s="1"/>
  <c r="C9" i="4"/>
  <c r="D9" s="1"/>
  <c r="D3"/>
  <c r="A1"/>
  <c r="C33" i="3"/>
  <c r="C5"/>
  <c r="C3"/>
  <c r="B1"/>
  <c r="I33" i="2"/>
  <c r="H33"/>
  <c r="G33"/>
  <c r="F33"/>
  <c r="E33"/>
  <c r="D33"/>
  <c r="C33"/>
  <c r="J32"/>
  <c r="C32" i="7" s="1"/>
  <c r="C32" i="8" s="1"/>
  <c r="J31" i="2"/>
  <c r="C31" i="7" s="1"/>
  <c r="C31" i="8" s="1"/>
  <c r="J30" i="2"/>
  <c r="C30" i="7" s="1"/>
  <c r="C30" i="8" s="1"/>
  <c r="J29" i="2"/>
  <c r="C29" i="7" s="1"/>
  <c r="J28" i="2"/>
  <c r="C28" i="7" s="1"/>
  <c r="C28" i="8" s="1"/>
  <c r="J27" i="2"/>
  <c r="C27" i="7" s="1"/>
  <c r="C27" i="8" s="1"/>
  <c r="J26" i="2"/>
  <c r="C26" i="7" s="1"/>
  <c r="C26" i="8" s="1"/>
  <c r="J25" i="2"/>
  <c r="C25" i="7" s="1"/>
  <c r="J24" i="2"/>
  <c r="C24" i="7" s="1"/>
  <c r="C24" i="8" s="1"/>
  <c r="J23" i="2"/>
  <c r="C23" i="7" s="1"/>
  <c r="C23" i="8" s="1"/>
  <c r="J22" i="2"/>
  <c r="C22" i="7" s="1"/>
  <c r="C22" i="8" s="1"/>
  <c r="J21" i="2"/>
  <c r="C21" i="7" s="1"/>
  <c r="J20" i="2"/>
  <c r="C20" i="7" s="1"/>
  <c r="C20" i="8" s="1"/>
  <c r="J19" i="2"/>
  <c r="C19" i="7" s="1"/>
  <c r="C19" i="8" s="1"/>
  <c r="J18" i="2"/>
  <c r="C18" i="7" s="1"/>
  <c r="C18" i="8" s="1"/>
  <c r="J17" i="2"/>
  <c r="C17" i="7" s="1"/>
  <c r="J16" i="2"/>
  <c r="C16" i="7" s="1"/>
  <c r="C16" i="8" s="1"/>
  <c r="J15" i="2"/>
  <c r="C15" i="7" s="1"/>
  <c r="C15" i="8" s="1"/>
  <c r="J14" i="2"/>
  <c r="C14" i="7" s="1"/>
  <c r="C14" i="8" s="1"/>
  <c r="J13" i="2"/>
  <c r="C13" i="7" s="1"/>
  <c r="J12" i="2"/>
  <c r="C12" i="7" s="1"/>
  <c r="C12" i="8" s="1"/>
  <c r="J11" i="2"/>
  <c r="C11" i="7" s="1"/>
  <c r="C11" i="8" s="1"/>
  <c r="J10" i="2"/>
  <c r="C10" i="7" s="1"/>
  <c r="J9" i="2"/>
  <c r="C9" i="7" s="1"/>
  <c r="J8" i="2"/>
  <c r="C8" i="7" s="1"/>
  <c r="J7" i="2"/>
  <c r="C7" i="7" s="1"/>
  <c r="J1" i="2"/>
  <c r="B1"/>
  <c r="A4" i="1"/>
  <c r="E1" i="8" s="1"/>
  <c r="A3" i="1"/>
  <c r="C33" i="7" l="1"/>
  <c r="C7" i="8"/>
  <c r="C9"/>
  <c r="C8"/>
  <c r="C10"/>
  <c r="E7" i="7"/>
  <c r="D35" i="4"/>
  <c r="E9" i="8"/>
  <c r="E11"/>
  <c r="E13"/>
  <c r="E15"/>
  <c r="E17"/>
  <c r="E19"/>
  <c r="E21"/>
  <c r="E23"/>
  <c r="E25"/>
  <c r="E27"/>
  <c r="E29"/>
  <c r="E31"/>
  <c r="E8"/>
  <c r="E10"/>
  <c r="E12"/>
  <c r="E14"/>
  <c r="E16"/>
  <c r="E18"/>
  <c r="E20"/>
  <c r="E22"/>
  <c r="E24"/>
  <c r="E26"/>
  <c r="E28"/>
  <c r="E30"/>
  <c r="E32"/>
  <c r="D7"/>
  <c r="D9"/>
  <c r="E1" i="2"/>
  <c r="A2" i="4"/>
  <c r="G7" i="6"/>
  <c r="G8"/>
  <c r="H8" s="1"/>
  <c r="I8" s="1"/>
  <c r="G8" i="7" s="1"/>
  <c r="G9" i="6"/>
  <c r="H9" s="1"/>
  <c r="I9" s="1"/>
  <c r="G9" i="7" s="1"/>
  <c r="H9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H27" s="1"/>
  <c r="G28" i="6"/>
  <c r="H28" s="1"/>
  <c r="I28" s="1"/>
  <c r="G28" i="7" s="1"/>
  <c r="G29" i="6"/>
  <c r="H29" s="1"/>
  <c r="I29" s="1"/>
  <c r="G29" i="7" s="1"/>
  <c r="G30" i="6"/>
  <c r="H30" s="1"/>
  <c r="I30" s="1"/>
  <c r="G30" i="7" s="1"/>
  <c r="G31" i="6"/>
  <c r="H31" s="1"/>
  <c r="I31" s="1"/>
  <c r="G31" i="7" s="1"/>
  <c r="H31" s="1"/>
  <c r="G32" i="6"/>
  <c r="H32" s="1"/>
  <c r="I32" s="1"/>
  <c r="G32" i="7" s="1"/>
  <c r="F7"/>
  <c r="H12"/>
  <c r="H14"/>
  <c r="D13" i="9" s="1"/>
  <c r="H16" i="7"/>
  <c r="H18"/>
  <c r="D17" i="9" s="1"/>
  <c r="H20" i="7"/>
  <c r="H22"/>
  <c r="D21" i="9" s="1"/>
  <c r="H24" i="7"/>
  <c r="H26"/>
  <c r="H28"/>
  <c r="H30"/>
  <c r="D29" i="9" s="1"/>
  <c r="H32" i="7"/>
  <c r="A2" i="9"/>
  <c r="B10"/>
  <c r="C11"/>
  <c r="B14"/>
  <c r="C15"/>
  <c r="B18"/>
  <c r="C19"/>
  <c r="B22"/>
  <c r="C23"/>
  <c r="C27"/>
  <c r="C31"/>
  <c r="C10"/>
  <c r="D11" i="8"/>
  <c r="D13"/>
  <c r="C14" i="9"/>
  <c r="D15" i="8"/>
  <c r="D17"/>
  <c r="C18" i="9"/>
  <c r="D19" i="8"/>
  <c r="D21"/>
  <c r="C22" i="9"/>
  <c r="D23" i="8"/>
  <c r="D25"/>
  <c r="D27"/>
  <c r="D29"/>
  <c r="D31"/>
  <c r="B11" i="9"/>
  <c r="B15"/>
  <c r="B19"/>
  <c r="B23"/>
  <c r="B27"/>
  <c r="B31"/>
  <c r="J33" i="2"/>
  <c r="B2" i="3"/>
  <c r="A2" i="5"/>
  <c r="E1" i="6"/>
  <c r="D1" i="7"/>
  <c r="H11"/>
  <c r="H13"/>
  <c r="B12" i="9" s="1"/>
  <c r="H15" i="7"/>
  <c r="H17"/>
  <c r="H19"/>
  <c r="H21"/>
  <c r="H23"/>
  <c r="H25"/>
  <c r="H29"/>
  <c r="D33"/>
  <c r="C13" i="8"/>
  <c r="C17"/>
  <c r="C21"/>
  <c r="C25"/>
  <c r="C29"/>
  <c r="C17" i="9"/>
  <c r="C25"/>
  <c r="E30" l="1"/>
  <c r="H31" i="8"/>
  <c r="F30" i="9"/>
  <c r="D30"/>
  <c r="C30"/>
  <c r="B30"/>
  <c r="E26"/>
  <c r="H27" i="8"/>
  <c r="F26" i="9"/>
  <c r="D26"/>
  <c r="C26"/>
  <c r="B26"/>
  <c r="E8"/>
  <c r="H9" i="8"/>
  <c r="F8" i="9"/>
  <c r="D8"/>
  <c r="C8"/>
  <c r="B8"/>
  <c r="E28"/>
  <c r="H29" i="8"/>
  <c r="F28" i="9"/>
  <c r="E20"/>
  <c r="H21" i="8"/>
  <c r="F20" i="9"/>
  <c r="E16"/>
  <c r="H17" i="8"/>
  <c r="F16" i="9"/>
  <c r="F25"/>
  <c r="H26" i="8"/>
  <c r="E25" i="9"/>
  <c r="E22"/>
  <c r="H23" i="8"/>
  <c r="F22" i="9"/>
  <c r="E18"/>
  <c r="H19" i="8"/>
  <c r="F18" i="9"/>
  <c r="E14"/>
  <c r="H15" i="8"/>
  <c r="F14" i="9"/>
  <c r="E10"/>
  <c r="H11" i="8"/>
  <c r="F10" i="9"/>
  <c r="F31"/>
  <c r="H32" i="8"/>
  <c r="E31" i="9"/>
  <c r="F27"/>
  <c r="H28" i="8"/>
  <c r="E27" i="9"/>
  <c r="F23"/>
  <c r="H24" i="8"/>
  <c r="E23" i="9"/>
  <c r="F19"/>
  <c r="H20" i="8"/>
  <c r="E19" i="9"/>
  <c r="F15"/>
  <c r="H16" i="8"/>
  <c r="E15" i="9"/>
  <c r="H15" s="1"/>
  <c r="F11"/>
  <c r="H12" i="8"/>
  <c r="E11" i="9"/>
  <c r="G31"/>
  <c r="G32" i="8"/>
  <c r="G29" i="9"/>
  <c r="G30" i="8"/>
  <c r="G27" i="9"/>
  <c r="G28" i="8"/>
  <c r="G25" i="9"/>
  <c r="G26" i="8"/>
  <c r="G23" i="9"/>
  <c r="G24" i="8"/>
  <c r="G21" i="9"/>
  <c r="G22" i="8"/>
  <c r="G19" i="9"/>
  <c r="G20" i="8"/>
  <c r="G17" i="9"/>
  <c r="G18" i="8"/>
  <c r="G15" i="9"/>
  <c r="G16" i="8"/>
  <c r="G13" i="9"/>
  <c r="G14" i="8"/>
  <c r="G11" i="9"/>
  <c r="G12" i="8"/>
  <c r="G9" i="9"/>
  <c r="G10" i="8"/>
  <c r="G7" i="9"/>
  <c r="G8" i="8"/>
  <c r="C33"/>
  <c r="H27" i="9"/>
  <c r="C28"/>
  <c r="C29"/>
  <c r="C21"/>
  <c r="C13"/>
  <c r="B29"/>
  <c r="B25"/>
  <c r="B21"/>
  <c r="B17"/>
  <c r="B13"/>
  <c r="B28"/>
  <c r="B20"/>
  <c r="D31"/>
  <c r="H31" s="1"/>
  <c r="D27"/>
  <c r="D25"/>
  <c r="D23"/>
  <c r="D19"/>
  <c r="H19" s="1"/>
  <c r="D15"/>
  <c r="D11"/>
  <c r="H11" s="1"/>
  <c r="H10" i="7"/>
  <c r="D33" i="8"/>
  <c r="E24" i="9"/>
  <c r="H25" i="8"/>
  <c r="F24" i="9"/>
  <c r="E12"/>
  <c r="H13" i="8"/>
  <c r="F12" i="9"/>
  <c r="F29"/>
  <c r="H30" i="8"/>
  <c r="E29" i="9"/>
  <c r="F21"/>
  <c r="H22" i="8"/>
  <c r="E21" i="9"/>
  <c r="F17"/>
  <c r="H18" i="8"/>
  <c r="E17" i="9"/>
  <c r="F13"/>
  <c r="H14" i="8"/>
  <c r="E13" i="9"/>
  <c r="F7" i="8"/>
  <c r="F33" i="7"/>
  <c r="F33" i="8" s="1"/>
  <c r="G30" i="9"/>
  <c r="G31" i="8"/>
  <c r="G28" i="9"/>
  <c r="G29" i="8"/>
  <c r="G26" i="9"/>
  <c r="G27" i="8"/>
  <c r="G24" i="9"/>
  <c r="G25" i="8"/>
  <c r="G22" i="9"/>
  <c r="G23" i="8"/>
  <c r="G20" i="9"/>
  <c r="G21" i="8"/>
  <c r="G18" i="9"/>
  <c r="G19" i="8"/>
  <c r="G16" i="9"/>
  <c r="G17" i="8"/>
  <c r="G14" i="9"/>
  <c r="G15" i="8"/>
  <c r="G12" i="9"/>
  <c r="G13" i="8"/>
  <c r="G10" i="9"/>
  <c r="G11" i="8"/>
  <c r="G8" i="9"/>
  <c r="G9" i="8"/>
  <c r="G33" i="6"/>
  <c r="H33" s="1"/>
  <c r="H7"/>
  <c r="I7" s="1"/>
  <c r="E33" i="7"/>
  <c r="E7" i="8"/>
  <c r="H23" i="9"/>
  <c r="C24"/>
  <c r="C20"/>
  <c r="C16"/>
  <c r="C12"/>
  <c r="H12" s="1"/>
  <c r="B24"/>
  <c r="H24" s="1"/>
  <c r="B16"/>
  <c r="D28"/>
  <c r="D24"/>
  <c r="D22"/>
  <c r="H22" s="1"/>
  <c r="D20"/>
  <c r="D18"/>
  <c r="H18" s="1"/>
  <c r="D16"/>
  <c r="D14"/>
  <c r="H14" s="1"/>
  <c r="D12"/>
  <c r="D10"/>
  <c r="H10" s="1"/>
  <c r="H8" i="7"/>
  <c r="E33" i="8" l="1"/>
  <c r="F7" i="9"/>
  <c r="H8" i="8"/>
  <c r="E7" i="9"/>
  <c r="B7"/>
  <c r="D7"/>
  <c r="C7"/>
  <c r="G7" i="7"/>
  <c r="I33" i="6"/>
  <c r="F9" i="9"/>
  <c r="H10" i="8"/>
  <c r="E9" i="9"/>
  <c r="B9"/>
  <c r="D9"/>
  <c r="C9"/>
  <c r="H28"/>
  <c r="H17"/>
  <c r="H25"/>
  <c r="H8"/>
  <c r="H26"/>
  <c r="H30"/>
  <c r="H16"/>
  <c r="H20"/>
  <c r="H13"/>
  <c r="H21"/>
  <c r="H29"/>
  <c r="G33" i="7" l="1"/>
  <c r="G7" i="8"/>
  <c r="H7" i="7"/>
  <c r="H9" i="9"/>
  <c r="H7"/>
  <c r="E6" l="1"/>
  <c r="H7" i="8"/>
  <c r="H33" i="7"/>
  <c r="F6" i="9"/>
  <c r="C6"/>
  <c r="B6"/>
  <c r="D6"/>
  <c r="G6"/>
  <c r="G32"/>
  <c r="G33" i="8"/>
  <c r="D37" i="9" l="1"/>
  <c r="D38" s="1"/>
  <c r="C37"/>
  <c r="C38" s="1"/>
  <c r="H33" i="8"/>
  <c r="F32" i="9"/>
  <c r="E32"/>
  <c r="E34" s="1"/>
  <c r="E35" s="1"/>
  <c r="B32"/>
  <c r="C32"/>
  <c r="C34" s="1"/>
  <c r="C35" s="1"/>
  <c r="D32"/>
  <c r="D34" s="1"/>
  <c r="D35" s="1"/>
  <c r="E37"/>
  <c r="E38" s="1"/>
  <c r="G37"/>
  <c r="G38" s="1"/>
  <c r="G34"/>
  <c r="G35" s="1"/>
  <c r="B37"/>
  <c r="B38" s="1"/>
  <c r="B34"/>
  <c r="B35" s="1"/>
  <c r="H6"/>
  <c r="F37"/>
  <c r="F38" s="1"/>
  <c r="F34"/>
  <c r="F35" s="1"/>
  <c r="H32" l="1"/>
</calcChain>
</file>

<file path=xl/sharedStrings.xml><?xml version="1.0" encoding="utf-8"?>
<sst xmlns="http://schemas.openxmlformats.org/spreadsheetml/2006/main" count="446" uniqueCount="117">
  <si>
    <t>Aggregate tax base (ATB)</t>
  </si>
  <si>
    <t>Worksheet</t>
  </si>
  <si>
    <t>Content</t>
  </si>
  <si>
    <t>PI</t>
  </si>
  <si>
    <t>Personal income</t>
  </si>
  <si>
    <t>ITS</t>
  </si>
  <si>
    <t>Income taxed at source</t>
  </si>
  <si>
    <t>Wealth</t>
  </si>
  <si>
    <t>LE</t>
  </si>
  <si>
    <t>Profit of legal entities</t>
  </si>
  <si>
    <t>REPART</t>
  </si>
  <si>
    <t>Tax repartition</t>
  </si>
  <si>
    <t>Informations</t>
  </si>
  <si>
    <t>Environment</t>
  </si>
  <si>
    <t>Produktion</t>
  </si>
  <si>
    <t>Type</t>
  </si>
  <si>
    <t>Simulation</t>
  </si>
  <si>
    <t>WS</t>
  </si>
  <si>
    <t>FA_2010_20120518</t>
  </si>
  <si>
    <t>SWS</t>
  </si>
  <si>
    <t>RA_2010_20120518</t>
  </si>
  <si>
    <t>RefYear</t>
  </si>
  <si>
    <t>AssesYear</t>
  </si>
  <si>
    <t>Column</t>
  </si>
  <si>
    <t>C</t>
  </si>
  <si>
    <t>D</t>
  </si>
  <si>
    <t>E</t>
  </si>
  <si>
    <t>F</t>
  </si>
  <si>
    <t>G</t>
  </si>
  <si>
    <t>H</t>
  </si>
  <si>
    <t>I</t>
  </si>
  <si>
    <t>J</t>
  </si>
  <si>
    <t>Formula</t>
  </si>
  <si>
    <t>J = I - (E / 1000 * H)</t>
  </si>
  <si>
    <t>Total number of taxpayers</t>
  </si>
  <si>
    <t>Total taxable income</t>
  </si>
  <si>
    <t>Relevant minimum income per taxpayer</t>
  </si>
  <si>
    <t>Number of taxpayers whose taxable income is lower than the relevant minimum income</t>
  </si>
  <si>
    <t>Taxable income of taxpayers whose taxable income is lower than the relevant minimum income</t>
  </si>
  <si>
    <t>Number of taxpayers whose taxable income is higher than the relevant minimum income</t>
  </si>
  <si>
    <t>Taxable income of taxpayers whose taxable income is equal to or higher than the relevant minimum income</t>
  </si>
  <si>
    <t>Relevant personal income</t>
  </si>
  <si>
    <t>Data source</t>
  </si>
  <si>
    <t>FTA</t>
  </si>
  <si>
    <t>DFTA Art. 214
paras. 2 und 3</t>
  </si>
  <si>
    <t>Unit</t>
  </si>
  <si>
    <t>CHF 1,000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</si>
  <si>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</si>
  <si>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</si>
  <si>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</si>
  <si>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</si>
  <si>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</si>
  <si>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</si>
  <si>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</si>
  <si>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</si>
  <si>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</si>
  <si>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</si>
  <si>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</si>
  <si>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</si>
  <si>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</si>
  <si>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</si>
  <si>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</si>
  <si>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</si>
  <si>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</si>
  <si>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</si>
  <si>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</si>
  <si>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</si>
  <si>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</si>
  <si>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</si>
  <si>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</si>
  <si>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</si>
  <si>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</si>
  <si>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</si>
  <si>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</si>
  <si>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</si>
  <si>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Relevant income
taxed at source</t>
  </si>
  <si>
    <t>B</t>
  </si>
  <si>
    <t>D = B * C</t>
  </si>
  <si>
    <t>Net wealth</t>
  </si>
  <si>
    <t>Alpha factor</t>
  </si>
  <si>
    <t>Relevant wealth</t>
  </si>
  <si>
    <t>Art. 13 EFBRO</t>
  </si>
  <si>
    <t>D = B + C</t>
  </si>
  <si>
    <t>Relevant profit of companies taxed normally</t>
  </si>
  <si>
    <t>Relevant profit of companies with a special tax status</t>
  </si>
  <si>
    <t>Relevant profit of legal entities</t>
  </si>
  <si>
    <t>Factors</t>
  </si>
  <si>
    <t>Beta (Holding)</t>
  </si>
  <si>
    <t>Beta (Domiciliary)</t>
  </si>
  <si>
    <t>Beta (Mixed)</t>
  </si>
  <si>
    <t>Epsilon</t>
  </si>
  <si>
    <t>E = D - C</t>
  </si>
  <si>
    <t>H = G / F</t>
  </si>
  <si>
    <t>I = H * E</t>
  </si>
  <si>
    <t>In favor of other cantons</t>
  </si>
  <si>
    <t>Received from other cantons</t>
  </si>
  <si>
    <t>Balance</t>
  </si>
  <si>
    <t>Direct federal tax revenue (= payments to the FTA)</t>
  </si>
  <si>
    <t>Relevant direct federal tax base</t>
  </si>
  <si>
    <t>Weighting factor</t>
  </si>
  <si>
    <t>Relevant tax repartitions</t>
  </si>
  <si>
    <t>Worksheet "PI"; "ITS"; "LE"</t>
  </si>
  <si>
    <t>H = C + D + E + F + G</t>
  </si>
  <si>
    <t>Relevant income taxed at source</t>
  </si>
  <si>
    <t>Total ATB</t>
  </si>
  <si>
    <t>Assessment year</t>
  </si>
  <si>
    <t>ATB</t>
  </si>
  <si>
    <t>Average resident population</t>
  </si>
  <si>
    <t>CHF per capita</t>
  </si>
  <si>
    <t>Persons</t>
  </si>
  <si>
    <t>%</t>
  </si>
  <si>
    <t>Minimum</t>
  </si>
  <si>
    <t>Maximum</t>
  </si>
  <si>
    <t xml:space="preserve">* Estimation </t>
  </si>
  <si>
    <t xml:space="preserve">** Correction </t>
  </si>
  <si>
    <t>Graubünden*</t>
  </si>
  <si>
    <t>Jura**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</si>
</sst>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6" formatCode="_ * #,##0_ ;_ * \-#,##0_ ;_ * &quot;-&quot;??_ ;_ @_ "/>
    <numFmt numFmtId="167" formatCode="0.0%"/>
    <numFmt numFmtId="168" formatCode="#,##0.0"/>
  </numFmts>
  <fonts count="27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3" fillId="0" borderId="4" xfId="0" applyFont="1" applyFill="1" applyBorder="1"/>
    <xf numFmtId="1" fontId="4" fillId="0" borderId="5" xfId="0" applyNumberFormat="1" applyFont="1" applyFill="1" applyBorder="1" applyAlignment="1" applyProtection="1">
      <alignment horizontal="left" vertical="top"/>
      <protection locked="0"/>
    </xf>
    <xf numFmtId="1" fontId="4" fillId="0" borderId="6" xfId="0" applyNumberFormat="1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/>
    <xf numFmtId="1" fontId="4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1" fillId="0" borderId="0" xfId="0" applyFont="1" applyFill="1" applyBorder="1"/>
    <xf numFmtId="0" fontId="11" fillId="0" borderId="9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0" fontId="12" fillId="0" borderId="9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/>
    <xf numFmtId="0" fontId="12" fillId="0" borderId="11" xfId="0" applyFont="1" applyFill="1" applyBorder="1" applyAlignment="1">
      <alignment horizontal="center"/>
    </xf>
    <xf numFmtId="0" fontId="13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4" fillId="0" borderId="0" xfId="0" applyFont="1" applyFill="1"/>
    <xf numFmtId="0" fontId="14" fillId="0" borderId="0" xfId="0" applyFont="1" applyFill="1" applyBorder="1"/>
    <xf numFmtId="0" fontId="15" fillId="0" borderId="9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 wrapText="1"/>
    </xf>
    <xf numFmtId="0" fontId="15" fillId="0" borderId="11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0" fillId="0" borderId="12" xfId="0" applyFont="1" applyFill="1" applyBorder="1"/>
    <xf numFmtId="166" fontId="16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4" xfId="0" applyFont="1" applyFill="1" applyBorder="1"/>
    <xf numFmtId="166" fontId="16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4" xfId="0" applyFont="1" applyFill="1" applyBorder="1"/>
    <xf numFmtId="166" fontId="16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vertical="top"/>
    </xf>
    <xf numFmtId="1" fontId="1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right" wrapText="1"/>
    </xf>
    <xf numFmtId="0" fontId="15" fillId="0" borderId="17" xfId="0" applyFont="1" applyFill="1" applyBorder="1" applyAlignment="1">
      <alignment horizontal="right" wrapText="1"/>
    </xf>
    <xf numFmtId="0" fontId="15" fillId="0" borderId="19" xfId="0" applyFont="1" applyFill="1" applyBorder="1" applyAlignment="1">
      <alignment horizontal="right"/>
    </xf>
    <xf numFmtId="0" fontId="15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6" fontId="18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6" fontId="18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6" fontId="18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17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vertical="top"/>
    </xf>
    <xf numFmtId="1" fontId="17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11" fillId="0" borderId="2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right" wrapText="1"/>
    </xf>
    <xf numFmtId="0" fontId="10" fillId="0" borderId="9" xfId="0" applyFont="1" applyFill="1" applyBorder="1" applyAlignment="1">
      <alignment horizontal="right"/>
    </xf>
    <xf numFmtId="166" fontId="16" fillId="0" borderId="13" xfId="0" applyNumberFormat="1" applyFont="1" applyFill="1" applyBorder="1" applyAlignment="1" applyProtection="1">
      <alignment vertical="center"/>
      <protection locked="0"/>
    </xf>
    <xf numFmtId="167" fontId="11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6" fontId="16" fillId="3" borderId="0" xfId="0" applyNumberFormat="1" applyFont="1" applyFill="1" applyBorder="1" applyAlignment="1" applyProtection="1">
      <alignment vertical="center"/>
      <protection locked="0"/>
    </xf>
    <xf numFmtId="167" fontId="11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6" fontId="16" fillId="0" borderId="0" xfId="0" applyNumberFormat="1" applyFont="1" applyFill="1" applyBorder="1" applyAlignment="1" applyProtection="1">
      <alignment vertical="center"/>
      <protection locked="0"/>
    </xf>
    <xf numFmtId="167" fontId="11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7" fontId="20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" fontId="21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" fillId="4" borderId="9" xfId="0" applyFont="1" applyFill="1" applyBorder="1"/>
    <xf numFmtId="0" fontId="14" fillId="4" borderId="11" xfId="0" applyFont="1" applyFill="1" applyBorder="1"/>
    <xf numFmtId="3" fontId="22" fillId="0" borderId="14" xfId="0" applyNumberFormat="1" applyFont="1" applyFill="1" applyBorder="1"/>
    <xf numFmtId="0" fontId="0" fillId="0" borderId="27" xfId="0" applyFont="1" applyFill="1" applyBorder="1"/>
    <xf numFmtId="167" fontId="16" fillId="0" borderId="6" xfId="0" applyNumberFormat="1" applyFont="1" applyFill="1" applyBorder="1" applyProtection="1">
      <protection locked="0"/>
    </xf>
    <xf numFmtId="3" fontId="22" fillId="3" borderId="15" xfId="0" applyNumberFormat="1" applyFont="1" applyFill="1" applyBorder="1"/>
    <xf numFmtId="3" fontId="22" fillId="0" borderId="15" xfId="0" applyNumberFormat="1" applyFont="1" applyFill="1" applyBorder="1"/>
    <xf numFmtId="0" fontId="0" fillId="0" borderId="28" xfId="0" applyFont="1" applyFill="1" applyBorder="1"/>
    <xf numFmtId="9" fontId="16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15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5" fillId="0" borderId="2" xfId="0" applyFont="1" applyFill="1" applyBorder="1" applyAlignment="1">
      <alignment horizontal="right" wrapText="1"/>
    </xf>
    <xf numFmtId="3" fontId="0" fillId="0" borderId="13" xfId="0" applyNumberFormat="1" applyFont="1" applyFill="1" applyBorder="1" applyProtection="1">
      <protection locked="0"/>
    </xf>
    <xf numFmtId="168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8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8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168" fontId="1" fillId="0" borderId="10" xfId="0" applyNumberFormat="1" applyFont="1" applyFill="1" applyBorder="1"/>
    <xf numFmtId="0" fontId="6" fillId="0" borderId="29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1" fontId="15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3" fontId="1" fillId="0" borderId="13" xfId="0" applyNumberFormat="1" applyFont="1" applyFill="1" applyBorder="1" applyProtection="1">
      <protection locked="0"/>
    </xf>
    <xf numFmtId="166" fontId="16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6" fontId="16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6" fontId="16" fillId="0" borderId="15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13" fillId="0" borderId="9" xfId="0" applyFont="1" applyFill="1" applyBorder="1" applyAlignment="1" applyProtection="1">
      <alignment horizontal="left" vertical="top" wrapText="1"/>
      <protection locked="0"/>
    </xf>
    <xf numFmtId="0" fontId="14" fillId="0" borderId="3" xfId="0" applyFont="1" applyFill="1" applyBorder="1"/>
    <xf numFmtId="167" fontId="0" fillId="0" borderId="13" xfId="0" applyNumberFormat="1" applyFont="1" applyFill="1" applyBorder="1" applyProtection="1">
      <protection locked="0"/>
    </xf>
    <xf numFmtId="167" fontId="0" fillId="0" borderId="5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left"/>
    </xf>
    <xf numFmtId="167" fontId="0" fillId="3" borderId="0" xfId="0" applyNumberFormat="1" applyFont="1" applyFill="1" applyBorder="1" applyProtection="1">
      <protection locked="0"/>
    </xf>
    <xf numFmtId="167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7" fontId="0" fillId="0" borderId="0" xfId="0" applyNumberFormat="1" applyFont="1" applyFill="1" applyBorder="1" applyProtection="1">
      <protection locked="0"/>
    </xf>
    <xf numFmtId="167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7" fontId="1" fillId="0" borderId="10" xfId="0" applyNumberFormat="1" applyFont="1" applyFill="1" applyBorder="1"/>
    <xf numFmtId="167" fontId="1" fillId="0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22" fillId="0" borderId="0" xfId="0" applyFont="1" applyFill="1"/>
    <xf numFmtId="167" fontId="0" fillId="3" borderId="10" xfId="0" applyNumberFormat="1" applyFont="1" applyFill="1" applyBorder="1"/>
    <xf numFmtId="167" fontId="0" fillId="3" borderId="3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7" fontId="0" fillId="0" borderId="0" xfId="0" applyNumberFormat="1" applyFont="1" applyFill="1"/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2" fillId="0" borderId="0" xfId="0" applyFont="1" applyFill="1"/>
    <xf numFmtId="0" fontId="25" fillId="3" borderId="23" xfId="0" applyFont="1" applyFill="1" applyBorder="1" applyAlignment="1">
      <alignment vertical="center"/>
    </xf>
    <xf numFmtId="166" fontId="26" fillId="3" borderId="24" xfId="0" applyNumberFormat="1" applyFont="1" applyFill="1" applyBorder="1" applyAlignment="1" applyProtection="1">
      <alignment vertical="center"/>
      <protection locked="0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171" t="s">
        <v>0</v>
      </c>
      <c r="B1" s="171"/>
      <c r="C1" s="171"/>
      <c r="D1" s="171"/>
      <c r="E1" s="171"/>
    </row>
    <row r="2" spans="1:5" ht="24.75" customHeight="1">
      <c r="A2" s="172"/>
      <c r="B2" s="172"/>
      <c r="C2" s="172"/>
      <c r="D2" s="172"/>
      <c r="E2" s="172"/>
    </row>
    <row r="3" spans="1:5" ht="18" customHeight="1">
      <c r="A3" s="173" t="str">
        <f>"Assessment year "&amp;C31</f>
        <v>Assessment year 2006</v>
      </c>
      <c r="B3" s="173"/>
      <c r="C3" s="173"/>
      <c r="D3" s="173"/>
      <c r="E3" s="173"/>
    </row>
    <row r="4" spans="1:5" ht="18" customHeight="1">
      <c r="A4" s="173" t="str">
        <f>"Reference year "&amp;C30</f>
        <v>Reference year 2010</v>
      </c>
      <c r="B4" s="173"/>
      <c r="C4" s="173"/>
      <c r="D4" s="173"/>
      <c r="E4" s="173"/>
    </row>
    <row r="12" spans="1:5">
      <c r="B12" s="2" t="s">
        <v>1</v>
      </c>
      <c r="C12" s="3" t="s">
        <v>2</v>
      </c>
      <c r="D12" s="4"/>
    </row>
    <row r="13" spans="1:5">
      <c r="B13" s="5" t="s">
        <v>3</v>
      </c>
      <c r="C13" s="6" t="s">
        <v>4</v>
      </c>
      <c r="D13" s="7"/>
    </row>
    <row r="14" spans="1:5">
      <c r="B14" s="5" t="s">
        <v>5</v>
      </c>
      <c r="C14" s="6" t="s">
        <v>6</v>
      </c>
      <c r="D14" s="7"/>
    </row>
    <row r="15" spans="1:5">
      <c r="B15" s="5" t="s">
        <v>7</v>
      </c>
      <c r="C15" s="6" t="s">
        <v>7</v>
      </c>
      <c r="D15" s="7"/>
    </row>
    <row r="16" spans="1:5">
      <c r="B16" s="5" t="s">
        <v>8</v>
      </c>
      <c r="C16" s="6" t="s">
        <v>9</v>
      </c>
      <c r="D16" s="7"/>
    </row>
    <row r="17" spans="2:4">
      <c r="B17" s="5" t="s">
        <v>10</v>
      </c>
      <c r="C17" s="6" t="s">
        <v>11</v>
      </c>
      <c r="D17" s="7"/>
    </row>
    <row r="25" spans="2:4">
      <c r="B25" s="8" t="s">
        <v>12</v>
      </c>
      <c r="C25" s="9"/>
    </row>
    <row r="26" spans="2:4">
      <c r="B26" s="10" t="s">
        <v>13</v>
      </c>
      <c r="C26" s="11" t="s">
        <v>14</v>
      </c>
    </row>
    <row r="27" spans="2:4">
      <c r="B27" s="10" t="s">
        <v>15</v>
      </c>
      <c r="C27" s="12" t="s">
        <v>16</v>
      </c>
    </row>
    <row r="28" spans="2:4">
      <c r="B28" s="10" t="s">
        <v>17</v>
      </c>
      <c r="C28" s="12" t="s">
        <v>18</v>
      </c>
    </row>
    <row r="29" spans="2:4">
      <c r="B29" s="10" t="s">
        <v>19</v>
      </c>
      <c r="C29" s="12" t="s">
        <v>20</v>
      </c>
    </row>
    <row r="30" spans="2:4">
      <c r="B30" s="10" t="s">
        <v>21</v>
      </c>
      <c r="C30" s="12">
        <v>2010</v>
      </c>
    </row>
    <row r="31" spans="2:4">
      <c r="B31" s="13" t="s">
        <v>22</v>
      </c>
      <c r="C31" s="14">
        <v>2006</v>
      </c>
    </row>
  </sheetData>
  <mergeCells count="4">
    <mergeCell ref="A1:E1"/>
    <mergeCell ref="A2:E2"/>
    <mergeCell ref="A3:E3"/>
    <mergeCell ref="A4:E4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85546875" style="1" customWidth="1"/>
    <col min="3" max="3" width="15.42578125" style="1" customWidth="1"/>
    <col min="4" max="4" width="18.5703125" style="1" customWidth="1"/>
    <col min="5" max="10" width="20.42578125" style="1" customWidth="1"/>
  </cols>
  <sheetData>
    <row r="1" spans="1:12" ht="32.25" customHeight="1">
      <c r="B1" s="16" t="str">
        <f>"Personal income "&amp;Info!C31</f>
        <v>Personal income 2006</v>
      </c>
      <c r="D1" s="17"/>
      <c r="E1" s="18" t="str">
        <f>Info!A4</f>
        <v>Reference year 2010</v>
      </c>
      <c r="F1" s="19"/>
      <c r="J1" s="20" t="str">
        <f>Info!$C$28</f>
        <v>FA_2010_20120518</v>
      </c>
    </row>
    <row r="2" spans="1:12" s="2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4" t="s">
        <v>30</v>
      </c>
      <c r="J2" s="25" t="s">
        <v>31</v>
      </c>
    </row>
    <row r="3" spans="1:12" s="26" customFormat="1" ht="11.25" customHeight="1">
      <c r="A3" s="27"/>
      <c r="B3" s="28" t="s">
        <v>32</v>
      </c>
      <c r="C3" s="29"/>
      <c r="D3" s="29"/>
      <c r="E3" s="29"/>
      <c r="F3" s="29"/>
      <c r="G3" s="30"/>
      <c r="H3" s="30"/>
      <c r="I3" s="29"/>
      <c r="J3" s="31" t="s">
        <v>33</v>
      </c>
    </row>
    <row r="4" spans="1:12" ht="80.25" customHeight="1">
      <c r="B4" s="32"/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39</v>
      </c>
      <c r="I4" s="33" t="s">
        <v>40</v>
      </c>
      <c r="J4" s="34" t="s">
        <v>41</v>
      </c>
    </row>
    <row r="5" spans="1:12" s="35" customFormat="1" ht="22.5" customHeight="1">
      <c r="A5" s="36"/>
      <c r="B5" s="37" t="s">
        <v>42</v>
      </c>
      <c r="C5" s="38" t="s">
        <v>43</v>
      </c>
      <c r="D5" s="38" t="s">
        <v>43</v>
      </c>
      <c r="E5" s="38" t="s">
        <v>44</v>
      </c>
      <c r="F5" s="38" t="s">
        <v>43</v>
      </c>
      <c r="G5" s="38" t="s">
        <v>43</v>
      </c>
      <c r="H5" s="38" t="s">
        <v>43</v>
      </c>
      <c r="I5" s="38" t="s">
        <v>43</v>
      </c>
      <c r="J5" s="39"/>
    </row>
    <row r="6" spans="1:12" s="35" customFormat="1" ht="11.25" customHeight="1">
      <c r="A6" s="36"/>
      <c r="B6" s="37" t="s">
        <v>45</v>
      </c>
      <c r="C6" s="40"/>
      <c r="D6" s="40" t="s">
        <v>46</v>
      </c>
      <c r="E6" s="40" t="s">
        <v>47</v>
      </c>
      <c r="F6" s="40"/>
      <c r="G6" s="40" t="s">
        <v>46</v>
      </c>
      <c r="H6" s="40"/>
      <c r="I6" s="40" t="s">
        <v>46</v>
      </c>
      <c r="J6" s="39" t="s">
        <v>46</v>
      </c>
    </row>
    <row r="7" spans="1:12">
      <c r="B7" s="41" t="s">
        <v>48</v>
      </c>
      <c r="C7" s="42">
        <v>782640</v>
      </c>
      <c r="D7" s="42">
        <v>49229466.799999997</v>
      </c>
      <c r="E7" s="42">
        <v>29200</v>
      </c>
      <c r="F7" s="42">
        <v>225573</v>
      </c>
      <c r="G7" s="42">
        <v>2703631.5</v>
      </c>
      <c r="H7" s="42">
        <v>557067</v>
      </c>
      <c r="I7" s="42">
        <v>46525835.299999997</v>
      </c>
      <c r="J7" s="43">
        <f t="shared" ref="J7:J32" si="0">I7-(E7/1000*H7)</f>
        <v>30259478.899999999</v>
      </c>
      <c r="K7" s="1"/>
      <c r="L7" s="44"/>
    </row>
    <row r="8" spans="1:12">
      <c r="B8" s="45" t="s">
        <v>49</v>
      </c>
      <c r="C8" s="46">
        <v>598808</v>
      </c>
      <c r="D8" s="46">
        <v>27740208.100000001</v>
      </c>
      <c r="E8" s="46">
        <v>29200</v>
      </c>
      <c r="F8" s="46">
        <v>217642</v>
      </c>
      <c r="G8" s="46">
        <v>2333848.1</v>
      </c>
      <c r="H8" s="46">
        <v>381166</v>
      </c>
      <c r="I8" s="46">
        <v>25406360</v>
      </c>
      <c r="J8" s="47">
        <f t="shared" si="0"/>
        <v>14276312.800000001</v>
      </c>
      <c r="K8" s="1"/>
      <c r="L8" s="44"/>
    </row>
    <row r="9" spans="1:12">
      <c r="B9" s="48" t="s">
        <v>50</v>
      </c>
      <c r="C9" s="49">
        <v>206874</v>
      </c>
      <c r="D9" s="49">
        <v>10603000.9</v>
      </c>
      <c r="E9" s="49">
        <v>29200</v>
      </c>
      <c r="F9" s="49">
        <v>66108</v>
      </c>
      <c r="G9" s="49">
        <v>849155.1</v>
      </c>
      <c r="H9" s="49">
        <v>140766</v>
      </c>
      <c r="I9" s="49">
        <v>9753845.8000000007</v>
      </c>
      <c r="J9" s="50">
        <f t="shared" si="0"/>
        <v>5643478.6000000015</v>
      </c>
      <c r="K9" s="1"/>
      <c r="L9" s="44"/>
    </row>
    <row r="10" spans="1:12">
      <c r="B10" s="45" t="s">
        <v>51</v>
      </c>
      <c r="C10" s="46">
        <v>19931</v>
      </c>
      <c r="D10" s="46">
        <v>881964.9</v>
      </c>
      <c r="E10" s="46">
        <v>29200</v>
      </c>
      <c r="F10" s="46">
        <v>6640</v>
      </c>
      <c r="G10" s="46">
        <v>88268.9</v>
      </c>
      <c r="H10" s="46">
        <v>13291</v>
      </c>
      <c r="I10" s="46">
        <v>793696</v>
      </c>
      <c r="J10" s="47">
        <f t="shared" si="0"/>
        <v>405598.8</v>
      </c>
      <c r="K10" s="1"/>
      <c r="L10" s="44"/>
    </row>
    <row r="11" spans="1:12">
      <c r="B11" s="48" t="s">
        <v>52</v>
      </c>
      <c r="C11" s="49">
        <v>80475</v>
      </c>
      <c r="D11" s="49">
        <v>6047884.2000000002</v>
      </c>
      <c r="E11" s="49">
        <v>29200</v>
      </c>
      <c r="F11" s="49">
        <v>24058</v>
      </c>
      <c r="G11" s="49">
        <v>308316.59999999998</v>
      </c>
      <c r="H11" s="49">
        <v>56417</v>
      </c>
      <c r="I11" s="49">
        <v>5739567.5999999996</v>
      </c>
      <c r="J11" s="50">
        <f t="shared" si="0"/>
        <v>4092191.1999999997</v>
      </c>
      <c r="K11" s="1"/>
      <c r="L11" s="44"/>
    </row>
    <row r="12" spans="1:12">
      <c r="B12" s="45" t="s">
        <v>53</v>
      </c>
      <c r="C12" s="46">
        <v>20143</v>
      </c>
      <c r="D12" s="46">
        <v>1011954.5</v>
      </c>
      <c r="E12" s="46">
        <v>29200</v>
      </c>
      <c r="F12" s="46">
        <v>7147</v>
      </c>
      <c r="G12" s="46">
        <v>91043.6</v>
      </c>
      <c r="H12" s="46">
        <v>12996</v>
      </c>
      <c r="I12" s="46">
        <v>920910.9</v>
      </c>
      <c r="J12" s="47">
        <f t="shared" si="0"/>
        <v>541427.69999999995</v>
      </c>
      <c r="K12" s="1"/>
      <c r="L12" s="44"/>
    </row>
    <row r="13" spans="1:12">
      <c r="B13" s="48" t="s">
        <v>54</v>
      </c>
      <c r="C13" s="49">
        <v>23775</v>
      </c>
      <c r="D13" s="49">
        <v>1591980.2</v>
      </c>
      <c r="E13" s="49">
        <v>29200</v>
      </c>
      <c r="F13" s="49">
        <v>6418</v>
      </c>
      <c r="G13" s="49">
        <v>86961</v>
      </c>
      <c r="H13" s="49">
        <v>17357</v>
      </c>
      <c r="I13" s="49">
        <v>1505019.2</v>
      </c>
      <c r="J13" s="50">
        <f t="shared" si="0"/>
        <v>998194.8</v>
      </c>
      <c r="K13" s="1"/>
      <c r="L13" s="44"/>
    </row>
    <row r="14" spans="1:12">
      <c r="B14" s="45" t="s">
        <v>55</v>
      </c>
      <c r="C14" s="46">
        <v>22101</v>
      </c>
      <c r="D14" s="46">
        <v>1030516.3</v>
      </c>
      <c r="E14" s="46">
        <v>29200</v>
      </c>
      <c r="F14" s="46">
        <v>7241</v>
      </c>
      <c r="G14" s="46">
        <v>101757.1</v>
      </c>
      <c r="H14" s="46">
        <v>14860</v>
      </c>
      <c r="I14" s="46">
        <v>928759.2</v>
      </c>
      <c r="J14" s="47">
        <f t="shared" si="0"/>
        <v>494847.19999999995</v>
      </c>
      <c r="K14" s="1"/>
      <c r="L14" s="44"/>
    </row>
    <row r="15" spans="1:12">
      <c r="B15" s="48" t="s">
        <v>56</v>
      </c>
      <c r="C15" s="49">
        <v>62903</v>
      </c>
      <c r="D15" s="49">
        <v>5338743.7</v>
      </c>
      <c r="E15" s="49">
        <v>29200</v>
      </c>
      <c r="F15" s="49">
        <v>15714</v>
      </c>
      <c r="G15" s="49">
        <v>186078</v>
      </c>
      <c r="H15" s="49">
        <v>47189</v>
      </c>
      <c r="I15" s="49">
        <v>5152665.7</v>
      </c>
      <c r="J15" s="50">
        <f t="shared" si="0"/>
        <v>3774746.9000000004</v>
      </c>
      <c r="K15" s="1"/>
      <c r="L15" s="44"/>
    </row>
    <row r="16" spans="1:12">
      <c r="B16" s="45" t="s">
        <v>57</v>
      </c>
      <c r="C16" s="46">
        <v>140566</v>
      </c>
      <c r="D16" s="46">
        <v>7318102.2999999998</v>
      </c>
      <c r="E16" s="46">
        <v>29200</v>
      </c>
      <c r="F16" s="46">
        <v>42686</v>
      </c>
      <c r="G16" s="46">
        <v>583095.30000000005</v>
      </c>
      <c r="H16" s="46">
        <v>97880</v>
      </c>
      <c r="I16" s="46">
        <v>6735007</v>
      </c>
      <c r="J16" s="47">
        <f t="shared" si="0"/>
        <v>3876911</v>
      </c>
      <c r="K16" s="1"/>
      <c r="L16" s="44"/>
    </row>
    <row r="17" spans="2:12">
      <c r="B17" s="48" t="s">
        <v>58</v>
      </c>
      <c r="C17" s="49">
        <v>152680</v>
      </c>
      <c r="D17" s="49">
        <v>7632196.2999999998</v>
      </c>
      <c r="E17" s="49">
        <v>29200</v>
      </c>
      <c r="F17" s="49">
        <v>49244</v>
      </c>
      <c r="G17" s="49">
        <v>551953.4</v>
      </c>
      <c r="H17" s="49">
        <v>103436</v>
      </c>
      <c r="I17" s="49">
        <v>7080242.9000000004</v>
      </c>
      <c r="J17" s="50">
        <f t="shared" si="0"/>
        <v>4059911.7000000007</v>
      </c>
      <c r="K17" s="1"/>
      <c r="L17" s="44"/>
    </row>
    <row r="18" spans="2:12">
      <c r="B18" s="45" t="s">
        <v>59</v>
      </c>
      <c r="C18" s="46">
        <v>122670</v>
      </c>
      <c r="D18" s="46">
        <v>6698636.9000000004</v>
      </c>
      <c r="E18" s="46">
        <v>29200</v>
      </c>
      <c r="F18" s="46">
        <v>45470</v>
      </c>
      <c r="G18" s="46">
        <v>490421</v>
      </c>
      <c r="H18" s="46">
        <v>77200</v>
      </c>
      <c r="I18" s="46">
        <v>6208215.9000000004</v>
      </c>
      <c r="J18" s="47">
        <f t="shared" si="0"/>
        <v>3953975.9000000004</v>
      </c>
      <c r="K18" s="1"/>
      <c r="L18" s="44"/>
    </row>
    <row r="19" spans="2:12">
      <c r="B19" s="48" t="s">
        <v>60</v>
      </c>
      <c r="C19" s="49">
        <v>158048</v>
      </c>
      <c r="D19" s="49">
        <v>9849856</v>
      </c>
      <c r="E19" s="49">
        <v>29200</v>
      </c>
      <c r="F19" s="49">
        <v>41459</v>
      </c>
      <c r="G19" s="49">
        <v>464987.7</v>
      </c>
      <c r="H19" s="49">
        <v>116589</v>
      </c>
      <c r="I19" s="49">
        <v>9384868.3000000007</v>
      </c>
      <c r="J19" s="50">
        <f t="shared" si="0"/>
        <v>5980469.5000000009</v>
      </c>
      <c r="K19" s="1"/>
      <c r="L19" s="44"/>
    </row>
    <row r="20" spans="2:12">
      <c r="B20" s="45" t="s">
        <v>61</v>
      </c>
      <c r="C20" s="46">
        <v>43624</v>
      </c>
      <c r="D20" s="46">
        <v>2211481.5</v>
      </c>
      <c r="E20" s="46">
        <v>29200</v>
      </c>
      <c r="F20" s="46">
        <v>13685</v>
      </c>
      <c r="G20" s="46">
        <v>180475.8</v>
      </c>
      <c r="H20" s="46">
        <v>29939</v>
      </c>
      <c r="I20" s="46">
        <v>2031005.7</v>
      </c>
      <c r="J20" s="47">
        <f t="shared" si="0"/>
        <v>1156786.8999999999</v>
      </c>
      <c r="K20" s="1"/>
      <c r="L20" s="44"/>
    </row>
    <row r="21" spans="2:12">
      <c r="B21" s="48" t="s">
        <v>62</v>
      </c>
      <c r="C21" s="49">
        <v>30580</v>
      </c>
      <c r="D21" s="49">
        <v>1557071.8</v>
      </c>
      <c r="E21" s="49">
        <v>29200</v>
      </c>
      <c r="F21" s="49">
        <v>10217</v>
      </c>
      <c r="G21" s="49">
        <v>131311.5</v>
      </c>
      <c r="H21" s="49">
        <v>20363</v>
      </c>
      <c r="I21" s="49">
        <v>1425760.3</v>
      </c>
      <c r="J21" s="50">
        <f t="shared" si="0"/>
        <v>831160.70000000007</v>
      </c>
      <c r="K21" s="1"/>
      <c r="L21" s="44"/>
    </row>
    <row r="22" spans="2:12">
      <c r="B22" s="45" t="s">
        <v>63</v>
      </c>
      <c r="C22" s="46">
        <v>8612</v>
      </c>
      <c r="D22" s="46">
        <v>449841.5</v>
      </c>
      <c r="E22" s="46">
        <v>29200</v>
      </c>
      <c r="F22" s="46">
        <v>2924</v>
      </c>
      <c r="G22" s="46">
        <v>40123.599999999999</v>
      </c>
      <c r="H22" s="46">
        <v>5688</v>
      </c>
      <c r="I22" s="46">
        <v>409717.9</v>
      </c>
      <c r="J22" s="47">
        <f t="shared" si="0"/>
        <v>243628.30000000002</v>
      </c>
      <c r="K22" s="1"/>
      <c r="L22" s="44"/>
    </row>
    <row r="23" spans="2:12">
      <c r="B23" s="48" t="s">
        <v>64</v>
      </c>
      <c r="C23" s="49">
        <v>265677</v>
      </c>
      <c r="D23" s="49">
        <v>12966836.4</v>
      </c>
      <c r="E23" s="49">
        <v>29200</v>
      </c>
      <c r="F23" s="49">
        <v>88979</v>
      </c>
      <c r="G23" s="49">
        <v>1132404.8</v>
      </c>
      <c r="H23" s="49">
        <v>176698</v>
      </c>
      <c r="I23" s="49">
        <v>11834431.6</v>
      </c>
      <c r="J23" s="50">
        <f t="shared" si="0"/>
        <v>6674850</v>
      </c>
      <c r="K23" s="1"/>
      <c r="L23" s="44"/>
    </row>
    <row r="24" spans="2:12">
      <c r="B24" s="45" t="s">
        <v>65</v>
      </c>
      <c r="C24" s="46">
        <v>129128</v>
      </c>
      <c r="D24" s="46">
        <v>5577691.2000000002</v>
      </c>
      <c r="E24" s="46">
        <v>29200</v>
      </c>
      <c r="F24" s="46">
        <v>55896</v>
      </c>
      <c r="G24" s="46">
        <v>527108</v>
      </c>
      <c r="H24" s="46">
        <v>73232</v>
      </c>
      <c r="I24" s="46">
        <v>5050583.2</v>
      </c>
      <c r="J24" s="47">
        <f t="shared" si="0"/>
        <v>2912208.8000000003</v>
      </c>
      <c r="K24" s="1"/>
      <c r="L24" s="44"/>
    </row>
    <row r="25" spans="2:12">
      <c r="B25" s="48" t="s">
        <v>66</v>
      </c>
      <c r="C25" s="49">
        <v>330005</v>
      </c>
      <c r="D25" s="49">
        <v>18498474.100000001</v>
      </c>
      <c r="E25" s="49">
        <v>29200</v>
      </c>
      <c r="F25" s="49">
        <v>86339</v>
      </c>
      <c r="G25" s="49">
        <v>1083925.5</v>
      </c>
      <c r="H25" s="49">
        <v>243666</v>
      </c>
      <c r="I25" s="49">
        <v>17414548.600000001</v>
      </c>
      <c r="J25" s="50">
        <f t="shared" si="0"/>
        <v>10299501.400000002</v>
      </c>
      <c r="K25" s="1"/>
      <c r="L25" s="44"/>
    </row>
    <row r="26" spans="2:12">
      <c r="B26" s="45" t="s">
        <v>67</v>
      </c>
      <c r="C26" s="46">
        <v>134568</v>
      </c>
      <c r="D26" s="46">
        <v>6818145.2000000002</v>
      </c>
      <c r="E26" s="46">
        <v>29200</v>
      </c>
      <c r="F26" s="46">
        <v>41798</v>
      </c>
      <c r="G26" s="46">
        <v>564138.1</v>
      </c>
      <c r="H26" s="46">
        <v>92770</v>
      </c>
      <c r="I26" s="46">
        <v>6254007.0999999996</v>
      </c>
      <c r="J26" s="47">
        <f t="shared" si="0"/>
        <v>3545123.0999999996</v>
      </c>
      <c r="K26" s="1"/>
      <c r="L26" s="44"/>
    </row>
    <row r="27" spans="2:12">
      <c r="B27" s="48" t="s">
        <v>68</v>
      </c>
      <c r="C27" s="49">
        <v>196264</v>
      </c>
      <c r="D27" s="49">
        <v>10041740.4</v>
      </c>
      <c r="E27" s="49">
        <v>29200</v>
      </c>
      <c r="F27" s="49">
        <v>72954</v>
      </c>
      <c r="G27" s="49">
        <v>917986.7</v>
      </c>
      <c r="H27" s="49">
        <v>123310</v>
      </c>
      <c r="I27" s="49">
        <v>9123753.6999999993</v>
      </c>
      <c r="J27" s="50">
        <f t="shared" si="0"/>
        <v>5523101.6999999993</v>
      </c>
      <c r="K27" s="1"/>
      <c r="L27" s="44"/>
    </row>
    <row r="28" spans="2:12">
      <c r="B28" s="45" t="s">
        <v>69</v>
      </c>
      <c r="C28" s="46">
        <v>377382</v>
      </c>
      <c r="D28" s="46">
        <v>22170202.100000001</v>
      </c>
      <c r="E28" s="46">
        <v>29200</v>
      </c>
      <c r="F28" s="46">
        <v>127864</v>
      </c>
      <c r="G28" s="46">
        <v>1448435.9</v>
      </c>
      <c r="H28" s="46">
        <v>249518</v>
      </c>
      <c r="I28" s="46">
        <v>20721766.199999999</v>
      </c>
      <c r="J28" s="47">
        <f t="shared" si="0"/>
        <v>13435840.6</v>
      </c>
      <c r="K28" s="1"/>
      <c r="L28" s="44"/>
    </row>
    <row r="29" spans="2:12">
      <c r="B29" s="48" t="s">
        <v>70</v>
      </c>
      <c r="C29" s="49">
        <v>204886</v>
      </c>
      <c r="D29" s="49">
        <v>8307352.5999999996</v>
      </c>
      <c r="E29" s="49">
        <v>29200</v>
      </c>
      <c r="F29" s="49">
        <v>92443</v>
      </c>
      <c r="G29" s="49">
        <v>838261.8</v>
      </c>
      <c r="H29" s="49">
        <v>112443</v>
      </c>
      <c r="I29" s="49">
        <v>7469090.7999999998</v>
      </c>
      <c r="J29" s="50">
        <f t="shared" si="0"/>
        <v>4185755.1999999997</v>
      </c>
      <c r="K29" s="1"/>
      <c r="L29" s="44"/>
    </row>
    <row r="30" spans="2:12">
      <c r="B30" s="45" t="s">
        <v>71</v>
      </c>
      <c r="C30" s="46">
        <v>99872</v>
      </c>
      <c r="D30" s="46">
        <v>4928369.4000000004</v>
      </c>
      <c r="E30" s="46">
        <v>29200</v>
      </c>
      <c r="F30" s="46">
        <v>35278</v>
      </c>
      <c r="G30" s="46">
        <v>413685.6</v>
      </c>
      <c r="H30" s="46">
        <v>64594</v>
      </c>
      <c r="I30" s="46">
        <v>4514683.8</v>
      </c>
      <c r="J30" s="47">
        <f t="shared" si="0"/>
        <v>2628539</v>
      </c>
      <c r="K30" s="1"/>
      <c r="L30" s="44"/>
    </row>
    <row r="31" spans="2:12">
      <c r="B31" s="48" t="s">
        <v>72</v>
      </c>
      <c r="C31" s="49">
        <v>240330</v>
      </c>
      <c r="D31" s="49">
        <v>16274630.199999999</v>
      </c>
      <c r="E31" s="49">
        <v>29200</v>
      </c>
      <c r="F31" s="49">
        <v>79371</v>
      </c>
      <c r="G31" s="49">
        <v>917035</v>
      </c>
      <c r="H31" s="49">
        <v>160959</v>
      </c>
      <c r="I31" s="49">
        <v>15357595.199999999</v>
      </c>
      <c r="J31" s="50">
        <f t="shared" si="0"/>
        <v>10657592.399999999</v>
      </c>
      <c r="K31" s="1"/>
      <c r="L31" s="44"/>
    </row>
    <row r="32" spans="2:12">
      <c r="B32" s="45" t="s">
        <v>73</v>
      </c>
      <c r="C32" s="46">
        <v>41540</v>
      </c>
      <c r="D32" s="46">
        <v>1777928.7</v>
      </c>
      <c r="E32" s="46">
        <v>29200</v>
      </c>
      <c r="F32" s="46">
        <v>16093</v>
      </c>
      <c r="G32" s="46">
        <v>196071.6</v>
      </c>
      <c r="H32" s="46">
        <v>25447</v>
      </c>
      <c r="I32" s="46">
        <v>1581857.1</v>
      </c>
      <c r="J32" s="47">
        <f t="shared" si="0"/>
        <v>838804.70000000007</v>
      </c>
      <c r="K32" s="1"/>
      <c r="L32" s="44"/>
    </row>
    <row r="33" spans="1:12" s="51" customFormat="1">
      <c r="A33" s="52"/>
      <c r="B33" s="53" t="s">
        <v>74</v>
      </c>
      <c r="C33" s="54">
        <f>SUM(C7:C32)</f>
        <v>4494082</v>
      </c>
      <c r="D33" s="54">
        <f>SUM(D7:D32)</f>
        <v>246554276.19999999</v>
      </c>
      <c r="E33" s="54">
        <f>AVERAGE(E7:E32)</f>
        <v>29200</v>
      </c>
      <c r="F33" s="54">
        <f>SUM(F7:F32)</f>
        <v>1479241</v>
      </c>
      <c r="G33" s="54">
        <f>SUM(G7:G32)</f>
        <v>17230481.200000003</v>
      </c>
      <c r="H33" s="54">
        <f>SUM(H7:H32)</f>
        <v>3014841</v>
      </c>
      <c r="I33" s="54">
        <f>SUM(I7:I32)</f>
        <v>229323794.99999997</v>
      </c>
      <c r="J33" s="55">
        <f>SUM(J7:J32)</f>
        <v>141290437.80000001</v>
      </c>
      <c r="L33" s="56"/>
    </row>
    <row r="34" spans="1:12">
      <c r="B34" s="52"/>
      <c r="K34" s="1"/>
    </row>
    <row r="35" spans="1:12">
      <c r="K35" s="1"/>
    </row>
    <row r="36" spans="1:12">
      <c r="K36" s="1"/>
    </row>
  </sheetData>
  <conditionalFormatting sqref="C7:I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5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2.42578125" style="1" customWidth="1"/>
    <col min="3" max="3" width="24.140625" style="1" customWidth="1"/>
  </cols>
  <sheetData>
    <row r="1" spans="1:4" ht="27" customHeight="1">
      <c r="B1" s="57" t="str">
        <f>"Income taxed at source "&amp;Info!C31</f>
        <v>Income taxed at source 2006</v>
      </c>
      <c r="C1" s="58"/>
      <c r="D1" s="58"/>
    </row>
    <row r="2" spans="1:4" ht="15.75" customHeight="1">
      <c r="B2" s="59" t="str">
        <f>Info!A4</f>
        <v>Reference year 2010</v>
      </c>
      <c r="C2" s="60"/>
    </row>
    <row r="3" spans="1:4">
      <c r="B3" s="61"/>
      <c r="C3" s="20" t="str">
        <f>Info!$C$28</f>
        <v>FA_2010_20120518</v>
      </c>
    </row>
    <row r="4" spans="1:4" ht="30" customHeight="1">
      <c r="B4" s="62"/>
      <c r="C4" s="63" t="s">
        <v>75</v>
      </c>
    </row>
    <row r="5" spans="1:4">
      <c r="B5" s="64" t="s">
        <v>42</v>
      </c>
      <c r="C5" s="65" t="str">
        <f>"ITS_"&amp;Info!C30&amp;"_"&amp;Info!C31&amp;".xlsx"</f>
        <v>ITS_2010_2006.xlsx</v>
      </c>
    </row>
    <row r="6" spans="1:4">
      <c r="A6" s="36"/>
      <c r="B6" s="66" t="s">
        <v>45</v>
      </c>
      <c r="C6" s="67" t="s">
        <v>46</v>
      </c>
    </row>
    <row r="7" spans="1:4" ht="15" customHeight="1">
      <c r="A7" s="68"/>
      <c r="B7" s="69" t="s">
        <v>48</v>
      </c>
      <c r="C7" s="70">
        <v>1379575.8764049499</v>
      </c>
    </row>
    <row r="8" spans="1:4" ht="15" customHeight="1">
      <c r="A8" s="68"/>
      <c r="B8" s="71" t="s">
        <v>49</v>
      </c>
      <c r="C8" s="72">
        <v>748296.13066892303</v>
      </c>
    </row>
    <row r="9" spans="1:4" ht="15" customHeight="1">
      <c r="A9" s="68"/>
      <c r="B9" s="73" t="s">
        <v>50</v>
      </c>
      <c r="C9" s="74">
        <v>197476.64867575199</v>
      </c>
    </row>
    <row r="10" spans="1:4" ht="15" customHeight="1">
      <c r="A10" s="68"/>
      <c r="B10" s="71" t="s">
        <v>51</v>
      </c>
      <c r="C10" s="72">
        <v>20926.612810125</v>
      </c>
    </row>
    <row r="11" spans="1:4" ht="15" customHeight="1">
      <c r="A11" s="68"/>
      <c r="B11" s="73" t="s">
        <v>52</v>
      </c>
      <c r="C11" s="74">
        <v>91732.697667080298</v>
      </c>
    </row>
    <row r="12" spans="1:4" ht="15" customHeight="1">
      <c r="A12" s="68"/>
      <c r="B12" s="71" t="s">
        <v>53</v>
      </c>
      <c r="C12" s="72">
        <v>23008.47321955</v>
      </c>
    </row>
    <row r="13" spans="1:4" ht="15" customHeight="1">
      <c r="A13" s="68"/>
      <c r="B13" s="73" t="s">
        <v>54</v>
      </c>
      <c r="C13" s="74">
        <v>22058.723922839399</v>
      </c>
    </row>
    <row r="14" spans="1:4" ht="15" customHeight="1">
      <c r="A14" s="68"/>
      <c r="B14" s="71" t="s">
        <v>55</v>
      </c>
      <c r="C14" s="72">
        <v>16089.49663025</v>
      </c>
    </row>
    <row r="15" spans="1:4" ht="15" customHeight="1">
      <c r="A15" s="68"/>
      <c r="B15" s="73" t="s">
        <v>56</v>
      </c>
      <c r="C15" s="74">
        <v>134181.77921419</v>
      </c>
    </row>
    <row r="16" spans="1:4" ht="15" customHeight="1">
      <c r="A16" s="68"/>
      <c r="B16" s="71" t="s">
        <v>57</v>
      </c>
      <c r="C16" s="72">
        <v>153668.74965499999</v>
      </c>
    </row>
    <row r="17" spans="1:3" ht="15" customHeight="1">
      <c r="A17" s="68"/>
      <c r="B17" s="73" t="s">
        <v>58</v>
      </c>
      <c r="C17" s="74">
        <v>114535.73779669301</v>
      </c>
    </row>
    <row r="18" spans="1:3" ht="15" customHeight="1">
      <c r="A18" s="68"/>
      <c r="B18" s="71" t="s">
        <v>59</v>
      </c>
      <c r="C18" s="72">
        <v>683935.87358615804</v>
      </c>
    </row>
    <row r="19" spans="1:3" ht="15" customHeight="1">
      <c r="A19" s="68"/>
      <c r="B19" s="73" t="s">
        <v>60</v>
      </c>
      <c r="C19" s="74">
        <v>345875.33137246</v>
      </c>
    </row>
    <row r="20" spans="1:3" ht="15" customHeight="1">
      <c r="A20" s="68"/>
      <c r="B20" s="71" t="s">
        <v>61</v>
      </c>
      <c r="C20" s="72">
        <v>119683.792914691</v>
      </c>
    </row>
    <row r="21" spans="1:3" ht="15" customHeight="1">
      <c r="A21" s="68"/>
      <c r="B21" s="73" t="s">
        <v>62</v>
      </c>
      <c r="C21" s="74">
        <v>29618.727542980101</v>
      </c>
    </row>
    <row r="22" spans="1:3" ht="15" customHeight="1">
      <c r="A22" s="68"/>
      <c r="B22" s="71" t="s">
        <v>63</v>
      </c>
      <c r="C22" s="72">
        <v>6866.3410524031897</v>
      </c>
    </row>
    <row r="23" spans="1:3" ht="15" customHeight="1">
      <c r="A23" s="68"/>
      <c r="B23" s="73" t="s">
        <v>64</v>
      </c>
      <c r="C23" s="74">
        <v>402505.727963724</v>
      </c>
    </row>
    <row r="24" spans="1:3" ht="15" customHeight="1">
      <c r="A24" s="68"/>
      <c r="B24" s="177" t="s">
        <v>115</v>
      </c>
      <c r="C24" s="178">
        <v>315000.98538165301</v>
      </c>
    </row>
    <row r="25" spans="1:3" ht="15" customHeight="1">
      <c r="A25" s="68"/>
      <c r="B25" s="73" t="s">
        <v>66</v>
      </c>
      <c r="C25" s="74">
        <v>429549.12909427698</v>
      </c>
    </row>
    <row r="26" spans="1:3" ht="15" customHeight="1">
      <c r="A26" s="68"/>
      <c r="B26" s="71" t="s">
        <v>67</v>
      </c>
      <c r="C26" s="72">
        <v>170645.904773129</v>
      </c>
    </row>
    <row r="27" spans="1:3" ht="15" customHeight="1">
      <c r="A27" s="68"/>
      <c r="B27" s="73" t="s">
        <v>68</v>
      </c>
      <c r="C27" s="74">
        <v>853768.34199880005</v>
      </c>
    </row>
    <row r="28" spans="1:3" ht="15" customHeight="1">
      <c r="A28" s="68"/>
      <c r="B28" s="71" t="s">
        <v>69</v>
      </c>
      <c r="C28" s="72">
        <v>772692.23638666503</v>
      </c>
    </row>
    <row r="29" spans="1:3" ht="15" customHeight="1">
      <c r="A29" s="68"/>
      <c r="B29" s="73" t="s">
        <v>70</v>
      </c>
      <c r="C29" s="74">
        <v>285493.91528037097</v>
      </c>
    </row>
    <row r="30" spans="1:3" ht="15" customHeight="1">
      <c r="A30" s="68"/>
      <c r="B30" s="71" t="s">
        <v>71</v>
      </c>
      <c r="C30" s="72">
        <v>213153.15340862499</v>
      </c>
    </row>
    <row r="31" spans="1:3" ht="15" customHeight="1">
      <c r="A31" s="68"/>
      <c r="B31" s="73" t="s">
        <v>72</v>
      </c>
      <c r="C31" s="74">
        <v>1953543.8720434699</v>
      </c>
    </row>
    <row r="32" spans="1:3" ht="15" customHeight="1">
      <c r="A32" s="68"/>
      <c r="B32" s="177" t="s">
        <v>116</v>
      </c>
      <c r="C32" s="178">
        <v>74930.165538349102</v>
      </c>
    </row>
    <row r="33" spans="1:3" s="51" customFormat="1" ht="18.75" customHeight="1">
      <c r="A33" s="75"/>
      <c r="B33" s="76" t="s">
        <v>74</v>
      </c>
      <c r="C33" s="77">
        <f>SUM(C7:C32)</f>
        <v>9558814.4250031076</v>
      </c>
    </row>
    <row r="34" spans="1:3">
      <c r="B34" s="176" t="s">
        <v>113</v>
      </c>
    </row>
    <row r="35" spans="1:3">
      <c r="B35" s="176" t="s">
        <v>114</v>
      </c>
    </row>
  </sheetData>
  <conditionalFormatting sqref="C7:C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9.85546875" style="1" customWidth="1"/>
    <col min="2" max="3" width="17.140625" style="1" customWidth="1"/>
    <col min="4" max="4" width="19.7109375" style="1" customWidth="1"/>
  </cols>
  <sheetData>
    <row r="1" spans="1:5" s="15" customFormat="1" ht="28.5" customHeight="1">
      <c r="A1" s="57" t="str">
        <f>"Wealth "&amp;Info!C31</f>
        <v>Wealth 2006</v>
      </c>
      <c r="B1" s="57"/>
      <c r="C1" s="57"/>
    </row>
    <row r="2" spans="1:5" ht="18.75" customHeight="1">
      <c r="A2" s="78" t="str">
        <f>Info!A4</f>
        <v>Reference year 2010</v>
      </c>
      <c r="B2" s="79"/>
    </row>
    <row r="3" spans="1:5" ht="15.75" customHeight="1">
      <c r="A3" s="80"/>
      <c r="B3" s="81"/>
      <c r="C3" s="82"/>
      <c r="D3" s="20" t="str">
        <f>Info!$C$28</f>
        <v>FA_2010_20120518</v>
      </c>
    </row>
    <row r="4" spans="1:5" s="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5">
      <c r="A5" s="28" t="s">
        <v>32</v>
      </c>
      <c r="B5" s="29"/>
      <c r="C5" s="29"/>
      <c r="D5" s="31" t="s">
        <v>77</v>
      </c>
    </row>
    <row r="6" spans="1:5" ht="20.25" customHeight="1">
      <c r="A6" s="32"/>
      <c r="B6" s="33" t="s">
        <v>78</v>
      </c>
      <c r="C6" s="33" t="s">
        <v>79</v>
      </c>
      <c r="D6" s="34" t="s">
        <v>80</v>
      </c>
      <c r="E6" s="51"/>
    </row>
    <row r="7" spans="1:5">
      <c r="A7" s="37" t="s">
        <v>42</v>
      </c>
      <c r="B7" s="38" t="s">
        <v>43</v>
      </c>
      <c r="C7" s="38" t="s">
        <v>81</v>
      </c>
      <c r="D7" s="85"/>
    </row>
    <row r="8" spans="1:5" s="35" customFormat="1" ht="11.25" customHeight="1">
      <c r="A8" s="86" t="s">
        <v>45</v>
      </c>
      <c r="B8" s="40" t="s">
        <v>46</v>
      </c>
      <c r="C8" s="40"/>
      <c r="D8" s="39" t="s">
        <v>46</v>
      </c>
    </row>
    <row r="9" spans="1:5" ht="15" customHeight="1">
      <c r="A9" s="41" t="s">
        <v>48</v>
      </c>
      <c r="B9" s="87">
        <v>307634480</v>
      </c>
      <c r="C9" s="88">
        <f t="shared" ref="C9:C34" si="0">C$35</f>
        <v>1.2E-2</v>
      </c>
      <c r="D9" s="89">
        <f t="shared" ref="D9:D34" si="1">B9*C9</f>
        <v>3691613.7600000002</v>
      </c>
    </row>
    <row r="10" spans="1:5" ht="15" customHeight="1">
      <c r="A10" s="45" t="s">
        <v>49</v>
      </c>
      <c r="B10" s="90">
        <v>136671088.241</v>
      </c>
      <c r="C10" s="91">
        <f t="shared" si="0"/>
        <v>1.2E-2</v>
      </c>
      <c r="D10" s="92">
        <f t="shared" si="1"/>
        <v>1640053.058892</v>
      </c>
    </row>
    <row r="11" spans="1:5" ht="15" customHeight="1">
      <c r="A11" s="48" t="s">
        <v>50</v>
      </c>
      <c r="B11" s="93">
        <v>49254180.669019997</v>
      </c>
      <c r="C11" s="94">
        <f t="shared" si="0"/>
        <v>1.2E-2</v>
      </c>
      <c r="D11" s="95">
        <f t="shared" si="1"/>
        <v>591050.16802823998</v>
      </c>
    </row>
    <row r="12" spans="1:5" ht="15" customHeight="1">
      <c r="A12" s="45" t="s">
        <v>51</v>
      </c>
      <c r="B12" s="90">
        <v>3888871.0010000002</v>
      </c>
      <c r="C12" s="91">
        <f t="shared" si="0"/>
        <v>1.2E-2</v>
      </c>
      <c r="D12" s="92">
        <f t="shared" si="1"/>
        <v>46666.452012000002</v>
      </c>
    </row>
    <row r="13" spans="1:5" ht="15" customHeight="1">
      <c r="A13" s="48" t="s">
        <v>52</v>
      </c>
      <c r="B13" s="93">
        <v>47636575.226999998</v>
      </c>
      <c r="C13" s="94">
        <f t="shared" si="0"/>
        <v>1.2E-2</v>
      </c>
      <c r="D13" s="95">
        <f t="shared" si="1"/>
        <v>571638.90272400004</v>
      </c>
    </row>
    <row r="14" spans="1:5" ht="15" customHeight="1">
      <c r="A14" s="45" t="s">
        <v>53</v>
      </c>
      <c r="B14" s="90">
        <v>5495464.0590000004</v>
      </c>
      <c r="C14" s="91">
        <f t="shared" si="0"/>
        <v>1.2E-2</v>
      </c>
      <c r="D14" s="92">
        <f t="shared" si="1"/>
        <v>65945.568708000006</v>
      </c>
    </row>
    <row r="15" spans="1:5" ht="15" customHeight="1">
      <c r="A15" s="48" t="s">
        <v>54</v>
      </c>
      <c r="B15" s="93">
        <v>19090502.315000001</v>
      </c>
      <c r="C15" s="94">
        <f t="shared" si="0"/>
        <v>1.2E-2</v>
      </c>
      <c r="D15" s="95">
        <f t="shared" si="1"/>
        <v>229086.02778000003</v>
      </c>
    </row>
    <row r="16" spans="1:5" ht="15" customHeight="1">
      <c r="A16" s="45" t="s">
        <v>55</v>
      </c>
      <c r="B16" s="90">
        <v>6027673.5329999998</v>
      </c>
      <c r="C16" s="91">
        <f t="shared" si="0"/>
        <v>1.2E-2</v>
      </c>
      <c r="D16" s="92">
        <f t="shared" si="1"/>
        <v>72332.082395999998</v>
      </c>
    </row>
    <row r="17" spans="1:4" ht="15" customHeight="1">
      <c r="A17" s="48" t="s">
        <v>56</v>
      </c>
      <c r="B17" s="93">
        <v>39089554.581</v>
      </c>
      <c r="C17" s="94">
        <f t="shared" si="0"/>
        <v>1.2E-2</v>
      </c>
      <c r="D17" s="95">
        <f t="shared" si="1"/>
        <v>469074.65497199999</v>
      </c>
    </row>
    <row r="18" spans="1:4" ht="15" customHeight="1">
      <c r="A18" s="45" t="s">
        <v>57</v>
      </c>
      <c r="B18" s="90">
        <v>22801116.907000002</v>
      </c>
      <c r="C18" s="91">
        <f t="shared" si="0"/>
        <v>1.2E-2</v>
      </c>
      <c r="D18" s="92">
        <f t="shared" si="1"/>
        <v>273613.40288400004</v>
      </c>
    </row>
    <row r="19" spans="1:4" ht="15" customHeight="1">
      <c r="A19" s="48" t="s">
        <v>58</v>
      </c>
      <c r="B19" s="93">
        <v>20539267.662999999</v>
      </c>
      <c r="C19" s="94">
        <f t="shared" si="0"/>
        <v>1.2E-2</v>
      </c>
      <c r="D19" s="95">
        <f t="shared" si="1"/>
        <v>246471.21195599998</v>
      </c>
    </row>
    <row r="20" spans="1:4" ht="15" customHeight="1">
      <c r="A20" s="45" t="s">
        <v>59</v>
      </c>
      <c r="B20" s="90">
        <v>45730064.327</v>
      </c>
      <c r="C20" s="91">
        <f t="shared" si="0"/>
        <v>1.2E-2</v>
      </c>
      <c r="D20" s="92">
        <f t="shared" si="1"/>
        <v>548760.771924</v>
      </c>
    </row>
    <row r="21" spans="1:4" ht="15" customHeight="1">
      <c r="A21" s="48" t="s">
        <v>60</v>
      </c>
      <c r="B21" s="93">
        <v>35739259.636</v>
      </c>
      <c r="C21" s="94">
        <f t="shared" si="0"/>
        <v>1.2E-2</v>
      </c>
      <c r="D21" s="95">
        <f t="shared" si="1"/>
        <v>428871.11563200003</v>
      </c>
    </row>
    <row r="22" spans="1:4" ht="15" customHeight="1">
      <c r="A22" s="45" t="s">
        <v>61</v>
      </c>
      <c r="B22" s="90">
        <v>10134334.483999999</v>
      </c>
      <c r="C22" s="91">
        <f t="shared" si="0"/>
        <v>1.2E-2</v>
      </c>
      <c r="D22" s="92">
        <f t="shared" si="1"/>
        <v>121612.01380799999</v>
      </c>
    </row>
    <row r="23" spans="1:4" ht="15" customHeight="1">
      <c r="A23" s="48" t="s">
        <v>62</v>
      </c>
      <c r="B23" s="93">
        <v>10393798.257999999</v>
      </c>
      <c r="C23" s="94">
        <f t="shared" si="0"/>
        <v>1.2E-2</v>
      </c>
      <c r="D23" s="95">
        <f t="shared" si="1"/>
        <v>124725.579096</v>
      </c>
    </row>
    <row r="24" spans="1:4" ht="15" customHeight="1">
      <c r="A24" s="45" t="s">
        <v>63</v>
      </c>
      <c r="B24" s="90">
        <v>3288632.07</v>
      </c>
      <c r="C24" s="91">
        <f t="shared" si="0"/>
        <v>1.2E-2</v>
      </c>
      <c r="D24" s="92">
        <f t="shared" si="1"/>
        <v>39463.584839999996</v>
      </c>
    </row>
    <row r="25" spans="1:4" ht="15" customHeight="1">
      <c r="A25" s="48" t="s">
        <v>64</v>
      </c>
      <c r="B25" s="93">
        <v>75044144.209000006</v>
      </c>
      <c r="C25" s="94">
        <f t="shared" si="0"/>
        <v>1.2E-2</v>
      </c>
      <c r="D25" s="95">
        <f t="shared" si="1"/>
        <v>900529.73050800012</v>
      </c>
    </row>
    <row r="26" spans="1:4" ht="15" customHeight="1">
      <c r="A26" s="45" t="s">
        <v>65</v>
      </c>
      <c r="B26" s="90">
        <v>37879477.873000003</v>
      </c>
      <c r="C26" s="91">
        <f t="shared" si="0"/>
        <v>1.2E-2</v>
      </c>
      <c r="D26" s="92">
        <f t="shared" si="1"/>
        <v>454553.73447600007</v>
      </c>
    </row>
    <row r="27" spans="1:4" ht="15" customHeight="1">
      <c r="A27" s="48" t="s">
        <v>66</v>
      </c>
      <c r="B27" s="93">
        <v>82176926.425999999</v>
      </c>
      <c r="C27" s="94">
        <f t="shared" si="0"/>
        <v>1.2E-2</v>
      </c>
      <c r="D27" s="95">
        <f t="shared" si="1"/>
        <v>986123.11711200001</v>
      </c>
    </row>
    <row r="28" spans="1:4" ht="15" customHeight="1">
      <c r="A28" s="45" t="s">
        <v>67</v>
      </c>
      <c r="B28" s="90">
        <v>34656253</v>
      </c>
      <c r="C28" s="91">
        <f t="shared" si="0"/>
        <v>1.2E-2</v>
      </c>
      <c r="D28" s="92">
        <f t="shared" si="1"/>
        <v>415875.03600000002</v>
      </c>
    </row>
    <row r="29" spans="1:4" ht="15" customHeight="1">
      <c r="A29" s="48" t="s">
        <v>68</v>
      </c>
      <c r="B29" s="93">
        <v>38835620.310999997</v>
      </c>
      <c r="C29" s="94">
        <f t="shared" si="0"/>
        <v>1.2E-2</v>
      </c>
      <c r="D29" s="95">
        <f t="shared" si="1"/>
        <v>466027.44373199996</v>
      </c>
    </row>
    <row r="30" spans="1:4" ht="15" customHeight="1">
      <c r="A30" s="45" t="s">
        <v>69</v>
      </c>
      <c r="B30" s="90">
        <v>93228034</v>
      </c>
      <c r="C30" s="91">
        <f t="shared" si="0"/>
        <v>1.2E-2</v>
      </c>
      <c r="D30" s="92">
        <f t="shared" si="1"/>
        <v>1118736.4080000001</v>
      </c>
    </row>
    <row r="31" spans="1:4" ht="15" customHeight="1">
      <c r="A31" s="48" t="s">
        <v>70</v>
      </c>
      <c r="B31" s="93">
        <v>35442154.016999997</v>
      </c>
      <c r="C31" s="94">
        <f t="shared" si="0"/>
        <v>1.2E-2</v>
      </c>
      <c r="D31" s="95">
        <f t="shared" si="1"/>
        <v>425305.84820399998</v>
      </c>
    </row>
    <row r="32" spans="1:4" ht="15" customHeight="1">
      <c r="A32" s="45" t="s">
        <v>71</v>
      </c>
      <c r="B32" s="90">
        <v>16035508.267000001</v>
      </c>
      <c r="C32" s="91">
        <f t="shared" si="0"/>
        <v>1.2E-2</v>
      </c>
      <c r="D32" s="92">
        <f t="shared" si="1"/>
        <v>192426.09920400003</v>
      </c>
    </row>
    <row r="33" spans="1:4" ht="15" customHeight="1">
      <c r="A33" s="48" t="s">
        <v>72</v>
      </c>
      <c r="B33" s="93">
        <v>66352639.381999999</v>
      </c>
      <c r="C33" s="94">
        <f t="shared" si="0"/>
        <v>1.2E-2</v>
      </c>
      <c r="D33" s="95">
        <f t="shared" si="1"/>
        <v>796231.67258400004</v>
      </c>
    </row>
    <row r="34" spans="1:4" ht="15" customHeight="1">
      <c r="A34" s="45" t="s">
        <v>73</v>
      </c>
      <c r="B34" s="90">
        <v>5035115</v>
      </c>
      <c r="C34" s="91">
        <f t="shared" si="0"/>
        <v>1.2E-2</v>
      </c>
      <c r="D34" s="92">
        <f t="shared" si="1"/>
        <v>60421.380000000005</v>
      </c>
    </row>
    <row r="35" spans="1:4" s="51" customFormat="1" ht="18.75" customHeight="1">
      <c r="A35" s="96" t="s">
        <v>74</v>
      </c>
      <c r="B35" s="97">
        <f>SUM(B9:B34)</f>
        <v>1248100735.4560199</v>
      </c>
      <c r="C35" s="98">
        <v>1.2E-2</v>
      </c>
      <c r="D35" s="99">
        <f>SUM(D9:D34)</f>
        <v>14977208.825472238</v>
      </c>
    </row>
    <row r="37" spans="1:4">
      <c r="B37" s="100"/>
    </row>
  </sheetData>
  <conditionalFormatting sqref="D9:D34">
    <cfRule type="expression" dxfId="12" priority="1" stopIfTrue="1">
      <formula>ISBLANK(D9)</formula>
    </cfRule>
  </conditionalFormatting>
  <conditionalFormatting sqref="B9:C34 C35">
    <cfRule type="expression" dxfId="11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2" width="19.85546875" style="1" customWidth="1"/>
    <col min="3" max="3" width="22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1" t="str">
        <f>"Profit of legal entities "&amp;Info!C31</f>
        <v>Profit of legal entities 2006</v>
      </c>
      <c r="B1" s="101"/>
      <c r="D1" s="102"/>
      <c r="E1" s="102"/>
    </row>
    <row r="2" spans="1:7" ht="15.75" customHeight="1">
      <c r="A2" s="103" t="str">
        <f>Info!A4</f>
        <v>Reference year 2010</v>
      </c>
      <c r="B2" s="104"/>
      <c r="C2" s="103"/>
      <c r="D2" s="102"/>
      <c r="E2" s="102"/>
    </row>
    <row r="3" spans="1:7">
      <c r="D3" s="20" t="str">
        <f>Info!$C$28</f>
        <v>FA_2010_20120518</v>
      </c>
      <c r="G3" s="20"/>
    </row>
    <row r="4" spans="1:7" s="21" customFormat="1">
      <c r="A4" s="83" t="s">
        <v>23</v>
      </c>
      <c r="B4" s="24" t="s">
        <v>76</v>
      </c>
      <c r="C4" s="24" t="s">
        <v>24</v>
      </c>
      <c r="D4" s="84" t="s">
        <v>25</v>
      </c>
    </row>
    <row r="5" spans="1:7" s="26" customFormat="1" ht="11.25" customHeight="1">
      <c r="A5" s="28" t="s">
        <v>32</v>
      </c>
      <c r="B5" s="29"/>
      <c r="C5" s="29"/>
      <c r="D5" s="31" t="s">
        <v>82</v>
      </c>
    </row>
    <row r="6" spans="1:7" ht="42.75" customHeight="1">
      <c r="A6" s="105"/>
      <c r="B6" s="106" t="s">
        <v>83</v>
      </c>
      <c r="C6" s="106" t="s">
        <v>84</v>
      </c>
      <c r="D6" s="107" t="s">
        <v>85</v>
      </c>
    </row>
    <row r="7" spans="1:7" s="35" customFormat="1" ht="11.25" customHeight="1">
      <c r="A7" s="37" t="s">
        <v>42</v>
      </c>
      <c r="B7" s="38" t="s">
        <v>43</v>
      </c>
      <c r="C7" s="38" t="s">
        <v>43</v>
      </c>
      <c r="D7" s="108"/>
    </row>
    <row r="8" spans="1:7" s="109" customFormat="1">
      <c r="A8" s="86" t="s">
        <v>45</v>
      </c>
      <c r="B8" s="40" t="s">
        <v>46</v>
      </c>
      <c r="C8" s="40" t="s">
        <v>46</v>
      </c>
      <c r="D8" s="39" t="s">
        <v>46</v>
      </c>
      <c r="F8" s="110" t="s">
        <v>86</v>
      </c>
      <c r="G8" s="111"/>
    </row>
    <row r="9" spans="1:7">
      <c r="A9" s="41" t="s">
        <v>48</v>
      </c>
      <c r="B9" s="42">
        <v>14132218.1</v>
      </c>
      <c r="C9" s="42">
        <v>632742.02390000003</v>
      </c>
      <c r="D9" s="112">
        <f t="shared" ref="D9:D34" si="0">B9+C9</f>
        <v>14764960.1239</v>
      </c>
      <c r="F9" s="113" t="s">
        <v>87</v>
      </c>
      <c r="G9" s="114">
        <v>2.4E-2</v>
      </c>
    </row>
    <row r="10" spans="1:7">
      <c r="A10" s="45" t="s">
        <v>49</v>
      </c>
      <c r="B10" s="46">
        <v>5408198.9000000004</v>
      </c>
      <c r="C10" s="46">
        <v>178002.08379999999</v>
      </c>
      <c r="D10" s="115">
        <f t="shared" si="0"/>
        <v>5586200.9838000005</v>
      </c>
      <c r="F10" s="113" t="s">
        <v>88</v>
      </c>
      <c r="G10" s="114">
        <v>7.2999999999999995E-2</v>
      </c>
    </row>
    <row r="11" spans="1:7">
      <c r="A11" s="48" t="s">
        <v>50</v>
      </c>
      <c r="B11" s="49">
        <v>1458399</v>
      </c>
      <c r="C11" s="49">
        <v>198444.73360000001</v>
      </c>
      <c r="D11" s="116">
        <f t="shared" si="0"/>
        <v>1656843.7335999999</v>
      </c>
      <c r="F11" s="113" t="s">
        <v>89</v>
      </c>
      <c r="G11" s="114">
        <v>0.17</v>
      </c>
    </row>
    <row r="12" spans="1:7">
      <c r="A12" s="45" t="s">
        <v>51</v>
      </c>
      <c r="B12" s="46">
        <v>105429.2</v>
      </c>
      <c r="C12" s="46">
        <v>1627.7838999999999</v>
      </c>
      <c r="D12" s="115">
        <f t="shared" si="0"/>
        <v>107056.98389999999</v>
      </c>
      <c r="F12" s="117" t="s">
        <v>90</v>
      </c>
      <c r="G12" s="118">
        <v>1</v>
      </c>
    </row>
    <row r="13" spans="1:7">
      <c r="A13" s="48" t="s">
        <v>52</v>
      </c>
      <c r="B13" s="49">
        <v>774962.6</v>
      </c>
      <c r="C13" s="49">
        <v>281642.57539999997</v>
      </c>
      <c r="D13" s="116">
        <f t="shared" si="0"/>
        <v>1056605.1754000001</v>
      </c>
    </row>
    <row r="14" spans="1:7">
      <c r="A14" s="45" t="s">
        <v>53</v>
      </c>
      <c r="B14" s="46">
        <v>172644.6</v>
      </c>
      <c r="C14" s="46">
        <v>2386.6080000000002</v>
      </c>
      <c r="D14" s="115">
        <f t="shared" si="0"/>
        <v>175031.20800000001</v>
      </c>
    </row>
    <row r="15" spans="1:7">
      <c r="A15" s="48" t="s">
        <v>54</v>
      </c>
      <c r="B15" s="49">
        <v>155777.70000000001</v>
      </c>
      <c r="C15" s="49">
        <v>20289.174299999999</v>
      </c>
      <c r="D15" s="116">
        <f t="shared" si="0"/>
        <v>176066.87430000002</v>
      </c>
    </row>
    <row r="16" spans="1:7">
      <c r="A16" s="45" t="s">
        <v>55</v>
      </c>
      <c r="B16" s="46">
        <v>103348.1</v>
      </c>
      <c r="C16" s="46">
        <v>49300.306499999999</v>
      </c>
      <c r="D16" s="115">
        <f t="shared" si="0"/>
        <v>152648.40650000001</v>
      </c>
    </row>
    <row r="17" spans="1:4">
      <c r="A17" s="48" t="s">
        <v>56</v>
      </c>
      <c r="B17" s="49">
        <v>1665200.9</v>
      </c>
      <c r="C17" s="49">
        <v>2032866.9079</v>
      </c>
      <c r="D17" s="116">
        <f t="shared" si="0"/>
        <v>3698067.8078999999</v>
      </c>
    </row>
    <row r="18" spans="1:4">
      <c r="A18" s="45" t="s">
        <v>57</v>
      </c>
      <c r="B18" s="46">
        <v>974284.1</v>
      </c>
      <c r="C18" s="46">
        <v>121418.7803</v>
      </c>
      <c r="D18" s="115">
        <f t="shared" si="0"/>
        <v>1095702.8803000001</v>
      </c>
    </row>
    <row r="19" spans="1:4">
      <c r="A19" s="48" t="s">
        <v>58</v>
      </c>
      <c r="B19" s="49">
        <v>1386176.1</v>
      </c>
      <c r="C19" s="49">
        <v>25939.9509</v>
      </c>
      <c r="D19" s="116">
        <f t="shared" si="0"/>
        <v>1412116.0509000001</v>
      </c>
    </row>
    <row r="20" spans="1:4">
      <c r="A20" s="45" t="s">
        <v>59</v>
      </c>
      <c r="B20" s="46">
        <v>1391637</v>
      </c>
      <c r="C20" s="46">
        <v>1619061.4506000001</v>
      </c>
      <c r="D20" s="115">
        <f t="shared" si="0"/>
        <v>3010698.4506000001</v>
      </c>
    </row>
    <row r="21" spans="1:4">
      <c r="A21" s="48" t="s">
        <v>60</v>
      </c>
      <c r="B21" s="49">
        <v>1199726.6000000001</v>
      </c>
      <c r="C21" s="49">
        <v>86282.736000000004</v>
      </c>
      <c r="D21" s="116">
        <f t="shared" si="0"/>
        <v>1286009.3360000001</v>
      </c>
    </row>
    <row r="22" spans="1:4">
      <c r="A22" s="45" t="s">
        <v>61</v>
      </c>
      <c r="B22" s="46">
        <v>463679.9</v>
      </c>
      <c r="C22" s="46">
        <v>268616.80459999997</v>
      </c>
      <c r="D22" s="115">
        <f t="shared" si="0"/>
        <v>732296.70460000006</v>
      </c>
    </row>
    <row r="23" spans="1:4">
      <c r="A23" s="48" t="s">
        <v>62</v>
      </c>
      <c r="B23" s="49">
        <v>206002.7</v>
      </c>
      <c r="C23" s="49">
        <v>4264.3388999999997</v>
      </c>
      <c r="D23" s="116">
        <f t="shared" si="0"/>
        <v>210267.03890000001</v>
      </c>
    </row>
    <row r="24" spans="1:4">
      <c r="A24" s="45" t="s">
        <v>63</v>
      </c>
      <c r="B24" s="46">
        <v>58470.1</v>
      </c>
      <c r="C24" s="46">
        <v>5762.1297000000004</v>
      </c>
      <c r="D24" s="115">
        <f t="shared" si="0"/>
        <v>64232.229699999996</v>
      </c>
    </row>
    <row r="25" spans="1:4">
      <c r="A25" s="48" t="s">
        <v>64</v>
      </c>
      <c r="B25" s="49">
        <v>1882241.8</v>
      </c>
      <c r="C25" s="49">
        <v>178041.86439999999</v>
      </c>
      <c r="D25" s="116">
        <f t="shared" si="0"/>
        <v>2060283.6644000001</v>
      </c>
    </row>
    <row r="26" spans="1:4">
      <c r="A26" s="45" t="s">
        <v>65</v>
      </c>
      <c r="B26" s="46">
        <v>713523.4</v>
      </c>
      <c r="C26" s="46">
        <v>64443.210599999999</v>
      </c>
      <c r="D26" s="115">
        <f t="shared" si="0"/>
        <v>777966.61060000001</v>
      </c>
    </row>
    <row r="27" spans="1:4">
      <c r="A27" s="48" t="s">
        <v>66</v>
      </c>
      <c r="B27" s="49">
        <v>2895301.9</v>
      </c>
      <c r="C27" s="49">
        <v>42866.429900000003</v>
      </c>
      <c r="D27" s="116">
        <f t="shared" si="0"/>
        <v>2938168.3298999998</v>
      </c>
    </row>
    <row r="28" spans="1:4">
      <c r="A28" s="45" t="s">
        <v>67</v>
      </c>
      <c r="B28" s="46">
        <v>1052593.2</v>
      </c>
      <c r="C28" s="46">
        <v>13969.500899999999</v>
      </c>
      <c r="D28" s="115">
        <f t="shared" si="0"/>
        <v>1066562.7009000001</v>
      </c>
    </row>
    <row r="29" spans="1:4">
      <c r="A29" s="48" t="s">
        <v>68</v>
      </c>
      <c r="B29" s="49">
        <v>2217627.2000000002</v>
      </c>
      <c r="C29" s="49">
        <v>302171.25670000003</v>
      </c>
      <c r="D29" s="116">
        <f t="shared" si="0"/>
        <v>2519798.4567</v>
      </c>
    </row>
    <row r="30" spans="1:4">
      <c r="A30" s="45" t="s">
        <v>69</v>
      </c>
      <c r="B30" s="46">
        <v>7646447.2000000002</v>
      </c>
      <c r="C30" s="46">
        <v>707378.48820000002</v>
      </c>
      <c r="D30" s="115">
        <f t="shared" si="0"/>
        <v>8353825.6882000007</v>
      </c>
    </row>
    <row r="31" spans="1:4">
      <c r="A31" s="48" t="s">
        <v>70</v>
      </c>
      <c r="B31" s="49">
        <v>741511.7</v>
      </c>
      <c r="C31" s="49">
        <v>2656.1404000000002</v>
      </c>
      <c r="D31" s="116">
        <f t="shared" si="0"/>
        <v>744167.84039999999</v>
      </c>
    </row>
    <row r="32" spans="1:4">
      <c r="A32" s="45" t="s">
        <v>71</v>
      </c>
      <c r="B32" s="46">
        <v>1441396.2</v>
      </c>
      <c r="C32" s="46">
        <v>400073.39130000002</v>
      </c>
      <c r="D32" s="115">
        <f t="shared" si="0"/>
        <v>1841469.5913</v>
      </c>
    </row>
    <row r="33" spans="1:6">
      <c r="A33" s="48" t="s">
        <v>72</v>
      </c>
      <c r="B33" s="49">
        <v>5225471.0999999996</v>
      </c>
      <c r="C33" s="49">
        <v>751463.80229999998</v>
      </c>
      <c r="D33" s="116">
        <f t="shared" si="0"/>
        <v>5976934.9022999993</v>
      </c>
    </row>
    <row r="34" spans="1:6">
      <c r="A34" s="119" t="s">
        <v>73</v>
      </c>
      <c r="B34" s="46">
        <v>277410.5</v>
      </c>
      <c r="C34" s="46">
        <v>14611.006799999999</v>
      </c>
      <c r="D34" s="115">
        <f t="shared" si="0"/>
        <v>292021.50679999997</v>
      </c>
    </row>
    <row r="35" spans="1:6" s="51" customFormat="1">
      <c r="A35" s="53" t="s">
        <v>74</v>
      </c>
      <c r="B35" s="120">
        <f>SUM(B9:B34)</f>
        <v>53749679.800000019</v>
      </c>
      <c r="C35" s="120">
        <f>SUM(C9:C34)</f>
        <v>8006323.4797999999</v>
      </c>
      <c r="D35" s="55">
        <f>SUM(D9:D34)</f>
        <v>61756003.27980002</v>
      </c>
      <c r="F35" s="1"/>
    </row>
  </sheetData>
  <conditionalFormatting sqref="G9:G12 B6:C34 A6">
    <cfRule type="expression" dxfId="10" priority="1" stopIfTrue="1">
      <formula>ISBLANK(A1073741823)</formula>
    </cfRule>
  </conditionalFormatting>
  <conditionalFormatting sqref="G9:G12">
    <cfRule type="expression" dxfId="9" priority="2" stopIfTrue="1">
      <formula>ISBLANK(G9)</formula>
    </cfRule>
  </conditionalFormatting>
  <conditionalFormatting sqref="B9:C34">
    <cfRule type="expression" dxfId="8" priority="3" stopIfTrue="1">
      <formula>ISBLANK(A1073741823)</formula>
    </cfRule>
  </conditionalFormatting>
  <conditionalFormatting sqref="B9:C34">
    <cfRule type="expression" dxfId="7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0.140625" style="1" customWidth="1"/>
    <col min="3" max="5" width="14.28515625" style="1" customWidth="1"/>
    <col min="6" max="6" width="21.5703125" style="1" customWidth="1"/>
    <col min="7" max="7" width="22" style="1" customWidth="1"/>
    <col min="8" max="8" width="14" style="1" customWidth="1"/>
    <col min="9" max="9" width="18.85546875" style="1" customWidth="1"/>
  </cols>
  <sheetData>
    <row r="1" spans="1:9" ht="28.5" customHeight="1">
      <c r="B1" s="16" t="str">
        <f>"Tax repartition "&amp;Info!C31</f>
        <v>Tax repartition 2006</v>
      </c>
      <c r="D1" s="17"/>
      <c r="E1" s="18" t="str">
        <f>Info!A4</f>
        <v>Reference year 2010</v>
      </c>
      <c r="I1" s="20" t="str">
        <f>Info!$C$28</f>
        <v>FA_2010_20120518</v>
      </c>
    </row>
    <row r="2" spans="1:9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9" s="1" customFormat="1">
      <c r="A3" s="27"/>
      <c r="B3" s="28" t="s">
        <v>32</v>
      </c>
      <c r="C3" s="29"/>
      <c r="D3" s="29"/>
      <c r="E3" s="29" t="s">
        <v>91</v>
      </c>
      <c r="F3" s="29"/>
      <c r="G3" s="29"/>
      <c r="H3" s="29" t="s">
        <v>92</v>
      </c>
      <c r="I3" s="121" t="s">
        <v>93</v>
      </c>
    </row>
    <row r="4" spans="1:9" ht="40.5" customHeight="1">
      <c r="B4" s="32"/>
      <c r="C4" s="33" t="s">
        <v>94</v>
      </c>
      <c r="D4" s="33" t="s">
        <v>95</v>
      </c>
      <c r="E4" s="33" t="s">
        <v>96</v>
      </c>
      <c r="F4" s="33" t="s">
        <v>97</v>
      </c>
      <c r="G4" s="33" t="s">
        <v>98</v>
      </c>
      <c r="H4" s="33" t="s">
        <v>99</v>
      </c>
      <c r="I4" s="34" t="s">
        <v>100</v>
      </c>
    </row>
    <row r="5" spans="1:9">
      <c r="A5" s="122"/>
      <c r="B5" s="123" t="s">
        <v>42</v>
      </c>
      <c r="C5" s="38" t="s">
        <v>43</v>
      </c>
      <c r="D5" s="38" t="s">
        <v>43</v>
      </c>
      <c r="E5" s="38"/>
      <c r="F5" s="38" t="s">
        <v>43</v>
      </c>
      <c r="G5" s="38" t="s">
        <v>101</v>
      </c>
      <c r="H5" s="38"/>
      <c r="I5" s="85"/>
    </row>
    <row r="6" spans="1:9" s="35" customFormat="1" ht="11.25" customHeight="1">
      <c r="A6" s="36"/>
      <c r="B6" s="37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40"/>
      <c r="I6" s="39" t="s">
        <v>46</v>
      </c>
    </row>
    <row r="7" spans="1:9">
      <c r="B7" s="41" t="s">
        <v>48</v>
      </c>
      <c r="C7" s="42">
        <v>22619.902999999998</v>
      </c>
      <c r="D7" s="42">
        <v>12272.594800000001</v>
      </c>
      <c r="E7" s="124">
        <f t="shared" ref="E7:E32" si="0">D7-C7</f>
        <v>-10347.308199999998</v>
      </c>
      <c r="F7" s="42">
        <v>3247929.7204714301</v>
      </c>
      <c r="G7" s="124">
        <f>PI!J7+ITS!C7+LE!D9</f>
        <v>46404014.900304943</v>
      </c>
      <c r="H7" s="125">
        <f t="shared" ref="H7:H33" si="1">G7/F7</f>
        <v>14.287259545003177</v>
      </c>
      <c r="I7" s="126">
        <f t="shared" ref="I7:I32" si="2">E7*H7</f>
        <v>-147834.67784553961</v>
      </c>
    </row>
    <row r="8" spans="1:9">
      <c r="B8" s="45" t="s">
        <v>49</v>
      </c>
      <c r="C8" s="46">
        <v>12490.434999999999</v>
      </c>
      <c r="D8" s="46">
        <v>7076.6692000000003</v>
      </c>
      <c r="E8" s="127">
        <f t="shared" si="0"/>
        <v>-5413.7657999999992</v>
      </c>
      <c r="F8" s="46">
        <v>1145798.38914286</v>
      </c>
      <c r="G8" s="127">
        <f>PI!J8+ITS!C8+LE!D10</f>
        <v>20610809.914468925</v>
      </c>
      <c r="H8" s="128">
        <f t="shared" si="1"/>
        <v>17.988164505875506</v>
      </c>
      <c r="I8" s="129">
        <f t="shared" si="2"/>
        <v>-97383.709806682702</v>
      </c>
    </row>
    <row r="9" spans="1:9">
      <c r="B9" s="48" t="s">
        <v>50</v>
      </c>
      <c r="C9" s="49">
        <v>4134.6379999999999</v>
      </c>
      <c r="D9" s="49">
        <v>2903.65265</v>
      </c>
      <c r="E9" s="130">
        <f t="shared" si="0"/>
        <v>-1230.9853499999999</v>
      </c>
      <c r="F9" s="49">
        <v>465342.82764285698</v>
      </c>
      <c r="G9" s="130">
        <f>PI!J9+ITS!C9+LE!D11</f>
        <v>7497798.9822757533</v>
      </c>
      <c r="H9" s="131">
        <f t="shared" si="1"/>
        <v>16.112419783614225</v>
      </c>
      <c r="I9" s="132">
        <f t="shared" si="2"/>
        <v>-19834.152706679281</v>
      </c>
    </row>
    <row r="10" spans="1:9">
      <c r="B10" s="45" t="s">
        <v>51</v>
      </c>
      <c r="C10" s="46">
        <v>9.7881</v>
      </c>
      <c r="D10" s="46">
        <v>136.6566</v>
      </c>
      <c r="E10" s="127">
        <f t="shared" si="0"/>
        <v>126.8685</v>
      </c>
      <c r="F10" s="46">
        <v>25116.0372285714</v>
      </c>
      <c r="G10" s="127">
        <f>PI!J10+ITS!C10+LE!D12</f>
        <v>533582.39671012503</v>
      </c>
      <c r="H10" s="128">
        <f t="shared" si="1"/>
        <v>21.244688875645341</v>
      </c>
      <c r="I10" s="129">
        <f t="shared" si="2"/>
        <v>2695.281810619811</v>
      </c>
    </row>
    <row r="11" spans="1:9">
      <c r="B11" s="48" t="s">
        <v>52</v>
      </c>
      <c r="C11" s="49">
        <v>1331.625</v>
      </c>
      <c r="D11" s="49">
        <v>767.01864999999998</v>
      </c>
      <c r="E11" s="130">
        <f t="shared" si="0"/>
        <v>-564.60635000000002</v>
      </c>
      <c r="F11" s="49">
        <v>414786.13221428602</v>
      </c>
      <c r="G11" s="130">
        <f>PI!J11+ITS!C11+LE!D13</f>
        <v>5240529.0730670802</v>
      </c>
      <c r="H11" s="131">
        <f t="shared" si="1"/>
        <v>12.634291906267801</v>
      </c>
      <c r="I11" s="132">
        <f t="shared" si="2"/>
        <v>-7133.4014380324061</v>
      </c>
    </row>
    <row r="12" spans="1:9">
      <c r="B12" s="45" t="s">
        <v>53</v>
      </c>
      <c r="C12" s="46">
        <v>161.73025000000001</v>
      </c>
      <c r="D12" s="46">
        <v>243.113</v>
      </c>
      <c r="E12" s="127">
        <f t="shared" si="0"/>
        <v>81.382749999999987</v>
      </c>
      <c r="F12" s="46">
        <v>29611.594400000002</v>
      </c>
      <c r="G12" s="127">
        <f>PI!J12+ITS!C12+LE!D14</f>
        <v>739467.38121954992</v>
      </c>
      <c r="H12" s="128">
        <f t="shared" si="1"/>
        <v>24.972224434478608</v>
      </c>
      <c r="I12" s="129">
        <f t="shared" si="2"/>
        <v>2032.3082980950637</v>
      </c>
    </row>
    <row r="13" spans="1:9">
      <c r="B13" s="48" t="s">
        <v>54</v>
      </c>
      <c r="C13" s="49">
        <v>218.46700000000001</v>
      </c>
      <c r="D13" s="49">
        <v>610.37059999999997</v>
      </c>
      <c r="E13" s="130">
        <f t="shared" si="0"/>
        <v>391.90359999999998</v>
      </c>
      <c r="F13" s="49">
        <v>121946.66271428599</v>
      </c>
      <c r="G13" s="130">
        <f>PI!J13+ITS!C13+LE!D15</f>
        <v>1196320.3982228395</v>
      </c>
      <c r="H13" s="131">
        <f t="shared" si="1"/>
        <v>9.8101938306073144</v>
      </c>
      <c r="I13" s="132">
        <f t="shared" si="2"/>
        <v>3844.6502789127967</v>
      </c>
    </row>
    <row r="14" spans="1:9">
      <c r="B14" s="45" t="s">
        <v>55</v>
      </c>
      <c r="C14" s="46">
        <v>73.897000000000006</v>
      </c>
      <c r="D14" s="46">
        <v>1488.3300999999999</v>
      </c>
      <c r="E14" s="127">
        <f t="shared" si="0"/>
        <v>1414.4331</v>
      </c>
      <c r="F14" s="46">
        <v>57311.775142857201</v>
      </c>
      <c r="G14" s="127">
        <f>PI!J14+ITS!C14+LE!D16</f>
        <v>663585.10313025001</v>
      </c>
      <c r="H14" s="128">
        <f t="shared" si="1"/>
        <v>11.578512469316752</v>
      </c>
      <c r="I14" s="129">
        <f t="shared" si="2"/>
        <v>16377.031285364348</v>
      </c>
    </row>
    <row r="15" spans="1:9">
      <c r="B15" s="48" t="s">
        <v>56</v>
      </c>
      <c r="C15" s="49">
        <v>754.08199999999999</v>
      </c>
      <c r="D15" s="49">
        <v>1661.18155</v>
      </c>
      <c r="E15" s="130">
        <f t="shared" si="0"/>
        <v>907.09955000000002</v>
      </c>
      <c r="F15" s="49">
        <v>1212980.73217143</v>
      </c>
      <c r="G15" s="130">
        <f>PI!J15+ITS!C15+LE!D17</f>
        <v>7606996.4871141901</v>
      </c>
      <c r="H15" s="131">
        <f t="shared" si="1"/>
        <v>6.2713250799099232</v>
      </c>
      <c r="I15" s="132">
        <f t="shared" si="2"/>
        <v>5688.7161578900059</v>
      </c>
    </row>
    <row r="16" spans="1:9">
      <c r="B16" s="45" t="s">
        <v>57</v>
      </c>
      <c r="C16" s="46">
        <v>1718.7706000000001</v>
      </c>
      <c r="D16" s="46">
        <v>1586.2723000000001</v>
      </c>
      <c r="E16" s="127">
        <f t="shared" si="0"/>
        <v>-132.49829999999997</v>
      </c>
      <c r="F16" s="46">
        <v>319469.41869999998</v>
      </c>
      <c r="G16" s="127">
        <f>PI!J16+ITS!C16+LE!D18</f>
        <v>5126282.6299550002</v>
      </c>
      <c r="H16" s="128">
        <f t="shared" si="1"/>
        <v>16.046238950867696</v>
      </c>
      <c r="I16" s="129">
        <f t="shared" si="2"/>
        <v>-2126.099382383753</v>
      </c>
    </row>
    <row r="17" spans="2:9">
      <c r="B17" s="48" t="s">
        <v>58</v>
      </c>
      <c r="C17" s="49">
        <v>100.965</v>
      </c>
      <c r="D17" s="49">
        <v>2166.07555</v>
      </c>
      <c r="E17" s="130">
        <f t="shared" si="0"/>
        <v>2065.1105499999999</v>
      </c>
      <c r="F17" s="49">
        <v>274278.71017142897</v>
      </c>
      <c r="G17" s="130">
        <f>PI!J17+ITS!C17+LE!D19</f>
        <v>5586563.4886966944</v>
      </c>
      <c r="H17" s="131">
        <f t="shared" si="1"/>
        <v>20.368199504821192</v>
      </c>
      <c r="I17" s="132">
        <f t="shared" si="2"/>
        <v>42062.583681911019</v>
      </c>
    </row>
    <row r="18" spans="2:9">
      <c r="B18" s="45" t="s">
        <v>59</v>
      </c>
      <c r="C18" s="46">
        <v>12969.048500000001</v>
      </c>
      <c r="D18" s="46">
        <v>5196.0741500000004</v>
      </c>
      <c r="E18" s="127">
        <f t="shared" si="0"/>
        <v>-7772.9743500000004</v>
      </c>
      <c r="F18" s="46">
        <v>734181.39857142896</v>
      </c>
      <c r="G18" s="127">
        <f>PI!J18+ITS!C18+LE!D20</f>
        <v>7648610.2241861587</v>
      </c>
      <c r="H18" s="128">
        <f t="shared" si="1"/>
        <v>10.417875254084118</v>
      </c>
      <c r="I18" s="129">
        <f t="shared" si="2"/>
        <v>-80977.877131495581</v>
      </c>
    </row>
    <row r="19" spans="2:9">
      <c r="B19" s="48" t="s">
        <v>60</v>
      </c>
      <c r="C19" s="49">
        <v>2754.8163500000001</v>
      </c>
      <c r="D19" s="49">
        <v>2507.7492000000002</v>
      </c>
      <c r="E19" s="130">
        <f t="shared" si="0"/>
        <v>-247.06714999999986</v>
      </c>
      <c r="F19" s="49">
        <v>561114.28571428603</v>
      </c>
      <c r="G19" s="130">
        <f>PI!J19+ITS!C19+LE!D21</f>
        <v>7612354.1673724614</v>
      </c>
      <c r="H19" s="131">
        <f t="shared" si="1"/>
        <v>13.566495028160089</v>
      </c>
      <c r="I19" s="132">
        <f t="shared" si="2"/>
        <v>-3351.8352620966812</v>
      </c>
    </row>
    <row r="20" spans="2:9">
      <c r="B20" s="45" t="s">
        <v>61</v>
      </c>
      <c r="C20" s="46">
        <v>161.80600000000001</v>
      </c>
      <c r="D20" s="46">
        <v>637.33794999999998</v>
      </c>
      <c r="E20" s="127">
        <f t="shared" si="0"/>
        <v>475.53194999999994</v>
      </c>
      <c r="F20" s="46">
        <v>180049.34528571399</v>
      </c>
      <c r="G20" s="127">
        <f>PI!J20+ITS!C20+LE!D22</f>
        <v>2008767.3975146909</v>
      </c>
      <c r="H20" s="128">
        <f t="shared" si="1"/>
        <v>11.156760355485039</v>
      </c>
      <c r="I20" s="129">
        <f t="shared" si="2"/>
        <v>5305.3960075264931</v>
      </c>
    </row>
    <row r="21" spans="2:9">
      <c r="B21" s="48" t="s">
        <v>62</v>
      </c>
      <c r="C21" s="49">
        <v>400.03100000000001</v>
      </c>
      <c r="D21" s="49">
        <v>366.17005</v>
      </c>
      <c r="E21" s="130">
        <f t="shared" si="0"/>
        <v>-33.860950000000003</v>
      </c>
      <c r="F21" s="49">
        <v>58319.154300000002</v>
      </c>
      <c r="G21" s="130">
        <f>PI!J21+ITS!C21+LE!D23</f>
        <v>1071046.4664429801</v>
      </c>
      <c r="H21" s="131">
        <f t="shared" si="1"/>
        <v>18.365260595745301</v>
      </c>
      <c r="I21" s="132">
        <f t="shared" si="2"/>
        <v>-621.8651707695019</v>
      </c>
    </row>
    <row r="22" spans="2:9">
      <c r="B22" s="45" t="s">
        <v>63</v>
      </c>
      <c r="C22" s="46">
        <v>126.22215</v>
      </c>
      <c r="D22" s="46">
        <v>69.01885</v>
      </c>
      <c r="E22" s="127">
        <f t="shared" si="0"/>
        <v>-57.203299999999999</v>
      </c>
      <c r="F22" s="46">
        <v>19601.6012142857</v>
      </c>
      <c r="G22" s="127">
        <f>PI!J22+ITS!C22+LE!D24</f>
        <v>314726.87075240316</v>
      </c>
      <c r="H22" s="128">
        <f t="shared" si="1"/>
        <v>16.056181702290186</v>
      </c>
      <c r="I22" s="129">
        <f t="shared" si="2"/>
        <v>-918.46657877061614</v>
      </c>
    </row>
    <row r="23" spans="2:9">
      <c r="B23" s="48" t="s">
        <v>64</v>
      </c>
      <c r="C23" s="49">
        <v>1817.64825</v>
      </c>
      <c r="D23" s="49">
        <v>3697.8618499999998</v>
      </c>
      <c r="E23" s="130">
        <f t="shared" si="0"/>
        <v>1880.2135999999998</v>
      </c>
      <c r="F23" s="49">
        <v>528085.56757142895</v>
      </c>
      <c r="G23" s="130">
        <f>PI!J23+ITS!C23+LE!D25</f>
        <v>9137639.3923637234</v>
      </c>
      <c r="H23" s="131">
        <f t="shared" si="1"/>
        <v>17.303331038540009</v>
      </c>
      <c r="I23" s="132">
        <f t="shared" si="2"/>
        <v>32533.958343965045</v>
      </c>
    </row>
    <row r="24" spans="2:9">
      <c r="B24" s="45" t="s">
        <v>65</v>
      </c>
      <c r="C24" s="46">
        <v>1298.0260000000001</v>
      </c>
      <c r="D24" s="46">
        <v>2159.7732500000002</v>
      </c>
      <c r="E24" s="127">
        <f t="shared" si="0"/>
        <v>861.74725000000012</v>
      </c>
      <c r="F24" s="46">
        <v>233002.854914286</v>
      </c>
      <c r="G24" s="127">
        <f>PI!J24+ITS!C24+LE!D26</f>
        <v>4005176.3959816536</v>
      </c>
      <c r="H24" s="128">
        <f t="shared" si="1"/>
        <v>17.189387647009838</v>
      </c>
      <c r="I24" s="129">
        <f t="shared" si="2"/>
        <v>14812.907533994701</v>
      </c>
    </row>
    <row r="25" spans="2:9">
      <c r="B25" s="48" t="s">
        <v>66</v>
      </c>
      <c r="C25" s="49">
        <v>4820.3812500000004</v>
      </c>
      <c r="D25" s="49">
        <v>4236.9273999999996</v>
      </c>
      <c r="E25" s="130">
        <f t="shared" si="0"/>
        <v>-583.45385000000078</v>
      </c>
      <c r="F25" s="49">
        <v>754799.43264285696</v>
      </c>
      <c r="G25" s="130">
        <f>PI!J25+ITS!C25+LE!D27</f>
        <v>13667218.858994279</v>
      </c>
      <c r="H25" s="131">
        <f t="shared" si="1"/>
        <v>18.107086820587345</v>
      </c>
      <c r="I25" s="132">
        <f t="shared" si="2"/>
        <v>-10564.649517755959</v>
      </c>
    </row>
    <row r="26" spans="2:9">
      <c r="B26" s="45" t="s">
        <v>67</v>
      </c>
      <c r="C26" s="46">
        <v>666.54300000000001</v>
      </c>
      <c r="D26" s="46">
        <v>1444.24335</v>
      </c>
      <c r="E26" s="127">
        <f t="shared" si="0"/>
        <v>777.70034999999996</v>
      </c>
      <c r="F26" s="46">
        <v>261933.69092857101</v>
      </c>
      <c r="G26" s="127">
        <f>PI!J26+ITS!C26+LE!D28</f>
        <v>4782331.7056731284</v>
      </c>
      <c r="H26" s="128">
        <f t="shared" si="1"/>
        <v>18.257795279100861</v>
      </c>
      <c r="I26" s="129">
        <f t="shared" si="2"/>
        <v>14199.093778785087</v>
      </c>
    </row>
    <row r="27" spans="2:9">
      <c r="B27" s="48" t="s">
        <v>68</v>
      </c>
      <c r="C27" s="49">
        <v>403.22899999999998</v>
      </c>
      <c r="D27" s="49">
        <v>4696.72145</v>
      </c>
      <c r="E27" s="130">
        <f t="shared" si="0"/>
        <v>4293.4924499999997</v>
      </c>
      <c r="F27" s="49">
        <v>502100.31648571399</v>
      </c>
      <c r="G27" s="130">
        <f>PI!J27+ITS!C27+LE!D29</f>
        <v>8896668.4986987989</v>
      </c>
      <c r="H27" s="131">
        <f t="shared" si="1"/>
        <v>17.718906375060872</v>
      </c>
      <c r="I27" s="132">
        <f t="shared" si="2"/>
        <v>76075.990743580711</v>
      </c>
    </row>
    <row r="28" spans="2:9">
      <c r="B28" s="45" t="s">
        <v>69</v>
      </c>
      <c r="C28" s="46">
        <v>447.19141999999999</v>
      </c>
      <c r="D28" s="46">
        <v>25304.921979999999</v>
      </c>
      <c r="E28" s="127">
        <f t="shared" si="0"/>
        <v>24857.73056</v>
      </c>
      <c r="F28" s="46">
        <v>1108270.1566000001</v>
      </c>
      <c r="G28" s="127">
        <f>PI!J28+ITS!C28+LE!D30</f>
        <v>22562358.524586663</v>
      </c>
      <c r="H28" s="128">
        <f t="shared" si="1"/>
        <v>20.358175658004235</v>
      </c>
      <c r="I28" s="129">
        <f t="shared" si="2"/>
        <v>506058.04519982002</v>
      </c>
    </row>
    <row r="29" spans="2:9">
      <c r="B29" s="48" t="s">
        <v>70</v>
      </c>
      <c r="C29" s="49">
        <v>1023.297</v>
      </c>
      <c r="D29" s="49">
        <v>1866.2363499999999</v>
      </c>
      <c r="E29" s="130">
        <f t="shared" si="0"/>
        <v>842.93934999999988</v>
      </c>
      <c r="F29" s="49">
        <v>250975.08754285701</v>
      </c>
      <c r="G29" s="130">
        <f>PI!J29+ITS!C29+LE!D31</f>
        <v>5215416.9556803713</v>
      </c>
      <c r="H29" s="131">
        <f t="shared" si="1"/>
        <v>20.78061614298581</v>
      </c>
      <c r="I29" s="132">
        <f t="shared" si="2"/>
        <v>17516.799064167964</v>
      </c>
    </row>
    <row r="30" spans="2:9">
      <c r="B30" s="45" t="s">
        <v>71</v>
      </c>
      <c r="C30" s="46">
        <v>19457.746999999999</v>
      </c>
      <c r="D30" s="46">
        <v>1314.27385</v>
      </c>
      <c r="E30" s="127">
        <f t="shared" si="0"/>
        <v>-18143.473149999998</v>
      </c>
      <c r="F30" s="46">
        <v>266488.47117142897</v>
      </c>
      <c r="G30" s="127">
        <f>PI!J30+ITS!C30+LE!D32</f>
        <v>4683161.7447086256</v>
      </c>
      <c r="H30" s="128">
        <f t="shared" si="1"/>
        <v>17.573599803857938</v>
      </c>
      <c r="I30" s="129">
        <f t="shared" si="2"/>
        <v>-318846.13619014173</v>
      </c>
    </row>
    <row r="31" spans="2:9">
      <c r="B31" s="48" t="s">
        <v>72</v>
      </c>
      <c r="C31" s="49">
        <v>2501.6656800000001</v>
      </c>
      <c r="D31" s="49">
        <v>7870.4372700000004</v>
      </c>
      <c r="E31" s="130">
        <f t="shared" si="0"/>
        <v>5368.7715900000003</v>
      </c>
      <c r="F31" s="49">
        <v>1545976.7509285701</v>
      </c>
      <c r="G31" s="130">
        <f>PI!J31+ITS!C31+LE!D33</f>
        <v>18588071.174343467</v>
      </c>
      <c r="H31" s="131">
        <f t="shared" si="1"/>
        <v>12.023512748932863</v>
      </c>
      <c r="I31" s="132">
        <f t="shared" si="2"/>
        <v>64551.493658473562</v>
      </c>
    </row>
    <row r="32" spans="2:9">
      <c r="B32" s="45" t="s">
        <v>73</v>
      </c>
      <c r="C32" s="46">
        <v>213.31344999999999</v>
      </c>
      <c r="D32" s="46">
        <v>395.58505000000002</v>
      </c>
      <c r="E32" s="127">
        <f t="shared" si="0"/>
        <v>182.27160000000003</v>
      </c>
      <c r="F32" s="46">
        <v>64606.928</v>
      </c>
      <c r="G32" s="127">
        <f>PI!J32+ITS!C32+LE!D34</f>
        <v>1205756.372338349</v>
      </c>
      <c r="H32" s="128">
        <f t="shared" si="1"/>
        <v>18.662957823011627</v>
      </c>
      <c r="I32" s="129">
        <f t="shared" si="2"/>
        <v>3401.7271831328467</v>
      </c>
    </row>
    <row r="33" spans="1:9" s="51" customFormat="1">
      <c r="A33" s="52"/>
      <c r="B33" s="53" t="s">
        <v>74</v>
      </c>
      <c r="C33" s="54">
        <f>SUM(C7:C32)</f>
        <v>92675.267000000022</v>
      </c>
      <c r="D33" s="54">
        <f>SUM(D7:D32)</f>
        <v>92675.266999999978</v>
      </c>
      <c r="E33" s="54">
        <f>SUM(E7:E32)</f>
        <v>1.2732925824820995E-11</v>
      </c>
      <c r="F33" s="54">
        <f>SUM(F7:F32)</f>
        <v>14384077.041871434</v>
      </c>
      <c r="G33" s="54">
        <f>SUM(G7:G32)</f>
        <v>212605255.50480315</v>
      </c>
      <c r="H33" s="133">
        <f t="shared" si="1"/>
        <v>14.780597662673687</v>
      </c>
      <c r="I33" s="55">
        <f>SUM(I7:I32)</f>
        <v>117563.1119958917</v>
      </c>
    </row>
  </sheetData>
  <conditionalFormatting sqref="G7:I32 E7:E32">
    <cfRule type="expression" dxfId="6" priority="1" stopIfTrue="1">
      <formula>ISBLANK(E7)</formula>
    </cfRule>
  </conditionalFormatting>
  <conditionalFormatting sqref="C7:D32 F7:F32">
    <cfRule type="expression" dxfId="5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0" customHeight="1">
      <c r="A1" s="15"/>
      <c r="B1" s="134" t="str">
        <f>"Total ATB "&amp;Info!C31</f>
        <v>Total ATB 2006</v>
      </c>
      <c r="C1" s="134"/>
      <c r="D1" s="135" t="str">
        <f>Info!A4</f>
        <v>Reference year 2010</v>
      </c>
      <c r="E1" s="135"/>
      <c r="H1" s="20" t="str">
        <f>Info!$C$28</f>
        <v>FA_2010_20120518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5" t="s">
        <v>29</v>
      </c>
    </row>
    <row r="3" spans="1:10">
      <c r="A3" s="27"/>
      <c r="B3" s="28" t="s">
        <v>32</v>
      </c>
      <c r="C3" s="29"/>
      <c r="D3" s="29"/>
      <c r="E3" s="29"/>
      <c r="F3" s="29"/>
      <c r="G3" s="29"/>
      <c r="H3" s="31" t="s">
        <v>102</v>
      </c>
    </row>
    <row r="4" spans="1:10" ht="30" customHeight="1">
      <c r="A4" s="58"/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4" t="s">
        <v>104</v>
      </c>
    </row>
    <row r="5" spans="1:10" s="35" customFormat="1" ht="11.25" customHeight="1">
      <c r="A5" s="36"/>
      <c r="B5" s="37" t="s">
        <v>105</v>
      </c>
      <c r="C5" s="38">
        <f>Info!$C$31</f>
        <v>2006</v>
      </c>
      <c r="D5" s="38">
        <f>Info!$C$31</f>
        <v>2006</v>
      </c>
      <c r="E5" s="38">
        <f>Info!$C$31</f>
        <v>2006</v>
      </c>
      <c r="F5" s="136">
        <f>Info!$C$31</f>
        <v>2006</v>
      </c>
      <c r="G5" s="38">
        <f>Info!$C$31</f>
        <v>2006</v>
      </c>
      <c r="H5" s="85">
        <f>Info!$C$31</f>
        <v>2006</v>
      </c>
    </row>
    <row r="6" spans="1:10" s="35" customFormat="1" ht="11.25" customHeight="1">
      <c r="A6" s="36"/>
      <c r="B6" s="86" t="s">
        <v>45</v>
      </c>
      <c r="C6" s="40" t="s">
        <v>46</v>
      </c>
      <c r="D6" s="40" t="s">
        <v>46</v>
      </c>
      <c r="E6" s="40" t="s">
        <v>46</v>
      </c>
      <c r="F6" s="40" t="s">
        <v>46</v>
      </c>
      <c r="G6" s="40" t="s">
        <v>46</v>
      </c>
      <c r="H6" s="39" t="s">
        <v>46</v>
      </c>
    </row>
    <row r="7" spans="1:10">
      <c r="B7" s="41" t="s">
        <v>48</v>
      </c>
      <c r="C7" s="124">
        <f>PI!J7</f>
        <v>30259478.899999999</v>
      </c>
      <c r="D7" s="124">
        <f>ITS!C7</f>
        <v>1379575.8764049499</v>
      </c>
      <c r="E7" s="124">
        <f>Wealth!D9</f>
        <v>3691613.7600000002</v>
      </c>
      <c r="F7" s="137">
        <f>LE!D9</f>
        <v>14764960.1239</v>
      </c>
      <c r="G7" s="124">
        <f>REPART!I7</f>
        <v>-147834.67784553961</v>
      </c>
      <c r="H7" s="126">
        <f t="shared" ref="H7:H32" si="0">SUM(C7:G7)</f>
        <v>49947793.982459411</v>
      </c>
      <c r="J7" s="138"/>
    </row>
    <row r="8" spans="1:10">
      <c r="B8" s="45" t="s">
        <v>49</v>
      </c>
      <c r="C8" s="127">
        <f>PI!J8</f>
        <v>14276312.800000001</v>
      </c>
      <c r="D8" s="127">
        <f>ITS!C8</f>
        <v>748296.13066892303</v>
      </c>
      <c r="E8" s="127">
        <f>Wealth!D10</f>
        <v>1640053.058892</v>
      </c>
      <c r="F8" s="139">
        <f>LE!D10</f>
        <v>5586200.9838000005</v>
      </c>
      <c r="G8" s="127">
        <f>REPART!I8</f>
        <v>-97383.709806682702</v>
      </c>
      <c r="H8" s="129">
        <f t="shared" si="0"/>
        <v>22153479.263554242</v>
      </c>
      <c r="J8" s="138"/>
    </row>
    <row r="9" spans="1:10">
      <c r="B9" s="48" t="s">
        <v>50</v>
      </c>
      <c r="C9" s="130">
        <f>PI!J9</f>
        <v>5643478.6000000015</v>
      </c>
      <c r="D9" s="130">
        <f>ITS!C9</f>
        <v>197476.64867575199</v>
      </c>
      <c r="E9" s="130">
        <f>Wealth!D11</f>
        <v>591050.16802823998</v>
      </c>
      <c r="F9" s="140">
        <f>LE!D11</f>
        <v>1656843.7335999999</v>
      </c>
      <c r="G9" s="130">
        <f>REPART!I9</f>
        <v>-19834.152706679281</v>
      </c>
      <c r="H9" s="132">
        <f t="shared" si="0"/>
        <v>8069014.9975973144</v>
      </c>
      <c r="J9" s="138"/>
    </row>
    <row r="10" spans="1:10">
      <c r="B10" s="45" t="s">
        <v>51</v>
      </c>
      <c r="C10" s="127">
        <f>PI!J10</f>
        <v>405598.8</v>
      </c>
      <c r="D10" s="127">
        <f>ITS!C10</f>
        <v>20926.612810125</v>
      </c>
      <c r="E10" s="127">
        <f>Wealth!D12</f>
        <v>46666.452012000002</v>
      </c>
      <c r="F10" s="139">
        <f>LE!D12</f>
        <v>107056.98389999999</v>
      </c>
      <c r="G10" s="127">
        <f>REPART!I10</f>
        <v>2695.281810619811</v>
      </c>
      <c r="H10" s="129">
        <f t="shared" si="0"/>
        <v>582944.13053274481</v>
      </c>
      <c r="J10" s="138"/>
    </row>
    <row r="11" spans="1:10">
      <c r="B11" s="48" t="s">
        <v>52</v>
      </c>
      <c r="C11" s="130">
        <f>PI!J11</f>
        <v>4092191.1999999997</v>
      </c>
      <c r="D11" s="130">
        <f>ITS!C11</f>
        <v>91732.697667080298</v>
      </c>
      <c r="E11" s="130">
        <f>Wealth!D13</f>
        <v>571638.90272400004</v>
      </c>
      <c r="F11" s="140">
        <f>LE!D13</f>
        <v>1056605.1754000001</v>
      </c>
      <c r="G11" s="130">
        <f>REPART!I11</f>
        <v>-7133.4014380324061</v>
      </c>
      <c r="H11" s="132">
        <f t="shared" si="0"/>
        <v>5805034.5743530476</v>
      </c>
      <c r="J11" s="138"/>
    </row>
    <row r="12" spans="1:10">
      <c r="B12" s="45" t="s">
        <v>53</v>
      </c>
      <c r="C12" s="127">
        <f>PI!J12</f>
        <v>541427.69999999995</v>
      </c>
      <c r="D12" s="127">
        <f>ITS!C12</f>
        <v>23008.47321955</v>
      </c>
      <c r="E12" s="127">
        <f>Wealth!D14</f>
        <v>65945.568708000006</v>
      </c>
      <c r="F12" s="139">
        <f>LE!D14</f>
        <v>175031.20800000001</v>
      </c>
      <c r="G12" s="127">
        <f>REPART!I12</f>
        <v>2032.3082980950637</v>
      </c>
      <c r="H12" s="129">
        <f t="shared" si="0"/>
        <v>807445.25822564494</v>
      </c>
      <c r="J12" s="138"/>
    </row>
    <row r="13" spans="1:10">
      <c r="B13" s="48" t="s">
        <v>54</v>
      </c>
      <c r="C13" s="130">
        <f>PI!J13</f>
        <v>998194.8</v>
      </c>
      <c r="D13" s="130">
        <f>ITS!C13</f>
        <v>22058.723922839399</v>
      </c>
      <c r="E13" s="130">
        <f>Wealth!D15</f>
        <v>229086.02778000003</v>
      </c>
      <c r="F13" s="140">
        <f>LE!D15</f>
        <v>176066.87430000002</v>
      </c>
      <c r="G13" s="130">
        <f>REPART!I13</f>
        <v>3844.6502789127967</v>
      </c>
      <c r="H13" s="132">
        <f t="shared" si="0"/>
        <v>1429251.0762817524</v>
      </c>
      <c r="J13" s="138"/>
    </row>
    <row r="14" spans="1:10">
      <c r="B14" s="45" t="s">
        <v>55</v>
      </c>
      <c r="C14" s="127">
        <f>PI!J14</f>
        <v>494847.19999999995</v>
      </c>
      <c r="D14" s="127">
        <f>ITS!C14</f>
        <v>16089.49663025</v>
      </c>
      <c r="E14" s="127">
        <f>Wealth!D16</f>
        <v>72332.082395999998</v>
      </c>
      <c r="F14" s="139">
        <f>LE!D16</f>
        <v>152648.40650000001</v>
      </c>
      <c r="G14" s="127">
        <f>REPART!I14</f>
        <v>16377.031285364348</v>
      </c>
      <c r="H14" s="129">
        <f t="shared" si="0"/>
        <v>752294.21681161434</v>
      </c>
      <c r="J14" s="138"/>
    </row>
    <row r="15" spans="1:10">
      <c r="B15" s="48" t="s">
        <v>56</v>
      </c>
      <c r="C15" s="130">
        <f>PI!J15</f>
        <v>3774746.9000000004</v>
      </c>
      <c r="D15" s="130">
        <f>ITS!C15</f>
        <v>134181.77921419</v>
      </c>
      <c r="E15" s="130">
        <f>Wealth!D17</f>
        <v>469074.65497199999</v>
      </c>
      <c r="F15" s="140">
        <f>LE!D17</f>
        <v>3698067.8078999999</v>
      </c>
      <c r="G15" s="130">
        <f>REPART!I15</f>
        <v>5688.7161578900059</v>
      </c>
      <c r="H15" s="132">
        <f t="shared" si="0"/>
        <v>8081759.8582440792</v>
      </c>
      <c r="J15" s="138"/>
    </row>
    <row r="16" spans="1:10">
      <c r="B16" s="45" t="s">
        <v>57</v>
      </c>
      <c r="C16" s="127">
        <f>PI!J16</f>
        <v>3876911</v>
      </c>
      <c r="D16" s="127">
        <f>ITS!C16</f>
        <v>153668.74965499999</v>
      </c>
      <c r="E16" s="127">
        <f>Wealth!D18</f>
        <v>273613.40288400004</v>
      </c>
      <c r="F16" s="139">
        <f>LE!D18</f>
        <v>1095702.8803000001</v>
      </c>
      <c r="G16" s="127">
        <f>REPART!I16</f>
        <v>-2126.099382383753</v>
      </c>
      <c r="H16" s="129">
        <f t="shared" si="0"/>
        <v>5397769.9334566165</v>
      </c>
      <c r="J16" s="138"/>
    </row>
    <row r="17" spans="2:10">
      <c r="B17" s="48" t="s">
        <v>58</v>
      </c>
      <c r="C17" s="130">
        <f>PI!J17</f>
        <v>4059911.7000000007</v>
      </c>
      <c r="D17" s="130">
        <f>ITS!C17</f>
        <v>114535.73779669301</v>
      </c>
      <c r="E17" s="130">
        <f>Wealth!D19</f>
        <v>246471.21195599998</v>
      </c>
      <c r="F17" s="140">
        <f>LE!D19</f>
        <v>1412116.0509000001</v>
      </c>
      <c r="G17" s="130">
        <f>REPART!I17</f>
        <v>42062.583681911019</v>
      </c>
      <c r="H17" s="132">
        <f t="shared" si="0"/>
        <v>5875097.2843346056</v>
      </c>
      <c r="J17" s="138"/>
    </row>
    <row r="18" spans="2:10">
      <c r="B18" s="45" t="s">
        <v>59</v>
      </c>
      <c r="C18" s="127">
        <f>PI!J18</f>
        <v>3953975.9000000004</v>
      </c>
      <c r="D18" s="127">
        <f>ITS!C18</f>
        <v>683935.87358615804</v>
      </c>
      <c r="E18" s="127">
        <f>Wealth!D20</f>
        <v>548760.771924</v>
      </c>
      <c r="F18" s="139">
        <f>LE!D20</f>
        <v>3010698.4506000001</v>
      </c>
      <c r="G18" s="127">
        <f>REPART!I18</f>
        <v>-80977.877131495581</v>
      </c>
      <c r="H18" s="129">
        <f t="shared" si="0"/>
        <v>8116393.1189786633</v>
      </c>
      <c r="J18" s="138"/>
    </row>
    <row r="19" spans="2:10">
      <c r="B19" s="48" t="s">
        <v>60</v>
      </c>
      <c r="C19" s="130">
        <f>PI!J19</f>
        <v>5980469.5000000009</v>
      </c>
      <c r="D19" s="130">
        <f>ITS!C19</f>
        <v>345875.33137246</v>
      </c>
      <c r="E19" s="130">
        <f>Wealth!D21</f>
        <v>428871.11563200003</v>
      </c>
      <c r="F19" s="140">
        <f>LE!D21</f>
        <v>1286009.3360000001</v>
      </c>
      <c r="G19" s="130">
        <f>REPART!I19</f>
        <v>-3351.8352620966812</v>
      </c>
      <c r="H19" s="132">
        <f t="shared" si="0"/>
        <v>8037873.4477423653</v>
      </c>
      <c r="J19" s="138"/>
    </row>
    <row r="20" spans="2:10">
      <c r="B20" s="45" t="s">
        <v>61</v>
      </c>
      <c r="C20" s="127">
        <f>PI!J20</f>
        <v>1156786.8999999999</v>
      </c>
      <c r="D20" s="127">
        <f>ITS!C20</f>
        <v>119683.792914691</v>
      </c>
      <c r="E20" s="127">
        <f>Wealth!D22</f>
        <v>121612.01380799999</v>
      </c>
      <c r="F20" s="139">
        <f>LE!D22</f>
        <v>732296.70460000006</v>
      </c>
      <c r="G20" s="127">
        <f>REPART!I20</f>
        <v>5305.3960075264931</v>
      </c>
      <c r="H20" s="129">
        <f t="shared" si="0"/>
        <v>2135684.8073302172</v>
      </c>
      <c r="J20" s="138"/>
    </row>
    <row r="21" spans="2:10">
      <c r="B21" s="48" t="s">
        <v>62</v>
      </c>
      <c r="C21" s="130">
        <f>PI!J21</f>
        <v>831160.70000000007</v>
      </c>
      <c r="D21" s="130">
        <f>ITS!C21</f>
        <v>29618.727542980101</v>
      </c>
      <c r="E21" s="130">
        <f>Wealth!D23</f>
        <v>124725.579096</v>
      </c>
      <c r="F21" s="140">
        <f>LE!D23</f>
        <v>210267.03890000001</v>
      </c>
      <c r="G21" s="130">
        <f>REPART!I21</f>
        <v>-621.8651707695019</v>
      </c>
      <c r="H21" s="132">
        <f t="shared" si="0"/>
        <v>1195150.1803682109</v>
      </c>
      <c r="J21" s="138"/>
    </row>
    <row r="22" spans="2:10">
      <c r="B22" s="45" t="s">
        <v>63</v>
      </c>
      <c r="C22" s="127">
        <f>PI!J22</f>
        <v>243628.30000000002</v>
      </c>
      <c r="D22" s="127">
        <f>ITS!C22</f>
        <v>6866.3410524031897</v>
      </c>
      <c r="E22" s="127">
        <f>Wealth!D24</f>
        <v>39463.584839999996</v>
      </c>
      <c r="F22" s="139">
        <f>LE!D24</f>
        <v>64232.229699999996</v>
      </c>
      <c r="G22" s="127">
        <f>REPART!I22</f>
        <v>-918.46657877061614</v>
      </c>
      <c r="H22" s="129">
        <f t="shared" si="0"/>
        <v>353271.98901363258</v>
      </c>
      <c r="J22" s="138"/>
    </row>
    <row r="23" spans="2:10">
      <c r="B23" s="48" t="s">
        <v>64</v>
      </c>
      <c r="C23" s="130">
        <f>PI!J23</f>
        <v>6674850</v>
      </c>
      <c r="D23" s="130">
        <f>ITS!C23</f>
        <v>402505.727963724</v>
      </c>
      <c r="E23" s="130">
        <f>Wealth!D25</f>
        <v>900529.73050800012</v>
      </c>
      <c r="F23" s="140">
        <f>LE!D25</f>
        <v>2060283.6644000001</v>
      </c>
      <c r="G23" s="130">
        <f>REPART!I23</f>
        <v>32533.958343965045</v>
      </c>
      <c r="H23" s="132">
        <f t="shared" si="0"/>
        <v>10070703.081215691</v>
      </c>
      <c r="J23" s="138"/>
    </row>
    <row r="24" spans="2:10">
      <c r="B24" s="45" t="s">
        <v>65</v>
      </c>
      <c r="C24" s="127">
        <f>PI!J24</f>
        <v>2912208.8000000003</v>
      </c>
      <c r="D24" s="127">
        <f>ITS!C24</f>
        <v>315000.98538165301</v>
      </c>
      <c r="E24" s="127">
        <f>Wealth!D26</f>
        <v>454553.73447600007</v>
      </c>
      <c r="F24" s="139">
        <f>LE!D26</f>
        <v>777966.61060000001</v>
      </c>
      <c r="G24" s="127">
        <f>REPART!I24</f>
        <v>14812.907533994701</v>
      </c>
      <c r="H24" s="129">
        <f t="shared" si="0"/>
        <v>4474543.0379916485</v>
      </c>
      <c r="J24" s="138"/>
    </row>
    <row r="25" spans="2:10">
      <c r="B25" s="48" t="s">
        <v>66</v>
      </c>
      <c r="C25" s="130">
        <f>PI!J25</f>
        <v>10299501.400000002</v>
      </c>
      <c r="D25" s="130">
        <f>ITS!C25</f>
        <v>429549.12909427698</v>
      </c>
      <c r="E25" s="130">
        <f>Wealth!D27</f>
        <v>986123.11711200001</v>
      </c>
      <c r="F25" s="140">
        <f>LE!D27</f>
        <v>2938168.3298999998</v>
      </c>
      <c r="G25" s="130">
        <f>REPART!I25</f>
        <v>-10564.649517755959</v>
      </c>
      <c r="H25" s="132">
        <f t="shared" si="0"/>
        <v>14642777.326588523</v>
      </c>
      <c r="J25" s="138"/>
    </row>
    <row r="26" spans="2:10">
      <c r="B26" s="45" t="s">
        <v>67</v>
      </c>
      <c r="C26" s="127">
        <f>PI!J26</f>
        <v>3545123.0999999996</v>
      </c>
      <c r="D26" s="127">
        <f>ITS!C26</f>
        <v>170645.904773129</v>
      </c>
      <c r="E26" s="127">
        <f>Wealth!D28</f>
        <v>415875.03600000002</v>
      </c>
      <c r="F26" s="139">
        <f>LE!D28</f>
        <v>1066562.7009000001</v>
      </c>
      <c r="G26" s="127">
        <f>REPART!I26</f>
        <v>14199.093778785087</v>
      </c>
      <c r="H26" s="129">
        <f t="shared" si="0"/>
        <v>5212405.835451914</v>
      </c>
      <c r="J26" s="138"/>
    </row>
    <row r="27" spans="2:10">
      <c r="B27" s="48" t="s">
        <v>68</v>
      </c>
      <c r="C27" s="130">
        <f>PI!J27</f>
        <v>5523101.6999999993</v>
      </c>
      <c r="D27" s="130">
        <f>ITS!C27</f>
        <v>853768.34199880005</v>
      </c>
      <c r="E27" s="130">
        <f>Wealth!D29</f>
        <v>466027.44373199996</v>
      </c>
      <c r="F27" s="140">
        <f>LE!D29</f>
        <v>2519798.4567</v>
      </c>
      <c r="G27" s="130">
        <f>REPART!I27</f>
        <v>76075.990743580711</v>
      </c>
      <c r="H27" s="132">
        <f t="shared" si="0"/>
        <v>9438771.9331743792</v>
      </c>
      <c r="J27" s="138"/>
    </row>
    <row r="28" spans="2:10">
      <c r="B28" s="45" t="s">
        <v>69</v>
      </c>
      <c r="C28" s="127">
        <f>PI!J28</f>
        <v>13435840.6</v>
      </c>
      <c r="D28" s="127">
        <f>ITS!C28</f>
        <v>772692.23638666503</v>
      </c>
      <c r="E28" s="127">
        <f>Wealth!D30</f>
        <v>1118736.4080000001</v>
      </c>
      <c r="F28" s="139">
        <f>LE!D30</f>
        <v>8353825.6882000007</v>
      </c>
      <c r="G28" s="127">
        <f>REPART!I28</f>
        <v>506058.04519982002</v>
      </c>
      <c r="H28" s="129">
        <f t="shared" si="0"/>
        <v>24187152.977786481</v>
      </c>
      <c r="J28" s="138"/>
    </row>
    <row r="29" spans="2:10">
      <c r="B29" s="48" t="s">
        <v>70</v>
      </c>
      <c r="C29" s="130">
        <f>PI!J29</f>
        <v>4185755.1999999997</v>
      </c>
      <c r="D29" s="130">
        <f>ITS!C29</f>
        <v>285493.91528037097</v>
      </c>
      <c r="E29" s="130">
        <f>Wealth!D31</f>
        <v>425305.84820399998</v>
      </c>
      <c r="F29" s="140">
        <f>LE!D31</f>
        <v>744167.84039999999</v>
      </c>
      <c r="G29" s="130">
        <f>REPART!I29</f>
        <v>17516.799064167964</v>
      </c>
      <c r="H29" s="132">
        <f t="shared" si="0"/>
        <v>5658239.602948539</v>
      </c>
      <c r="J29" s="138"/>
    </row>
    <row r="30" spans="2:10">
      <c r="B30" s="45" t="s">
        <v>71</v>
      </c>
      <c r="C30" s="127">
        <f>PI!J30</f>
        <v>2628539</v>
      </c>
      <c r="D30" s="127">
        <f>ITS!C30</f>
        <v>213153.15340862499</v>
      </c>
      <c r="E30" s="127">
        <f>Wealth!D32</f>
        <v>192426.09920400003</v>
      </c>
      <c r="F30" s="139">
        <f>LE!D32</f>
        <v>1841469.5913</v>
      </c>
      <c r="G30" s="127">
        <f>REPART!I30</f>
        <v>-318846.13619014173</v>
      </c>
      <c r="H30" s="129">
        <f t="shared" si="0"/>
        <v>4556741.7077224841</v>
      </c>
      <c r="J30" s="138"/>
    </row>
    <row r="31" spans="2:10">
      <c r="B31" s="48" t="s">
        <v>72</v>
      </c>
      <c r="C31" s="130">
        <f>PI!J31</f>
        <v>10657592.399999999</v>
      </c>
      <c r="D31" s="130">
        <f>ITS!C31</f>
        <v>1953543.8720434699</v>
      </c>
      <c r="E31" s="130">
        <f>Wealth!D33</f>
        <v>796231.67258400004</v>
      </c>
      <c r="F31" s="140">
        <f>LE!D33</f>
        <v>5976934.9022999993</v>
      </c>
      <c r="G31" s="130">
        <f>REPART!I31</f>
        <v>64551.493658473562</v>
      </c>
      <c r="H31" s="132">
        <f t="shared" si="0"/>
        <v>19448854.34058594</v>
      </c>
      <c r="J31" s="138"/>
    </row>
    <row r="32" spans="2:10">
      <c r="B32" s="45" t="s">
        <v>73</v>
      </c>
      <c r="C32" s="127">
        <f>PI!J32</f>
        <v>838804.70000000007</v>
      </c>
      <c r="D32" s="127">
        <f>ITS!C32</f>
        <v>74930.165538349102</v>
      </c>
      <c r="E32" s="127">
        <f>Wealth!D34</f>
        <v>60421.380000000005</v>
      </c>
      <c r="F32" s="139">
        <f>LE!D34</f>
        <v>292021.50679999997</v>
      </c>
      <c r="G32" s="127">
        <f>REPART!I32</f>
        <v>3401.7271831328467</v>
      </c>
      <c r="H32" s="129">
        <f t="shared" si="0"/>
        <v>1269579.479521482</v>
      </c>
      <c r="J32" s="138"/>
    </row>
    <row r="33" spans="1:10">
      <c r="A33" s="52"/>
      <c r="B33" s="53" t="s">
        <v>74</v>
      </c>
      <c r="C33" s="54">
        <f t="shared" ref="C33:H33" si="1">SUM(C7:C32)</f>
        <v>141290437.80000001</v>
      </c>
      <c r="D33" s="54">
        <f t="shared" si="1"/>
        <v>9558814.4250031076</v>
      </c>
      <c r="E33" s="54">
        <f t="shared" si="1"/>
        <v>14977208.825472238</v>
      </c>
      <c r="F33" s="54">
        <f t="shared" si="1"/>
        <v>61756003.27980002</v>
      </c>
      <c r="G33" s="54">
        <f t="shared" si="1"/>
        <v>117563.1119958917</v>
      </c>
      <c r="H33" s="55">
        <f t="shared" si="1"/>
        <v>227700027.44227123</v>
      </c>
      <c r="J33" s="138"/>
    </row>
  </sheetData>
  <conditionalFormatting sqref="C7:H32">
    <cfRule type="expression" dxfId="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28515625" style="15" customWidth="1"/>
    <col min="2" max="2" width="16" style="1" customWidth="1"/>
    <col min="3" max="3" width="16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0" customHeight="1">
      <c r="B1" s="134" t="str">
        <f>"ATB per capita "&amp;Info!C31</f>
        <v>ATB per capita 2006</v>
      </c>
      <c r="C1" s="134"/>
      <c r="E1" s="135" t="str">
        <f>Info!A4</f>
        <v>Reference year 2010</v>
      </c>
      <c r="I1" s="20" t="str">
        <f>Info!$C$28</f>
        <v>FA_2010_20120518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10" s="1" customFormat="1">
      <c r="A3" s="27"/>
      <c r="B3" s="28" t="s">
        <v>32</v>
      </c>
      <c r="C3" s="29"/>
      <c r="D3" s="29"/>
      <c r="E3" s="29"/>
      <c r="F3" s="29"/>
      <c r="G3" s="29"/>
      <c r="H3" s="29"/>
      <c r="I3" s="121"/>
    </row>
    <row r="4" spans="1:10" ht="38.25" customHeight="1">
      <c r="B4" s="32"/>
      <c r="C4" s="33" t="s">
        <v>41</v>
      </c>
      <c r="D4" s="33" t="s">
        <v>103</v>
      </c>
      <c r="E4" s="33" t="s">
        <v>80</v>
      </c>
      <c r="F4" s="33" t="s">
        <v>85</v>
      </c>
      <c r="G4" s="33" t="s">
        <v>100</v>
      </c>
      <c r="H4" s="33" t="s">
        <v>106</v>
      </c>
      <c r="I4" s="34" t="s">
        <v>107</v>
      </c>
    </row>
    <row r="5" spans="1:10" s="35" customFormat="1" ht="11.25" customHeight="1">
      <c r="A5" s="36"/>
      <c r="B5" s="37" t="s">
        <v>105</v>
      </c>
      <c r="C5" s="38">
        <f>Info!$C$31</f>
        <v>2006</v>
      </c>
      <c r="D5" s="38">
        <f>Info!$C$31</f>
        <v>2006</v>
      </c>
      <c r="E5" s="38">
        <f>Info!$C$31</f>
        <v>2006</v>
      </c>
      <c r="F5" s="38">
        <f>Info!$C$31</f>
        <v>2006</v>
      </c>
      <c r="G5" s="38">
        <f>Info!$C$31</f>
        <v>2006</v>
      </c>
      <c r="H5" s="38">
        <f>Info!$C$31</f>
        <v>2006</v>
      </c>
      <c r="I5" s="85"/>
    </row>
    <row r="6" spans="1:10" s="35" customFormat="1" ht="11.25" customHeight="1">
      <c r="A6" s="36"/>
      <c r="B6" s="86" t="s">
        <v>45</v>
      </c>
      <c r="C6" s="38" t="s">
        <v>108</v>
      </c>
      <c r="D6" s="38" t="s">
        <v>108</v>
      </c>
      <c r="E6" s="38" t="s">
        <v>108</v>
      </c>
      <c r="F6" s="38" t="s">
        <v>108</v>
      </c>
      <c r="G6" s="38" t="s">
        <v>108</v>
      </c>
      <c r="H6" s="38" t="s">
        <v>108</v>
      </c>
      <c r="I6" s="39" t="s">
        <v>109</v>
      </c>
    </row>
    <row r="7" spans="1:10">
      <c r="B7" s="41" t="s">
        <v>48</v>
      </c>
      <c r="C7" s="124">
        <f>ATB_Total!C7/ATB_per_capita!$I7*1000</f>
        <v>23158.892869525018</v>
      </c>
      <c r="D7" s="124">
        <f>ATB_Total!D7/ATB_per_capita!$I7*1000</f>
        <v>1055.8493103145713</v>
      </c>
      <c r="E7" s="124">
        <f>ATB_Total!E7/ATB_per_capita!$I7*1000</f>
        <v>2825.3522760930446</v>
      </c>
      <c r="F7" s="124">
        <f>ATB_Total!F7/ATB_per_capita!$I7*1000</f>
        <v>11300.264980181431</v>
      </c>
      <c r="G7" s="124">
        <f>ATB_Total!G7/ATB_per_capita!$I7*1000</f>
        <v>-113.14429696360685</v>
      </c>
      <c r="H7" s="141">
        <f>ATB_Total!H7/ATB_per_capita!$I7*1000</f>
        <v>38227.215139150459</v>
      </c>
      <c r="I7" s="142">
        <v>1306603</v>
      </c>
      <c r="J7" s="138"/>
    </row>
    <row r="8" spans="1:10">
      <c r="B8" s="45" t="s">
        <v>49</v>
      </c>
      <c r="C8" s="127">
        <f>ATB_Total!C8/ATB_per_capita!$I8*1000</f>
        <v>14767.43333026461</v>
      </c>
      <c r="D8" s="127">
        <f>ATB_Total!D8/ATB_per_capita!$I8*1000</f>
        <v>774.03832318302079</v>
      </c>
      <c r="E8" s="127">
        <f>ATB_Total!E8/ATB_per_capita!$I8*1000</f>
        <v>1696.4726498066186</v>
      </c>
      <c r="F8" s="127">
        <f>ATB_Total!F8/ATB_per_capita!$I8*1000</f>
        <v>5778.3723117726231</v>
      </c>
      <c r="G8" s="127">
        <f>ATB_Total!G8/ATB_per_capita!$I8*1000</f>
        <v>-100.73381426778649</v>
      </c>
      <c r="H8" s="143">
        <f>ATB_Total!H8/ATB_per_capita!$I8*1000</f>
        <v>22915.582800759086</v>
      </c>
      <c r="I8" s="144">
        <v>966743</v>
      </c>
      <c r="J8" s="138"/>
    </row>
    <row r="9" spans="1:10">
      <c r="B9" s="48" t="s">
        <v>50</v>
      </c>
      <c r="C9" s="130">
        <f>ATB_Total!C9/ATB_per_capita!$I9*1000</f>
        <v>15752.598274423115</v>
      </c>
      <c r="D9" s="130">
        <f>ATB_Total!D9/ATB_per_capita!$I9*1000</f>
        <v>551.21504583511842</v>
      </c>
      <c r="E9" s="130">
        <f>ATB_Total!E9/ATB_per_capita!$I9*1000</f>
        <v>1649.7937738222561</v>
      </c>
      <c r="F9" s="130">
        <f>ATB_Total!F9/ATB_per_capita!$I9*1000</f>
        <v>4624.7351303673058</v>
      </c>
      <c r="G9" s="130">
        <f>ATB_Total!G9/ATB_per_capita!$I9*1000</f>
        <v>-55.362917421513828</v>
      </c>
      <c r="H9" s="145">
        <f>ATB_Total!H9/ATB_per_capita!$I9*1000</f>
        <v>22522.979307026282</v>
      </c>
      <c r="I9" s="146">
        <v>358257</v>
      </c>
      <c r="J9" s="138"/>
    </row>
    <row r="10" spans="1:10">
      <c r="B10" s="45" t="s">
        <v>51</v>
      </c>
      <c r="C10" s="127">
        <f>ATB_Total!C10/ATB_per_capita!$I10*1000</f>
        <v>11730.984815618222</v>
      </c>
      <c r="D10" s="127">
        <f>ATB_Total!D10/ATB_per_capita!$I10*1000</f>
        <v>605.25272046637747</v>
      </c>
      <c r="E10" s="127">
        <f>ATB_Total!E10/ATB_per_capita!$I10*1000</f>
        <v>1349.7166163991324</v>
      </c>
      <c r="F10" s="127">
        <f>ATB_Total!F10/ATB_per_capita!$I10*1000</f>
        <v>3096.3697440347069</v>
      </c>
      <c r="G10" s="127">
        <f>ATB_Total!G10/ATB_per_capita!$I10*1000</f>
        <v>77.954643835713995</v>
      </c>
      <c r="H10" s="143">
        <f>ATB_Total!H10/ATB_per_capita!$I10*1000</f>
        <v>16860.278540354153</v>
      </c>
      <c r="I10" s="144">
        <v>34575</v>
      </c>
      <c r="J10" s="138"/>
    </row>
    <row r="11" spans="1:10">
      <c r="B11" s="48" t="s">
        <v>52</v>
      </c>
      <c r="C11" s="130">
        <f>ATB_Total!C11/ATB_per_capita!$I11*1000</f>
        <v>29619.218297625939</v>
      </c>
      <c r="D11" s="130">
        <f>ATB_Total!D11/ATB_per_capita!$I11*1000</f>
        <v>663.95988467776715</v>
      </c>
      <c r="E11" s="130">
        <f>ATB_Total!E11/ATB_per_capita!$I11*1000</f>
        <v>4137.5137718876667</v>
      </c>
      <c r="F11" s="130">
        <f>ATB_Total!F11/ATB_per_capita!$I11*1000</f>
        <v>7647.6923523451078</v>
      </c>
      <c r="G11" s="130">
        <f>ATB_Total!G11/ATB_per_capita!$I11*1000</f>
        <v>-51.631452215057948</v>
      </c>
      <c r="H11" s="145">
        <f>ATB_Total!H11/ATB_per_capita!$I11*1000</f>
        <v>42016.752854321421</v>
      </c>
      <c r="I11" s="146">
        <v>138160</v>
      </c>
      <c r="J11" s="138"/>
    </row>
    <row r="12" spans="1:10">
      <c r="B12" s="45" t="s">
        <v>53</v>
      </c>
      <c r="C12" s="127">
        <f>ATB_Total!C12/ATB_per_capita!$I12*1000</f>
        <v>16207.983834755276</v>
      </c>
      <c r="D12" s="127">
        <f>ATB_Total!D12/ATB_per_capita!$I12*1000</f>
        <v>688.77333391857508</v>
      </c>
      <c r="E12" s="127">
        <f>ATB_Total!E12/ATB_per_capita!$I12*1000</f>
        <v>1974.1226974405031</v>
      </c>
      <c r="F12" s="127">
        <f>ATB_Total!F12/ATB_per_capita!$I12*1000</f>
        <v>5239.6709474629552</v>
      </c>
      <c r="G12" s="127">
        <f>ATB_Total!G12/ATB_per_capita!$I12*1000</f>
        <v>60.838446283342719</v>
      </c>
      <c r="H12" s="143">
        <f>ATB_Total!H12/ATB_per_capita!$I12*1000</f>
        <v>24171.389259860647</v>
      </c>
      <c r="I12" s="144">
        <v>33405</v>
      </c>
      <c r="J12" s="138"/>
    </row>
    <row r="13" spans="1:10">
      <c r="B13" s="48" t="s">
        <v>54</v>
      </c>
      <c r="C13" s="130">
        <f>ATB_Total!C13/ATB_per_capita!$I13*1000</f>
        <v>25351.622898359325</v>
      </c>
      <c r="D13" s="130">
        <f>ATB_Total!D13/ATB_per_capita!$I13*1000</f>
        <v>560.23578815562053</v>
      </c>
      <c r="E13" s="130">
        <f>ATB_Total!E13/ATB_per_capita!$I13*1000</f>
        <v>5818.2056123330121</v>
      </c>
      <c r="F13" s="130">
        <f>ATB_Total!F13/ATB_per_capita!$I13*1000</f>
        <v>4471.6532305582368</v>
      </c>
      <c r="G13" s="130">
        <f>ATB_Total!G13/ATB_per_capita!$I13*1000</f>
        <v>97.644391702971419</v>
      </c>
      <c r="H13" s="145">
        <f>ATB_Total!H13/ATB_per_capita!$I13*1000</f>
        <v>36299.361921109165</v>
      </c>
      <c r="I13" s="146">
        <v>39374</v>
      </c>
      <c r="J13" s="138"/>
    </row>
    <row r="14" spans="1:10">
      <c r="B14" s="45" t="s">
        <v>55</v>
      </c>
      <c r="C14" s="127">
        <f>ATB_Total!C14/ATB_per_capita!$I14*1000</f>
        <v>13021.952053893317</v>
      </c>
      <c r="D14" s="127">
        <f>ATB_Total!D14/ATB_per_capita!$I14*1000</f>
        <v>423.39666404173573</v>
      </c>
      <c r="E14" s="127">
        <f>ATB_Total!E14/ATB_per_capita!$I14*1000</f>
        <v>1903.4257623746742</v>
      </c>
      <c r="F14" s="127">
        <f>ATB_Total!F14/ATB_per_capita!$I14*1000</f>
        <v>4016.9576195363284</v>
      </c>
      <c r="G14" s="127">
        <f>ATB_Total!G14/ATB_per_capita!$I14*1000</f>
        <v>430.96316637363094</v>
      </c>
      <c r="H14" s="143">
        <f>ATB_Total!H14/ATB_per_capita!$I14*1000</f>
        <v>19796.695266219685</v>
      </c>
      <c r="I14" s="144">
        <v>38001</v>
      </c>
      <c r="J14" s="138"/>
    </row>
    <row r="15" spans="1:10">
      <c r="B15" s="48" t="s">
        <v>56</v>
      </c>
      <c r="C15" s="130">
        <f>ATB_Total!C15/ATB_per_capita!$I15*1000</f>
        <v>35162.33419032715</v>
      </c>
      <c r="D15" s="130">
        <f>ATB_Total!D15/ATB_per_capita!$I15*1000</f>
        <v>1249.923422145745</v>
      </c>
      <c r="E15" s="130">
        <f>ATB_Total!E15/ATB_per_capita!$I15*1000</f>
        <v>4369.5008474178403</v>
      </c>
      <c r="F15" s="130">
        <f>ATB_Total!F15/ATB_per_capita!$I15*1000</f>
        <v>34448.056933266264</v>
      </c>
      <c r="G15" s="130">
        <f>ATB_Total!G15/ATB_per_capita!$I15*1000</f>
        <v>52.991245229618507</v>
      </c>
      <c r="H15" s="145">
        <f>ATB_Total!H15/ATB_per_capita!$I15*1000</f>
        <v>75282.80663838661</v>
      </c>
      <c r="I15" s="146">
        <v>107352</v>
      </c>
      <c r="J15" s="138"/>
    </row>
    <row r="16" spans="1:10">
      <c r="B16" s="45" t="s">
        <v>57</v>
      </c>
      <c r="C16" s="127">
        <f>ATB_Total!C16/ATB_per_capita!$I16*1000</f>
        <v>14924.111250120295</v>
      </c>
      <c r="D16" s="127">
        <f>ATB_Total!D16/ATB_per_capita!$I16*1000</f>
        <v>591.54556695217013</v>
      </c>
      <c r="E16" s="127">
        <f>ATB_Total!E16/ATB_per_capita!$I16*1000</f>
        <v>1053.2707261437783</v>
      </c>
      <c r="F16" s="127">
        <f>ATB_Total!F16/ATB_per_capita!$I16*1000</f>
        <v>4217.8919461072082</v>
      </c>
      <c r="G16" s="127">
        <f>ATB_Total!G16/ATB_per_capita!$I16*1000</f>
        <v>-8.1843879602877596</v>
      </c>
      <c r="H16" s="143">
        <f>ATB_Total!H16/ATB_per_capita!$I16*1000</f>
        <v>20778.635101363165</v>
      </c>
      <c r="I16" s="144">
        <v>259775</v>
      </c>
      <c r="J16" s="138"/>
    </row>
    <row r="17" spans="2:10">
      <c r="B17" s="48" t="s">
        <v>58</v>
      </c>
      <c r="C17" s="130">
        <f>ATB_Total!C17/ATB_per_capita!$I17*1000</f>
        <v>16399.5754598848</v>
      </c>
      <c r="D17" s="130">
        <f>ATB_Total!D17/ATB_per_capita!$I17*1000</f>
        <v>462.65476041029319</v>
      </c>
      <c r="E17" s="130">
        <f>ATB_Total!E17/ATB_per_capita!$I17*1000</f>
        <v>995.59387933527751</v>
      </c>
      <c r="F17" s="130">
        <f>ATB_Total!F17/ATB_per_capita!$I17*1000</f>
        <v>5704.0904940984483</v>
      </c>
      <c r="G17" s="130">
        <f>ATB_Total!G17/ATB_per_capita!$I17*1000</f>
        <v>169.90727042886638</v>
      </c>
      <c r="H17" s="145">
        <f>ATB_Total!H17/ATB_per_capita!$I17*1000</f>
        <v>23731.821864157686</v>
      </c>
      <c r="I17" s="146">
        <v>247562</v>
      </c>
      <c r="J17" s="138"/>
    </row>
    <row r="18" spans="2:10">
      <c r="B18" s="45" t="s">
        <v>59</v>
      </c>
      <c r="C18" s="127">
        <f>ATB_Total!C18/ATB_per_capita!$I18*1000</f>
        <v>20774.972678169859</v>
      </c>
      <c r="D18" s="127">
        <f>ATB_Total!D18/ATB_per_capita!$I18*1000</f>
        <v>3593.5345704491187</v>
      </c>
      <c r="E18" s="127">
        <f>ATB_Total!E18/ATB_per_capita!$I18*1000</f>
        <v>2883.2978075492315</v>
      </c>
      <c r="F18" s="127">
        <f>ATB_Total!F18/ATB_per_capita!$I18*1000</f>
        <v>15818.806091717282</v>
      </c>
      <c r="G18" s="127">
        <f>ATB_Total!G18/ATB_per_capita!$I18*1000</f>
        <v>-425.47380851335396</v>
      </c>
      <c r="H18" s="143">
        <f>ATB_Total!H18/ATB_per_capita!$I18*1000</f>
        <v>42645.137339372144</v>
      </c>
      <c r="I18" s="144">
        <v>190324</v>
      </c>
      <c r="J18" s="138"/>
    </row>
    <row r="19" spans="2:10">
      <c r="B19" s="48" t="s">
        <v>60</v>
      </c>
      <c r="C19" s="130">
        <f>ATB_Total!C19/ATB_per_capita!$I19*1000</f>
        <v>22497.430679120793</v>
      </c>
      <c r="D19" s="130">
        <f>ATB_Total!D19/ATB_per_capita!$I19*1000</f>
        <v>1301.119634699224</v>
      </c>
      <c r="E19" s="130">
        <f>ATB_Total!E19/ATB_per_capita!$I19*1000</f>
        <v>1613.3345708406532</v>
      </c>
      <c r="F19" s="130">
        <f>ATB_Total!F19/ATB_per_capita!$I19*1000</f>
        <v>4837.7315341817493</v>
      </c>
      <c r="G19" s="130">
        <f>ATB_Total!G19/ATB_per_capita!$I19*1000</f>
        <v>-12.608990223401815</v>
      </c>
      <c r="H19" s="145">
        <f>ATB_Total!H19/ATB_per_capita!$I19*1000</f>
        <v>30237.007428619021</v>
      </c>
      <c r="I19" s="146">
        <v>265829</v>
      </c>
      <c r="J19" s="138"/>
    </row>
    <row r="20" spans="2:10">
      <c r="B20" s="45" t="s">
        <v>61</v>
      </c>
      <c r="C20" s="127">
        <f>ATB_Total!C20/ATB_per_capita!$I20*1000</f>
        <v>15561.806685948744</v>
      </c>
      <c r="D20" s="127">
        <f>ATB_Total!D20/ATB_per_capita!$I20*1000</f>
        <v>1610.0597688126859</v>
      </c>
      <c r="E20" s="127">
        <f>ATB_Total!E20/ATB_per_capita!$I20*1000</f>
        <v>1635.9993785968923</v>
      </c>
      <c r="F20" s="127">
        <f>ATB_Total!F20/ATB_per_capita!$I20*1000</f>
        <v>9851.3042927288643</v>
      </c>
      <c r="G20" s="127">
        <f>ATB_Total!G20/ATB_per_capita!$I20*1000</f>
        <v>71.371440203490863</v>
      </c>
      <c r="H20" s="143">
        <f>ATB_Total!H20/ATB_per_capita!$I20*1000</f>
        <v>28730.541566290671</v>
      </c>
      <c r="I20" s="144">
        <v>74335</v>
      </c>
      <c r="J20" s="138"/>
    </row>
    <row r="21" spans="2:10">
      <c r="B21" s="48" t="s">
        <v>62</v>
      </c>
      <c r="C21" s="130">
        <f>ATB_Total!C21/ATB_per_capita!$I21*1000</f>
        <v>15898.253634276971</v>
      </c>
      <c r="D21" s="130">
        <f>ATB_Total!D21/ATB_per_capita!$I21*1000</f>
        <v>566.54031260482213</v>
      </c>
      <c r="E21" s="130">
        <f>ATB_Total!E21/ATB_per_capita!$I21*1000</f>
        <v>2385.7226299923486</v>
      </c>
      <c r="F21" s="130">
        <f>ATB_Total!F21/ATB_per_capita!$I21*1000</f>
        <v>4021.9403003060447</v>
      </c>
      <c r="G21" s="130">
        <f>ATB_Total!G21/ATB_per_capita!$I21*1000</f>
        <v>-11.894896150908606</v>
      </c>
      <c r="H21" s="145">
        <f>ATB_Total!H21/ATB_per_capita!$I21*1000</f>
        <v>22860.561981029281</v>
      </c>
      <c r="I21" s="146">
        <v>52280</v>
      </c>
      <c r="J21" s="138"/>
    </row>
    <row r="22" spans="2:10">
      <c r="B22" s="45" t="s">
        <v>63</v>
      </c>
      <c r="C22" s="127">
        <f>ATB_Total!C22/ATB_per_capita!$I22*1000</f>
        <v>16091.697490092471</v>
      </c>
      <c r="D22" s="127">
        <f>ATB_Total!D22/ATB_per_capita!$I22*1000</f>
        <v>453.5231870807919</v>
      </c>
      <c r="E22" s="127">
        <f>ATB_Total!E22/ATB_per_capita!$I22*1000</f>
        <v>2606.5775984147954</v>
      </c>
      <c r="F22" s="127">
        <f>ATB_Total!F22/ATB_per_capita!$I22*1000</f>
        <v>4242.5514993394972</v>
      </c>
      <c r="G22" s="127">
        <f>ATB_Total!G22/ATB_per_capita!$I22*1000</f>
        <v>-60.664899522497763</v>
      </c>
      <c r="H22" s="143">
        <f>ATB_Total!H22/ATB_per_capita!$I22*1000</f>
        <v>23333.684875405059</v>
      </c>
      <c r="I22" s="144">
        <v>15140</v>
      </c>
      <c r="J22" s="138"/>
    </row>
    <row r="23" spans="2:10">
      <c r="B23" s="48" t="s">
        <v>64</v>
      </c>
      <c r="C23" s="130">
        <f>ATB_Total!C23/ATB_per_capita!$I23*1000</f>
        <v>14415.899961124789</v>
      </c>
      <c r="D23" s="130">
        <f>ATB_Total!D23/ATB_per_capita!$I23*1000</f>
        <v>869.30527399188804</v>
      </c>
      <c r="E23" s="130">
        <f>ATB_Total!E23/ATB_per_capita!$I23*1000</f>
        <v>1944.9046056498642</v>
      </c>
      <c r="F23" s="130">
        <f>ATB_Total!F23/ATB_per_capita!$I23*1000</f>
        <v>4449.6645164355759</v>
      </c>
      <c r="G23" s="130">
        <f>ATB_Total!G23/ATB_per_capita!$I23*1000</f>
        <v>70.264693412736037</v>
      </c>
      <c r="H23" s="145">
        <f>ATB_Total!H23/ATB_per_capita!$I23*1000</f>
        <v>21750.039050614854</v>
      </c>
      <c r="I23" s="146">
        <v>463020</v>
      </c>
      <c r="J23" s="138"/>
    </row>
    <row r="24" spans="2:10">
      <c r="B24" s="45" t="s">
        <v>65</v>
      </c>
      <c r="C24" s="127">
        <f>ATB_Total!C24/ATB_per_capita!$I24*1000</f>
        <v>15212.043397182424</v>
      </c>
      <c r="D24" s="127">
        <f>ATB_Total!D24/ATB_per_capita!$I24*1000</f>
        <v>1645.4207060224978</v>
      </c>
      <c r="E24" s="127">
        <f>ATB_Total!E24/ATB_per_capita!$I24*1000</f>
        <v>2374.3802763044496</v>
      </c>
      <c r="F24" s="127">
        <f>ATB_Total!F24/ATB_per_capita!$I24*1000</f>
        <v>4063.7408423482952</v>
      </c>
      <c r="G24" s="127">
        <f>ATB_Total!G24/ATB_per_capita!$I24*1000</f>
        <v>77.375836597148478</v>
      </c>
      <c r="H24" s="143">
        <f>ATB_Total!H24/ATB_per_capita!$I24*1000</f>
        <v>23372.961058454817</v>
      </c>
      <c r="I24" s="144">
        <v>191441</v>
      </c>
      <c r="J24" s="138"/>
    </row>
    <row r="25" spans="2:10">
      <c r="B25" s="48" t="s">
        <v>66</v>
      </c>
      <c r="C25" s="130">
        <f>ATB_Total!C25/ATB_per_capita!$I25*1000</f>
        <v>17983.516174598717</v>
      </c>
      <c r="D25" s="130">
        <f>ATB_Total!D25/ATB_per_capita!$I25*1000</f>
        <v>750.01724946138859</v>
      </c>
      <c r="E25" s="130">
        <f>ATB_Total!E25/ATB_per_capita!$I25*1000</f>
        <v>1721.8271388097828</v>
      </c>
      <c r="F25" s="130">
        <f>ATB_Total!F25/ATB_per_capita!$I25*1000</f>
        <v>5130.2092822134409</v>
      </c>
      <c r="G25" s="130">
        <f>ATB_Total!G25/ATB_per_capita!$I25*1000</f>
        <v>-18.446479892854889</v>
      </c>
      <c r="H25" s="145">
        <f>ATB_Total!H25/ATB_per_capita!$I25*1000</f>
        <v>25567.123365190473</v>
      </c>
      <c r="I25" s="146">
        <v>572719</v>
      </c>
      <c r="J25" s="138"/>
    </row>
    <row r="26" spans="2:10">
      <c r="B26" s="45" t="s">
        <v>67</v>
      </c>
      <c r="C26" s="127">
        <f>ATB_Total!C26/ATB_per_capita!$I26*1000</f>
        <v>15026.67449411246</v>
      </c>
      <c r="D26" s="127">
        <f>ATB_Total!D26/ATB_per_capita!$I26*1000</f>
        <v>723.31492939670318</v>
      </c>
      <c r="E26" s="127">
        <f>ATB_Total!E26/ATB_per_capita!$I26*1000</f>
        <v>1762.7649646917203</v>
      </c>
      <c r="F26" s="127">
        <f>ATB_Total!F26/ATB_per_capita!$I26*1000</f>
        <v>4520.8276502403342</v>
      </c>
      <c r="G26" s="127">
        <f>ATB_Total!G26/ATB_per_capita!$I26*1000</f>
        <v>60.185543437174523</v>
      </c>
      <c r="H26" s="143">
        <f>ATB_Total!H26/ATB_per_capita!$I26*1000</f>
        <v>22093.767581878394</v>
      </c>
      <c r="I26" s="144">
        <v>235922</v>
      </c>
      <c r="J26" s="138"/>
    </row>
    <row r="27" spans="2:10">
      <c r="B27" s="48" t="s">
        <v>68</v>
      </c>
      <c r="C27" s="130">
        <f>ATB_Total!C27/ATB_per_capita!$I27*1000</f>
        <v>17002.686578191522</v>
      </c>
      <c r="D27" s="130">
        <f>ATB_Total!D27/ATB_per_capita!$I27*1000</f>
        <v>2628.2977062305094</v>
      </c>
      <c r="E27" s="130">
        <f>ATB_Total!E27/ATB_per_capita!$I27*1000</f>
        <v>1434.6501283166633</v>
      </c>
      <c r="F27" s="130">
        <f>ATB_Total!F27/ATB_per_capita!$I27*1000</f>
        <v>7757.116512897237</v>
      </c>
      <c r="G27" s="130">
        <f>ATB_Total!G27/ATB_per_capita!$I27*1000</f>
        <v>234.19743053771802</v>
      </c>
      <c r="H27" s="145">
        <f>ATB_Total!H27/ATB_per_capita!$I27*1000</f>
        <v>29056.948356173649</v>
      </c>
      <c r="I27" s="146">
        <v>324837</v>
      </c>
      <c r="J27" s="138"/>
    </row>
    <row r="28" spans="2:10">
      <c r="B28" s="45" t="s">
        <v>69</v>
      </c>
      <c r="C28" s="127">
        <f>ATB_Total!C28/ATB_per_capita!$I28*1000</f>
        <v>20010.724243110246</v>
      </c>
      <c r="D28" s="127">
        <f>ATB_Total!D28/ATB_per_capita!$I28*1000</f>
        <v>1150.8123479170863</v>
      </c>
      <c r="E28" s="127">
        <f>ATB_Total!E28/ATB_per_capita!$I28*1000</f>
        <v>1666.1946526230504</v>
      </c>
      <c r="F28" s="127">
        <f>ATB_Total!F28/ATB_per_capita!$I28*1000</f>
        <v>12441.804513636527</v>
      </c>
      <c r="G28" s="127">
        <f>ATB_Total!G28/ATB_per_capita!$I28*1000</f>
        <v>753.69962289527462</v>
      </c>
      <c r="H28" s="143">
        <f>ATB_Total!H28/ATB_per_capita!$I28*1000</f>
        <v>36023.235380182181</v>
      </c>
      <c r="I28" s="144">
        <v>671432</v>
      </c>
      <c r="J28" s="138"/>
    </row>
    <row r="29" spans="2:10">
      <c r="B29" s="48" t="s">
        <v>70</v>
      </c>
      <c r="C29" s="130">
        <f>ATB_Total!C29/ATB_per_capita!$I29*1000</f>
        <v>14271.047104710471</v>
      </c>
      <c r="D29" s="130">
        <f>ATB_Total!D29/ATB_per_capita!$I29*1000</f>
        <v>973.37204838792172</v>
      </c>
      <c r="E29" s="130">
        <f>ATB_Total!E29/ATB_per_capita!$I29*1000</f>
        <v>1450.0513058260372</v>
      </c>
      <c r="F29" s="130">
        <f>ATB_Total!F29/ATB_per_capita!$I29*1000</f>
        <v>2537.1895384993045</v>
      </c>
      <c r="G29" s="130">
        <f>ATB_Total!G29/ATB_per_capita!$I29*1000</f>
        <v>59.722332679295079</v>
      </c>
      <c r="H29" s="145">
        <f>ATB_Total!H29/ATB_per_capita!$I29*1000</f>
        <v>19291.382330103032</v>
      </c>
      <c r="I29" s="146">
        <v>293304</v>
      </c>
      <c r="J29" s="138"/>
    </row>
    <row r="30" spans="2:10">
      <c r="B30" s="45" t="s">
        <v>71</v>
      </c>
      <c r="C30" s="127">
        <f>ATB_Total!C30/ATB_per_capita!$I30*1000</f>
        <v>15516.117988040636</v>
      </c>
      <c r="D30" s="127">
        <f>ATB_Total!D30/ATB_per_capita!$I30*1000</f>
        <v>1258.2310849529536</v>
      </c>
      <c r="E30" s="127">
        <f>ATB_Total!E30/ATB_per_capita!$I30*1000</f>
        <v>1135.8804488834585</v>
      </c>
      <c r="F30" s="127">
        <f>ATB_Total!F30/ATB_per_capita!$I30*1000</f>
        <v>10870.091503302698</v>
      </c>
      <c r="G30" s="127">
        <f>ATB_Total!G30/ATB_per_capita!$I30*1000</f>
        <v>-1882.1308221628487</v>
      </c>
      <c r="H30" s="143">
        <f>ATB_Total!H30/ATB_per_capita!$I30*1000</f>
        <v>26898.190203016904</v>
      </c>
      <c r="I30" s="144">
        <v>169407</v>
      </c>
      <c r="J30" s="138"/>
    </row>
    <row r="31" spans="2:10">
      <c r="B31" s="48" t="s">
        <v>72</v>
      </c>
      <c r="C31" s="130">
        <f>ATB_Total!C31/ATB_per_capita!$I31*1000</f>
        <v>24233.642347965477</v>
      </c>
      <c r="D31" s="130">
        <f>ATB_Total!D31/ATB_per_capita!$I31*1000</f>
        <v>4442.0429801913888</v>
      </c>
      <c r="E31" s="130">
        <f>ATB_Total!E31/ATB_per_capita!$I31*1000</f>
        <v>1810.5021148606706</v>
      </c>
      <c r="F31" s="130">
        <f>ATB_Total!F31/ATB_per_capita!$I31*1000</f>
        <v>13590.583813226916</v>
      </c>
      <c r="G31" s="130">
        <f>ATB_Total!G31/ATB_per_capita!$I31*1000</f>
        <v>146.77966201319637</v>
      </c>
      <c r="H31" s="145">
        <f>ATB_Total!H31/ATB_per_capita!$I31*1000</f>
        <v>44223.55091825765</v>
      </c>
      <c r="I31" s="146">
        <v>439785</v>
      </c>
      <c r="J31" s="138"/>
    </row>
    <row r="32" spans="2:10">
      <c r="B32" s="45" t="s">
        <v>73</v>
      </c>
      <c r="C32" s="127">
        <f>ATB_Total!C32/ATB_per_capita!$I32*1000</f>
        <v>12330.467314448675</v>
      </c>
      <c r="D32" s="127">
        <f>ATB_Total!D32/ATB_per_capita!$I32*1000</f>
        <v>1101.4768479919605</v>
      </c>
      <c r="E32" s="127">
        <f>ATB_Total!E32/ATB_per_capita!$I32*1000</f>
        <v>888.1970394108223</v>
      </c>
      <c r="F32" s="127">
        <f>ATB_Total!F32/ATB_per_capita!$I32*1000</f>
        <v>4292.7294574213174</v>
      </c>
      <c r="G32" s="127">
        <f>ATB_Total!G32/ATB_per_capita!$I32*1000</f>
        <v>50.005544609241134</v>
      </c>
      <c r="H32" s="143">
        <f>ATB_Total!H32/ATB_per_capita!$I32*1000</f>
        <v>18662.876203882017</v>
      </c>
      <c r="I32" s="144">
        <v>68027</v>
      </c>
      <c r="J32" s="138"/>
    </row>
    <row r="33" spans="1:10">
      <c r="A33" s="52"/>
      <c r="B33" s="53" t="s">
        <v>74</v>
      </c>
      <c r="C33" s="54">
        <f>ATB_Total!C33/ATB_per_capita!$I33*1000</f>
        <v>18695.124053123152</v>
      </c>
      <c r="D33" s="54">
        <f>ATB_Total!D33/ATB_per_capita!$I33*1000</f>
        <v>1264.7934584870834</v>
      </c>
      <c r="E33" s="54">
        <f>ATB_Total!E33/ATB_per_capita!$I33*1000</f>
        <v>1981.7390427941216</v>
      </c>
      <c r="F33" s="54">
        <f>ATB_Total!F33/ATB_per_capita!$I33*1000</f>
        <v>8171.3678598350371</v>
      </c>
      <c r="G33" s="54">
        <f>ATB_Total!G33/ATB_per_capita!$I33*1000</f>
        <v>15.555595955796562</v>
      </c>
      <c r="H33" s="54">
        <f>ATB_Total!H33/ATB_per_capita!$I33*1000</f>
        <v>30128.580010195186</v>
      </c>
      <c r="I33" s="55">
        <f>SUM(I7:I32)</f>
        <v>7557609</v>
      </c>
      <c r="J33" s="138"/>
    </row>
  </sheetData>
  <conditionalFormatting sqref="C7:H32">
    <cfRule type="expression" dxfId="3" priority="1" stopIfTrue="1">
      <formula>ISBLANK(C7)</formula>
    </cfRule>
  </conditionalFormatting>
  <conditionalFormatting sqref="I7:I32">
    <cfRule type="expression" dxfId="2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3" width="18.42578125" style="1" customWidth="1"/>
    <col min="4" max="4" width="17.28515625" style="1" customWidth="1"/>
    <col min="5" max="6" width="18.5703125" style="1" customWidth="1"/>
    <col min="7" max="7" width="14" style="1" customWidth="1"/>
    <col min="8" max="8" width="13" style="1" customWidth="1"/>
    <col min="9" max="9" width="15.28515625" style="1" hidden="1" customWidth="1"/>
  </cols>
  <sheetData>
    <row r="1" spans="1:10" ht="26.25" customHeight="1">
      <c r="A1" s="101" t="str">
        <f>"ATB in percent "&amp;Info!C31</f>
        <v>ATB in percent 2006</v>
      </c>
      <c r="B1" s="57"/>
      <c r="C1" s="57"/>
    </row>
    <row r="2" spans="1:10" ht="18.75" customHeight="1">
      <c r="A2" s="147" t="str">
        <f>Info!A4</f>
        <v>Reference year 2010</v>
      </c>
      <c r="H2" s="20" t="str">
        <f>Info!C28</f>
        <v>FA_2010_20120518</v>
      </c>
    </row>
    <row r="3" spans="1:10" s="1" customFormat="1">
      <c r="A3" s="23" t="s">
        <v>23</v>
      </c>
      <c r="B3" s="24" t="s">
        <v>76</v>
      </c>
      <c r="C3" s="24" t="s">
        <v>24</v>
      </c>
      <c r="D3" s="24" t="s">
        <v>25</v>
      </c>
      <c r="E3" s="24" t="s">
        <v>26</v>
      </c>
      <c r="F3" s="24" t="s">
        <v>27</v>
      </c>
      <c r="G3" s="24" t="s">
        <v>28</v>
      </c>
      <c r="H3" s="84" t="s">
        <v>29</v>
      </c>
      <c r="I3" s="7"/>
    </row>
    <row r="4" spans="1:10" ht="39.75" customHeight="1">
      <c r="A4" s="148"/>
      <c r="B4" s="33" t="s">
        <v>41</v>
      </c>
      <c r="C4" s="33" t="s">
        <v>103</v>
      </c>
      <c r="D4" s="33" t="s">
        <v>80</v>
      </c>
      <c r="E4" s="106" t="s">
        <v>83</v>
      </c>
      <c r="F4" s="106" t="s">
        <v>84</v>
      </c>
      <c r="G4" s="33" t="s">
        <v>100</v>
      </c>
      <c r="H4" s="34" t="s">
        <v>106</v>
      </c>
      <c r="I4" s="7"/>
    </row>
    <row r="5" spans="1:10" s="35" customFormat="1" ht="11.25" customHeight="1">
      <c r="A5" s="86" t="s">
        <v>45</v>
      </c>
      <c r="B5" s="38" t="s">
        <v>110</v>
      </c>
      <c r="C5" s="38" t="s">
        <v>110</v>
      </c>
      <c r="D5" s="38" t="s">
        <v>110</v>
      </c>
      <c r="E5" s="38" t="s">
        <v>110</v>
      </c>
      <c r="F5" s="38" t="s">
        <v>110</v>
      </c>
      <c r="G5" s="38" t="s">
        <v>110</v>
      </c>
      <c r="H5" s="39" t="s">
        <v>110</v>
      </c>
      <c r="I5" s="149"/>
    </row>
    <row r="6" spans="1:10">
      <c r="A6" s="41" t="s">
        <v>48</v>
      </c>
      <c r="B6" s="150">
        <f>ATB_Total!C7/ATB_Total!$H7</f>
        <v>0.60582212921408451</v>
      </c>
      <c r="C6" s="150">
        <f>ATB_Total!D7/ATB_Total!$H7</f>
        <v>2.762035650442194E-2</v>
      </c>
      <c r="D6" s="150">
        <f>ATB_Total!E7/ATB_Total!$H7</f>
        <v>7.3909445556222475E-2</v>
      </c>
      <c r="E6" s="150">
        <f>LE!B9/ATB_Total!$H7</f>
        <v>0.28293978518776886</v>
      </c>
      <c r="F6" s="150">
        <f>LE!C9/ATB_Total!$H7</f>
        <v>1.2668067465045712E-2</v>
      </c>
      <c r="G6" s="150">
        <f>ATB_Total!G7/ATB_Total!$H7</f>
        <v>-2.959783927543546E-3</v>
      </c>
      <c r="H6" s="151">
        <f t="shared" ref="H6:H32" si="0">SUM(B6:G6)</f>
        <v>0.99999999999999989</v>
      </c>
      <c r="I6" s="152" t="s">
        <v>48</v>
      </c>
      <c r="J6" s="138"/>
    </row>
    <row r="7" spans="1:10">
      <c r="A7" s="45" t="s">
        <v>49</v>
      </c>
      <c r="B7" s="153">
        <f>ATB_Total!C8/ATB_Total!$H8</f>
        <v>0.644427569600169</v>
      </c>
      <c r="C7" s="153">
        <f>ATB_Total!D8/ATB_Total!$H8</f>
        <v>3.3777815293328718E-2</v>
      </c>
      <c r="D7" s="153">
        <f>ATB_Total!E8/ATB_Total!$H8</f>
        <v>7.4031398832693995E-2</v>
      </c>
      <c r="E7" s="153">
        <f>LE!B10/ATB_Total!$H8</f>
        <v>0.24412413218077619</v>
      </c>
      <c r="F7" s="153">
        <f>LE!C10/ATB_Total!$H8</f>
        <v>8.0349493495967383E-3</v>
      </c>
      <c r="G7" s="153">
        <f>ATB_Total!G8/ATB_Total!$H8</f>
        <v>-4.395865256564613E-3</v>
      </c>
      <c r="H7" s="154">
        <f t="shared" si="0"/>
        <v>0.99999999999999989</v>
      </c>
      <c r="I7" s="155" t="s">
        <v>49</v>
      </c>
      <c r="J7" s="138"/>
    </row>
    <row r="8" spans="1:10">
      <c r="A8" s="48" t="s">
        <v>50</v>
      </c>
      <c r="B8" s="156">
        <f>ATB_Total!C9/ATB_Total!$H9</f>
        <v>0.69940117866684381</v>
      </c>
      <c r="C8" s="156">
        <f>ATB_Total!D9/ATB_Total!$H9</f>
        <v>2.4473451683328633E-2</v>
      </c>
      <c r="D8" s="156">
        <f>ATB_Total!E9/ATB_Total!$H9</f>
        <v>7.3249357970487747E-2</v>
      </c>
      <c r="E8" s="156">
        <f>LE!B11/ATB_Total!$H9</f>
        <v>0.18074064807591297</v>
      </c>
      <c r="F8" s="156">
        <f>LE!C11/ATB_Total!$H9</f>
        <v>2.4593427284382328E-2</v>
      </c>
      <c r="G8" s="156">
        <f>ATB_Total!G9/ATB_Total!$H9</f>
        <v>-2.4580636809555111E-3</v>
      </c>
      <c r="H8" s="157">
        <f t="shared" si="0"/>
        <v>1</v>
      </c>
      <c r="I8" s="158" t="s">
        <v>50</v>
      </c>
      <c r="J8" s="138"/>
    </row>
    <row r="9" spans="1:10">
      <c r="A9" s="45" t="s">
        <v>51</v>
      </c>
      <c r="B9" s="153">
        <f>ATB_Total!C10/ATB_Total!$H10</f>
        <v>0.69577645396194088</v>
      </c>
      <c r="C9" s="153">
        <f>ATB_Total!D10/ATB_Total!$H10</f>
        <v>3.589814480334582E-2</v>
      </c>
      <c r="D9" s="153">
        <f>ATB_Total!E10/ATB_Total!$H10</f>
        <v>8.0053043795727322E-2</v>
      </c>
      <c r="E9" s="153">
        <f>LE!B12/ATB_Total!$H10</f>
        <v>0.18085643971344162</v>
      </c>
      <c r="F9" s="153">
        <f>LE!C12/ATB_Total!$H10</f>
        <v>2.7923497548768355E-3</v>
      </c>
      <c r="G9" s="153">
        <f>ATB_Total!G10/ATB_Total!$H10</f>
        <v>4.6235679706674963E-3</v>
      </c>
      <c r="H9" s="154">
        <f t="shared" si="0"/>
        <v>1</v>
      </c>
      <c r="I9" s="155" t="s">
        <v>51</v>
      </c>
      <c r="J9" s="138"/>
    </row>
    <row r="10" spans="1:10">
      <c r="A10" s="48" t="s">
        <v>52</v>
      </c>
      <c r="B10" s="156">
        <f>ATB_Total!C11/ATB_Total!$H11</f>
        <v>0.70493829926173368</v>
      </c>
      <c r="C10" s="156">
        <f>ATB_Total!D11/ATB_Total!$H11</f>
        <v>1.5802265514896371E-2</v>
      </c>
      <c r="D10" s="156">
        <f>ATB_Total!E11/ATB_Total!$H11</f>
        <v>9.8472954019865999E-2</v>
      </c>
      <c r="E10" s="156">
        <f>LE!B13/ATB_Total!$H11</f>
        <v>0.13349836078906852</v>
      </c>
      <c r="F10" s="156">
        <f>LE!C13/ATB_Total!$H11</f>
        <v>4.8516950552596513E-2</v>
      </c>
      <c r="G10" s="156">
        <f>ATB_Total!G11/ATB_Total!$H11</f>
        <v>-1.2288301381611325E-3</v>
      </c>
      <c r="H10" s="157">
        <f t="shared" si="0"/>
        <v>1</v>
      </c>
      <c r="I10" s="158" t="s">
        <v>52</v>
      </c>
      <c r="J10" s="138"/>
    </row>
    <row r="11" spans="1:10">
      <c r="A11" s="45" t="s">
        <v>53</v>
      </c>
      <c r="B11" s="153">
        <f>ATB_Total!C12/ATB_Total!$H12</f>
        <v>0.67054415699930348</v>
      </c>
      <c r="C11" s="153">
        <f>ATB_Total!D12/ATB_Total!$H12</f>
        <v>2.8495397037950228E-2</v>
      </c>
      <c r="D11" s="153">
        <f>ATB_Total!E12/ATB_Total!$H12</f>
        <v>8.1671875630200508E-2</v>
      </c>
      <c r="E11" s="153">
        <f>LE!B14/ATB_Total!$H12</f>
        <v>0.21381585716335155</v>
      </c>
      <c r="F11" s="153">
        <f>LE!C14/ATB_Total!$H12</f>
        <v>2.9557520781589007E-3</v>
      </c>
      <c r="G11" s="153">
        <f>ATB_Total!G12/ATB_Total!$H12</f>
        <v>2.5169610910355041E-3</v>
      </c>
      <c r="H11" s="154">
        <f t="shared" si="0"/>
        <v>1.0000000000000002</v>
      </c>
      <c r="I11" s="155" t="s">
        <v>53</v>
      </c>
      <c r="J11" s="138"/>
    </row>
    <row r="12" spans="1:10">
      <c r="A12" s="48" t="s">
        <v>54</v>
      </c>
      <c r="B12" s="156">
        <f>ATB_Total!C13/ATB_Total!$H13</f>
        <v>0.69840409188065078</v>
      </c>
      <c r="C12" s="156">
        <f>ATB_Total!D13/ATB_Total!$H13</f>
        <v>1.5433764080294383E-2</v>
      </c>
      <c r="D12" s="156">
        <f>ATB_Total!E13/ATB_Total!$H13</f>
        <v>0.16028396380569851</v>
      </c>
      <c r="E12" s="156">
        <f>LE!B15/ATB_Total!$H13</f>
        <v>0.10899253643052083</v>
      </c>
      <c r="F12" s="156">
        <f>LE!C15/ATB_Total!$H13</f>
        <v>1.4195668372545857E-2</v>
      </c>
      <c r="G12" s="156">
        <f>ATB_Total!G13/ATB_Total!$H13</f>
        <v>2.6899754302895412E-3</v>
      </c>
      <c r="H12" s="157">
        <f t="shared" si="0"/>
        <v>1</v>
      </c>
      <c r="I12" s="158" t="s">
        <v>54</v>
      </c>
      <c r="J12" s="138"/>
    </row>
    <row r="13" spans="1:10">
      <c r="A13" s="45" t="s">
        <v>55</v>
      </c>
      <c r="B13" s="153">
        <f>ATB_Total!C14/ATB_Total!$H14</f>
        <v>0.65778413410815451</v>
      </c>
      <c r="C13" s="153">
        <f>ATB_Total!D14/ATB_Total!$H14</f>
        <v>2.1387239554280728E-2</v>
      </c>
      <c r="D13" s="153">
        <f>ATB_Total!E14/ATB_Total!$H14</f>
        <v>9.6148662025555651E-2</v>
      </c>
      <c r="E13" s="153">
        <f>LE!B16/ATB_Total!$H14</f>
        <v>0.13737723578151592</v>
      </c>
      <c r="F13" s="153">
        <f>LE!C16/ATB_Total!$H14</f>
        <v>6.553327860068546E-2</v>
      </c>
      <c r="G13" s="153">
        <f>ATB_Total!G14/ATB_Total!$H14</f>
        <v>2.1769449929807717E-2</v>
      </c>
      <c r="H13" s="154">
        <f t="shared" si="0"/>
        <v>0.99999999999999989</v>
      </c>
      <c r="I13" s="155" t="s">
        <v>55</v>
      </c>
      <c r="J13" s="138"/>
    </row>
    <row r="14" spans="1:10">
      <c r="A14" s="48" t="s">
        <v>56</v>
      </c>
      <c r="B14" s="156">
        <f>ATB_Total!C15/ATB_Total!$H15</f>
        <v>0.46706991623234623</v>
      </c>
      <c r="C14" s="156">
        <f>ATB_Total!D15/ATB_Total!$H15</f>
        <v>1.6603039630942909E-2</v>
      </c>
      <c r="D14" s="156">
        <f>ATB_Total!E15/ATB_Total!$H15</f>
        <v>5.8041152323216355E-2</v>
      </c>
      <c r="E14" s="156">
        <f>LE!B17/ATB_Total!$H15</f>
        <v>0.2060443429658893</v>
      </c>
      <c r="F14" s="156">
        <f>LE!C17/ATB_Total!$H15</f>
        <v>0.25153765312963411</v>
      </c>
      <c r="G14" s="156">
        <f>ATB_Total!G15/ATB_Total!$H15</f>
        <v>7.0389571797125771E-4</v>
      </c>
      <c r="H14" s="157">
        <f t="shared" si="0"/>
        <v>1</v>
      </c>
      <c r="I14" s="158" t="s">
        <v>56</v>
      </c>
      <c r="J14" s="138"/>
    </row>
    <row r="15" spans="1:10">
      <c r="A15" s="45" t="s">
        <v>57</v>
      </c>
      <c r="B15" s="153">
        <f>ATB_Total!C16/ATB_Total!$H16</f>
        <v>0.71824309813021414</v>
      </c>
      <c r="C15" s="153">
        <f>ATB_Total!D16/ATB_Total!$H16</f>
        <v>2.8468932827708314E-2</v>
      </c>
      <c r="D15" s="153">
        <f>ATB_Total!E16/ATB_Total!$H16</f>
        <v>5.069008243350303E-2</v>
      </c>
      <c r="E15" s="153">
        <f>LE!B18/ATB_Total!$H16</f>
        <v>0.18049752249742318</v>
      </c>
      <c r="F15" s="153">
        <f>LE!C18/ATB_Total!$H16</f>
        <v>2.2494248883676671E-2</v>
      </c>
      <c r="G15" s="153">
        <f>ATB_Total!G16/ATB_Total!$H16</f>
        <v>-3.9388477252535369E-4</v>
      </c>
      <c r="H15" s="154">
        <f t="shared" si="0"/>
        <v>1</v>
      </c>
      <c r="I15" s="155" t="s">
        <v>57</v>
      </c>
      <c r="J15" s="138"/>
    </row>
    <row r="16" spans="1:10">
      <c r="A16" s="48" t="s">
        <v>58</v>
      </c>
      <c r="B16" s="156">
        <f>ATB_Total!C17/ATB_Total!$H17</f>
        <v>0.6910373570877496</v>
      </c>
      <c r="C16" s="156">
        <f>ATB_Total!D17/ATB_Total!$H17</f>
        <v>1.949512191093274E-2</v>
      </c>
      <c r="D16" s="156">
        <f>ATB_Total!E17/ATB_Total!$H17</f>
        <v>4.1951852033700325E-2</v>
      </c>
      <c r="E16" s="156">
        <f>LE!B19/ATB_Total!$H17</f>
        <v>0.23594096113031324</v>
      </c>
      <c r="F16" s="156">
        <f>LE!C19/ATB_Total!$H17</f>
        <v>4.4152376794111036E-3</v>
      </c>
      <c r="G16" s="156">
        <f>ATB_Total!G17/ATB_Total!$H17</f>
        <v>7.1594701578928648E-3</v>
      </c>
      <c r="H16" s="157">
        <f t="shared" si="0"/>
        <v>0.99999999999999989</v>
      </c>
      <c r="I16" s="158" t="s">
        <v>58</v>
      </c>
      <c r="J16" s="138"/>
    </row>
    <row r="17" spans="1:10">
      <c r="A17" s="45" t="s">
        <v>59</v>
      </c>
      <c r="B17" s="153">
        <f>ATB_Total!C18/ATB_Total!$H18</f>
        <v>0.48715923958320467</v>
      </c>
      <c r="C17" s="153">
        <f>ATB_Total!D18/ATB_Total!$H18</f>
        <v>8.4265986573137053E-2</v>
      </c>
      <c r="D17" s="153">
        <f>ATB_Total!E18/ATB_Total!$H18</f>
        <v>6.76114086490988E-2</v>
      </c>
      <c r="E17" s="153">
        <f>LE!B20/ATB_Total!$H18</f>
        <v>0.17146002905476793</v>
      </c>
      <c r="F17" s="153">
        <f>LE!C20/ATB_Total!$H18</f>
        <v>0.19948041289598559</v>
      </c>
      <c r="G17" s="153">
        <f>ATB_Total!G18/ATB_Total!$H18</f>
        <v>-9.9770767561940792E-3</v>
      </c>
      <c r="H17" s="154">
        <f t="shared" si="0"/>
        <v>0.99999999999999989</v>
      </c>
      <c r="I17" s="155" t="s">
        <v>59</v>
      </c>
      <c r="J17" s="138"/>
    </row>
    <row r="18" spans="1:10">
      <c r="A18" s="48" t="s">
        <v>60</v>
      </c>
      <c r="B18" s="156">
        <f>ATB_Total!C19/ATB_Total!$H19</f>
        <v>0.74403628507982578</v>
      </c>
      <c r="C18" s="156">
        <f>ATB_Total!D19/ATB_Total!$H19</f>
        <v>4.3030701294458372E-2</v>
      </c>
      <c r="D18" s="156">
        <f>ATB_Total!E19/ATB_Total!$H19</f>
        <v>5.3356291116086065E-2</v>
      </c>
      <c r="E18" s="156">
        <f>LE!B21/ATB_Total!$H19</f>
        <v>0.14925920491283337</v>
      </c>
      <c r="F18" s="156">
        <f>LE!C21/ATB_Total!$H19</f>
        <v>1.0734522826337188E-2</v>
      </c>
      <c r="G18" s="156">
        <f>ATB_Total!G19/ATB_Total!$H19</f>
        <v>-4.1700522954092123E-4</v>
      </c>
      <c r="H18" s="157">
        <f t="shared" si="0"/>
        <v>1</v>
      </c>
      <c r="I18" s="158" t="s">
        <v>60</v>
      </c>
      <c r="J18" s="138"/>
    </row>
    <row r="19" spans="1:10">
      <c r="A19" s="45" t="s">
        <v>61</v>
      </c>
      <c r="B19" s="153">
        <f>ATB_Total!C20/ATB_Total!$H20</f>
        <v>0.54164682729849045</v>
      </c>
      <c r="C19" s="153">
        <f>ATB_Total!D20/ATB_Total!$H20</f>
        <v>5.6040007637786986E-2</v>
      </c>
      <c r="D19" s="153">
        <f>ATB_Total!E20/ATB_Total!$H20</f>
        <v>5.6942866002790492E-2</v>
      </c>
      <c r="E19" s="153">
        <f>LE!B22/ATB_Total!$H20</f>
        <v>0.21711064217366338</v>
      </c>
      <c r="F19" s="153">
        <f>LE!C22/ATB_Total!$H20</f>
        <v>0.125775490689468</v>
      </c>
      <c r="G19" s="153">
        <f>ATB_Total!G20/ATB_Total!$H20</f>
        <v>2.4841661978008251E-3</v>
      </c>
      <c r="H19" s="154">
        <f t="shared" si="0"/>
        <v>1.0000000000000002</v>
      </c>
      <c r="I19" s="155" t="s">
        <v>61</v>
      </c>
      <c r="J19" s="138"/>
    </row>
    <row r="20" spans="1:10">
      <c r="A20" s="48" t="s">
        <v>62</v>
      </c>
      <c r="B20" s="156">
        <f>ATB_Total!C21/ATB_Total!$H21</f>
        <v>0.6954445672626095</v>
      </c>
      <c r="C20" s="156">
        <f>ATB_Total!D21/ATB_Total!$H21</f>
        <v>2.4782431555049375E-2</v>
      </c>
      <c r="D20" s="156">
        <f>ATB_Total!E21/ATB_Total!$H21</f>
        <v>0.10435975423404413</v>
      </c>
      <c r="E20" s="156">
        <f>LE!B23/ATB_Total!$H21</f>
        <v>0.1723655347954122</v>
      </c>
      <c r="F20" s="156">
        <f>LE!C23/ATB_Total!$H21</f>
        <v>3.5680360259714057E-3</v>
      </c>
      <c r="G20" s="156">
        <f>ATB_Total!G21/ATB_Total!$H21</f>
        <v>-5.2032387308673881E-4</v>
      </c>
      <c r="H20" s="157">
        <f t="shared" si="0"/>
        <v>0.99999999999999967</v>
      </c>
      <c r="I20" s="158" t="s">
        <v>62</v>
      </c>
      <c r="J20" s="138"/>
    </row>
    <row r="21" spans="1:10">
      <c r="A21" s="45" t="s">
        <v>63</v>
      </c>
      <c r="B21" s="153">
        <f>ATB_Total!C22/ATB_Total!$H22</f>
        <v>0.68963378806293785</v>
      </c>
      <c r="C21" s="153">
        <f>ATB_Total!D22/ATB_Total!$H22</f>
        <v>1.9436415186991293E-2</v>
      </c>
      <c r="D21" s="153">
        <f>ATB_Total!E22/ATB_Total!$H22</f>
        <v>0.11170878548901061</v>
      </c>
      <c r="E21" s="153">
        <f>LE!B24/ATB_Total!$H22</f>
        <v>0.16551015030445471</v>
      </c>
      <c r="F21" s="153">
        <f>LE!C24/ATB_Total!$H22</f>
        <v>1.6310746051755729E-2</v>
      </c>
      <c r="G21" s="153">
        <f>ATB_Total!G22/ATB_Total!$H22</f>
        <v>-2.5998850951502216E-3</v>
      </c>
      <c r="H21" s="154">
        <f t="shared" si="0"/>
        <v>0.99999999999999989</v>
      </c>
      <c r="I21" s="155" t="s">
        <v>63</v>
      </c>
      <c r="J21" s="138"/>
    </row>
    <row r="22" spans="1:10">
      <c r="A22" s="48" t="s">
        <v>64</v>
      </c>
      <c r="B22" s="156">
        <f>ATB_Total!C23/ATB_Total!$H23</f>
        <v>0.66279880820339321</v>
      </c>
      <c r="C22" s="156">
        <f>ATB_Total!D23/ATB_Total!$H23</f>
        <v>3.996798681459441E-2</v>
      </c>
      <c r="D22" s="156">
        <f>ATB_Total!E23/ATB_Total!$H23</f>
        <v>8.9420740860457593E-2</v>
      </c>
      <c r="E22" s="156">
        <f>LE!B25/ATB_Total!$H23</f>
        <v>0.18690272017957102</v>
      </c>
      <c r="F22" s="156">
        <f>LE!C25/ATB_Total!$H23</f>
        <v>1.7679189125542918E-2</v>
      </c>
      <c r="G22" s="156">
        <f>ATB_Total!G23/ATB_Total!$H23</f>
        <v>3.23055481644065E-3</v>
      </c>
      <c r="H22" s="157">
        <f t="shared" si="0"/>
        <v>0.99999999999999978</v>
      </c>
      <c r="I22" s="158" t="s">
        <v>64</v>
      </c>
      <c r="J22" s="138"/>
    </row>
    <row r="23" spans="1:10">
      <c r="A23" s="45" t="s">
        <v>65</v>
      </c>
      <c r="B23" s="153">
        <f>ATB_Total!C24/ATB_Total!$H24</f>
        <v>0.65083937628346389</v>
      </c>
      <c r="C23" s="153">
        <f>ATB_Total!D24/ATB_Total!$H24</f>
        <v>7.0398470348167194E-2</v>
      </c>
      <c r="D23" s="153">
        <f>ATB_Total!E24/ATB_Total!$H24</f>
        <v>0.10158662697320299</v>
      </c>
      <c r="E23" s="153">
        <f>LE!B26/ATB_Total!$H24</f>
        <v>0.15946285328842372</v>
      </c>
      <c r="F23" s="153">
        <f>LE!C26/ATB_Total!$H24</f>
        <v>1.4402188123532868E-2</v>
      </c>
      <c r="G23" s="153">
        <f>ATB_Total!G24/ATB_Total!$H24</f>
        <v>3.310484983209217E-3</v>
      </c>
      <c r="H23" s="154">
        <f t="shared" si="0"/>
        <v>0.99999999999999978</v>
      </c>
      <c r="I23" s="155" t="s">
        <v>65</v>
      </c>
      <c r="J23" s="138"/>
    </row>
    <row r="24" spans="1:10">
      <c r="A24" s="48" t="s">
        <v>66</v>
      </c>
      <c r="B24" s="156">
        <f>ATB_Total!C25/ATB_Total!$H25</f>
        <v>0.70338441746963187</v>
      </c>
      <c r="C24" s="156">
        <f>ATB_Total!D25/ATB_Total!$H25</f>
        <v>2.933522237713038E-2</v>
      </c>
      <c r="D24" s="156">
        <f>ATB_Total!E25/ATB_Total!$H25</f>
        <v>6.7345360454357683E-2</v>
      </c>
      <c r="E24" s="156">
        <f>LE!B27/ATB_Total!$H25</f>
        <v>0.1977290124287199</v>
      </c>
      <c r="F24" s="156">
        <f>LE!C27/ATB_Total!$H25</f>
        <v>2.9274794626674167E-3</v>
      </c>
      <c r="G24" s="156">
        <f>ATB_Total!G25/ATB_Total!$H25</f>
        <v>-7.2149219250726068E-4</v>
      </c>
      <c r="H24" s="157">
        <f t="shared" si="0"/>
        <v>0.99999999999999989</v>
      </c>
      <c r="I24" s="158" t="s">
        <v>66</v>
      </c>
      <c r="J24" s="138"/>
    </row>
    <row r="25" spans="1:10">
      <c r="A25" s="45" t="s">
        <v>67</v>
      </c>
      <c r="B25" s="153">
        <f>ATB_Total!C26/ATB_Total!$H26</f>
        <v>0.68013182624576629</v>
      </c>
      <c r="C25" s="153">
        <f>ATB_Total!D26/ATB_Total!$H26</f>
        <v>3.2738414881759499E-2</v>
      </c>
      <c r="D25" s="153">
        <f>ATB_Total!E26/ATB_Total!$H26</f>
        <v>7.9785620906846322E-2</v>
      </c>
      <c r="E25" s="153">
        <f>LE!B28/ATB_Total!$H26</f>
        <v>0.20193999339821944</v>
      </c>
      <c r="F25" s="153">
        <f>LE!C28/ATB_Total!$H26</f>
        <v>2.6800485881178222E-3</v>
      </c>
      <c r="G25" s="153">
        <f>ATB_Total!G26/ATB_Total!$H26</f>
        <v>2.724095979290536E-3</v>
      </c>
      <c r="H25" s="154">
        <f t="shared" si="0"/>
        <v>1</v>
      </c>
      <c r="I25" s="155" t="s">
        <v>67</v>
      </c>
      <c r="J25" s="138"/>
    </row>
    <row r="26" spans="1:10">
      <c r="A26" s="48" t="s">
        <v>68</v>
      </c>
      <c r="B26" s="156">
        <f>ATB_Total!C27/ATB_Total!$H27</f>
        <v>0.585150455917681</v>
      </c>
      <c r="C26" s="156">
        <f>ATB_Total!D27/ATB_Total!$H27</f>
        <v>9.0453328891025225E-2</v>
      </c>
      <c r="D26" s="156">
        <f>ATB_Total!E27/ATB_Total!$H27</f>
        <v>4.9373737074211624E-2</v>
      </c>
      <c r="E26" s="156">
        <f>LE!B29/ATB_Total!$H27</f>
        <v>0.23494870049839037</v>
      </c>
      <c r="F26" s="156">
        <f>LE!C29/ATB_Total!$H27</f>
        <v>3.2013831761096061E-2</v>
      </c>
      <c r="G26" s="156">
        <f>ATB_Total!G27/ATB_Total!$H27</f>
        <v>8.0599458575958387E-3</v>
      </c>
      <c r="H26" s="157">
        <f t="shared" si="0"/>
        <v>1</v>
      </c>
      <c r="I26" s="158" t="s">
        <v>68</v>
      </c>
      <c r="J26" s="138"/>
    </row>
    <row r="27" spans="1:10">
      <c r="A27" s="45" t="s">
        <v>69</v>
      </c>
      <c r="B27" s="153">
        <f>ATB_Total!C28/ATB_Total!$H28</f>
        <v>0.55549491965174635</v>
      </c>
      <c r="C27" s="153">
        <f>ATB_Total!D28/ATB_Total!$H28</f>
        <v>3.1946390594060688E-2</v>
      </c>
      <c r="D27" s="153">
        <f>ATB_Total!E28/ATB_Total!$H28</f>
        <v>4.6253331635494652E-2</v>
      </c>
      <c r="E27" s="153">
        <f>LE!B30/ATB_Total!$H28</f>
        <v>0.31613671964709983</v>
      </c>
      <c r="F27" s="153">
        <f>LE!C30/ATB_Total!$H28</f>
        <v>2.9246041849144359E-2</v>
      </c>
      <c r="G27" s="153">
        <f>ATB_Total!G28/ATB_Total!$H28</f>
        <v>2.0922596622454263E-2</v>
      </c>
      <c r="H27" s="154">
        <f t="shared" si="0"/>
        <v>1.0000000000000002</v>
      </c>
      <c r="I27" s="155" t="s">
        <v>69</v>
      </c>
      <c r="J27" s="138"/>
    </row>
    <row r="28" spans="1:10">
      <c r="A28" s="48" t="s">
        <v>70</v>
      </c>
      <c r="B28" s="156">
        <f>ATB_Total!C29/ATB_Total!$H29</f>
        <v>0.7397628049930548</v>
      </c>
      <c r="C28" s="156">
        <f>ATB_Total!D29/ATB_Total!$H29</f>
        <v>5.045631420974088E-2</v>
      </c>
      <c r="D28" s="156">
        <f>ATB_Total!E29/ATB_Total!$H29</f>
        <v>7.5165754377451752E-2</v>
      </c>
      <c r="E28" s="156">
        <f>LE!B31/ATB_Total!$H29</f>
        <v>0.13104989396588901</v>
      </c>
      <c r="F28" s="156">
        <f>LE!C31/ATB_Total!$H29</f>
        <v>4.6942875989483925E-4</v>
      </c>
      <c r="G28" s="156">
        <f>ATB_Total!G29/ATB_Total!$H29</f>
        <v>3.0958036939686801E-3</v>
      </c>
      <c r="H28" s="157">
        <f t="shared" si="0"/>
        <v>1</v>
      </c>
      <c r="I28" s="158" t="s">
        <v>70</v>
      </c>
      <c r="J28" s="138"/>
    </row>
    <row r="29" spans="1:10">
      <c r="A29" s="45" t="s">
        <v>71</v>
      </c>
      <c r="B29" s="153">
        <f>ATB_Total!C30/ATB_Total!$H30</f>
        <v>0.57684616960959512</v>
      </c>
      <c r="C29" s="153">
        <f>ATB_Total!D30/ATB_Total!$H30</f>
        <v>4.6777536906993475E-2</v>
      </c>
      <c r="D29" s="153">
        <f>ATB_Total!E30/ATB_Total!$H30</f>
        <v>4.2228880096031811E-2</v>
      </c>
      <c r="E29" s="153">
        <f>LE!B32/ATB_Total!$H30</f>
        <v>0.31632168168698499</v>
      </c>
      <c r="F29" s="153">
        <f>LE!C32/ATB_Total!$H30</f>
        <v>8.7798127908364956E-2</v>
      </c>
      <c r="G29" s="153">
        <f>ATB_Total!G30/ATB_Total!$H30</f>
        <v>-6.9972396207970494E-2</v>
      </c>
      <c r="H29" s="154">
        <f t="shared" si="0"/>
        <v>0.99999999999999989</v>
      </c>
      <c r="I29" s="155" t="s">
        <v>71</v>
      </c>
      <c r="J29" s="138"/>
    </row>
    <row r="30" spans="1:10">
      <c r="A30" s="48" t="s">
        <v>72</v>
      </c>
      <c r="B30" s="156">
        <f>ATB_Total!C31/ATB_Total!$H31</f>
        <v>0.54798047295565866</v>
      </c>
      <c r="C30" s="156">
        <f>ATB_Total!D31/ATB_Total!$H31</f>
        <v>0.10044519012962154</v>
      </c>
      <c r="D30" s="156">
        <f>ATB_Total!E31/ATB_Total!$H31</f>
        <v>4.093977252543976E-2</v>
      </c>
      <c r="E30" s="156">
        <f>LE!B33/ATB_Total!$H31</f>
        <v>0.26867757907443768</v>
      </c>
      <c r="F30" s="156">
        <f>LE!C33/ATB_Total!$H31</f>
        <v>3.8637946952579237E-2</v>
      </c>
      <c r="G30" s="156">
        <f>ATB_Total!G31/ATB_Total!$H31</f>
        <v>3.3190383622631833E-3</v>
      </c>
      <c r="H30" s="157">
        <f t="shared" si="0"/>
        <v>1</v>
      </c>
      <c r="I30" s="158" t="s">
        <v>72</v>
      </c>
      <c r="J30" s="138"/>
    </row>
    <row r="31" spans="1:10">
      <c r="A31" s="45" t="s">
        <v>73</v>
      </c>
      <c r="B31" s="153">
        <f>ATB_Total!C32/ATB_Total!$H32</f>
        <v>0.66069491003127623</v>
      </c>
      <c r="C31" s="153">
        <f>ATB_Total!D32/ATB_Total!$H32</f>
        <v>5.9019672849935381E-2</v>
      </c>
      <c r="D31" s="153">
        <f>ATB_Total!E32/ATB_Total!$H32</f>
        <v>4.7591648238339092E-2</v>
      </c>
      <c r="E31" s="153">
        <f>LE!B34/ATB_Total!$H32</f>
        <v>0.21850581588208953</v>
      </c>
      <c r="F31" s="153">
        <f>LE!C34/ATB_Total!$H32</f>
        <v>1.1508540454282581E-2</v>
      </c>
      <c r="G31" s="153">
        <f>ATB_Total!G32/ATB_Total!$H32</f>
        <v>2.6794125440771882E-3</v>
      </c>
      <c r="H31" s="154">
        <f t="shared" si="0"/>
        <v>1</v>
      </c>
      <c r="I31" s="159" t="s">
        <v>73</v>
      </c>
      <c r="J31" s="138"/>
    </row>
    <row r="32" spans="1:10">
      <c r="A32" s="53" t="s">
        <v>74</v>
      </c>
      <c r="B32" s="160">
        <f>ATB_Total!C33/ATB_Total!$H33</f>
        <v>0.62051129017022788</v>
      </c>
      <c r="C32" s="160">
        <f>ATB_Total!D33/ATB_Total!$H33</f>
        <v>4.1979856271324133E-2</v>
      </c>
      <c r="D32" s="160">
        <f>ATB_Total!E33/ATB_Total!$H33</f>
        <v>6.5776051912288011E-2</v>
      </c>
      <c r="E32" s="160">
        <f>LE!B35/ATB_Total!$H33</f>
        <v>0.23605477963162377</v>
      </c>
      <c r="F32" s="160">
        <f>LE!C35/ATB_Total!$H33</f>
        <v>3.5161715041206319E-2</v>
      </c>
      <c r="G32" s="160">
        <f>ATB_Total!G33/ATB_Total!$H33</f>
        <v>5.1630697333006456E-4</v>
      </c>
      <c r="H32" s="161">
        <f t="shared" si="0"/>
        <v>1.0000000000000002</v>
      </c>
      <c r="I32" s="162" t="s">
        <v>74</v>
      </c>
      <c r="J32" s="138"/>
    </row>
    <row r="33" spans="1:7">
      <c r="A33" s="163"/>
    </row>
    <row r="34" spans="1:7">
      <c r="A34" s="174" t="s">
        <v>111</v>
      </c>
      <c r="B34" s="164">
        <f t="shared" ref="B34:G34" si="1">MIN(B6:B32)</f>
        <v>0.46706991623234623</v>
      </c>
      <c r="C34" s="164">
        <f t="shared" si="1"/>
        <v>1.5433764080294383E-2</v>
      </c>
      <c r="D34" s="164">
        <f t="shared" si="1"/>
        <v>4.093977252543976E-2</v>
      </c>
      <c r="E34" s="164">
        <f t="shared" si="1"/>
        <v>0.10899253643052083</v>
      </c>
      <c r="F34" s="164">
        <f t="shared" si="1"/>
        <v>4.6942875989483925E-4</v>
      </c>
      <c r="G34" s="165">
        <f t="shared" si="1"/>
        <v>-6.9972396207970494E-2</v>
      </c>
    </row>
    <row r="35" spans="1:7">
      <c r="A35" s="175"/>
      <c r="B35" s="166" t="str">
        <f>VLOOKUP(B34,B$6:$I$32,B$36,FALSE)</f>
        <v>Zug</v>
      </c>
      <c r="C35" s="166" t="str">
        <f>VLOOKUP(C34,C$6:$I$32,C$36,FALSE)</f>
        <v>Nidwalden</v>
      </c>
      <c r="D35" s="166" t="str">
        <f>VLOOKUP(D34,D$6:$I$32,D$36,FALSE)</f>
        <v>Geneva</v>
      </c>
      <c r="E35" s="166" t="str">
        <f>VLOOKUP(E34,E$6:$I$32,E$36,FALSE)</f>
        <v>Nidwalden</v>
      </c>
      <c r="F35" s="166" t="str">
        <f>VLOOKUP(F34,F$6:$I$32,F$36,FALSE)</f>
        <v>Valais</v>
      </c>
      <c r="G35" s="167" t="str">
        <f>VLOOKUP(G34,G$6:$I$32,G$36,FALSE)</f>
        <v>Neuchâtel</v>
      </c>
    </row>
    <row r="36" spans="1:7" ht="3.75" customHeight="1">
      <c r="A36" s="168"/>
      <c r="B36" s="169">
        <v>8</v>
      </c>
      <c r="C36" s="169">
        <v>7</v>
      </c>
      <c r="D36" s="169">
        <v>6</v>
      </c>
      <c r="E36" s="169">
        <v>5</v>
      </c>
      <c r="F36" s="169">
        <v>4</v>
      </c>
      <c r="G36" s="169">
        <v>3</v>
      </c>
    </row>
    <row r="37" spans="1:7">
      <c r="A37" s="174" t="s">
        <v>112</v>
      </c>
      <c r="B37" s="164">
        <f t="shared" ref="B37:G37" si="2">MAX(B6:B31)</f>
        <v>0.74403628507982578</v>
      </c>
      <c r="C37" s="164">
        <f t="shared" si="2"/>
        <v>0.10044519012962154</v>
      </c>
      <c r="D37" s="164">
        <f t="shared" si="2"/>
        <v>0.16028396380569851</v>
      </c>
      <c r="E37" s="164">
        <f t="shared" si="2"/>
        <v>0.31632168168698499</v>
      </c>
      <c r="F37" s="164">
        <f t="shared" si="2"/>
        <v>0.25153765312963411</v>
      </c>
      <c r="G37" s="165">
        <f t="shared" si="2"/>
        <v>2.1769449929807717E-2</v>
      </c>
    </row>
    <row r="38" spans="1:7">
      <c r="A38" s="175"/>
      <c r="B38" s="166" t="str">
        <f>VLOOKUP(B37,B$6:$I$32,B$36,FALSE)</f>
        <v>Basel-Landschaft</v>
      </c>
      <c r="C38" s="166" t="str">
        <f>VLOOKUP(C37,C$6:$I$32,C$36,FALSE)</f>
        <v>Geneva</v>
      </c>
      <c r="D38" s="166" t="str">
        <f>VLOOKUP(D37,D$6:$I$32,D$36,FALSE)</f>
        <v>Nidwalden</v>
      </c>
      <c r="E38" s="166" t="str">
        <f>VLOOKUP(E37,E$6:$I$32,E$36,FALSE)</f>
        <v>Neuchâtel</v>
      </c>
      <c r="F38" s="166" t="str">
        <f>VLOOKUP(F37,F$6:$I$32,F$36,FALSE)</f>
        <v>Zug</v>
      </c>
      <c r="G38" s="167" t="str">
        <f>VLOOKUP(G37,G$6:$I$32,G$36,FALSE)</f>
        <v>Glarus</v>
      </c>
    </row>
    <row r="40" spans="1:7">
      <c r="G40" s="170"/>
    </row>
  </sheetData>
  <mergeCells count="2">
    <mergeCell ref="A34:A35"/>
    <mergeCell ref="A37:A38"/>
  </mergeCells>
  <conditionalFormatting sqref="C6:I28 C3:H3">
    <cfRule type="expression" dxfId="1" priority="1" stopIfTrue="1">
      <formula>ISBLANK(C3)</formula>
    </cfRule>
  </conditionalFormatting>
  <conditionalFormatting sqref="E4:F4">
    <cfRule type="expression" dxfId="0" priority="2" stopIfTrue="1">
      <formula>ISBLANK(A1073741823)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PI</vt:lpstr>
      <vt:lpstr>ITS</vt:lpstr>
      <vt:lpstr>Wealth</vt:lpstr>
      <vt:lpstr>LE</vt:lpstr>
      <vt:lpstr>REPART</vt:lpstr>
      <vt:lpstr>ATB_Total</vt:lpstr>
      <vt:lpstr>ATB_per_capita</vt:lpstr>
      <vt:lpstr>ATB_in_percent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2012-02-27T15:44:47Z</cp:lastPrinted>
  <dcterms:created xsi:type="dcterms:W3CDTF">2010-11-03T16:06:04Z</dcterms:created>
  <dcterms:modified xsi:type="dcterms:W3CDTF">2012-05-18T13:34:53Z</dcterms:modified>
</cp:coreProperties>
</file>