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G22"/>
  <c r="J21"/>
  <c r="J20"/>
  <c r="G20"/>
  <c r="J19"/>
  <c r="J18"/>
  <c r="G18"/>
  <c r="J17"/>
  <c r="J16"/>
  <c r="G16"/>
  <c r="J15"/>
  <c r="V14"/>
  <c r="J14"/>
  <c r="J13"/>
  <c r="G13"/>
  <c r="U11"/>
  <c r="G11"/>
  <c r="G37" s="1"/>
  <c r="E11"/>
  <c r="E37" s="1"/>
  <c r="D11"/>
  <c r="D38" s="1"/>
  <c r="U10"/>
  <c r="V9"/>
  <c r="O8"/>
  <c r="D7"/>
  <c r="A4"/>
  <c r="L3"/>
  <c r="A1"/>
  <c r="C6" i="3"/>
  <c r="C7" s="1"/>
  <c r="B6"/>
  <c r="O11" i="4" s="1"/>
  <c r="C3" i="3"/>
  <c r="A1"/>
  <c r="H36" i="2"/>
  <c r="G36"/>
  <c r="F36"/>
  <c r="E36"/>
  <c r="D36"/>
  <c r="C36"/>
  <c r="B36"/>
  <c r="I36" s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1"/>
  <c r="A5" i="1"/>
  <c r="A2" i="4" s="1"/>
  <c r="A4" i="1"/>
  <c r="E13" i="4" l="1"/>
  <c r="E16"/>
  <c r="E18"/>
  <c r="E20"/>
  <c r="E22"/>
  <c r="C11"/>
  <c r="H11"/>
  <c r="F11"/>
  <c r="B11"/>
  <c r="A2" i="2"/>
  <c r="A2" i="3" s="1"/>
  <c r="D14" i="4"/>
  <c r="D15"/>
  <c r="D17"/>
  <c r="D19"/>
  <c r="D21"/>
  <c r="D23"/>
  <c r="E24"/>
  <c r="G24"/>
  <c r="D25"/>
  <c r="E26"/>
  <c r="G26"/>
  <c r="D27"/>
  <c r="E28"/>
  <c r="G28"/>
  <c r="D29"/>
  <c r="E30"/>
  <c r="G30"/>
  <c r="D31"/>
  <c r="E32"/>
  <c r="G32"/>
  <c r="D33"/>
  <c r="E34"/>
  <c r="G34"/>
  <c r="D35"/>
  <c r="E36"/>
  <c r="G36"/>
  <c r="D37"/>
  <c r="E38"/>
  <c r="G38"/>
  <c r="D13"/>
  <c r="E14"/>
  <c r="G14"/>
  <c r="E15"/>
  <c r="G15"/>
  <c r="D16"/>
  <c r="E17"/>
  <c r="G17"/>
  <c r="D18"/>
  <c r="E19"/>
  <c r="G19"/>
  <c r="D20"/>
  <c r="E21"/>
  <c r="G21"/>
  <c r="D22"/>
  <c r="E23"/>
  <c r="G23"/>
  <c r="D24"/>
  <c r="E25"/>
  <c r="G25"/>
  <c r="D26"/>
  <c r="E27"/>
  <c r="G27"/>
  <c r="D28"/>
  <c r="E29"/>
  <c r="G29"/>
  <c r="D30"/>
  <c r="E31"/>
  <c r="G31"/>
  <c r="D32"/>
  <c r="E33"/>
  <c r="G33"/>
  <c r="D34"/>
  <c r="E35"/>
  <c r="G35"/>
  <c r="D36"/>
  <c r="E39" l="1"/>
  <c r="G39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D39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I35" s="1"/>
  <c r="K35" s="1"/>
  <c r="L35" s="1"/>
  <c r="C33"/>
  <c r="C31"/>
  <c r="I31" s="1"/>
  <c r="K31" s="1"/>
  <c r="L31" s="1"/>
  <c r="C29"/>
  <c r="C27"/>
  <c r="I27" s="1"/>
  <c r="K27" s="1"/>
  <c r="L27" s="1"/>
  <c r="C25"/>
  <c r="C23"/>
  <c r="I23" s="1"/>
  <c r="K23" s="1"/>
  <c r="L23" s="1"/>
  <c r="C21"/>
  <c r="C19"/>
  <c r="I19" s="1"/>
  <c r="K19" s="1"/>
  <c r="L19" s="1"/>
  <c r="C17"/>
  <c r="C15"/>
  <c r="I15" s="1"/>
  <c r="K15" s="1"/>
  <c r="L15" s="1"/>
  <c r="C14"/>
  <c r="C38"/>
  <c r="I38" s="1"/>
  <c r="K38" s="1"/>
  <c r="L38" s="1"/>
  <c r="C36"/>
  <c r="C34"/>
  <c r="I34" s="1"/>
  <c r="K34" s="1"/>
  <c r="L34" s="1"/>
  <c r="C32"/>
  <c r="C30"/>
  <c r="I30" s="1"/>
  <c r="K30" s="1"/>
  <c r="L30" s="1"/>
  <c r="C28"/>
  <c r="C26"/>
  <c r="I26" s="1"/>
  <c r="K26" s="1"/>
  <c r="L26" s="1"/>
  <c r="C24"/>
  <c r="C22"/>
  <c r="I22" s="1"/>
  <c r="K22" s="1"/>
  <c r="L22" s="1"/>
  <c r="C20"/>
  <c r="C18"/>
  <c r="I18" s="1"/>
  <c r="K18" s="1"/>
  <c r="L18" s="1"/>
  <c r="C16"/>
  <c r="C13"/>
  <c r="I16" l="1"/>
  <c r="K16" s="1"/>
  <c r="L16" s="1"/>
  <c r="S16" s="1"/>
  <c r="I20"/>
  <c r="K20" s="1"/>
  <c r="L20" s="1"/>
  <c r="I24"/>
  <c r="K24" s="1"/>
  <c r="L24" s="1"/>
  <c r="S24" s="1"/>
  <c r="I28"/>
  <c r="K28" s="1"/>
  <c r="L28" s="1"/>
  <c r="I32"/>
  <c r="K32" s="1"/>
  <c r="L32" s="1"/>
  <c r="S32" s="1"/>
  <c r="I36"/>
  <c r="K36" s="1"/>
  <c r="L36" s="1"/>
  <c r="I14"/>
  <c r="K14" s="1"/>
  <c r="L14" s="1"/>
  <c r="Q14" s="1"/>
  <c r="S14" s="1"/>
  <c r="I17"/>
  <c r="K17" s="1"/>
  <c r="L17" s="1"/>
  <c r="I21"/>
  <c r="K21" s="1"/>
  <c r="L21" s="1"/>
  <c r="Q21" s="1"/>
  <c r="S21" s="1"/>
  <c r="I25"/>
  <c r="K25" s="1"/>
  <c r="L25" s="1"/>
  <c r="I29"/>
  <c r="K29" s="1"/>
  <c r="L29" s="1"/>
  <c r="Q29" s="1"/>
  <c r="S29" s="1"/>
  <c r="I33"/>
  <c r="K33" s="1"/>
  <c r="L33" s="1"/>
  <c r="I37"/>
  <c r="K37" s="1"/>
  <c r="L37" s="1"/>
  <c r="Q37" s="1"/>
  <c r="S37" s="1"/>
  <c r="C39"/>
  <c r="I13"/>
  <c r="Q18"/>
  <c r="S18" s="1"/>
  <c r="Q22"/>
  <c r="S22" s="1"/>
  <c r="Q26"/>
  <c r="S26" s="1"/>
  <c r="Q30"/>
  <c r="S30" s="1"/>
  <c r="Q34"/>
  <c r="S34" s="1"/>
  <c r="Q38"/>
  <c r="S38" s="1"/>
  <c r="Q15"/>
  <c r="S15" s="1"/>
  <c r="Q19"/>
  <c r="S19" s="1"/>
  <c r="Q23"/>
  <c r="S23" s="1"/>
  <c r="Q27"/>
  <c r="S27" s="1"/>
  <c r="Q31"/>
  <c r="S31" s="1"/>
  <c r="Q35"/>
  <c r="S35" s="1"/>
  <c r="H39"/>
  <c r="B39"/>
  <c r="Q16"/>
  <c r="Q20"/>
  <c r="S20" s="1"/>
  <c r="Q24"/>
  <c r="Q28"/>
  <c r="S28" s="1"/>
  <c r="Q32"/>
  <c r="Q36"/>
  <c r="S36" s="1"/>
  <c r="Q17"/>
  <c r="S17" s="1"/>
  <c r="Q25"/>
  <c r="S25" s="1"/>
  <c r="Q33"/>
  <c r="S33" s="1"/>
  <c r="F39"/>
  <c r="I39" l="1"/>
  <c r="K39" s="1"/>
  <c r="L39" s="1"/>
  <c r="K13"/>
  <c r="L13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<sst xmlns="http://schemas.openxmlformats.org/spreadsheetml/2006/main" count="212" uniqueCount="103">
  <si>
    <t>Income taxed at source (ITS)</t>
  </si>
  <si>
    <t>Informations</t>
  </si>
  <si>
    <t>Environment</t>
  </si>
  <si>
    <t>Produktion</t>
  </si>
  <si>
    <t>Type</t>
  </si>
  <si>
    <t>Test</t>
  </si>
  <si>
    <t>WS</t>
  </si>
  <si>
    <t>FA_2009_20120423</t>
  </si>
  <si>
    <t>SWS</t>
  </si>
  <si>
    <t>RA_2009_20120423</t>
  </si>
  <si>
    <t>RefYear</t>
  </si>
  <si>
    <t>AssesYear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</si>
  <si>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</si>
  <si>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</si>
  <si>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</si>
  <si>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</si>
  <si>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</si>
  <si>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</si>
  <si>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</si>
  <si>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</si>
  <si>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</si>
  <si>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</si>
  <si>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</si>
  <si>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</si>
  <si>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</si>
  <si>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</si>
  <si>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</si>
  <si>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</si>
  <si>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</si>
  <si>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</si>
  <si>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</si>
  <si>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</si>
  <si>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</si>
  <si>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</si>
  <si>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</si>
  <si>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</si>
  <si>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</si>
  <si>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</si>
  <si>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</si>
  <si>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</si>
  <si>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</si>
  <si>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</si>
  <si>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</si>
  <si>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</si>
  <si>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</si>
  <si>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</si>
  <si>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</si>
  <si>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</si>
  <si>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</si>
  <si>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</si>
  <si>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</si>
  <si>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</si>
  <si>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</si>
  <si>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</si>
  <si>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</si>
  <si>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</si>
  <si>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</si>
  <si>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</si>
  <si>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</si>
  <si>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</si>
  <si>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</si>
  <si>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</si>
  <si>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</si>
  <si>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</si>
  <si>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</si>
  <si>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</si>
  <si>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</si>
  <si>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</si>
  <si>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</si>
  <si>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</si>
  <si>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</si>
  <si>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</si>
  <si>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</si>
  <si>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</si>
  <si>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</si>
  <si>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Column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</si>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</sst>
</file>

<file path=xl/styles.xml><?xml version="1.0" encoding="utf-8"?>
<styleSheet xmlns="http://schemas.openxmlformats.org/spreadsheetml/2006/main">
  <numFmts count="4">
    <numFmt numFmtId="164" formatCode="_ * #,##0_ ;_ * \-#,##0_ ;_ * &quot;-&quot;??_ ;_ @_ "/>
    <numFmt numFmtId="165" formatCode="0.0%"/>
    <numFmt numFmtId="166" formatCode="0.000"/>
    <numFmt numFmtId="167" formatCode="#,##0.000"/>
  </numFmts>
  <fonts count="28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7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3" fontId="7" fillId="2" borderId="31" xfId="0" applyNumberFormat="1" applyFont="1" applyFill="1" applyBorder="1"/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167" fontId="14" fillId="0" borderId="19" xfId="0" applyNumberFormat="1" applyFont="1" applyFill="1" applyBorder="1" applyProtection="1">
      <protection locked="0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>
      <c r="A1" s="194" t="s">
        <v>0</v>
      </c>
      <c r="B1" s="194"/>
      <c r="C1" s="194"/>
      <c r="D1" s="194"/>
      <c r="E1" s="194"/>
    </row>
    <row r="2" spans="1:5" ht="24.75" customHeight="1">
      <c r="A2" s="193"/>
      <c r="B2" s="193"/>
      <c r="C2" s="193"/>
      <c r="D2" s="193"/>
      <c r="E2" s="193"/>
    </row>
    <row r="4" spans="1:5" ht="18" customHeight="1">
      <c r="A4" s="192" t="str">
        <f>"Assessment year "&amp;C31</f>
        <v>Assessment year 2003</v>
      </c>
      <c r="B4" s="192"/>
      <c r="C4" s="192"/>
      <c r="D4" s="192"/>
      <c r="E4" s="192"/>
    </row>
    <row r="5" spans="1:5" ht="18" customHeight="1">
      <c r="A5" s="192" t="str">
        <f>"Reference year "&amp;C30</f>
        <v>Reference year 2009</v>
      </c>
      <c r="B5" s="192"/>
      <c r="C5" s="192"/>
      <c r="D5" s="192"/>
      <c r="E5" s="192"/>
    </row>
    <row r="25" spans="2:3">
      <c r="B25" s="2" t="s">
        <v>1</v>
      </c>
      <c r="C25" s="3"/>
    </row>
    <row r="26" spans="2:3">
      <c r="B26" s="4" t="s">
        <v>2</v>
      </c>
      <c r="C26" s="5" t="s">
        <v>3</v>
      </c>
    </row>
    <row r="27" spans="2:3">
      <c r="B27" s="4" t="s">
        <v>4</v>
      </c>
      <c r="C27" s="6" t="s">
        <v>5</v>
      </c>
    </row>
    <row r="28" spans="2:3">
      <c r="B28" s="4" t="s">
        <v>6</v>
      </c>
      <c r="C28" s="6" t="s">
        <v>7</v>
      </c>
    </row>
    <row r="29" spans="2:3">
      <c r="B29" s="4" t="s">
        <v>8</v>
      </c>
      <c r="C29" s="6" t="s">
        <v>9</v>
      </c>
    </row>
    <row r="30" spans="2:3">
      <c r="B30" s="4" t="s">
        <v>10</v>
      </c>
      <c r="C30" s="6">
        <v>2009</v>
      </c>
    </row>
    <row r="31" spans="2:3">
      <c r="B31" s="7" t="s">
        <v>11</v>
      </c>
      <c r="C31" s="8">
        <v>2003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zoomScaleNormal="90" workbookViewId="0">
      <selection activeCell="A3" sqref="A3"/>
    </sheetView>
  </sheetViews>
  <sheetFormatPr baseColWidth="10" defaultColWidth="11.5546875" defaultRowHeight="15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8" width="13.33203125" style="9" customWidth="1"/>
    <col min="9" max="9" width="15.109375" style="9" customWidth="1"/>
  </cols>
  <sheetData>
    <row r="1" spans="1:9" ht="26.25" customHeight="1">
      <c r="A1" s="10" t="str">
        <f>"Gross wages "&amp;Info!C31</f>
        <v>Gross wages 2003</v>
      </c>
      <c r="B1" s="10"/>
      <c r="C1" s="10"/>
      <c r="I1" s="11"/>
    </row>
    <row r="2" spans="1:9" ht="31.5" customHeight="1">
      <c r="A2" s="12" t="str">
        <f>Info!A5</f>
        <v>Reference year 2009</v>
      </c>
      <c r="B2" s="13"/>
      <c r="C2" s="13"/>
      <c r="D2" s="14"/>
      <c r="I2" s="15" t="str">
        <f>Info!C28</f>
        <v>FA_2009_20120423</v>
      </c>
    </row>
    <row r="3" spans="1:9" s="16" customFormat="1" ht="12.75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>
      <c r="A6" s="200"/>
      <c r="B6" s="195" t="s">
        <v>29</v>
      </c>
      <c r="C6" s="195" t="s">
        <v>30</v>
      </c>
      <c r="D6" s="197" t="s">
        <v>31</v>
      </c>
      <c r="E6" s="198"/>
      <c r="F6" s="198"/>
      <c r="G6" s="198"/>
      <c r="H6" s="199"/>
      <c r="I6" s="202" t="s">
        <v>32</v>
      </c>
    </row>
    <row r="7" spans="1:9" ht="38.25" customHeight="1">
      <c r="A7" s="201"/>
      <c r="B7" s="196"/>
      <c r="C7" s="196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3"/>
    </row>
    <row r="8" spans="1:9" s="35" customFormat="1" ht="11.25" customHeight="1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>
      <c r="A10" s="47" t="s">
        <v>42</v>
      </c>
      <c r="B10" s="48">
        <v>2489140703</v>
      </c>
      <c r="C10" s="48">
        <v>15008789</v>
      </c>
      <c r="D10" s="49">
        <v>0</v>
      </c>
      <c r="E10" s="48">
        <v>298661106</v>
      </c>
      <c r="F10" s="48">
        <v>0</v>
      </c>
      <c r="G10" s="48">
        <v>0</v>
      </c>
      <c r="H10" s="50">
        <v>0</v>
      </c>
      <c r="I10" s="51">
        <f t="shared" ref="I10:I36" si="0">SUM(B10:H10)</f>
        <v>2802810598</v>
      </c>
    </row>
    <row r="11" spans="1:9">
      <c r="A11" s="52" t="s">
        <v>43</v>
      </c>
      <c r="B11" s="53">
        <v>967952828</v>
      </c>
      <c r="C11" s="53">
        <v>0</v>
      </c>
      <c r="D11" s="54">
        <v>0</v>
      </c>
      <c r="E11" s="53">
        <v>1009440</v>
      </c>
      <c r="F11" s="53">
        <v>0</v>
      </c>
      <c r="G11" s="53">
        <v>51376830</v>
      </c>
      <c r="H11" s="55">
        <v>0</v>
      </c>
      <c r="I11" s="56">
        <f t="shared" si="0"/>
        <v>1020339098</v>
      </c>
    </row>
    <row r="12" spans="1:9">
      <c r="A12" s="57" t="s">
        <v>44</v>
      </c>
      <c r="B12" s="58">
        <v>416593334</v>
      </c>
      <c r="C12" s="58">
        <v>0</v>
      </c>
      <c r="D12" s="59">
        <v>0</v>
      </c>
      <c r="E12" s="58">
        <v>1432666</v>
      </c>
      <c r="F12" s="58">
        <v>0</v>
      </c>
      <c r="G12" s="58">
        <v>0</v>
      </c>
      <c r="H12" s="60">
        <v>0</v>
      </c>
      <c r="I12" s="61">
        <f t="shared" si="0"/>
        <v>418026000</v>
      </c>
    </row>
    <row r="13" spans="1:9">
      <c r="A13" s="52" t="s">
        <v>45</v>
      </c>
      <c r="B13" s="53">
        <v>39986102</v>
      </c>
      <c r="C13" s="53">
        <v>0</v>
      </c>
      <c r="D13" s="54">
        <v>0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39986102</v>
      </c>
    </row>
    <row r="14" spans="1:9">
      <c r="A14" s="57" t="s">
        <v>46</v>
      </c>
      <c r="B14" s="58">
        <v>138674436.75999999</v>
      </c>
      <c r="C14" s="58">
        <v>10656100</v>
      </c>
      <c r="D14" s="59">
        <v>0</v>
      </c>
      <c r="E14" s="58">
        <v>851247.6</v>
      </c>
      <c r="F14" s="58">
        <v>0</v>
      </c>
      <c r="G14" s="58">
        <v>0</v>
      </c>
      <c r="H14" s="60">
        <v>0</v>
      </c>
      <c r="I14" s="61">
        <f t="shared" si="0"/>
        <v>150181784.35999998</v>
      </c>
    </row>
    <row r="15" spans="1:9">
      <c r="A15" s="52" t="s">
        <v>47</v>
      </c>
      <c r="B15" s="53">
        <v>55062017.770000003</v>
      </c>
      <c r="C15" s="53">
        <v>0</v>
      </c>
      <c r="D15" s="54">
        <v>0</v>
      </c>
      <c r="E15" s="53">
        <v>0</v>
      </c>
      <c r="F15" s="53">
        <v>0</v>
      </c>
      <c r="G15" s="53">
        <v>0</v>
      </c>
      <c r="H15" s="55">
        <v>0</v>
      </c>
      <c r="I15" s="56">
        <f t="shared" si="0"/>
        <v>55062017.770000003</v>
      </c>
    </row>
    <row r="16" spans="1:9">
      <c r="A16" s="57" t="s">
        <v>48</v>
      </c>
      <c r="B16" s="58">
        <v>47447717</v>
      </c>
      <c r="C16" s="58">
        <v>0</v>
      </c>
      <c r="D16" s="59">
        <v>0</v>
      </c>
      <c r="E16" s="58">
        <v>0</v>
      </c>
      <c r="F16" s="58">
        <v>0</v>
      </c>
      <c r="G16" s="58">
        <v>0</v>
      </c>
      <c r="H16" s="60">
        <v>0</v>
      </c>
      <c r="I16" s="61">
        <f t="shared" si="0"/>
        <v>47447717</v>
      </c>
    </row>
    <row r="17" spans="1:9">
      <c r="A17" s="52" t="s">
        <v>49</v>
      </c>
      <c r="B17" s="53">
        <v>48316788.049999997</v>
      </c>
      <c r="C17" s="53">
        <v>0</v>
      </c>
      <c r="D17" s="54">
        <v>0</v>
      </c>
      <c r="E17" s="53">
        <v>0</v>
      </c>
      <c r="F17" s="53">
        <v>0</v>
      </c>
      <c r="G17" s="53">
        <v>0</v>
      </c>
      <c r="H17" s="55">
        <v>0</v>
      </c>
      <c r="I17" s="56">
        <f t="shared" si="0"/>
        <v>48316788.049999997</v>
      </c>
    </row>
    <row r="18" spans="1:9">
      <c r="A18" s="57" t="s">
        <v>50</v>
      </c>
      <c r="B18" s="58">
        <v>170996643</v>
      </c>
      <c r="C18" s="58">
        <v>0</v>
      </c>
      <c r="D18" s="59">
        <v>0</v>
      </c>
      <c r="E18" s="58">
        <v>1322531</v>
      </c>
      <c r="F18" s="58">
        <v>0</v>
      </c>
      <c r="G18" s="58">
        <v>0</v>
      </c>
      <c r="H18" s="60">
        <v>0</v>
      </c>
      <c r="I18" s="61">
        <f t="shared" si="0"/>
        <v>172319174</v>
      </c>
    </row>
    <row r="19" spans="1:9">
      <c r="A19" s="52" t="s">
        <v>51</v>
      </c>
      <c r="B19" s="53">
        <v>337163164.75</v>
      </c>
      <c r="C19" s="53">
        <v>0</v>
      </c>
      <c r="D19" s="54">
        <v>0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337163164.75</v>
      </c>
    </row>
    <row r="20" spans="1:9">
      <c r="A20" s="57" t="s">
        <v>52</v>
      </c>
      <c r="B20" s="58">
        <v>177862365</v>
      </c>
      <c r="C20" s="58">
        <v>1483032</v>
      </c>
      <c r="D20" s="59">
        <v>0</v>
      </c>
      <c r="E20" s="58">
        <v>12219454</v>
      </c>
      <c r="F20" s="58">
        <v>0</v>
      </c>
      <c r="G20" s="58">
        <v>68002113</v>
      </c>
      <c r="H20" s="60">
        <v>0</v>
      </c>
      <c r="I20" s="61">
        <f t="shared" si="0"/>
        <v>259566964</v>
      </c>
    </row>
    <row r="21" spans="1:9">
      <c r="A21" s="52" t="s">
        <v>53</v>
      </c>
      <c r="B21" s="53">
        <v>474622593.39999998</v>
      </c>
      <c r="C21" s="53">
        <v>99625804.400000006</v>
      </c>
      <c r="D21" s="54">
        <v>0</v>
      </c>
      <c r="E21" s="53">
        <v>953399381.14999998</v>
      </c>
      <c r="F21" s="53">
        <v>0</v>
      </c>
      <c r="G21" s="53">
        <v>1362019639</v>
      </c>
      <c r="H21" s="55">
        <v>0</v>
      </c>
      <c r="I21" s="56">
        <f t="shared" si="0"/>
        <v>2889667417.9499998</v>
      </c>
    </row>
    <row r="22" spans="1:9">
      <c r="A22" s="57" t="s">
        <v>54</v>
      </c>
      <c r="B22" s="58">
        <v>245410878</v>
      </c>
      <c r="C22" s="58">
        <v>35031671</v>
      </c>
      <c r="D22" s="59">
        <v>0</v>
      </c>
      <c r="E22" s="58">
        <v>364428014</v>
      </c>
      <c r="F22" s="58">
        <v>0</v>
      </c>
      <c r="G22" s="58">
        <v>821427235</v>
      </c>
      <c r="H22" s="60">
        <v>0</v>
      </c>
      <c r="I22" s="61">
        <f t="shared" si="0"/>
        <v>1466297798</v>
      </c>
    </row>
    <row r="23" spans="1:9">
      <c r="A23" s="52" t="s">
        <v>55</v>
      </c>
      <c r="B23" s="53">
        <v>138653537.15000001</v>
      </c>
      <c r="C23" s="53">
        <v>0</v>
      </c>
      <c r="D23" s="54">
        <v>49800</v>
      </c>
      <c r="E23" s="53">
        <v>258440135.25</v>
      </c>
      <c r="F23" s="53">
        <v>0</v>
      </c>
      <c r="G23" s="53">
        <v>0</v>
      </c>
      <c r="H23" s="55">
        <v>0</v>
      </c>
      <c r="I23" s="56">
        <f t="shared" si="0"/>
        <v>397143472.39999998</v>
      </c>
    </row>
    <row r="24" spans="1:9">
      <c r="A24" s="57" t="s">
        <v>56</v>
      </c>
      <c r="B24" s="58">
        <v>49195442.700000003</v>
      </c>
      <c r="C24" s="58">
        <v>938475.75</v>
      </c>
      <c r="D24" s="59">
        <v>10414608.199999999</v>
      </c>
      <c r="E24" s="58">
        <v>1064804.95</v>
      </c>
      <c r="F24" s="58">
        <v>0</v>
      </c>
      <c r="G24" s="58">
        <v>0</v>
      </c>
      <c r="H24" s="60">
        <v>0</v>
      </c>
      <c r="I24" s="61">
        <f t="shared" si="0"/>
        <v>61613331.600000009</v>
      </c>
    </row>
    <row r="25" spans="1:9">
      <c r="A25" s="52" t="s">
        <v>57</v>
      </c>
      <c r="B25" s="53">
        <v>11808213.380000001</v>
      </c>
      <c r="C25" s="53">
        <v>0</v>
      </c>
      <c r="D25" s="54">
        <v>1375033.45</v>
      </c>
      <c r="E25" s="53">
        <v>506726</v>
      </c>
      <c r="F25" s="53">
        <v>0</v>
      </c>
      <c r="G25" s="53">
        <v>0</v>
      </c>
      <c r="H25" s="55">
        <v>0</v>
      </c>
      <c r="I25" s="56">
        <f t="shared" si="0"/>
        <v>13689972.83</v>
      </c>
    </row>
    <row r="26" spans="1:9">
      <c r="A26" s="57" t="s">
        <v>58</v>
      </c>
      <c r="B26" s="58">
        <v>481549180.29000002</v>
      </c>
      <c r="C26" s="58">
        <v>32418424.149999999</v>
      </c>
      <c r="D26" s="59">
        <v>383176763.69999999</v>
      </c>
      <c r="E26" s="58">
        <v>33970567.5</v>
      </c>
      <c r="F26" s="58">
        <v>0</v>
      </c>
      <c r="G26" s="58">
        <v>0</v>
      </c>
      <c r="H26" s="60">
        <v>0</v>
      </c>
      <c r="I26" s="61">
        <f t="shared" si="0"/>
        <v>931114935.63999999</v>
      </c>
    </row>
    <row r="27" spans="1:9">
      <c r="A27" s="52" t="s">
        <v>59</v>
      </c>
      <c r="B27" s="53">
        <v>535537313</v>
      </c>
      <c r="C27" s="53">
        <v>66172645</v>
      </c>
      <c r="D27" s="54">
        <v>16718449</v>
      </c>
      <c r="E27" s="53">
        <v>181340</v>
      </c>
      <c r="F27" s="53">
        <v>0</v>
      </c>
      <c r="G27" s="53">
        <v>0</v>
      </c>
      <c r="H27" s="55">
        <v>74047371.526315793</v>
      </c>
      <c r="I27" s="56">
        <f t="shared" si="0"/>
        <v>692657118.52631581</v>
      </c>
    </row>
    <row r="28" spans="1:9">
      <c r="A28" s="57" t="s">
        <v>60</v>
      </c>
      <c r="B28" s="58">
        <v>0</v>
      </c>
      <c r="C28" s="58">
        <v>0</v>
      </c>
      <c r="D28" s="59">
        <v>0</v>
      </c>
      <c r="E28" s="58">
        <v>0</v>
      </c>
      <c r="F28" s="58">
        <v>0</v>
      </c>
      <c r="G28" s="58">
        <v>0</v>
      </c>
      <c r="H28" s="60">
        <v>0</v>
      </c>
      <c r="I28" s="61">
        <f t="shared" si="0"/>
        <v>0</v>
      </c>
    </row>
    <row r="29" spans="1:9">
      <c r="A29" s="52" t="s">
        <v>61</v>
      </c>
      <c r="B29" s="53">
        <v>254248484.55000001</v>
      </c>
      <c r="C29" s="53">
        <v>6042609</v>
      </c>
      <c r="D29" s="54">
        <v>15534278</v>
      </c>
      <c r="E29" s="53">
        <v>178782645.94999999</v>
      </c>
      <c r="F29" s="53">
        <v>0</v>
      </c>
      <c r="G29" s="53">
        <v>0</v>
      </c>
      <c r="H29" s="55">
        <v>0</v>
      </c>
      <c r="I29" s="56">
        <f t="shared" si="0"/>
        <v>454608017.5</v>
      </c>
    </row>
    <row r="30" spans="1:9">
      <c r="A30" s="57" t="s">
        <v>62</v>
      </c>
      <c r="B30" s="58">
        <v>627692000</v>
      </c>
      <c r="C30" s="58">
        <v>50360000</v>
      </c>
      <c r="D30" s="59">
        <v>0</v>
      </c>
      <c r="E30" s="58">
        <v>0</v>
      </c>
      <c r="F30" s="58">
        <v>0</v>
      </c>
      <c r="G30" s="58">
        <v>0</v>
      </c>
      <c r="H30" s="60">
        <v>1628000000</v>
      </c>
      <c r="I30" s="61">
        <f t="shared" si="0"/>
        <v>2306052000</v>
      </c>
    </row>
    <row r="31" spans="1:9">
      <c r="A31" s="52" t="s">
        <v>63</v>
      </c>
      <c r="B31" s="53">
        <v>1116154774</v>
      </c>
      <c r="C31" s="53">
        <v>0</v>
      </c>
      <c r="D31" s="54">
        <v>0</v>
      </c>
      <c r="E31" s="53">
        <v>0</v>
      </c>
      <c r="F31" s="53">
        <v>0</v>
      </c>
      <c r="G31" s="53">
        <v>809962638</v>
      </c>
      <c r="H31" s="55">
        <v>0</v>
      </c>
      <c r="I31" s="56">
        <f t="shared" si="0"/>
        <v>1926117412</v>
      </c>
    </row>
    <row r="32" spans="1:9">
      <c r="A32" s="57" t="s">
        <v>64</v>
      </c>
      <c r="B32" s="58">
        <v>538481078.59000003</v>
      </c>
      <c r="C32" s="58">
        <v>713906.8</v>
      </c>
      <c r="D32" s="59">
        <v>0</v>
      </c>
      <c r="E32" s="58">
        <v>0</v>
      </c>
      <c r="F32" s="58">
        <v>0</v>
      </c>
      <c r="G32" s="58">
        <v>39568093</v>
      </c>
      <c r="H32" s="60">
        <v>43351636.399999999</v>
      </c>
      <c r="I32" s="61">
        <f t="shared" si="0"/>
        <v>622114714.78999996</v>
      </c>
    </row>
    <row r="33" spans="1:9">
      <c r="A33" s="52" t="s">
        <v>65</v>
      </c>
      <c r="B33" s="53">
        <v>260950199.00999999</v>
      </c>
      <c r="C33" s="53">
        <v>4875565.5</v>
      </c>
      <c r="D33" s="54">
        <v>0</v>
      </c>
      <c r="E33" s="53">
        <v>0</v>
      </c>
      <c r="F33" s="53">
        <v>0</v>
      </c>
      <c r="G33" s="53">
        <v>352259262</v>
      </c>
      <c r="H33" s="55">
        <v>0</v>
      </c>
      <c r="I33" s="56">
        <f t="shared" si="0"/>
        <v>618085026.50999999</v>
      </c>
    </row>
    <row r="34" spans="1:9">
      <c r="A34" s="57" t="s">
        <v>66</v>
      </c>
      <c r="B34" s="58">
        <v>1296791287.3499999</v>
      </c>
      <c r="C34" s="58">
        <v>0</v>
      </c>
      <c r="D34" s="59">
        <v>0</v>
      </c>
      <c r="E34" s="58">
        <v>0</v>
      </c>
      <c r="F34" s="58">
        <v>3946517048.0900002</v>
      </c>
      <c r="G34" s="58">
        <v>0</v>
      </c>
      <c r="H34" s="60">
        <v>0</v>
      </c>
      <c r="I34" s="61">
        <f t="shared" si="0"/>
        <v>5243308335.4400005</v>
      </c>
    </row>
    <row r="35" spans="1:9">
      <c r="A35" s="62" t="s">
        <v>67</v>
      </c>
      <c r="B35" s="63">
        <v>49309962</v>
      </c>
      <c r="C35" s="63">
        <v>4030796</v>
      </c>
      <c r="D35" s="64">
        <v>0</v>
      </c>
      <c r="E35" s="63">
        <v>631983</v>
      </c>
      <c r="F35" s="63">
        <v>0</v>
      </c>
      <c r="G35" s="63">
        <v>249143620</v>
      </c>
      <c r="H35" s="65">
        <v>0</v>
      </c>
      <c r="I35" s="66">
        <f t="shared" si="0"/>
        <v>303116361</v>
      </c>
    </row>
    <row r="36" spans="1:9">
      <c r="A36" s="2" t="s">
        <v>68</v>
      </c>
      <c r="B36" s="67">
        <f t="shared" ref="B36:H36" si="1">SUM(B10:B35)</f>
        <v>10969601042.75</v>
      </c>
      <c r="C36" s="67">
        <f t="shared" si="1"/>
        <v>327357818.60000002</v>
      </c>
      <c r="D36" s="68">
        <f t="shared" si="1"/>
        <v>427268932.34999996</v>
      </c>
      <c r="E36" s="67">
        <f t="shared" si="1"/>
        <v>2106902042.4000001</v>
      </c>
      <c r="F36" s="67">
        <f t="shared" si="1"/>
        <v>3946517048.0900002</v>
      </c>
      <c r="G36" s="67">
        <f t="shared" si="1"/>
        <v>3753759430</v>
      </c>
      <c r="H36" s="69">
        <f t="shared" si="1"/>
        <v>1745399007.9263158</v>
      </c>
      <c r="I36" s="70">
        <f t="shared" si="0"/>
        <v>23276805322.116318</v>
      </c>
    </row>
    <row r="37" spans="1:9">
      <c r="A37" s="71"/>
      <c r="B37" s="71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>
      <c r="A1" s="72" t="str">
        <f>"Gamma calculation "&amp;Info!C31</f>
        <v>Gamma calculation 2003</v>
      </c>
      <c r="B1" s="73"/>
    </row>
    <row r="2" spans="1:4" ht="15.75" customHeight="1">
      <c r="A2" s="74" t="str">
        <f>Gross_wages!A2</f>
        <v>Reference year 2009</v>
      </c>
      <c r="B2" s="75"/>
    </row>
    <row r="3" spans="1:4" ht="33" customHeight="1">
      <c r="C3" s="76" t="str">
        <f>Info!$C$28</f>
        <v>FA_2009_20120423</v>
      </c>
    </row>
    <row r="4" spans="1:4" ht="15.75" customHeight="1">
      <c r="B4" s="77" t="s">
        <v>38</v>
      </c>
      <c r="C4" s="78" t="s">
        <v>69</v>
      </c>
      <c r="D4" s="79"/>
    </row>
    <row r="5" spans="1:4">
      <c r="A5" s="71" t="s">
        <v>70</v>
      </c>
      <c r="B5" s="80" t="s">
        <v>71</v>
      </c>
      <c r="C5" s="81">
        <v>327136634.65797502</v>
      </c>
      <c r="D5" s="82"/>
    </row>
    <row r="6" spans="1:4">
      <c r="A6" s="83" t="s">
        <v>72</v>
      </c>
      <c r="B6" s="84" t="str">
        <f>"ATB_"&amp;Info!C30&amp;"_"&amp;Info!C31&amp;".xlsx"</f>
        <v>ATB_2009_2003.xlsx</v>
      </c>
      <c r="C6" s="85">
        <f>Calculation_ITS!O39</f>
        <v>135464442.79999995</v>
      </c>
      <c r="D6" s="82"/>
    </row>
    <row r="7" spans="1:4" ht="24.75" customHeight="1">
      <c r="A7" s="86" t="s">
        <v>73</v>
      </c>
      <c r="B7" s="87"/>
      <c r="C7" s="88">
        <f>ROUND(C6/C5,3)</f>
        <v>0.41399999999999998</v>
      </c>
    </row>
    <row r="8" spans="1:4" ht="15.75" customHeight="1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9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>
      <c r="A1" s="10" t="str">
        <f>"Income taxed at source (ITS) "&amp;Info!C31</f>
        <v>Income taxed at source (ITS) 2003</v>
      </c>
      <c r="B1" s="10"/>
      <c r="C1" s="10"/>
      <c r="D1" s="10"/>
      <c r="E1" s="10"/>
      <c r="F1" s="10"/>
      <c r="H1" s="11"/>
      <c r="R1" s="9"/>
    </row>
    <row r="2" spans="1:22" ht="18.75" customHeight="1">
      <c r="A2" s="90" t="str">
        <f>Info!A5</f>
        <v>Reference year 2009</v>
      </c>
      <c r="B2" s="91"/>
      <c r="H2" s="89"/>
      <c r="R2" s="9"/>
    </row>
    <row r="3" spans="1:22" ht="18.75" customHeight="1">
      <c r="A3" s="92"/>
      <c r="B3" s="91"/>
      <c r="H3" s="89"/>
      <c r="L3" s="93" t="str">
        <f>Info!C28</f>
        <v>FA_2009_20120423</v>
      </c>
      <c r="R3" s="9"/>
    </row>
    <row r="4" spans="1:22" ht="37.5" customHeight="1">
      <c r="A4" s="220" t="str">
        <f>"Calculation based on gross wages "&amp;Info!C31</f>
        <v>Calculation based on gross wages 2003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2"/>
      <c r="N4" s="206" t="s">
        <v>74</v>
      </c>
      <c r="O4" s="207"/>
      <c r="P4" s="207"/>
      <c r="Q4" s="208"/>
      <c r="S4" s="94"/>
    </row>
    <row r="5" spans="1:22" ht="16.5" customHeight="1">
      <c r="A5" s="95"/>
      <c r="B5" s="96"/>
      <c r="C5" s="96"/>
      <c r="D5" s="96"/>
      <c r="E5" s="96"/>
      <c r="F5" s="96"/>
      <c r="G5" s="96"/>
      <c r="H5" s="96"/>
      <c r="I5" s="95"/>
      <c r="J5" s="96"/>
      <c r="K5" s="96"/>
      <c r="N5" s="97"/>
    </row>
    <row r="6" spans="1:22" ht="16.5" customHeight="1">
      <c r="A6" s="98" t="s">
        <v>75</v>
      </c>
      <c r="B6" s="99" t="s">
        <v>13</v>
      </c>
      <c r="C6" s="99" t="s">
        <v>14</v>
      </c>
      <c r="D6" s="99" t="s">
        <v>15</v>
      </c>
      <c r="E6" s="99" t="s">
        <v>16</v>
      </c>
      <c r="F6" s="99" t="s">
        <v>17</v>
      </c>
      <c r="G6" s="99" t="s">
        <v>18</v>
      </c>
      <c r="H6" s="99" t="s">
        <v>19</v>
      </c>
      <c r="I6" s="99" t="s">
        <v>76</v>
      </c>
      <c r="J6" s="99" t="s">
        <v>77</v>
      </c>
      <c r="K6" s="99" t="s">
        <v>78</v>
      </c>
      <c r="L6" s="100" t="s">
        <v>79</v>
      </c>
      <c r="M6" s="101"/>
      <c r="N6" s="102"/>
      <c r="O6" s="103" t="s">
        <v>80</v>
      </c>
      <c r="P6" s="103" t="s">
        <v>81</v>
      </c>
      <c r="Q6" s="104" t="s">
        <v>82</v>
      </c>
      <c r="R6" s="105"/>
      <c r="S6" s="106" t="s">
        <v>83</v>
      </c>
    </row>
    <row r="7" spans="1:22" ht="16.5" customHeight="1">
      <c r="A7" s="107" t="s">
        <v>21</v>
      </c>
      <c r="B7" s="108" t="s">
        <v>84</v>
      </c>
      <c r="C7" s="108" t="s">
        <v>84</v>
      </c>
      <c r="D7" s="109" t="str">
        <f>IF(Info!C31&lt;2006,"0.03 / STR","(1-0.125)*gamma")</f>
        <v>0.03 / STR</v>
      </c>
      <c r="E7" s="110" t="s">
        <v>85</v>
      </c>
      <c r="F7" s="110" t="s">
        <v>86</v>
      </c>
      <c r="G7" s="110" t="s">
        <v>85</v>
      </c>
      <c r="H7" s="111" t="s">
        <v>87</v>
      </c>
      <c r="I7" s="110" t="s">
        <v>88</v>
      </c>
      <c r="J7" s="110"/>
      <c r="K7" s="110" t="s">
        <v>89</v>
      </c>
      <c r="L7" s="112" t="s">
        <v>90</v>
      </c>
      <c r="M7" s="101"/>
      <c r="N7" s="113" t="s">
        <v>21</v>
      </c>
      <c r="O7" s="114"/>
      <c r="P7" s="114"/>
      <c r="Q7" s="115" t="s">
        <v>91</v>
      </c>
      <c r="R7" s="105"/>
      <c r="S7" s="116" t="s">
        <v>92</v>
      </c>
    </row>
    <row r="8" spans="1:22" s="1" customFormat="1" ht="15.75" customHeight="1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7"/>
      <c r="L8" s="29"/>
      <c r="M8" s="118"/>
      <c r="N8" s="30"/>
      <c r="O8" s="217" t="str">
        <f>"Relevant income "&amp;Info!C31</f>
        <v>Relevant income 2003</v>
      </c>
      <c r="P8" s="195" t="s">
        <v>93</v>
      </c>
      <c r="Q8" s="202" t="s">
        <v>94</v>
      </c>
      <c r="R8" s="119"/>
      <c r="S8" s="209" t="s">
        <v>95</v>
      </c>
    </row>
    <row r="9" spans="1:22" s="120" customFormat="1" ht="15.75" customHeight="1">
      <c r="A9" s="30"/>
      <c r="B9" s="195" t="s">
        <v>29</v>
      </c>
      <c r="C9" s="195" t="s">
        <v>30</v>
      </c>
      <c r="D9" s="197" t="s">
        <v>31</v>
      </c>
      <c r="E9" s="198"/>
      <c r="F9" s="198"/>
      <c r="G9" s="198"/>
      <c r="H9" s="199"/>
      <c r="I9" s="195" t="s">
        <v>96</v>
      </c>
      <c r="J9" s="195" t="s">
        <v>97</v>
      </c>
      <c r="K9" s="195" t="s">
        <v>98</v>
      </c>
      <c r="L9" s="202" t="s">
        <v>99</v>
      </c>
      <c r="M9" s="118"/>
      <c r="N9" s="121"/>
      <c r="O9" s="218"/>
      <c r="P9" s="215"/>
      <c r="Q9" s="204"/>
      <c r="R9" s="119"/>
      <c r="S9" s="210"/>
      <c r="U9" s="122"/>
      <c r="V9" s="123" t="str">
        <f>Info!C28</f>
        <v>FA_2009_20120423</v>
      </c>
    </row>
    <row r="10" spans="1:22" s="120" customFormat="1" ht="66" customHeight="1">
      <c r="A10" s="31"/>
      <c r="B10" s="215"/>
      <c r="C10" s="215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15"/>
      <c r="J10" s="215"/>
      <c r="K10" s="215"/>
      <c r="L10" s="204"/>
      <c r="M10" s="118"/>
      <c r="N10" s="124"/>
      <c r="O10" s="219"/>
      <c r="P10" s="216"/>
      <c r="Q10" s="205"/>
      <c r="R10" s="119"/>
      <c r="S10" s="210"/>
      <c r="U10" s="213" t="str">
        <f>"Standardised tax revenue (STR) "&amp;Info!C30-1</f>
        <v>Standardised tax revenue (STR) 2008</v>
      </c>
      <c r="V10" s="214"/>
    </row>
    <row r="11" spans="1:22" s="125" customFormat="1" ht="15" customHeight="1">
      <c r="A11" s="126" t="s">
        <v>100</v>
      </c>
      <c r="B11" s="127">
        <f>gamma</f>
        <v>0.41399999999999998</v>
      </c>
      <c r="C11" s="127">
        <f>gamma</f>
        <v>0.41399999999999998</v>
      </c>
      <c r="D11" s="128">
        <f>IF(Info!C31&lt;2006,0.03/sst,0.875*gamma)</f>
        <v>0.1075268817204301</v>
      </c>
      <c r="E11" s="127">
        <f>0.045/sst</f>
        <v>0.16129032258064513</v>
      </c>
      <c r="F11" s="127">
        <f>gamma-0.035/sst</f>
        <v>0.28855197132616484</v>
      </c>
      <c r="G11" s="127">
        <f>0.045/sst</f>
        <v>0.16129032258064513</v>
      </c>
      <c r="H11" s="129">
        <f>0.6*gamma</f>
        <v>0.24839999999999998</v>
      </c>
      <c r="I11" s="127"/>
      <c r="J11" s="127"/>
      <c r="K11" s="127"/>
      <c r="L11" s="130"/>
      <c r="M11" s="131"/>
      <c r="N11" s="132" t="s">
        <v>38</v>
      </c>
      <c r="O11" s="133" t="str">
        <f>Gamma!B6</f>
        <v>ATB_2009_2003.xlsx</v>
      </c>
      <c r="P11" s="133"/>
      <c r="Q11" s="133"/>
      <c r="R11" s="134"/>
      <c r="S11" s="135"/>
      <c r="U11" s="211" t="str">
        <f>"Data source: ER_"&amp;Info!C30-1&amp;".xlsx"</f>
        <v>Data source: ER_2008.xlsx</v>
      </c>
      <c r="V11" s="212"/>
    </row>
    <row r="12" spans="1:22" s="125" customFormat="1" ht="12.75">
      <c r="A12" s="126" t="s">
        <v>40</v>
      </c>
      <c r="B12" s="127" t="s">
        <v>69</v>
      </c>
      <c r="C12" s="127" t="s">
        <v>69</v>
      </c>
      <c r="D12" s="128" t="s">
        <v>69</v>
      </c>
      <c r="E12" s="127" t="s">
        <v>69</v>
      </c>
      <c r="F12" s="127" t="s">
        <v>69</v>
      </c>
      <c r="G12" s="127" t="s">
        <v>69</v>
      </c>
      <c r="H12" s="129" t="s">
        <v>69</v>
      </c>
      <c r="I12" s="127" t="s">
        <v>69</v>
      </c>
      <c r="J12" s="127"/>
      <c r="K12" s="127" t="s">
        <v>69</v>
      </c>
      <c r="L12" s="136" t="s">
        <v>69</v>
      </c>
      <c r="M12" s="131"/>
      <c r="N12" s="126" t="s">
        <v>40</v>
      </c>
      <c r="O12" s="127" t="s">
        <v>69</v>
      </c>
      <c r="P12" s="137"/>
      <c r="Q12" s="136" t="s">
        <v>69</v>
      </c>
      <c r="R12" s="134"/>
      <c r="S12" s="138" t="s">
        <v>69</v>
      </c>
      <c r="U12" s="139"/>
      <c r="V12" s="140"/>
    </row>
    <row r="13" spans="1:22" ht="15.75" customHeight="1">
      <c r="A13" s="141" t="s">
        <v>42</v>
      </c>
      <c r="B13" s="142">
        <f>(Gross_wages!B10*B$11)/1000</f>
        <v>1030504.2510419999</v>
      </c>
      <c r="C13" s="142">
        <f>(Gross_wages!C10*C$11)/1000</f>
        <v>6213.6386459999994</v>
      </c>
      <c r="D13" s="143">
        <f>(Gross_wages!D10*D$11)/1000</f>
        <v>0</v>
      </c>
      <c r="E13" s="142">
        <f>(Gross_wages!E10*E$11)/1000</f>
        <v>48171.146129032248</v>
      </c>
      <c r="F13" s="142">
        <f>(Gross_wages!F10*F$11)/1000</f>
        <v>0</v>
      </c>
      <c r="G13" s="142">
        <f>(Gross_wages!G10*G$11)/1000</f>
        <v>0</v>
      </c>
      <c r="H13" s="144">
        <f>(Gross_wages!H10*H$11)/1000</f>
        <v>0</v>
      </c>
      <c r="I13" s="142">
        <f t="shared" ref="I13:I38" si="0">SUM(C13:H13)</f>
        <v>54384.784775032247</v>
      </c>
      <c r="J13" s="145">
        <f t="shared" ref="J13:J38" si="1">$J$39</f>
        <v>1</v>
      </c>
      <c r="K13" s="142">
        <f t="shared" ref="K13:K39" si="2">I13*J13</f>
        <v>54384.784775032247</v>
      </c>
      <c r="L13" s="146">
        <f t="shared" ref="L13:L39" si="3">K13+B13</f>
        <v>1084889.0358170322</v>
      </c>
      <c r="M13" s="147"/>
      <c r="N13" s="141" t="s">
        <v>42</v>
      </c>
      <c r="O13" s="148">
        <v>28404006.899999999</v>
      </c>
      <c r="P13" s="149">
        <v>5.1917046037317303E-2</v>
      </c>
      <c r="Q13" s="146">
        <f>IF(Calculation_ITS!L13=0,O13*P13,0)</f>
        <v>0</v>
      </c>
      <c r="R13" s="150"/>
      <c r="S13" s="151">
        <f>Calculation_ITS!L13+Q13</f>
        <v>1084889.0358170322</v>
      </c>
      <c r="U13" s="152" t="s">
        <v>101</v>
      </c>
      <c r="V13" s="191">
        <v>0.27900000000000003</v>
      </c>
    </row>
    <row r="14" spans="1:22" ht="15.75" customHeight="1">
      <c r="A14" s="153" t="s">
        <v>43</v>
      </c>
      <c r="B14" s="154">
        <f>(Gross_wages!B11*B$11)/1000</f>
        <v>400732.47079200001</v>
      </c>
      <c r="C14" s="154">
        <f>(Gross_wages!C11*C$11)/1000</f>
        <v>0</v>
      </c>
      <c r="D14" s="155">
        <f>(Gross_wages!D11*D$11)/1000</f>
        <v>0</v>
      </c>
      <c r="E14" s="154">
        <f>(Gross_wages!E11*E$11)/1000</f>
        <v>162.81290322580642</v>
      </c>
      <c r="F14" s="154">
        <f>(Gross_wages!F11*F$11)/1000</f>
        <v>0</v>
      </c>
      <c r="G14" s="154">
        <f>(Gross_wages!G11*G$11)/1000</f>
        <v>8286.5854838709656</v>
      </c>
      <c r="H14" s="156">
        <f>(Gross_wages!H11*H$11)/1000</f>
        <v>0</v>
      </c>
      <c r="I14" s="154">
        <f t="shared" si="0"/>
        <v>8449.3983870967713</v>
      </c>
      <c r="J14" s="157">
        <f t="shared" si="1"/>
        <v>1</v>
      </c>
      <c r="K14" s="154">
        <f t="shared" si="2"/>
        <v>8449.3983870967713</v>
      </c>
      <c r="L14" s="158">
        <f t="shared" si="3"/>
        <v>409181.86917909677</v>
      </c>
      <c r="M14" s="147"/>
      <c r="N14" s="153" t="s">
        <v>43</v>
      </c>
      <c r="O14" s="159">
        <v>14368748.699999999</v>
      </c>
      <c r="P14" s="160">
        <v>4.61861358721996E-2</v>
      </c>
      <c r="Q14" s="158">
        <f>IF(Calculation_ITS!L14=0,O14*P14,0)</f>
        <v>0</v>
      </c>
      <c r="R14" s="150"/>
      <c r="S14" s="161">
        <f>Calculation_ITS!L14+Q14</f>
        <v>409181.86917909677</v>
      </c>
      <c r="U14" s="162" t="s">
        <v>102</v>
      </c>
      <c r="V14" s="163">
        <f>ROUND(V13,3)</f>
        <v>0.27900000000000003</v>
      </c>
    </row>
    <row r="15" spans="1:22" ht="15.75" customHeight="1">
      <c r="A15" s="164" t="s">
        <v>44</v>
      </c>
      <c r="B15" s="165">
        <f>(Gross_wages!B12*B$11)/1000</f>
        <v>172469.64027599999</v>
      </c>
      <c r="C15" s="165">
        <f>(Gross_wages!C12*C$11)/1000</f>
        <v>0</v>
      </c>
      <c r="D15" s="166">
        <f>(Gross_wages!D12*D$11)/1000</f>
        <v>0</v>
      </c>
      <c r="E15" s="165">
        <f>(Gross_wages!E12*E$11)/1000</f>
        <v>231.07516129032254</v>
      </c>
      <c r="F15" s="165">
        <f>(Gross_wages!F12*F$11)/1000</f>
        <v>0</v>
      </c>
      <c r="G15" s="165">
        <f>(Gross_wages!G12*G$11)/1000</f>
        <v>0</v>
      </c>
      <c r="H15" s="167">
        <f>(Gross_wages!H12*H$11)/1000</f>
        <v>0</v>
      </c>
      <c r="I15" s="165">
        <f t="shared" si="0"/>
        <v>231.07516129032254</v>
      </c>
      <c r="J15" s="168">
        <f t="shared" si="1"/>
        <v>1</v>
      </c>
      <c r="K15" s="165">
        <f t="shared" si="2"/>
        <v>231.07516129032254</v>
      </c>
      <c r="L15" s="169">
        <f t="shared" si="3"/>
        <v>172700.71543729032</v>
      </c>
      <c r="M15" s="147"/>
      <c r="N15" s="164" t="s">
        <v>44</v>
      </c>
      <c r="O15" s="170">
        <v>5257414.5999999996</v>
      </c>
      <c r="P15" s="171">
        <v>5.5568956634351199E-2</v>
      </c>
      <c r="Q15" s="169">
        <f>IF(Calculation_ITS!L15=0,O15*P15,0)</f>
        <v>0</v>
      </c>
      <c r="R15" s="150"/>
      <c r="S15" s="172">
        <f>Calculation_ITS!L15+Q15</f>
        <v>172700.71543729032</v>
      </c>
    </row>
    <row r="16" spans="1:22" ht="15.75" customHeight="1">
      <c r="A16" s="153" t="s">
        <v>45</v>
      </c>
      <c r="B16" s="154">
        <f>(Gross_wages!B13*B$11)/1000</f>
        <v>16554.246228</v>
      </c>
      <c r="C16" s="154">
        <f>(Gross_wages!C13*C$11)/1000</f>
        <v>0</v>
      </c>
      <c r="D16" s="155">
        <f>(Gross_wages!D13*D$11)/1000</f>
        <v>0</v>
      </c>
      <c r="E16" s="154">
        <f>(Gross_wages!E13*E$11)/1000</f>
        <v>0</v>
      </c>
      <c r="F16" s="154">
        <f>(Gross_wages!F13*F$11)/1000</f>
        <v>0</v>
      </c>
      <c r="G16" s="154">
        <f>(Gross_wages!G13*G$11)/1000</f>
        <v>0</v>
      </c>
      <c r="H16" s="156">
        <f>(Gross_wages!H13*H$11)/1000</f>
        <v>0</v>
      </c>
      <c r="I16" s="154">
        <f t="shared" si="0"/>
        <v>0</v>
      </c>
      <c r="J16" s="157">
        <f t="shared" si="1"/>
        <v>1</v>
      </c>
      <c r="K16" s="154">
        <f t="shared" si="2"/>
        <v>0</v>
      </c>
      <c r="L16" s="158">
        <f t="shared" si="3"/>
        <v>16554.246228</v>
      </c>
      <c r="M16" s="147"/>
      <c r="N16" s="153" t="s">
        <v>45</v>
      </c>
      <c r="O16" s="159">
        <v>412226.9</v>
      </c>
      <c r="P16" s="160">
        <v>5.5991023335508802E-2</v>
      </c>
      <c r="Q16" s="158">
        <f>IF(Calculation_ITS!L16=0,O16*P16,0)</f>
        <v>0</v>
      </c>
      <c r="R16" s="150"/>
      <c r="S16" s="161">
        <f>Calculation_ITS!L16+Q16</f>
        <v>16554.246228</v>
      </c>
    </row>
    <row r="17" spans="1:19" ht="15.75" customHeight="1">
      <c r="A17" s="164" t="s">
        <v>46</v>
      </c>
      <c r="B17" s="165">
        <f>(Gross_wages!B14*B$11)/1000</f>
        <v>57411.216818639994</v>
      </c>
      <c r="C17" s="165">
        <f>(Gross_wages!C14*C$11)/1000</f>
        <v>4411.625399999999</v>
      </c>
      <c r="D17" s="166">
        <f>(Gross_wages!D14*D$11)/1000</f>
        <v>0</v>
      </c>
      <c r="E17" s="165">
        <f>(Gross_wages!E14*E$11)/1000</f>
        <v>137.29799999999997</v>
      </c>
      <c r="F17" s="165">
        <f>(Gross_wages!F14*F$11)/1000</f>
        <v>0</v>
      </c>
      <c r="G17" s="165">
        <f>(Gross_wages!G14*G$11)/1000</f>
        <v>0</v>
      </c>
      <c r="H17" s="167">
        <f>(Gross_wages!H14*H$11)/1000</f>
        <v>0</v>
      </c>
      <c r="I17" s="165">
        <f t="shared" si="0"/>
        <v>4548.9233999999988</v>
      </c>
      <c r="J17" s="168">
        <f t="shared" si="1"/>
        <v>1</v>
      </c>
      <c r="K17" s="165">
        <f t="shared" si="2"/>
        <v>4548.9233999999988</v>
      </c>
      <c r="L17" s="169">
        <f t="shared" si="3"/>
        <v>61960.140218639994</v>
      </c>
      <c r="M17" s="147"/>
      <c r="N17" s="164" t="s">
        <v>46</v>
      </c>
      <c r="O17" s="170">
        <v>3251918.6</v>
      </c>
      <c r="P17" s="171">
        <v>3.0697648631978498E-2</v>
      </c>
      <c r="Q17" s="169">
        <f>IF(Calculation_ITS!L17=0,O17*P17,0)</f>
        <v>0</v>
      </c>
      <c r="R17" s="150"/>
      <c r="S17" s="172">
        <f>Calculation_ITS!L17+Q17</f>
        <v>61960.140218639994</v>
      </c>
    </row>
    <row r="18" spans="1:19" ht="15.75" customHeight="1">
      <c r="A18" s="153" t="s">
        <v>47</v>
      </c>
      <c r="B18" s="154">
        <f>(Gross_wages!B15*B$11)/1000</f>
        <v>22795.675356780001</v>
      </c>
      <c r="C18" s="154">
        <f>(Gross_wages!C15*C$11)/1000</f>
        <v>0</v>
      </c>
      <c r="D18" s="155">
        <f>(Gross_wages!D15*D$11)/1000</f>
        <v>0</v>
      </c>
      <c r="E18" s="154">
        <f>(Gross_wages!E15*E$11)/1000</f>
        <v>0</v>
      </c>
      <c r="F18" s="154">
        <f>(Gross_wages!F15*F$11)/1000</f>
        <v>0</v>
      </c>
      <c r="G18" s="154">
        <f>(Gross_wages!G15*G$11)/1000</f>
        <v>0</v>
      </c>
      <c r="H18" s="156">
        <f>(Gross_wages!H15*H$11)/1000</f>
        <v>0</v>
      </c>
      <c r="I18" s="154">
        <f t="shared" si="0"/>
        <v>0</v>
      </c>
      <c r="J18" s="157">
        <f t="shared" si="1"/>
        <v>1</v>
      </c>
      <c r="K18" s="154">
        <f t="shared" si="2"/>
        <v>0</v>
      </c>
      <c r="L18" s="158">
        <f t="shared" si="3"/>
        <v>22795.675356780001</v>
      </c>
      <c r="M18" s="147"/>
      <c r="N18" s="153" t="s">
        <v>47</v>
      </c>
      <c r="O18" s="159">
        <v>466702.6</v>
      </c>
      <c r="P18" s="160">
        <v>5.6827243669069702E-2</v>
      </c>
      <c r="Q18" s="158">
        <f>IF(Calculation_ITS!L18=0,O18*P18,0)</f>
        <v>0</v>
      </c>
      <c r="R18" s="150"/>
      <c r="S18" s="161">
        <f>Calculation_ITS!L18+Q18</f>
        <v>22795.675356780001</v>
      </c>
    </row>
    <row r="19" spans="1:19" ht="15.75" customHeight="1">
      <c r="A19" s="164" t="s">
        <v>48</v>
      </c>
      <c r="B19" s="165">
        <f>(Gross_wages!B16*B$11)/1000</f>
        <v>19643.354837999999</v>
      </c>
      <c r="C19" s="165">
        <f>(Gross_wages!C16*C$11)/1000</f>
        <v>0</v>
      </c>
      <c r="D19" s="166">
        <f>(Gross_wages!D16*D$11)/1000</f>
        <v>0</v>
      </c>
      <c r="E19" s="165">
        <f>(Gross_wages!E16*E$11)/1000</f>
        <v>0</v>
      </c>
      <c r="F19" s="165">
        <f>(Gross_wages!F16*F$11)/1000</f>
        <v>0</v>
      </c>
      <c r="G19" s="165">
        <f>(Gross_wages!G16*G$11)/1000</f>
        <v>0</v>
      </c>
      <c r="H19" s="167">
        <f>(Gross_wages!H16*H$11)/1000</f>
        <v>0</v>
      </c>
      <c r="I19" s="165">
        <f t="shared" si="0"/>
        <v>0</v>
      </c>
      <c r="J19" s="168">
        <f t="shared" si="1"/>
        <v>1</v>
      </c>
      <c r="K19" s="165">
        <f t="shared" si="2"/>
        <v>0</v>
      </c>
      <c r="L19" s="169">
        <f t="shared" si="3"/>
        <v>19643.354837999999</v>
      </c>
      <c r="M19" s="147"/>
      <c r="N19" s="164" t="s">
        <v>48</v>
      </c>
      <c r="O19" s="170">
        <v>946257.5</v>
      </c>
      <c r="P19" s="171">
        <v>2.6793374184501902E-2</v>
      </c>
      <c r="Q19" s="169">
        <f>IF(Calculation_ITS!L19=0,O19*P19,0)</f>
        <v>0</v>
      </c>
      <c r="R19" s="150"/>
      <c r="S19" s="172">
        <f>Calculation_ITS!L19+Q19</f>
        <v>19643.354837999999</v>
      </c>
    </row>
    <row r="20" spans="1:19" ht="15.75" customHeight="1">
      <c r="A20" s="153" t="s">
        <v>49</v>
      </c>
      <c r="B20" s="154">
        <f>(Gross_wages!B17*B$11)/1000</f>
        <v>20003.150252699998</v>
      </c>
      <c r="C20" s="154">
        <f>(Gross_wages!C17*C$11)/1000</f>
        <v>0</v>
      </c>
      <c r="D20" s="155">
        <f>(Gross_wages!D17*D$11)/1000</f>
        <v>0</v>
      </c>
      <c r="E20" s="154">
        <f>(Gross_wages!E17*E$11)/1000</f>
        <v>0</v>
      </c>
      <c r="F20" s="154">
        <f>(Gross_wages!F17*F$11)/1000</f>
        <v>0</v>
      </c>
      <c r="G20" s="154">
        <f>(Gross_wages!G17*G$11)/1000</f>
        <v>0</v>
      </c>
      <c r="H20" s="156">
        <f>(Gross_wages!H17*H$11)/1000</f>
        <v>0</v>
      </c>
      <c r="I20" s="154">
        <f t="shared" si="0"/>
        <v>0</v>
      </c>
      <c r="J20" s="157">
        <f t="shared" si="1"/>
        <v>1</v>
      </c>
      <c r="K20" s="154">
        <f t="shared" si="2"/>
        <v>0</v>
      </c>
      <c r="L20" s="158">
        <f t="shared" si="3"/>
        <v>20003.150252699998</v>
      </c>
      <c r="M20" s="147"/>
      <c r="N20" s="153" t="s">
        <v>49</v>
      </c>
      <c r="O20" s="159">
        <v>518577.3</v>
      </c>
      <c r="P20" s="160">
        <v>5.6474839792822099E-2</v>
      </c>
      <c r="Q20" s="158">
        <f>IF(Calculation_ITS!L20=0,O20*P20,0)</f>
        <v>0</v>
      </c>
      <c r="R20" s="150"/>
      <c r="S20" s="161">
        <f>Calculation_ITS!L20+Q20</f>
        <v>20003.150252699998</v>
      </c>
    </row>
    <row r="21" spans="1:19" ht="15.75" customHeight="1">
      <c r="A21" s="164" t="s">
        <v>50</v>
      </c>
      <c r="B21" s="165">
        <f>(Gross_wages!B18*B$11)/1000</f>
        <v>70792.610201999996</v>
      </c>
      <c r="C21" s="165">
        <f>(Gross_wages!C18*C$11)/1000</f>
        <v>0</v>
      </c>
      <c r="D21" s="166">
        <f>(Gross_wages!D18*D$11)/1000</f>
        <v>0</v>
      </c>
      <c r="E21" s="165">
        <f>(Gross_wages!E18*E$11)/1000</f>
        <v>213.31145161290317</v>
      </c>
      <c r="F21" s="165">
        <f>(Gross_wages!F18*F$11)/1000</f>
        <v>0</v>
      </c>
      <c r="G21" s="165">
        <f>(Gross_wages!G18*G$11)/1000</f>
        <v>0</v>
      </c>
      <c r="H21" s="167">
        <f>(Gross_wages!H18*H$11)/1000</f>
        <v>0</v>
      </c>
      <c r="I21" s="165">
        <f t="shared" si="0"/>
        <v>213.31145161290317</v>
      </c>
      <c r="J21" s="168">
        <f t="shared" si="1"/>
        <v>1</v>
      </c>
      <c r="K21" s="165">
        <f t="shared" si="2"/>
        <v>213.31145161290317</v>
      </c>
      <c r="L21" s="169">
        <f t="shared" si="3"/>
        <v>71005.921653612895</v>
      </c>
      <c r="M21" s="147"/>
      <c r="N21" s="164" t="s">
        <v>50</v>
      </c>
      <c r="O21" s="170">
        <v>3154607.4</v>
      </c>
      <c r="P21" s="171">
        <v>4.1202085380861397E-2</v>
      </c>
      <c r="Q21" s="169">
        <f>IF(Calculation_ITS!L21=0,O21*P21,0)</f>
        <v>0</v>
      </c>
      <c r="R21" s="150"/>
      <c r="S21" s="172">
        <f>Calculation_ITS!L21+Q21</f>
        <v>71005.921653612895</v>
      </c>
    </row>
    <row r="22" spans="1:19" ht="15.75" customHeight="1">
      <c r="A22" s="153" t="s">
        <v>51</v>
      </c>
      <c r="B22" s="154">
        <f>(Gross_wages!B19*B$11)/1000</f>
        <v>139585.55020649999</v>
      </c>
      <c r="C22" s="154">
        <f>(Gross_wages!C19*C$11)/1000</f>
        <v>0</v>
      </c>
      <c r="D22" s="155">
        <f>(Gross_wages!D19*D$11)/1000</f>
        <v>0</v>
      </c>
      <c r="E22" s="154">
        <f>(Gross_wages!E19*E$11)/1000</f>
        <v>0</v>
      </c>
      <c r="F22" s="154">
        <f>(Gross_wages!F19*F$11)/1000</f>
        <v>0</v>
      </c>
      <c r="G22" s="154">
        <f>(Gross_wages!G19*G$11)/1000</f>
        <v>0</v>
      </c>
      <c r="H22" s="156">
        <f>(Gross_wages!H19*H$11)/1000</f>
        <v>0</v>
      </c>
      <c r="I22" s="154">
        <f t="shared" si="0"/>
        <v>0</v>
      </c>
      <c r="J22" s="157">
        <f t="shared" si="1"/>
        <v>1</v>
      </c>
      <c r="K22" s="154">
        <f t="shared" si="2"/>
        <v>0</v>
      </c>
      <c r="L22" s="158">
        <f t="shared" si="3"/>
        <v>139585.55020649999</v>
      </c>
      <c r="M22" s="147"/>
      <c r="N22" s="153" t="s">
        <v>51</v>
      </c>
      <c r="O22" s="159">
        <v>3625555.4</v>
      </c>
      <c r="P22" s="160">
        <v>5.7341951084567203E-2</v>
      </c>
      <c r="Q22" s="158">
        <f>IF(Calculation_ITS!L22=0,O22*P22,0)</f>
        <v>0</v>
      </c>
      <c r="R22" s="150"/>
      <c r="S22" s="161">
        <f>Calculation_ITS!L22+Q22</f>
        <v>139585.55020649999</v>
      </c>
    </row>
    <row r="23" spans="1:19" ht="15.75" customHeight="1">
      <c r="A23" s="164" t="s">
        <v>52</v>
      </c>
      <c r="B23" s="165">
        <f>(Gross_wages!B20*B$11)/1000</f>
        <v>73635.019109999994</v>
      </c>
      <c r="C23" s="165">
        <f>(Gross_wages!C20*C$11)/1000</f>
        <v>613.97524799999997</v>
      </c>
      <c r="D23" s="166">
        <f>(Gross_wages!D20*D$11)/1000</f>
        <v>0</v>
      </c>
      <c r="E23" s="165">
        <f>(Gross_wages!E20*E$11)/1000</f>
        <v>1970.8796774193545</v>
      </c>
      <c r="F23" s="165">
        <f>(Gross_wages!F20*F$11)/1000</f>
        <v>0</v>
      </c>
      <c r="G23" s="165">
        <f>(Gross_wages!G20*G$11)/1000</f>
        <v>10968.082741935483</v>
      </c>
      <c r="H23" s="167">
        <f>(Gross_wages!H20*H$11)/1000</f>
        <v>0</v>
      </c>
      <c r="I23" s="165">
        <f t="shared" si="0"/>
        <v>13552.937667354838</v>
      </c>
      <c r="J23" s="168">
        <f t="shared" si="1"/>
        <v>1</v>
      </c>
      <c r="K23" s="165">
        <f t="shared" si="2"/>
        <v>13552.937667354838</v>
      </c>
      <c r="L23" s="169">
        <f t="shared" si="3"/>
        <v>87187.956777354833</v>
      </c>
      <c r="M23" s="147"/>
      <c r="N23" s="164" t="s">
        <v>52</v>
      </c>
      <c r="O23" s="170">
        <v>3926000</v>
      </c>
      <c r="P23" s="171">
        <v>4.1547513950888702E-2</v>
      </c>
      <c r="Q23" s="169">
        <f>IF(Calculation_ITS!L23=0,O23*P23,0)</f>
        <v>0</v>
      </c>
      <c r="R23" s="150"/>
      <c r="S23" s="172">
        <f>Calculation_ITS!L23+Q23</f>
        <v>87187.956777354833</v>
      </c>
    </row>
    <row r="24" spans="1:19" ht="15.75" customHeight="1">
      <c r="A24" s="153" t="s">
        <v>53</v>
      </c>
      <c r="B24" s="154">
        <f>(Gross_wages!B21*B$11)/1000</f>
        <v>196493.75366759999</v>
      </c>
      <c r="C24" s="154">
        <f>(Gross_wages!C21*C$11)/1000</f>
        <v>41245.083021600003</v>
      </c>
      <c r="D24" s="155">
        <f>(Gross_wages!D21*D$11)/1000</f>
        <v>0</v>
      </c>
      <c r="E24" s="154">
        <f>(Gross_wages!E21*E$11)/1000</f>
        <v>153774.09373387092</v>
      </c>
      <c r="F24" s="154">
        <f>(Gross_wages!F21*F$11)/1000</f>
        <v>0</v>
      </c>
      <c r="G24" s="154">
        <f>(Gross_wages!G21*G$11)/1000</f>
        <v>219680.58693548382</v>
      </c>
      <c r="H24" s="156">
        <f>(Gross_wages!H21*H$11)/1000</f>
        <v>0</v>
      </c>
      <c r="I24" s="154">
        <f t="shared" si="0"/>
        <v>414699.76369095477</v>
      </c>
      <c r="J24" s="157">
        <f t="shared" si="1"/>
        <v>1</v>
      </c>
      <c r="K24" s="154">
        <f t="shared" si="2"/>
        <v>414699.76369095477</v>
      </c>
      <c r="L24" s="158">
        <f t="shared" si="3"/>
        <v>611193.51735855476</v>
      </c>
      <c r="M24" s="147"/>
      <c r="N24" s="153" t="s">
        <v>53</v>
      </c>
      <c r="O24" s="159">
        <v>3897751.8</v>
      </c>
      <c r="P24" s="160">
        <v>0.17660327307318499</v>
      </c>
      <c r="Q24" s="158">
        <f>IF(Calculation_ITS!L24=0,O24*P24,0)</f>
        <v>0</v>
      </c>
      <c r="R24" s="150"/>
      <c r="S24" s="161">
        <f>Calculation_ITS!L24+Q24</f>
        <v>611193.51735855476</v>
      </c>
    </row>
    <row r="25" spans="1:19" ht="15.75" customHeight="1">
      <c r="A25" s="164" t="s">
        <v>54</v>
      </c>
      <c r="B25" s="165">
        <f>(Gross_wages!B22*B$11)/1000</f>
        <v>101600.10349199999</v>
      </c>
      <c r="C25" s="165">
        <f>(Gross_wages!C22*C$11)/1000</f>
        <v>14503.111794</v>
      </c>
      <c r="D25" s="166">
        <f>(Gross_wages!D22*D$11)/1000</f>
        <v>0</v>
      </c>
      <c r="E25" s="165">
        <f>(Gross_wages!E22*E$11)/1000</f>
        <v>58778.711935483858</v>
      </c>
      <c r="F25" s="165">
        <f>(Gross_wages!F22*F$11)/1000</f>
        <v>0</v>
      </c>
      <c r="G25" s="165">
        <f>(Gross_wages!G22*G$11)/1000</f>
        <v>132488.26370967741</v>
      </c>
      <c r="H25" s="167">
        <f>(Gross_wages!H22*H$11)/1000</f>
        <v>0</v>
      </c>
      <c r="I25" s="165">
        <f t="shared" si="0"/>
        <v>205770.08743916126</v>
      </c>
      <c r="J25" s="168">
        <f t="shared" si="1"/>
        <v>1</v>
      </c>
      <c r="K25" s="165">
        <f t="shared" si="2"/>
        <v>205770.08743916126</v>
      </c>
      <c r="L25" s="169">
        <f t="shared" si="3"/>
        <v>307370.19093116128</v>
      </c>
      <c r="M25" s="147"/>
      <c r="N25" s="164" t="s">
        <v>54</v>
      </c>
      <c r="O25" s="170">
        <v>5736046.5</v>
      </c>
      <c r="P25" s="171">
        <v>7.4028153791502904E-2</v>
      </c>
      <c r="Q25" s="169">
        <f>IF(Calculation_ITS!L25=0,O25*P25,0)</f>
        <v>0</v>
      </c>
      <c r="R25" s="150"/>
      <c r="S25" s="172">
        <f>Calculation_ITS!L25+Q25</f>
        <v>307370.19093116128</v>
      </c>
    </row>
    <row r="26" spans="1:19" ht="15.75" customHeight="1">
      <c r="A26" s="153" t="s">
        <v>55</v>
      </c>
      <c r="B26" s="154">
        <f>(Gross_wages!B23*B$11)/1000</f>
        <v>57402.564380099997</v>
      </c>
      <c r="C26" s="154">
        <f>(Gross_wages!C23*C$11)/1000</f>
        <v>0</v>
      </c>
      <c r="D26" s="155">
        <f>(Gross_wages!D23*D$11)/1000</f>
        <v>5.3548387096774182</v>
      </c>
      <c r="E26" s="154">
        <f>(Gross_wages!E23*E$11)/1000</f>
        <v>41683.892782258059</v>
      </c>
      <c r="F26" s="154">
        <f>(Gross_wages!F23*F$11)/1000</f>
        <v>0</v>
      </c>
      <c r="G26" s="154">
        <f>(Gross_wages!G23*G$11)/1000</f>
        <v>0</v>
      </c>
      <c r="H26" s="156">
        <f>(Gross_wages!H23*H$11)/1000</f>
        <v>0</v>
      </c>
      <c r="I26" s="154">
        <f t="shared" si="0"/>
        <v>41689.247620967733</v>
      </c>
      <c r="J26" s="157">
        <f t="shared" si="1"/>
        <v>1</v>
      </c>
      <c r="K26" s="154">
        <f t="shared" si="2"/>
        <v>41689.247620967733</v>
      </c>
      <c r="L26" s="158">
        <f t="shared" si="3"/>
        <v>99091.812001067738</v>
      </c>
      <c r="M26" s="147"/>
      <c r="N26" s="153" t="s">
        <v>55</v>
      </c>
      <c r="O26" s="159">
        <v>1145092.7</v>
      </c>
      <c r="P26" s="160">
        <v>8.8625476109169293E-2</v>
      </c>
      <c r="Q26" s="158">
        <f>IF(Calculation_ITS!L26=0,O26*P26,0)</f>
        <v>0</v>
      </c>
      <c r="R26" s="150"/>
      <c r="S26" s="161">
        <f>Calculation_ITS!L26+Q26</f>
        <v>99091.812001067738</v>
      </c>
    </row>
    <row r="27" spans="1:19" ht="15.75" customHeight="1">
      <c r="A27" s="164" t="s">
        <v>56</v>
      </c>
      <c r="B27" s="165">
        <f>(Gross_wages!B24*B$11)/1000</f>
        <v>20366.913277800002</v>
      </c>
      <c r="C27" s="165">
        <f>(Gross_wages!C24*C$11)/1000</f>
        <v>388.52896049999998</v>
      </c>
      <c r="D27" s="166">
        <f>(Gross_wages!D24*D$11)/1000</f>
        <v>1119.8503440860211</v>
      </c>
      <c r="E27" s="165">
        <f>(Gross_wages!E24*E$11)/1000</f>
        <v>171.7427338709677</v>
      </c>
      <c r="F27" s="165">
        <f>(Gross_wages!F24*F$11)/1000</f>
        <v>0</v>
      </c>
      <c r="G27" s="165">
        <f>(Gross_wages!G24*G$11)/1000</f>
        <v>0</v>
      </c>
      <c r="H27" s="167">
        <f>(Gross_wages!H24*H$11)/1000</f>
        <v>0</v>
      </c>
      <c r="I27" s="165">
        <f t="shared" si="0"/>
        <v>1680.1220384569888</v>
      </c>
      <c r="J27" s="168">
        <f t="shared" si="1"/>
        <v>1</v>
      </c>
      <c r="K27" s="165">
        <f t="shared" si="2"/>
        <v>1680.1220384569888</v>
      </c>
      <c r="L27" s="169">
        <f t="shared" si="3"/>
        <v>22047.035316256992</v>
      </c>
      <c r="M27" s="147"/>
      <c r="N27" s="164" t="s">
        <v>56</v>
      </c>
      <c r="O27" s="170">
        <v>836224.1</v>
      </c>
      <c r="P27" s="171">
        <v>4.1159341650017403E-2</v>
      </c>
      <c r="Q27" s="169">
        <f>IF(Calculation_ITS!L27=0,O27*P27,0)</f>
        <v>0</v>
      </c>
      <c r="R27" s="150"/>
      <c r="S27" s="172">
        <f>Calculation_ITS!L27+Q27</f>
        <v>22047.035316256992</v>
      </c>
    </row>
    <row r="28" spans="1:19" ht="15.75" customHeight="1">
      <c r="A28" s="153" t="s">
        <v>57</v>
      </c>
      <c r="B28" s="154">
        <f>(Gross_wages!B25*B$11)/1000</f>
        <v>4888.6003393199999</v>
      </c>
      <c r="C28" s="154">
        <f>(Gross_wages!C25*C$11)/1000</f>
        <v>0</v>
      </c>
      <c r="D28" s="155">
        <f>(Gross_wages!D25*D$11)/1000</f>
        <v>147.85305913978493</v>
      </c>
      <c r="E28" s="154">
        <f>(Gross_wages!E25*E$11)/1000</f>
        <v>81.72999999999999</v>
      </c>
      <c r="F28" s="154">
        <f>(Gross_wages!F25*F$11)/1000</f>
        <v>0</v>
      </c>
      <c r="G28" s="154">
        <f>(Gross_wages!G25*G$11)/1000</f>
        <v>0</v>
      </c>
      <c r="H28" s="156">
        <f>(Gross_wages!H25*H$11)/1000</f>
        <v>0</v>
      </c>
      <c r="I28" s="154">
        <f t="shared" si="0"/>
        <v>229.58305913978492</v>
      </c>
      <c r="J28" s="157">
        <f t="shared" si="1"/>
        <v>1</v>
      </c>
      <c r="K28" s="154">
        <f t="shared" si="2"/>
        <v>229.58305913978492</v>
      </c>
      <c r="L28" s="158">
        <f t="shared" si="3"/>
        <v>5118.1833984597852</v>
      </c>
      <c r="M28" s="147"/>
      <c r="N28" s="153" t="s">
        <v>57</v>
      </c>
      <c r="O28" s="159">
        <v>232853.5</v>
      </c>
      <c r="P28" s="160">
        <v>4.1772066188334303E-2</v>
      </c>
      <c r="Q28" s="158">
        <f>IF(Calculation_ITS!L28=0,O28*P28,0)</f>
        <v>0</v>
      </c>
      <c r="R28" s="150"/>
      <c r="S28" s="161">
        <f>Calculation_ITS!L28+Q28</f>
        <v>5118.1833984597852</v>
      </c>
    </row>
    <row r="29" spans="1:19" ht="15.75" customHeight="1">
      <c r="A29" s="164" t="s">
        <v>58</v>
      </c>
      <c r="B29" s="165">
        <f>(Gross_wages!B26*B$11)/1000</f>
        <v>199361.36064006001</v>
      </c>
      <c r="C29" s="165">
        <f>(Gross_wages!C26*C$11)/1000</f>
        <v>13421.227598099998</v>
      </c>
      <c r="D29" s="166">
        <f>(Gross_wages!D26*D$11)/1000</f>
        <v>41201.802548387088</v>
      </c>
      <c r="E29" s="165">
        <f>(Gross_wages!E26*E$11)/1000</f>
        <v>5479.1237903225792</v>
      </c>
      <c r="F29" s="165">
        <f>(Gross_wages!F26*F$11)/1000</f>
        <v>0</v>
      </c>
      <c r="G29" s="165">
        <f>(Gross_wages!G26*G$11)/1000</f>
        <v>0</v>
      </c>
      <c r="H29" s="167">
        <f>(Gross_wages!H26*H$11)/1000</f>
        <v>0</v>
      </c>
      <c r="I29" s="165">
        <f t="shared" si="0"/>
        <v>60102.153936809664</v>
      </c>
      <c r="J29" s="168">
        <f t="shared" si="1"/>
        <v>1</v>
      </c>
      <c r="K29" s="165">
        <f t="shared" si="2"/>
        <v>60102.153936809664</v>
      </c>
      <c r="L29" s="169">
        <f t="shared" si="3"/>
        <v>259463.51457686967</v>
      </c>
      <c r="M29" s="147"/>
      <c r="N29" s="164" t="s">
        <v>58</v>
      </c>
      <c r="O29" s="170">
        <v>6992209.5</v>
      </c>
      <c r="P29" s="171">
        <v>5.8636640434698101E-2</v>
      </c>
      <c r="Q29" s="169">
        <f>IF(Calculation_ITS!L29=0,O29*P29,0)</f>
        <v>0</v>
      </c>
      <c r="R29" s="150"/>
      <c r="S29" s="172">
        <f>Calculation_ITS!L29+Q29</f>
        <v>259463.51457686967</v>
      </c>
    </row>
    <row r="30" spans="1:19" ht="15.75" customHeight="1">
      <c r="A30" s="153" t="s">
        <v>59</v>
      </c>
      <c r="B30" s="154">
        <f>(Gross_wages!B27*B$11)/1000</f>
        <v>221712.44758199999</v>
      </c>
      <c r="C30" s="154">
        <f>(Gross_wages!C27*C$11)/1000</f>
        <v>27395.475029999998</v>
      </c>
      <c r="D30" s="155">
        <f>(Gross_wages!D27*D$11)/1000</f>
        <v>1797.6826881720428</v>
      </c>
      <c r="E30" s="154">
        <f>(Gross_wages!E27*E$11)/1000</f>
        <v>29.248387096774184</v>
      </c>
      <c r="F30" s="154">
        <f>(Gross_wages!F27*F$11)/1000</f>
        <v>0</v>
      </c>
      <c r="G30" s="154">
        <f>(Gross_wages!G27*G$11)/1000</f>
        <v>0</v>
      </c>
      <c r="H30" s="156">
        <f>(Gross_wages!H27*H$11)/1000</f>
        <v>18393.367087136841</v>
      </c>
      <c r="I30" s="154">
        <f t="shared" si="0"/>
        <v>47615.773192405657</v>
      </c>
      <c r="J30" s="157">
        <f t="shared" si="1"/>
        <v>1</v>
      </c>
      <c r="K30" s="154">
        <f t="shared" si="2"/>
        <v>47615.773192405657</v>
      </c>
      <c r="L30" s="158">
        <f t="shared" si="3"/>
        <v>269328.22077440564</v>
      </c>
      <c r="M30" s="147"/>
      <c r="N30" s="153" t="s">
        <v>59</v>
      </c>
      <c r="O30" s="159">
        <v>2906074.1</v>
      </c>
      <c r="P30" s="160">
        <v>0.104545773057221</v>
      </c>
      <c r="Q30" s="158">
        <f>IF(Calculation_ITS!L30=0,O30*P30,0)</f>
        <v>0</v>
      </c>
      <c r="R30" s="150"/>
      <c r="S30" s="161">
        <f>Calculation_ITS!L30+Q30</f>
        <v>269328.22077440564</v>
      </c>
    </row>
    <row r="31" spans="1:19" ht="15.75" customHeight="1">
      <c r="A31" s="164" t="s">
        <v>60</v>
      </c>
      <c r="B31" s="165">
        <f>(Gross_wages!B28*B$11)/1000</f>
        <v>0</v>
      </c>
      <c r="C31" s="165">
        <f>(Gross_wages!C28*C$11)/1000</f>
        <v>0</v>
      </c>
      <c r="D31" s="166">
        <f>(Gross_wages!D28*D$11)/1000</f>
        <v>0</v>
      </c>
      <c r="E31" s="165">
        <f>(Gross_wages!E28*E$11)/1000</f>
        <v>0</v>
      </c>
      <c r="F31" s="165">
        <f>(Gross_wages!F28*F$11)/1000</f>
        <v>0</v>
      </c>
      <c r="G31" s="165">
        <f>(Gross_wages!G28*G$11)/1000</f>
        <v>0</v>
      </c>
      <c r="H31" s="167">
        <f>(Gross_wages!H28*H$11)/1000</f>
        <v>0</v>
      </c>
      <c r="I31" s="165">
        <f t="shared" si="0"/>
        <v>0</v>
      </c>
      <c r="J31" s="168">
        <f t="shared" si="1"/>
        <v>1</v>
      </c>
      <c r="K31" s="165">
        <f t="shared" si="2"/>
        <v>0</v>
      </c>
      <c r="L31" s="169">
        <f t="shared" si="3"/>
        <v>0</v>
      </c>
      <c r="M31" s="147"/>
      <c r="N31" s="164" t="s">
        <v>60</v>
      </c>
      <c r="O31" s="170">
        <v>9933316.4000000004</v>
      </c>
      <c r="P31" s="171">
        <v>6.3607316194517094E-2</v>
      </c>
      <c r="Q31" s="169">
        <f>IF(Calculation_ITS!L31=0,O31*P31,0)</f>
        <v>631831.59711498232</v>
      </c>
      <c r="R31" s="150"/>
      <c r="S31" s="172">
        <f>Calculation_ITS!L31+Q31</f>
        <v>631831.59711498232</v>
      </c>
    </row>
    <row r="32" spans="1:19" ht="15.75" customHeight="1">
      <c r="A32" s="153" t="s">
        <v>61</v>
      </c>
      <c r="B32" s="154">
        <f>(Gross_wages!B29*B$11)/1000</f>
        <v>105258.8726037</v>
      </c>
      <c r="C32" s="154">
        <f>(Gross_wages!C29*C$11)/1000</f>
        <v>2501.6401259999998</v>
      </c>
      <c r="D32" s="155">
        <f>(Gross_wages!D29*D$11)/1000</f>
        <v>1670.3524731182792</v>
      </c>
      <c r="E32" s="154">
        <f>(Gross_wages!E29*E$11)/1000</f>
        <v>28835.910637096767</v>
      </c>
      <c r="F32" s="154">
        <f>(Gross_wages!F29*F$11)/1000</f>
        <v>0</v>
      </c>
      <c r="G32" s="154">
        <f>(Gross_wages!G29*G$11)/1000</f>
        <v>0</v>
      </c>
      <c r="H32" s="156">
        <f>(Gross_wages!H29*H$11)/1000</f>
        <v>0</v>
      </c>
      <c r="I32" s="154">
        <f t="shared" si="0"/>
        <v>33007.903236215046</v>
      </c>
      <c r="J32" s="157">
        <f t="shared" si="1"/>
        <v>1</v>
      </c>
      <c r="K32" s="154">
        <f t="shared" si="2"/>
        <v>33007.903236215046</v>
      </c>
      <c r="L32" s="158">
        <f t="shared" si="3"/>
        <v>138266.77583991503</v>
      </c>
      <c r="M32" s="147"/>
      <c r="N32" s="153" t="s">
        <v>61</v>
      </c>
      <c r="O32" s="159">
        <v>3341279.1</v>
      </c>
      <c r="P32" s="160">
        <v>6.1930318553926299E-2</v>
      </c>
      <c r="Q32" s="158">
        <f>IF(Calculation_ITS!L32=0,O32*P32,0)</f>
        <v>0</v>
      </c>
      <c r="R32" s="150"/>
      <c r="S32" s="161">
        <f>Calculation_ITS!L32+Q32</f>
        <v>138266.77583991503</v>
      </c>
    </row>
    <row r="33" spans="1:19" ht="15.75" customHeight="1">
      <c r="A33" s="164" t="s">
        <v>62</v>
      </c>
      <c r="B33" s="165">
        <f>(Gross_wages!B30*B$11)/1000</f>
        <v>259864.48800000001</v>
      </c>
      <c r="C33" s="165">
        <f>(Gross_wages!C30*C$11)/1000</f>
        <v>20849.04</v>
      </c>
      <c r="D33" s="166">
        <f>(Gross_wages!D30*D$11)/1000</f>
        <v>0</v>
      </c>
      <c r="E33" s="165">
        <f>(Gross_wages!E30*E$11)/1000</f>
        <v>0</v>
      </c>
      <c r="F33" s="165">
        <f>(Gross_wages!F30*F$11)/1000</f>
        <v>0</v>
      </c>
      <c r="G33" s="165">
        <f>(Gross_wages!G30*G$11)/1000</f>
        <v>0</v>
      </c>
      <c r="H33" s="167">
        <f>(Gross_wages!H30*H$11)/1000</f>
        <v>404395.2</v>
      </c>
      <c r="I33" s="165">
        <f t="shared" si="0"/>
        <v>425244.24</v>
      </c>
      <c r="J33" s="168">
        <f t="shared" si="1"/>
        <v>1</v>
      </c>
      <c r="K33" s="165">
        <f t="shared" si="2"/>
        <v>425244.24</v>
      </c>
      <c r="L33" s="169">
        <f t="shared" si="3"/>
        <v>685108.728</v>
      </c>
      <c r="M33" s="147"/>
      <c r="N33" s="164" t="s">
        <v>62</v>
      </c>
      <c r="O33" s="170">
        <v>5253511.3</v>
      </c>
      <c r="P33" s="171">
        <v>0.1580062017061</v>
      </c>
      <c r="Q33" s="169">
        <f>IF(Calculation_ITS!L33=0,O33*P33,0)</f>
        <v>0</v>
      </c>
      <c r="R33" s="150"/>
      <c r="S33" s="172">
        <f>Calculation_ITS!L33+Q33</f>
        <v>685108.728</v>
      </c>
    </row>
    <row r="34" spans="1:19" ht="15.75" customHeight="1">
      <c r="A34" s="153" t="s">
        <v>63</v>
      </c>
      <c r="B34" s="154">
        <f>(Gross_wages!B31*B$11)/1000</f>
        <v>462088.076436</v>
      </c>
      <c r="C34" s="154">
        <f>(Gross_wages!C31*C$11)/1000</f>
        <v>0</v>
      </c>
      <c r="D34" s="155">
        <f>(Gross_wages!D31*D$11)/1000</f>
        <v>0</v>
      </c>
      <c r="E34" s="154">
        <f>(Gross_wages!E31*E$11)/1000</f>
        <v>0</v>
      </c>
      <c r="F34" s="154">
        <f>(Gross_wages!F31*F$11)/1000</f>
        <v>0</v>
      </c>
      <c r="G34" s="154">
        <f>(Gross_wages!G31*G$11)/1000</f>
        <v>130639.13516129031</v>
      </c>
      <c r="H34" s="156">
        <f>(Gross_wages!H31*H$11)/1000</f>
        <v>0</v>
      </c>
      <c r="I34" s="154">
        <f t="shared" si="0"/>
        <v>130639.13516129031</v>
      </c>
      <c r="J34" s="157">
        <f t="shared" si="1"/>
        <v>1</v>
      </c>
      <c r="K34" s="154">
        <f t="shared" si="2"/>
        <v>130639.13516129031</v>
      </c>
      <c r="L34" s="158">
        <f t="shared" si="3"/>
        <v>592727.21159729036</v>
      </c>
      <c r="M34" s="147"/>
      <c r="N34" s="153" t="s">
        <v>63</v>
      </c>
      <c r="O34" s="159">
        <v>13367050</v>
      </c>
      <c r="P34" s="160">
        <v>7.5019984118945907E-2</v>
      </c>
      <c r="Q34" s="158">
        <f>IF(Calculation_ITS!L34=0,O34*P34,0)</f>
        <v>0</v>
      </c>
      <c r="R34" s="150"/>
      <c r="S34" s="161">
        <f>Calculation_ITS!L34+Q34</f>
        <v>592727.21159729036</v>
      </c>
    </row>
    <row r="35" spans="1:19" ht="15.75" customHeight="1">
      <c r="A35" s="164" t="s">
        <v>64</v>
      </c>
      <c r="B35" s="165">
        <f>(Gross_wages!B32*B$11)/1000</f>
        <v>222931.16653626002</v>
      </c>
      <c r="C35" s="165">
        <f>(Gross_wages!C32*C$11)/1000</f>
        <v>295.55741519999998</v>
      </c>
      <c r="D35" s="166">
        <f>(Gross_wages!D32*D$11)/1000</f>
        <v>0</v>
      </c>
      <c r="E35" s="165">
        <f>(Gross_wages!E32*E$11)/1000</f>
        <v>0</v>
      </c>
      <c r="F35" s="165">
        <f>(Gross_wages!F32*F$11)/1000</f>
        <v>0</v>
      </c>
      <c r="G35" s="165">
        <f>(Gross_wages!G32*G$11)/1000</f>
        <v>6381.9504838709663</v>
      </c>
      <c r="H35" s="167">
        <f>(Gross_wages!H32*H$11)/1000</f>
        <v>10768.546481759999</v>
      </c>
      <c r="I35" s="165">
        <f t="shared" si="0"/>
        <v>17446.054380830967</v>
      </c>
      <c r="J35" s="168">
        <f t="shared" si="1"/>
        <v>1</v>
      </c>
      <c r="K35" s="165">
        <f t="shared" si="2"/>
        <v>17446.054380830967</v>
      </c>
      <c r="L35" s="169">
        <f t="shared" si="3"/>
        <v>240377.22091709098</v>
      </c>
      <c r="M35" s="147"/>
      <c r="N35" s="164" t="s">
        <v>64</v>
      </c>
      <c r="O35" s="170">
        <v>3989696</v>
      </c>
      <c r="P35" s="171">
        <v>7.5641200118888696E-2</v>
      </c>
      <c r="Q35" s="169">
        <f>IF(Calculation_ITS!L35=0,O35*P35,0)</f>
        <v>0</v>
      </c>
      <c r="R35" s="150"/>
      <c r="S35" s="172">
        <f>Calculation_ITS!L35+Q35</f>
        <v>240377.22091709098</v>
      </c>
    </row>
    <row r="36" spans="1:19" ht="15.75" customHeight="1">
      <c r="A36" s="153" t="s">
        <v>65</v>
      </c>
      <c r="B36" s="154">
        <f>(Gross_wages!B33*B$11)/1000</f>
        <v>108033.38239014</v>
      </c>
      <c r="C36" s="154">
        <f>(Gross_wages!C33*C$11)/1000</f>
        <v>2018.4841169999997</v>
      </c>
      <c r="D36" s="155">
        <f>(Gross_wages!D33*D$11)/1000</f>
        <v>0</v>
      </c>
      <c r="E36" s="154">
        <f>(Gross_wages!E33*E$11)/1000</f>
        <v>0</v>
      </c>
      <c r="F36" s="154">
        <f>(Gross_wages!F33*F$11)/1000</f>
        <v>0</v>
      </c>
      <c r="G36" s="154">
        <f>(Gross_wages!G33*G$11)/1000</f>
        <v>56816.009999999987</v>
      </c>
      <c r="H36" s="156">
        <f>(Gross_wages!H33*H$11)/1000</f>
        <v>0</v>
      </c>
      <c r="I36" s="154">
        <f t="shared" si="0"/>
        <v>58834.494116999987</v>
      </c>
      <c r="J36" s="157">
        <f t="shared" si="1"/>
        <v>1</v>
      </c>
      <c r="K36" s="154">
        <f t="shared" si="2"/>
        <v>58834.494116999987</v>
      </c>
      <c r="L36" s="158">
        <f t="shared" si="3"/>
        <v>166867.87650714</v>
      </c>
      <c r="M36" s="147"/>
      <c r="N36" s="153" t="s">
        <v>65</v>
      </c>
      <c r="O36" s="159">
        <v>2606440.6</v>
      </c>
      <c r="P36" s="160">
        <v>7.4073319001915994E-2</v>
      </c>
      <c r="Q36" s="158">
        <f>IF(Calculation_ITS!L36=0,O36*P36,0)</f>
        <v>0</v>
      </c>
      <c r="R36" s="150"/>
      <c r="S36" s="161">
        <f>Calculation_ITS!L36+Q36</f>
        <v>166867.87650714</v>
      </c>
    </row>
    <row r="37" spans="1:19" ht="15.75" customHeight="1">
      <c r="A37" s="164" t="s">
        <v>66</v>
      </c>
      <c r="B37" s="165">
        <f>(Gross_wages!B34*B$11)/1000</f>
        <v>536871.59296289994</v>
      </c>
      <c r="C37" s="165">
        <f>(Gross_wages!C34*C$11)/1000</f>
        <v>0</v>
      </c>
      <c r="D37" s="166">
        <f>(Gross_wages!D34*D$11)/1000</f>
        <v>0</v>
      </c>
      <c r="E37" s="165">
        <f>(Gross_wages!E34*E$11)/1000</f>
        <v>0</v>
      </c>
      <c r="F37" s="165">
        <f>(Gross_wages!F34*F$11)/1000</f>
        <v>1138775.2740986864</v>
      </c>
      <c r="G37" s="165">
        <f>(Gross_wages!G34*G$11)/1000</f>
        <v>0</v>
      </c>
      <c r="H37" s="167">
        <f>(Gross_wages!H34*H$11)/1000</f>
        <v>0</v>
      </c>
      <c r="I37" s="165">
        <f t="shared" si="0"/>
        <v>1138775.2740986864</v>
      </c>
      <c r="J37" s="168">
        <f t="shared" si="1"/>
        <v>1</v>
      </c>
      <c r="K37" s="165">
        <f t="shared" si="2"/>
        <v>1138775.2740986864</v>
      </c>
      <c r="L37" s="169">
        <f t="shared" si="3"/>
        <v>1675646.8670615864</v>
      </c>
      <c r="M37" s="147"/>
      <c r="N37" s="164" t="s">
        <v>66</v>
      </c>
      <c r="O37" s="170">
        <v>10066139.699999999</v>
      </c>
      <c r="P37" s="171">
        <v>0.175428605360542</v>
      </c>
      <c r="Q37" s="169">
        <f>IF(Calculation_ITS!L37=0,O37*P37,0)</f>
        <v>0</v>
      </c>
      <c r="R37" s="150"/>
      <c r="S37" s="172">
        <f>Calculation_ITS!L37+Q37</f>
        <v>1675646.8670615864</v>
      </c>
    </row>
    <row r="38" spans="1:19" ht="15.75" customHeight="1">
      <c r="A38" s="173" t="s">
        <v>67</v>
      </c>
      <c r="B38" s="174">
        <f>(Gross_wages!B35*B$11)/1000</f>
        <v>20414.324268</v>
      </c>
      <c r="C38" s="174">
        <f>(Gross_wages!C35*C$11)/1000</f>
        <v>1668.749544</v>
      </c>
      <c r="D38" s="175">
        <f>(Gross_wages!D35*D$11)/1000</f>
        <v>0</v>
      </c>
      <c r="E38" s="174">
        <f>(Gross_wages!E35*E$11)/1000</f>
        <v>101.93274193548385</v>
      </c>
      <c r="F38" s="174">
        <f>(Gross_wages!F35*F$11)/1000</f>
        <v>0</v>
      </c>
      <c r="G38" s="174">
        <f>(Gross_wages!G35*G$11)/1000</f>
        <v>40184.454838709666</v>
      </c>
      <c r="H38" s="176">
        <f>(Gross_wages!H35*H$11)/1000</f>
        <v>0</v>
      </c>
      <c r="I38" s="174">
        <f t="shared" si="0"/>
        <v>41955.137124645153</v>
      </c>
      <c r="J38" s="177">
        <f t="shared" si="1"/>
        <v>1</v>
      </c>
      <c r="K38" s="174">
        <f t="shared" si="2"/>
        <v>41955.137124645153</v>
      </c>
      <c r="L38" s="178">
        <f t="shared" si="3"/>
        <v>62369.461392645157</v>
      </c>
      <c r="M38" s="147"/>
      <c r="N38" s="173" t="s">
        <v>67</v>
      </c>
      <c r="O38" s="179">
        <v>828741.6</v>
      </c>
      <c r="P38" s="180">
        <v>8.34415483790793E-2</v>
      </c>
      <c r="Q38" s="178">
        <f>IF(Calculation_ITS!L38=0,O38*P38,0)</f>
        <v>0</v>
      </c>
      <c r="R38" s="150"/>
      <c r="S38" s="181">
        <f>Calculation_ITS!L38+Q38</f>
        <v>62369.461392645157</v>
      </c>
    </row>
    <row r="39" spans="1:19" ht="15.75" customHeight="1">
      <c r="A39" s="182" t="s">
        <v>68</v>
      </c>
      <c r="B39" s="183">
        <f t="shared" ref="B39:I39" si="4">SUM(B13:B38)</f>
        <v>4541414.8316985006</v>
      </c>
      <c r="C39" s="183">
        <f t="shared" si="4"/>
        <v>135526.13690039996</v>
      </c>
      <c r="D39" s="184">
        <f t="shared" si="4"/>
        <v>45942.895951612889</v>
      </c>
      <c r="E39" s="183">
        <f t="shared" si="4"/>
        <v>339822.91006451607</v>
      </c>
      <c r="F39" s="183">
        <f t="shared" si="4"/>
        <v>1138775.2740986864</v>
      </c>
      <c r="G39" s="183">
        <f t="shared" si="4"/>
        <v>605445.06935483858</v>
      </c>
      <c r="H39" s="185">
        <f t="shared" si="4"/>
        <v>433557.11356889684</v>
      </c>
      <c r="I39" s="183">
        <f t="shared" si="4"/>
        <v>2699069.3999389508</v>
      </c>
      <c r="J39" s="186">
        <v>1</v>
      </c>
      <c r="K39" s="183">
        <f t="shared" si="2"/>
        <v>2699069.3999389508</v>
      </c>
      <c r="L39" s="187">
        <f t="shared" si="3"/>
        <v>7240484.2316374518</v>
      </c>
      <c r="M39" s="147"/>
      <c r="N39" s="182" t="s">
        <v>68</v>
      </c>
      <c r="O39" s="188">
        <f>SUM(O13:O38)</f>
        <v>135464442.79999995</v>
      </c>
      <c r="P39" s="189"/>
      <c r="Q39" s="187">
        <f>SUM(Q13:Q38)</f>
        <v>631831.59711498232</v>
      </c>
      <c r="R39" s="150"/>
      <c r="S39" s="190">
        <f>SUM(S13:S38)</f>
        <v>7872315.8287524302</v>
      </c>
    </row>
  </sheetData>
  <mergeCells count="15">
    <mergeCell ref="D9:H9"/>
    <mergeCell ref="C9:C10"/>
    <mergeCell ref="B9:B10"/>
    <mergeCell ref="A4:L4"/>
    <mergeCell ref="I9:I10"/>
    <mergeCell ref="L9:L10"/>
    <mergeCell ref="K9:K10"/>
    <mergeCell ref="J9:J10"/>
    <mergeCell ref="Q8:Q10"/>
    <mergeCell ref="N4:Q4"/>
    <mergeCell ref="S8:S10"/>
    <mergeCell ref="U11:V11"/>
    <mergeCell ref="U10:V10"/>
    <mergeCell ref="P8:P10"/>
    <mergeCell ref="O8:O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2012-01-04T09:25:45Z</cp:lastPrinted>
  <dcterms:created xsi:type="dcterms:W3CDTF">2006-06-26T16:01:42Z</dcterms:created>
  <dcterms:modified xsi:type="dcterms:W3CDTF">2012-05-15T09:12:28Z</dcterms:modified>
</cp:coreProperties>
</file>