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G11"/>
  <c r="G37" s="1"/>
  <c r="E11"/>
  <c r="E37" s="1"/>
  <c r="D11"/>
  <c r="D38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B11"/>
  <c r="A2" i="2"/>
  <c r="A2" i="3" s="1"/>
  <c r="E13" i="4"/>
  <c r="G13"/>
  <c r="D14"/>
  <c r="D15"/>
  <c r="E16"/>
  <c r="G16"/>
  <c r="D17"/>
  <c r="E18"/>
  <c r="G18"/>
  <c r="D19"/>
  <c r="E20"/>
  <c r="G20"/>
  <c r="D21"/>
  <c r="E22"/>
  <c r="G22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D39"/>
  <c r="G39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H39" l="1"/>
  <c r="B39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C39"/>
  <c r="I13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1" l="1"/>
  <c r="S31" s="1"/>
  <c r="Q23"/>
  <c r="S23" s="1"/>
  <c r="Q15"/>
  <c r="S15" s="1"/>
  <c r="Q34"/>
  <c r="S34" s="1"/>
  <c r="Q26"/>
  <c r="S26" s="1"/>
  <c r="Q18"/>
  <c r="S18" s="1"/>
  <c r="Q37"/>
  <c r="S37" s="1"/>
  <c r="Q29"/>
  <c r="S29" s="1"/>
  <c r="Q21"/>
  <c r="S21" s="1"/>
  <c r="Q14"/>
  <c r="S14" s="1"/>
  <c r="Q32"/>
  <c r="S32" s="1"/>
  <c r="Q24"/>
  <c r="S24" s="1"/>
  <c r="Q16"/>
  <c r="S16" s="1"/>
  <c r="Q35"/>
  <c r="S35"/>
  <c r="Q27"/>
  <c r="S27"/>
  <c r="Q19"/>
  <c r="S19"/>
  <c r="Q38"/>
  <c r="S38" s="1"/>
  <c r="Q30"/>
  <c r="S30" s="1"/>
  <c r="Q22"/>
  <c r="S22" s="1"/>
  <c r="I39"/>
  <c r="K39" s="1"/>
  <c r="L39" s="1"/>
  <c r="K13"/>
  <c r="L13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<sst xmlns="http://schemas.openxmlformats.org/spreadsheetml/2006/main" count="212" uniqueCount="103">
  <si>
    <t>Income taxed at source (ITS)</t>
  </si>
  <si>
    <t>Informations</t>
  </si>
  <si>
    <t>Environment</t>
  </si>
  <si>
    <t>Produktion</t>
  </si>
  <si>
    <t>Type</t>
  </si>
  <si>
    <t>Test</t>
  </si>
  <si>
    <t>WS</t>
  </si>
  <si>
    <t>FA_2008_20120424</t>
  </si>
  <si>
    <t>SWS</t>
  </si>
  <si>
    <t>RA_2008_20120424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</si>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</sst>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>
  <numFmts count="4">
    <numFmt numFmtId="164" formatCode="_ * #,##0_ ;_ * \-#,##0_ ;_ * &quot;-&quot;??_ ;_ @_ "/>
    <numFmt numFmtId="165" formatCode="0.0%"/>
    <numFmt numFmtId="166" formatCode="0.000"/>
    <numFmt numFmtId="167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7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7" fontId="14" fillId="0" borderId="19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195" t="s">
        <v>0</v>
      </c>
      <c r="B1" s="195"/>
      <c r="C1" s="195"/>
      <c r="D1" s="195"/>
      <c r="E1" s="195"/>
    </row>
    <row r="2" spans="1:5" ht="24.75" customHeight="1">
      <c r="A2" s="194"/>
      <c r="B2" s="194"/>
      <c r="C2" s="194"/>
      <c r="D2" s="194"/>
      <c r="E2" s="194"/>
    </row>
    <row r="4" spans="1:5" ht="18" customHeight="1">
      <c r="A4" s="193" t="str">
        <f>"Assessment year "&amp;C31</f>
        <v>Assessment year 2004</v>
      </c>
      <c r="B4" s="193"/>
      <c r="C4" s="193"/>
      <c r="D4" s="193"/>
      <c r="E4" s="193"/>
    </row>
    <row r="5" spans="1:5" ht="18" customHeight="1">
      <c r="A5" s="193" t="str">
        <f>"Reference year "&amp;C30</f>
        <v>Reference year 2008</v>
      </c>
      <c r="B5" s="193"/>
      <c r="C5" s="193"/>
      <c r="D5" s="193"/>
      <c r="E5" s="193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2008</v>
      </c>
    </row>
    <row r="31" spans="2:3">
      <c r="B31" s="7" t="s">
        <v>11</v>
      </c>
      <c r="C31" s="8">
        <v>2004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2004</v>
      </c>
      <c r="B1" s="10"/>
      <c r="C1" s="10"/>
      <c r="I1" s="11"/>
    </row>
    <row r="2" spans="1:9" ht="31.5" customHeight="1">
      <c r="A2" s="12" t="str">
        <f>Info!A5</f>
        <v>Reference year 2008</v>
      </c>
      <c r="B2" s="13"/>
      <c r="C2" s="13"/>
      <c r="D2" s="14"/>
      <c r="I2" s="15" t="str">
        <f>Info!C28</f>
        <v>FA_2008_20120424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1"/>
      <c r="B6" s="196" t="s">
        <v>29</v>
      </c>
      <c r="C6" s="196" t="s">
        <v>30</v>
      </c>
      <c r="D6" s="198" t="s">
        <v>31</v>
      </c>
      <c r="E6" s="199"/>
      <c r="F6" s="199"/>
      <c r="G6" s="199"/>
      <c r="H6" s="200"/>
      <c r="I6" s="203" t="s">
        <v>32</v>
      </c>
    </row>
    <row r="7" spans="1:9" ht="38.25" customHeight="1">
      <c r="A7" s="202"/>
      <c r="B7" s="197"/>
      <c r="C7" s="197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4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2583760480</v>
      </c>
      <c r="C10" s="48">
        <v>19287873</v>
      </c>
      <c r="D10" s="49">
        <v>0</v>
      </c>
      <c r="E10" s="48">
        <v>298614393</v>
      </c>
      <c r="F10" s="48">
        <v>0</v>
      </c>
      <c r="G10" s="48">
        <v>0</v>
      </c>
      <c r="H10" s="50">
        <v>0</v>
      </c>
      <c r="I10" s="51">
        <f t="shared" ref="I10:I36" si="0">SUM(B10:H10)</f>
        <v>2901662746</v>
      </c>
    </row>
    <row r="11" spans="1:9">
      <c r="A11" s="52" t="s">
        <v>43</v>
      </c>
      <c r="B11" s="53">
        <v>648190772</v>
      </c>
      <c r="C11" s="53">
        <v>0</v>
      </c>
      <c r="D11" s="54">
        <v>0</v>
      </c>
      <c r="E11" s="53">
        <v>908554</v>
      </c>
      <c r="F11" s="53">
        <v>0</v>
      </c>
      <c r="G11" s="53">
        <v>53371389</v>
      </c>
      <c r="H11" s="55">
        <v>0</v>
      </c>
      <c r="I11" s="56">
        <f t="shared" si="0"/>
        <v>702470715</v>
      </c>
    </row>
    <row r="12" spans="1:9">
      <c r="A12" s="57" t="s">
        <v>44</v>
      </c>
      <c r="B12" s="58">
        <v>419317181</v>
      </c>
      <c r="C12" s="58">
        <v>0</v>
      </c>
      <c r="D12" s="59">
        <v>0</v>
      </c>
      <c r="E12" s="58">
        <v>2716784</v>
      </c>
      <c r="F12" s="58">
        <v>0</v>
      </c>
      <c r="G12" s="58">
        <v>0</v>
      </c>
      <c r="H12" s="60">
        <v>0</v>
      </c>
      <c r="I12" s="61">
        <f t="shared" si="0"/>
        <v>422033965</v>
      </c>
    </row>
    <row r="13" spans="1:9">
      <c r="A13" s="52" t="s">
        <v>45</v>
      </c>
      <c r="B13" s="53">
        <v>49648739.399999999</v>
      </c>
      <c r="C13" s="53">
        <v>0</v>
      </c>
      <c r="D13" s="54">
        <v>0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49648739.399999999</v>
      </c>
    </row>
    <row r="14" spans="1:9">
      <c r="A14" s="57" t="s">
        <v>46</v>
      </c>
      <c r="B14" s="58">
        <v>148134376</v>
      </c>
      <c r="C14" s="58">
        <v>14285751</v>
      </c>
      <c r="D14" s="59">
        <v>0</v>
      </c>
      <c r="E14" s="58">
        <v>670532.19999999995</v>
      </c>
      <c r="F14" s="58">
        <v>0</v>
      </c>
      <c r="G14" s="58">
        <v>0</v>
      </c>
      <c r="H14" s="60">
        <v>0</v>
      </c>
      <c r="I14" s="61">
        <f t="shared" si="0"/>
        <v>163090659.19999999</v>
      </c>
    </row>
    <row r="15" spans="1:9">
      <c r="A15" s="52" t="s">
        <v>47</v>
      </c>
      <c r="B15" s="53">
        <v>55566696.700000003</v>
      </c>
      <c r="C15" s="53">
        <v>0</v>
      </c>
      <c r="D15" s="54">
        <v>0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55566696.700000003</v>
      </c>
    </row>
    <row r="16" spans="1:9">
      <c r="A16" s="57" t="s">
        <v>48</v>
      </c>
      <c r="B16" s="58">
        <v>52253281</v>
      </c>
      <c r="C16" s="58">
        <v>0</v>
      </c>
      <c r="D16" s="59">
        <v>0</v>
      </c>
      <c r="E16" s="58">
        <v>93996</v>
      </c>
      <c r="F16" s="58">
        <v>0</v>
      </c>
      <c r="G16" s="58">
        <v>0</v>
      </c>
      <c r="H16" s="60">
        <v>0</v>
      </c>
      <c r="I16" s="61">
        <f t="shared" si="0"/>
        <v>52347277</v>
      </c>
    </row>
    <row r="17" spans="1:9">
      <c r="A17" s="52" t="s">
        <v>49</v>
      </c>
      <c r="B17" s="53">
        <v>49363367.200000003</v>
      </c>
      <c r="C17" s="53">
        <v>0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49363367.200000003</v>
      </c>
    </row>
    <row r="18" spans="1:9">
      <c r="A18" s="57" t="s">
        <v>50</v>
      </c>
      <c r="B18" s="58">
        <v>179595872</v>
      </c>
      <c r="C18" s="58">
        <v>0</v>
      </c>
      <c r="D18" s="59">
        <v>0</v>
      </c>
      <c r="E18" s="58">
        <v>2302037</v>
      </c>
      <c r="F18" s="58">
        <v>0</v>
      </c>
      <c r="G18" s="58">
        <v>0</v>
      </c>
      <c r="H18" s="60">
        <v>0</v>
      </c>
      <c r="I18" s="61">
        <f t="shared" si="0"/>
        <v>181897909</v>
      </c>
    </row>
    <row r="19" spans="1:9">
      <c r="A19" s="52" t="s">
        <v>51</v>
      </c>
      <c r="B19" s="53">
        <v>345099867.5</v>
      </c>
      <c r="C19" s="53">
        <v>0</v>
      </c>
      <c r="D19" s="54">
        <v>0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345099867.5</v>
      </c>
    </row>
    <row r="20" spans="1:9">
      <c r="A20" s="57" t="s">
        <v>52</v>
      </c>
      <c r="B20" s="58">
        <v>189862094</v>
      </c>
      <c r="C20" s="58">
        <v>2869882</v>
      </c>
      <c r="D20" s="59">
        <v>0</v>
      </c>
      <c r="E20" s="58">
        <v>14262720</v>
      </c>
      <c r="F20" s="58">
        <v>0</v>
      </c>
      <c r="G20" s="58">
        <v>67960530</v>
      </c>
      <c r="H20" s="60">
        <v>0</v>
      </c>
      <c r="I20" s="61">
        <f t="shared" si="0"/>
        <v>274955226</v>
      </c>
    </row>
    <row r="21" spans="1:9">
      <c r="A21" s="52" t="s">
        <v>53</v>
      </c>
      <c r="B21" s="53">
        <v>480921243.94999999</v>
      </c>
      <c r="C21" s="53">
        <v>103887980.5</v>
      </c>
      <c r="D21" s="54">
        <v>0</v>
      </c>
      <c r="E21" s="53">
        <v>983028143.70000005</v>
      </c>
      <c r="F21" s="53">
        <v>0</v>
      </c>
      <c r="G21" s="53">
        <v>1413854000</v>
      </c>
      <c r="H21" s="55">
        <v>0</v>
      </c>
      <c r="I21" s="56">
        <f t="shared" si="0"/>
        <v>2981691368.1500001</v>
      </c>
    </row>
    <row r="22" spans="1:9">
      <c r="A22" s="57" t="s">
        <v>54</v>
      </c>
      <c r="B22" s="58">
        <v>256795622</v>
      </c>
      <c r="C22" s="58">
        <v>33474717</v>
      </c>
      <c r="D22" s="59">
        <v>0</v>
      </c>
      <c r="E22" s="58">
        <v>370410696</v>
      </c>
      <c r="F22" s="58">
        <v>0</v>
      </c>
      <c r="G22" s="58">
        <v>824379648</v>
      </c>
      <c r="H22" s="60">
        <v>0</v>
      </c>
      <c r="I22" s="61">
        <f t="shared" si="0"/>
        <v>1485060683</v>
      </c>
    </row>
    <row r="23" spans="1:9">
      <c r="A23" s="52" t="s">
        <v>55</v>
      </c>
      <c r="B23" s="53">
        <v>148666876.22999999</v>
      </c>
      <c r="C23" s="53">
        <v>0</v>
      </c>
      <c r="D23" s="54">
        <v>49800</v>
      </c>
      <c r="E23" s="53">
        <v>256469236.80000001</v>
      </c>
      <c r="F23" s="53">
        <v>0</v>
      </c>
      <c r="G23" s="53">
        <v>0</v>
      </c>
      <c r="H23" s="55">
        <v>0</v>
      </c>
      <c r="I23" s="56">
        <f t="shared" si="0"/>
        <v>405185913.02999997</v>
      </c>
    </row>
    <row r="24" spans="1:9">
      <c r="A24" s="57" t="s">
        <v>56</v>
      </c>
      <c r="B24" s="58">
        <v>51843387.880000003</v>
      </c>
      <c r="C24" s="58">
        <v>977673.85</v>
      </c>
      <c r="D24" s="59">
        <v>10385149.300000001</v>
      </c>
      <c r="E24" s="58">
        <v>1254816.6499999999</v>
      </c>
      <c r="F24" s="58">
        <v>0</v>
      </c>
      <c r="G24" s="58">
        <v>0</v>
      </c>
      <c r="H24" s="60">
        <v>0</v>
      </c>
      <c r="I24" s="61">
        <f t="shared" si="0"/>
        <v>64461027.68</v>
      </c>
    </row>
    <row r="25" spans="1:9">
      <c r="A25" s="52" t="s">
        <v>57</v>
      </c>
      <c r="B25" s="53">
        <v>13637224.4</v>
      </c>
      <c r="C25" s="53">
        <v>0</v>
      </c>
      <c r="D25" s="54">
        <v>1063416.8</v>
      </c>
      <c r="E25" s="53">
        <v>563176.5</v>
      </c>
      <c r="F25" s="53">
        <v>0</v>
      </c>
      <c r="G25" s="53">
        <v>0</v>
      </c>
      <c r="H25" s="55">
        <v>0</v>
      </c>
      <c r="I25" s="56">
        <f t="shared" si="0"/>
        <v>15263817.700000001</v>
      </c>
    </row>
    <row r="26" spans="1:9">
      <c r="A26" s="57" t="s">
        <v>58</v>
      </c>
      <c r="B26" s="58">
        <v>507184316.41000003</v>
      </c>
      <c r="C26" s="58">
        <v>33340118.199999999</v>
      </c>
      <c r="D26" s="59">
        <v>378180516</v>
      </c>
      <c r="E26" s="58">
        <v>36840878.100000001</v>
      </c>
      <c r="F26" s="58">
        <v>0</v>
      </c>
      <c r="G26" s="58">
        <v>0</v>
      </c>
      <c r="H26" s="60">
        <v>0</v>
      </c>
      <c r="I26" s="61">
        <f t="shared" si="0"/>
        <v>955545828.71000004</v>
      </c>
    </row>
    <row r="27" spans="1:9">
      <c r="A27" s="52" t="s">
        <v>59</v>
      </c>
      <c r="B27" s="53">
        <v>561015495.47171903</v>
      </c>
      <c r="C27" s="53">
        <v>62193439.68</v>
      </c>
      <c r="D27" s="54">
        <v>21394218.48</v>
      </c>
      <c r="E27" s="53">
        <v>81192.479999999996</v>
      </c>
      <c r="F27" s="53">
        <v>0</v>
      </c>
      <c r="G27" s="53">
        <v>0</v>
      </c>
      <c r="H27" s="55">
        <v>84237198</v>
      </c>
      <c r="I27" s="56">
        <f t="shared" si="0"/>
        <v>728921544.11171901</v>
      </c>
    </row>
    <row r="28" spans="1:9">
      <c r="A28" s="57" t="s">
        <v>60</v>
      </c>
      <c r="B28" s="58">
        <v>0</v>
      </c>
      <c r="C28" s="58">
        <v>0</v>
      </c>
      <c r="D28" s="59">
        <v>0</v>
      </c>
      <c r="E28" s="58">
        <v>0</v>
      </c>
      <c r="F28" s="58">
        <v>0</v>
      </c>
      <c r="G28" s="58">
        <v>0</v>
      </c>
      <c r="H28" s="60">
        <v>0</v>
      </c>
      <c r="I28" s="61">
        <f t="shared" si="0"/>
        <v>0</v>
      </c>
    </row>
    <row r="29" spans="1:9">
      <c r="A29" s="52" t="s">
        <v>61</v>
      </c>
      <c r="B29" s="53">
        <v>262547365</v>
      </c>
      <c r="C29" s="53">
        <v>6880259</v>
      </c>
      <c r="D29" s="54">
        <v>15340176</v>
      </c>
      <c r="E29" s="53">
        <v>174075272</v>
      </c>
      <c r="F29" s="53">
        <v>0</v>
      </c>
      <c r="G29" s="53">
        <v>0</v>
      </c>
      <c r="H29" s="55">
        <v>0</v>
      </c>
      <c r="I29" s="56">
        <f t="shared" si="0"/>
        <v>458843072</v>
      </c>
    </row>
    <row r="30" spans="1:9">
      <c r="A30" s="57" t="s">
        <v>62</v>
      </c>
      <c r="B30" s="58">
        <v>662077644</v>
      </c>
      <c r="C30" s="58">
        <v>52129979</v>
      </c>
      <c r="D30" s="59">
        <v>0</v>
      </c>
      <c r="E30" s="58">
        <v>0</v>
      </c>
      <c r="F30" s="58">
        <v>0</v>
      </c>
      <c r="G30" s="58">
        <v>0</v>
      </c>
      <c r="H30" s="60">
        <v>1685535989</v>
      </c>
      <c r="I30" s="61">
        <f t="shared" si="0"/>
        <v>2399743612</v>
      </c>
    </row>
    <row r="31" spans="1:9">
      <c r="A31" s="52" t="s">
        <v>63</v>
      </c>
      <c r="B31" s="53">
        <v>1190262542.25</v>
      </c>
      <c r="C31" s="53">
        <v>0</v>
      </c>
      <c r="D31" s="54">
        <v>0</v>
      </c>
      <c r="E31" s="53">
        <v>0</v>
      </c>
      <c r="F31" s="53">
        <v>0</v>
      </c>
      <c r="G31" s="53">
        <v>869842077.64999998</v>
      </c>
      <c r="H31" s="55">
        <v>0</v>
      </c>
      <c r="I31" s="56">
        <f t="shared" si="0"/>
        <v>2060104619.9000001</v>
      </c>
    </row>
    <row r="32" spans="1:9">
      <c r="A32" s="57" t="s">
        <v>64</v>
      </c>
      <c r="B32" s="58">
        <v>582319799.11000001</v>
      </c>
      <c r="C32" s="58">
        <v>520795.7</v>
      </c>
      <c r="D32" s="59">
        <v>0</v>
      </c>
      <c r="E32" s="58">
        <v>0</v>
      </c>
      <c r="F32" s="58">
        <v>0</v>
      </c>
      <c r="G32" s="58">
        <v>41911244.840000004</v>
      </c>
      <c r="H32" s="60">
        <v>41577351.399999999</v>
      </c>
      <c r="I32" s="61">
        <f t="shared" si="0"/>
        <v>666329191.05000007</v>
      </c>
    </row>
    <row r="33" spans="1:9">
      <c r="A33" s="52" t="s">
        <v>65</v>
      </c>
      <c r="B33" s="53">
        <v>247527462.97999999</v>
      </c>
      <c r="C33" s="53">
        <v>372182.17</v>
      </c>
      <c r="D33" s="54">
        <v>0</v>
      </c>
      <c r="E33" s="53">
        <v>0</v>
      </c>
      <c r="F33" s="53">
        <v>0</v>
      </c>
      <c r="G33" s="53">
        <v>391922306</v>
      </c>
      <c r="H33" s="55">
        <v>0</v>
      </c>
      <c r="I33" s="56">
        <f t="shared" si="0"/>
        <v>639821951.14999998</v>
      </c>
    </row>
    <row r="34" spans="1:9">
      <c r="A34" s="57" t="s">
        <v>66</v>
      </c>
      <c r="B34" s="58">
        <v>1340275029</v>
      </c>
      <c r="C34" s="58">
        <v>0</v>
      </c>
      <c r="D34" s="59">
        <v>0</v>
      </c>
      <c r="E34" s="58">
        <v>0</v>
      </c>
      <c r="F34" s="58">
        <v>4362956117</v>
      </c>
      <c r="G34" s="58">
        <v>0</v>
      </c>
      <c r="H34" s="60">
        <v>0</v>
      </c>
      <c r="I34" s="61">
        <f t="shared" si="0"/>
        <v>5703231146</v>
      </c>
    </row>
    <row r="35" spans="1:9">
      <c r="A35" s="62" t="s">
        <v>67</v>
      </c>
      <c r="B35" s="63">
        <v>51353693</v>
      </c>
      <c r="C35" s="63">
        <v>4587581</v>
      </c>
      <c r="D35" s="64">
        <v>0</v>
      </c>
      <c r="E35" s="63">
        <v>672724</v>
      </c>
      <c r="F35" s="63">
        <v>0</v>
      </c>
      <c r="G35" s="63">
        <v>255831601</v>
      </c>
      <c r="H35" s="65">
        <v>0</v>
      </c>
      <c r="I35" s="66">
        <f t="shared" si="0"/>
        <v>312445599</v>
      </c>
    </row>
    <row r="36" spans="1:9">
      <c r="A36" s="2" t="s">
        <v>68</v>
      </c>
      <c r="B36" s="67">
        <f t="shared" ref="B36:H36" si="1">SUM(B10:B35)</f>
        <v>11077220428.481716</v>
      </c>
      <c r="C36" s="67">
        <f t="shared" si="1"/>
        <v>334808232.09999996</v>
      </c>
      <c r="D36" s="68">
        <f t="shared" si="1"/>
        <v>426413276.58000004</v>
      </c>
      <c r="E36" s="67">
        <f t="shared" si="1"/>
        <v>2142965152.4300001</v>
      </c>
      <c r="F36" s="67">
        <f t="shared" si="1"/>
        <v>4362956117</v>
      </c>
      <c r="G36" s="67">
        <f t="shared" si="1"/>
        <v>3919072796.4900002</v>
      </c>
      <c r="H36" s="69">
        <f t="shared" si="1"/>
        <v>1811350538.4000001</v>
      </c>
      <c r="I36" s="70">
        <f t="shared" si="0"/>
        <v>24074786541.48172</v>
      </c>
    </row>
    <row r="37" spans="1:9">
      <c r="A37" s="192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2" t="str">
        <f>"Gamma calculation "&amp;Info!C31</f>
        <v>Gamma calculation 2004</v>
      </c>
      <c r="B1" s="73"/>
    </row>
    <row r="2" spans="1:4" ht="15.75" customHeight="1">
      <c r="A2" s="74" t="str">
        <f>Gross_wages!A2</f>
        <v>Reference year 2008</v>
      </c>
      <c r="B2" s="75"/>
    </row>
    <row r="3" spans="1:4" ht="33" customHeight="1">
      <c r="C3" s="76" t="str">
        <f>Info!$C$28</f>
        <v>FA_2008_20120424</v>
      </c>
    </row>
    <row r="4" spans="1:4" ht="15.75" customHeight="1">
      <c r="B4" s="77" t="s">
        <v>38</v>
      </c>
      <c r="C4" s="78" t="s">
        <v>69</v>
      </c>
      <c r="D4" s="79"/>
    </row>
    <row r="5" spans="1:4">
      <c r="A5" s="71" t="s">
        <v>70</v>
      </c>
      <c r="B5" s="80" t="s">
        <v>71</v>
      </c>
      <c r="C5" s="81">
        <v>328532465.41965902</v>
      </c>
      <c r="D5" s="82"/>
    </row>
    <row r="6" spans="1:4">
      <c r="A6" s="83" t="s">
        <v>72</v>
      </c>
      <c r="B6" s="84" t="str">
        <f>"ATB_"&amp;Info!C30&amp;"_"&amp;Info!C31&amp;".xlsx"</f>
        <v>ATB_2008_2004.xlsx</v>
      </c>
      <c r="C6" s="85">
        <f>Calculation_ITS!O39</f>
        <v>138774913.65895233</v>
      </c>
      <c r="D6" s="82"/>
    </row>
    <row r="7" spans="1:4" ht="24.75" customHeight="1">
      <c r="A7" s="86" t="s">
        <v>73</v>
      </c>
      <c r="B7" s="87"/>
      <c r="C7" s="88">
        <f>ROUND(C6/C5,3)</f>
        <v>0.42199999999999999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2004</v>
      </c>
      <c r="B1" s="10"/>
      <c r="C1" s="10"/>
      <c r="D1" s="10"/>
      <c r="E1" s="10"/>
      <c r="F1" s="10"/>
      <c r="H1" s="11"/>
      <c r="R1" s="9"/>
    </row>
    <row r="2" spans="1:22" ht="18.75" customHeight="1">
      <c r="A2" s="90" t="str">
        <f>Info!A5</f>
        <v>Reference year 2008</v>
      </c>
      <c r="B2" s="91"/>
      <c r="H2" s="89"/>
      <c r="R2" s="9"/>
    </row>
    <row r="3" spans="1:22" ht="18.75" customHeight="1">
      <c r="A3" s="92"/>
      <c r="B3" s="91"/>
      <c r="H3" s="89"/>
      <c r="L3" s="93" t="str">
        <f>Info!C28</f>
        <v>FA_2008_20120424</v>
      </c>
      <c r="R3" s="9"/>
    </row>
    <row r="4" spans="1:22" ht="37.5" customHeight="1">
      <c r="A4" s="206" t="str">
        <f>"Calculation based on gross wages "&amp;Info!C31</f>
        <v>Calculation based on gross wages 2004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8"/>
      <c r="N4" s="211" t="s">
        <v>74</v>
      </c>
      <c r="O4" s="212"/>
      <c r="P4" s="212"/>
      <c r="Q4" s="213"/>
      <c r="S4" s="94"/>
    </row>
    <row r="5" spans="1:22" ht="16.5" customHeight="1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>
      <c r="A6" s="98" t="s">
        <v>75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76</v>
      </c>
      <c r="J6" s="99" t="s">
        <v>77</v>
      </c>
      <c r="K6" s="99" t="s">
        <v>78</v>
      </c>
      <c r="L6" s="100" t="s">
        <v>79</v>
      </c>
      <c r="M6" s="101"/>
      <c r="N6" s="102"/>
      <c r="O6" s="103" t="s">
        <v>80</v>
      </c>
      <c r="P6" s="103" t="s">
        <v>81</v>
      </c>
      <c r="Q6" s="104" t="s">
        <v>82</v>
      </c>
      <c r="R6" s="105"/>
      <c r="S6" s="106" t="s">
        <v>83</v>
      </c>
    </row>
    <row r="7" spans="1:22" ht="16.5" customHeight="1">
      <c r="A7" s="107" t="s">
        <v>21</v>
      </c>
      <c r="B7" s="108" t="s">
        <v>84</v>
      </c>
      <c r="C7" s="108" t="s">
        <v>84</v>
      </c>
      <c r="D7" s="109" t="str">
        <f>IF(Info!C31&lt;2006,"0.03 / STR","(1-0.125)*gamma")</f>
        <v>0.03 / STR</v>
      </c>
      <c r="E7" s="110" t="s">
        <v>85</v>
      </c>
      <c r="F7" s="110" t="s">
        <v>86</v>
      </c>
      <c r="G7" s="110" t="s">
        <v>85</v>
      </c>
      <c r="H7" s="111" t="s">
        <v>87</v>
      </c>
      <c r="I7" s="110" t="s">
        <v>88</v>
      </c>
      <c r="J7" s="110"/>
      <c r="K7" s="110" t="s">
        <v>89</v>
      </c>
      <c r="L7" s="112" t="s">
        <v>90</v>
      </c>
      <c r="M7" s="101"/>
      <c r="N7" s="113" t="s">
        <v>21</v>
      </c>
      <c r="O7" s="114"/>
      <c r="P7" s="114"/>
      <c r="Q7" s="115" t="s">
        <v>91</v>
      </c>
      <c r="R7" s="105"/>
      <c r="S7" s="116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21" t="str">
        <f>"Relevant income "&amp;Info!C31</f>
        <v>Relevant income 2004</v>
      </c>
      <c r="P8" s="196" t="s">
        <v>93</v>
      </c>
      <c r="Q8" s="203" t="s">
        <v>94</v>
      </c>
      <c r="R8" s="119"/>
      <c r="S8" s="214" t="s">
        <v>95</v>
      </c>
    </row>
    <row r="9" spans="1:22" s="120" customFormat="1" ht="15.75" customHeight="1">
      <c r="A9" s="30"/>
      <c r="B9" s="196" t="s">
        <v>29</v>
      </c>
      <c r="C9" s="196" t="s">
        <v>30</v>
      </c>
      <c r="D9" s="198" t="s">
        <v>31</v>
      </c>
      <c r="E9" s="199"/>
      <c r="F9" s="199"/>
      <c r="G9" s="199"/>
      <c r="H9" s="200"/>
      <c r="I9" s="196" t="s">
        <v>96</v>
      </c>
      <c r="J9" s="196" t="s">
        <v>97</v>
      </c>
      <c r="K9" s="196" t="s">
        <v>98</v>
      </c>
      <c r="L9" s="203" t="s">
        <v>99</v>
      </c>
      <c r="M9" s="118"/>
      <c r="N9" s="121"/>
      <c r="O9" s="222"/>
      <c r="P9" s="205"/>
      <c r="Q9" s="209"/>
      <c r="R9" s="119"/>
      <c r="S9" s="215"/>
      <c r="U9" s="122"/>
      <c r="V9" s="123" t="str">
        <f>Info!C28</f>
        <v>FA_2008_20120424</v>
      </c>
    </row>
    <row r="10" spans="1:22" s="120" customFormat="1" ht="66" customHeight="1">
      <c r="A10" s="31"/>
      <c r="B10" s="205"/>
      <c r="C10" s="205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05"/>
      <c r="J10" s="205"/>
      <c r="K10" s="205"/>
      <c r="L10" s="209"/>
      <c r="M10" s="118"/>
      <c r="N10" s="124"/>
      <c r="O10" s="223"/>
      <c r="P10" s="220"/>
      <c r="Q10" s="210"/>
      <c r="R10" s="119"/>
      <c r="S10" s="215"/>
      <c r="U10" s="218" t="str">
        <f>"Standardised tax revenue (STR) "&amp;Info!C30-1</f>
        <v>Standardised tax revenue (STR) 2007</v>
      </c>
      <c r="V10" s="219"/>
    </row>
    <row r="11" spans="1:22" s="125" customFormat="1" ht="15" customHeight="1">
      <c r="A11" s="126" t="s">
        <v>100</v>
      </c>
      <c r="B11" s="127">
        <f>gamma</f>
        <v>0.42199999999999999</v>
      </c>
      <c r="C11" s="127">
        <f>gamma</f>
        <v>0.42199999999999999</v>
      </c>
      <c r="D11" s="128">
        <f>IF(Info!C31&lt;2006,0.03/sst,0.875*gamma)</f>
        <v>0.1</v>
      </c>
      <c r="E11" s="127">
        <f>0.045/sst</f>
        <v>0.15</v>
      </c>
      <c r="F11" s="127">
        <f>gamma-0.035/sst</f>
        <v>0.30533333333333329</v>
      </c>
      <c r="G11" s="127">
        <f>0.045/sst</f>
        <v>0.15</v>
      </c>
      <c r="H11" s="129">
        <f>0.6*gamma</f>
        <v>0.25319999999999998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ATB_2008_2004.xlsx</v>
      </c>
      <c r="P11" s="133"/>
      <c r="Q11" s="133"/>
      <c r="R11" s="134"/>
      <c r="S11" s="135"/>
      <c r="U11" s="216"/>
      <c r="V11" s="217"/>
    </row>
    <row r="12" spans="1:22" s="125" customFormat="1" ht="12.75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>
      <c r="A13" s="141" t="s">
        <v>42</v>
      </c>
      <c r="B13" s="142">
        <f>(Gross_wages!B10*B$11)/1000</f>
        <v>1090346.9225599999</v>
      </c>
      <c r="C13" s="142">
        <f>(Gross_wages!C10*C$11)/1000</f>
        <v>8139.4824059999992</v>
      </c>
      <c r="D13" s="143">
        <f>(Gross_wages!D10*D$11)/1000</f>
        <v>0</v>
      </c>
      <c r="E13" s="142">
        <f>(Gross_wages!E10*E$11)/1000</f>
        <v>44792.158949999997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52931.641355999993</v>
      </c>
      <c r="J13" s="145">
        <f t="shared" ref="J13:J38" si="1">$J$39</f>
        <v>1</v>
      </c>
      <c r="K13" s="142">
        <f t="shared" ref="K13:K39" si="2">I13*J13</f>
        <v>52931.641355999993</v>
      </c>
      <c r="L13" s="146">
        <f t="shared" ref="L13:L39" si="3">K13+B13</f>
        <v>1143278.5639159998</v>
      </c>
      <c r="M13" s="147"/>
      <c r="N13" s="141" t="s">
        <v>42</v>
      </c>
      <c r="O13" s="148">
        <v>28847644.300000001</v>
      </c>
      <c r="P13" s="149">
        <v>5.6106054977046099E-2</v>
      </c>
      <c r="Q13" s="146">
        <f>IF(Calculation_ITS!L13=0,O13*P13,0)</f>
        <v>0</v>
      </c>
      <c r="R13" s="150"/>
      <c r="S13" s="151">
        <f>Calculation_ITS!L13+Q13</f>
        <v>1143278.5639159998</v>
      </c>
      <c r="U13" s="152" t="s">
        <v>101</v>
      </c>
      <c r="V13" s="191">
        <v>0.3</v>
      </c>
    </row>
    <row r="14" spans="1:22" ht="15.75" customHeight="1">
      <c r="A14" s="153" t="s">
        <v>43</v>
      </c>
      <c r="B14" s="154">
        <f>(Gross_wages!B11*B$11)/1000</f>
        <v>273536.50578399998</v>
      </c>
      <c r="C14" s="154">
        <f>(Gross_wages!C11*C$11)/1000</f>
        <v>0</v>
      </c>
      <c r="D14" s="155">
        <f>(Gross_wages!D11*D$11)/1000</f>
        <v>0</v>
      </c>
      <c r="E14" s="154">
        <f>(Gross_wages!E11*E$11)/1000</f>
        <v>136.28310000000002</v>
      </c>
      <c r="F14" s="154">
        <f>(Gross_wages!F11*F$11)/1000</f>
        <v>0</v>
      </c>
      <c r="G14" s="154">
        <f>(Gross_wages!G11*G$11)/1000</f>
        <v>8005.7083499999999</v>
      </c>
      <c r="H14" s="156">
        <f>(Gross_wages!H11*H$11)/1000</f>
        <v>0</v>
      </c>
      <c r="I14" s="154">
        <f t="shared" si="0"/>
        <v>8141.9914499999995</v>
      </c>
      <c r="J14" s="157">
        <f t="shared" si="1"/>
        <v>1</v>
      </c>
      <c r="K14" s="154">
        <f t="shared" si="2"/>
        <v>8141.9914499999995</v>
      </c>
      <c r="L14" s="158">
        <f t="shared" si="3"/>
        <v>281678.49723399995</v>
      </c>
      <c r="M14" s="147"/>
      <c r="N14" s="153" t="s">
        <v>43</v>
      </c>
      <c r="O14" s="159">
        <v>14316565.9</v>
      </c>
      <c r="P14" s="160">
        <v>5.2127312851940603E-2</v>
      </c>
      <c r="Q14" s="158">
        <f>IF(Calculation_ITS!L14=0,O14*P14,0)</f>
        <v>0</v>
      </c>
      <c r="R14" s="150"/>
      <c r="S14" s="161">
        <f>Calculation_ITS!L14+Q14</f>
        <v>281678.49723399995</v>
      </c>
      <c r="U14" s="162" t="s">
        <v>102</v>
      </c>
      <c r="V14" s="163">
        <f>ROUND(V13,3)</f>
        <v>0.3</v>
      </c>
    </row>
    <row r="15" spans="1:22" ht="15.75" customHeight="1">
      <c r="A15" s="164" t="s">
        <v>44</v>
      </c>
      <c r="B15" s="165">
        <f>(Gross_wages!B12*B$11)/1000</f>
        <v>176951.850382</v>
      </c>
      <c r="C15" s="165">
        <f>(Gross_wages!C12*C$11)/1000</f>
        <v>0</v>
      </c>
      <c r="D15" s="166">
        <f>(Gross_wages!D12*D$11)/1000</f>
        <v>0</v>
      </c>
      <c r="E15" s="165">
        <f>(Gross_wages!E12*E$11)/1000</f>
        <v>407.51759999999996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407.51759999999996</v>
      </c>
      <c r="J15" s="168">
        <f t="shared" si="1"/>
        <v>1</v>
      </c>
      <c r="K15" s="165">
        <f t="shared" si="2"/>
        <v>407.51759999999996</v>
      </c>
      <c r="L15" s="169">
        <f t="shared" si="3"/>
        <v>177359.367982</v>
      </c>
      <c r="M15" s="147"/>
      <c r="N15" s="164" t="s">
        <v>44</v>
      </c>
      <c r="O15" s="170">
        <v>5360207.5</v>
      </c>
      <c r="P15" s="171">
        <v>5.9430585211904502E-2</v>
      </c>
      <c r="Q15" s="169">
        <f>IF(Calculation_ITS!L15=0,O15*P15,0)</f>
        <v>0</v>
      </c>
      <c r="R15" s="150"/>
      <c r="S15" s="172">
        <f>Calculation_ITS!L15+Q15</f>
        <v>177359.367982</v>
      </c>
    </row>
    <row r="16" spans="1:22" ht="15.75" customHeight="1">
      <c r="A16" s="153" t="s">
        <v>45</v>
      </c>
      <c r="B16" s="154">
        <f>(Gross_wages!B13*B$11)/1000</f>
        <v>20951.7680268</v>
      </c>
      <c r="C16" s="154">
        <f>(Gross_wages!C13*C$11)/1000</f>
        <v>0</v>
      </c>
      <c r="D16" s="155">
        <f>(Gross_wages!D13*D$11)/1000</f>
        <v>0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0</v>
      </c>
      <c r="J16" s="157">
        <f t="shared" si="1"/>
        <v>1</v>
      </c>
      <c r="K16" s="154">
        <f t="shared" si="2"/>
        <v>0</v>
      </c>
      <c r="L16" s="158">
        <f t="shared" si="3"/>
        <v>20951.7680268</v>
      </c>
      <c r="M16" s="147"/>
      <c r="N16" s="153" t="s">
        <v>45</v>
      </c>
      <c r="O16" s="159">
        <v>418442.9</v>
      </c>
      <c r="P16" s="160">
        <v>6.4621843458657499E-2</v>
      </c>
      <c r="Q16" s="158">
        <f>IF(Calculation_ITS!L16=0,O16*P16,0)</f>
        <v>0</v>
      </c>
      <c r="R16" s="150"/>
      <c r="S16" s="161">
        <f>Calculation_ITS!L16+Q16</f>
        <v>20951.7680268</v>
      </c>
    </row>
    <row r="17" spans="1:19" ht="15.75" customHeight="1">
      <c r="A17" s="164" t="s">
        <v>46</v>
      </c>
      <c r="B17" s="165">
        <f>(Gross_wages!B14*B$11)/1000</f>
        <v>62512.706672</v>
      </c>
      <c r="C17" s="165">
        <f>(Gross_wages!C14*C$11)/1000</f>
        <v>6028.5869220000004</v>
      </c>
      <c r="D17" s="166">
        <f>(Gross_wages!D14*D$11)/1000</f>
        <v>0</v>
      </c>
      <c r="E17" s="165">
        <f>(Gross_wages!E14*E$11)/1000</f>
        <v>100.57982999999999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6129.1667520000001</v>
      </c>
      <c r="J17" s="168">
        <f t="shared" si="1"/>
        <v>1</v>
      </c>
      <c r="K17" s="165">
        <f t="shared" si="2"/>
        <v>6129.1667520000001</v>
      </c>
      <c r="L17" s="169">
        <f t="shared" si="3"/>
        <v>68641.873424000005</v>
      </c>
      <c r="M17" s="147"/>
      <c r="N17" s="164" t="s">
        <v>46</v>
      </c>
      <c r="O17" s="170">
        <v>3394333.8</v>
      </c>
      <c r="P17" s="171">
        <v>3.3482711263883899E-2</v>
      </c>
      <c r="Q17" s="169">
        <f>IF(Calculation_ITS!L17=0,O17*P17,0)</f>
        <v>0</v>
      </c>
      <c r="R17" s="150"/>
      <c r="S17" s="172">
        <f>Calculation_ITS!L17+Q17</f>
        <v>68641.873424000005</v>
      </c>
    </row>
    <row r="18" spans="1:19" ht="15.75" customHeight="1">
      <c r="A18" s="153" t="s">
        <v>47</v>
      </c>
      <c r="B18" s="154">
        <f>(Gross_wages!B15*B$11)/1000</f>
        <v>23449.146007400002</v>
      </c>
      <c r="C18" s="154">
        <f>(Gross_wages!C15*C$11)/1000</f>
        <v>0</v>
      </c>
      <c r="D18" s="155">
        <f>(Gross_wages!D15*D$11)/1000</f>
        <v>0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0</v>
      </c>
      <c r="J18" s="157">
        <f t="shared" si="1"/>
        <v>1</v>
      </c>
      <c r="K18" s="154">
        <f t="shared" si="2"/>
        <v>0</v>
      </c>
      <c r="L18" s="158">
        <f t="shared" si="3"/>
        <v>23449.146007400002</v>
      </c>
      <c r="M18" s="147"/>
      <c r="N18" s="153" t="s">
        <v>47</v>
      </c>
      <c r="O18" s="159">
        <v>487473.4</v>
      </c>
      <c r="P18" s="160">
        <v>5.8271461693304202E-2</v>
      </c>
      <c r="Q18" s="158">
        <f>IF(Calculation_ITS!L18=0,O18*P18,0)</f>
        <v>0</v>
      </c>
      <c r="R18" s="150"/>
      <c r="S18" s="161">
        <f>Calculation_ITS!L18+Q18</f>
        <v>23449.146007400002</v>
      </c>
    </row>
    <row r="19" spans="1:19" ht="15.75" customHeight="1">
      <c r="A19" s="164" t="s">
        <v>48</v>
      </c>
      <c r="B19" s="165">
        <f>(Gross_wages!B16*B$11)/1000</f>
        <v>22050.884581999999</v>
      </c>
      <c r="C19" s="165">
        <f>(Gross_wages!C16*C$11)/1000</f>
        <v>0</v>
      </c>
      <c r="D19" s="166">
        <f>(Gross_wages!D16*D$11)/1000</f>
        <v>0</v>
      </c>
      <c r="E19" s="165">
        <f>(Gross_wages!E16*E$11)/1000</f>
        <v>14.099399999999999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14.099399999999999</v>
      </c>
      <c r="J19" s="168">
        <f t="shared" si="1"/>
        <v>1</v>
      </c>
      <c r="K19" s="165">
        <f t="shared" si="2"/>
        <v>14.099399999999999</v>
      </c>
      <c r="L19" s="169">
        <f t="shared" si="3"/>
        <v>22064.983981999998</v>
      </c>
      <c r="M19" s="147"/>
      <c r="N19" s="164" t="s">
        <v>48</v>
      </c>
      <c r="O19" s="170">
        <v>969394</v>
      </c>
      <c r="P19" s="171">
        <v>3.0331060274910001E-2</v>
      </c>
      <c r="Q19" s="169">
        <f>IF(Calculation_ITS!L19=0,O19*P19,0)</f>
        <v>0</v>
      </c>
      <c r="R19" s="150"/>
      <c r="S19" s="172">
        <f>Calculation_ITS!L19+Q19</f>
        <v>22064.983981999998</v>
      </c>
    </row>
    <row r="20" spans="1:19" ht="15.75" customHeight="1">
      <c r="A20" s="153" t="s">
        <v>49</v>
      </c>
      <c r="B20" s="154">
        <f>(Gross_wages!B17*B$11)/1000</f>
        <v>20831.3409584</v>
      </c>
      <c r="C20" s="154">
        <f>(Gross_wages!C17*C$11)/1000</f>
        <v>0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0</v>
      </c>
      <c r="J20" s="157">
        <f t="shared" si="1"/>
        <v>1</v>
      </c>
      <c r="K20" s="154">
        <f t="shared" si="2"/>
        <v>0</v>
      </c>
      <c r="L20" s="158">
        <f t="shared" si="3"/>
        <v>20831.3409584</v>
      </c>
      <c r="M20" s="147"/>
      <c r="N20" s="153" t="s">
        <v>49</v>
      </c>
      <c r="O20" s="159">
        <v>519748.8</v>
      </c>
      <c r="P20" s="160">
        <v>6.1719022043954602E-2</v>
      </c>
      <c r="Q20" s="158">
        <f>IF(Calculation_ITS!L20=0,O20*P20,0)</f>
        <v>0</v>
      </c>
      <c r="R20" s="150"/>
      <c r="S20" s="161">
        <f>Calculation_ITS!L20+Q20</f>
        <v>20831.3409584</v>
      </c>
    </row>
    <row r="21" spans="1:19" ht="15.75" customHeight="1">
      <c r="A21" s="164" t="s">
        <v>50</v>
      </c>
      <c r="B21" s="165">
        <f>(Gross_wages!B18*B$11)/1000</f>
        <v>75789.457983999993</v>
      </c>
      <c r="C21" s="165">
        <f>(Gross_wages!C18*C$11)/1000</f>
        <v>0</v>
      </c>
      <c r="D21" s="166">
        <f>(Gross_wages!D18*D$11)/1000</f>
        <v>0</v>
      </c>
      <c r="E21" s="165">
        <f>(Gross_wages!E18*E$11)/1000</f>
        <v>345.30554999999998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345.30554999999998</v>
      </c>
      <c r="J21" s="168">
        <f t="shared" si="1"/>
        <v>1</v>
      </c>
      <c r="K21" s="165">
        <f t="shared" si="2"/>
        <v>345.30554999999998</v>
      </c>
      <c r="L21" s="169">
        <f t="shared" si="3"/>
        <v>76134.763533999998</v>
      </c>
      <c r="M21" s="147"/>
      <c r="N21" s="164" t="s">
        <v>50</v>
      </c>
      <c r="O21" s="170">
        <v>3383087.2</v>
      </c>
      <c r="P21" s="171">
        <v>4.5232806555514898E-2</v>
      </c>
      <c r="Q21" s="169">
        <f>IF(Calculation_ITS!L21=0,O21*P21,0)</f>
        <v>0</v>
      </c>
      <c r="R21" s="150"/>
      <c r="S21" s="172">
        <f>Calculation_ITS!L21+Q21</f>
        <v>76134.763533999998</v>
      </c>
    </row>
    <row r="22" spans="1:19" ht="15.75" customHeight="1">
      <c r="A22" s="153" t="s">
        <v>51</v>
      </c>
      <c r="B22" s="154">
        <f>(Gross_wages!B19*B$11)/1000</f>
        <v>145632.14408500001</v>
      </c>
      <c r="C22" s="154">
        <f>(Gross_wages!C19*C$11)/1000</f>
        <v>0</v>
      </c>
      <c r="D22" s="155">
        <f>(Gross_wages!D19*D$11)/1000</f>
        <v>0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0</v>
      </c>
      <c r="J22" s="157">
        <f t="shared" si="1"/>
        <v>1</v>
      </c>
      <c r="K22" s="154">
        <f t="shared" si="2"/>
        <v>0</v>
      </c>
      <c r="L22" s="158">
        <f t="shared" si="3"/>
        <v>145632.14408500001</v>
      </c>
      <c r="M22" s="147"/>
      <c r="N22" s="153" t="s">
        <v>51</v>
      </c>
      <c r="O22" s="159">
        <v>3770504.1</v>
      </c>
      <c r="P22" s="160">
        <v>6.1783859424860102E-2</v>
      </c>
      <c r="Q22" s="158">
        <f>IF(Calculation_ITS!L22=0,O22*P22,0)</f>
        <v>0</v>
      </c>
      <c r="R22" s="150"/>
      <c r="S22" s="161">
        <f>Calculation_ITS!L22+Q22</f>
        <v>145632.14408500001</v>
      </c>
    </row>
    <row r="23" spans="1:19" ht="15.75" customHeight="1">
      <c r="A23" s="164" t="s">
        <v>52</v>
      </c>
      <c r="B23" s="165">
        <f>(Gross_wages!B20*B$11)/1000</f>
        <v>80121.803667999993</v>
      </c>
      <c r="C23" s="165">
        <f>(Gross_wages!C20*C$11)/1000</f>
        <v>1211.0902039999999</v>
      </c>
      <c r="D23" s="166">
        <f>(Gross_wages!D20*D$11)/1000</f>
        <v>0</v>
      </c>
      <c r="E23" s="165">
        <f>(Gross_wages!E20*E$11)/1000</f>
        <v>2139.4079999999999</v>
      </c>
      <c r="F23" s="165">
        <f>(Gross_wages!F20*F$11)/1000</f>
        <v>0</v>
      </c>
      <c r="G23" s="165">
        <f>(Gross_wages!G20*G$11)/1000</f>
        <v>10194.0795</v>
      </c>
      <c r="H23" s="167">
        <f>(Gross_wages!H20*H$11)/1000</f>
        <v>0</v>
      </c>
      <c r="I23" s="165">
        <f t="shared" si="0"/>
        <v>13544.577703999999</v>
      </c>
      <c r="J23" s="168">
        <f t="shared" si="1"/>
        <v>1</v>
      </c>
      <c r="K23" s="165">
        <f t="shared" si="2"/>
        <v>13544.577703999999</v>
      </c>
      <c r="L23" s="169">
        <f t="shared" si="3"/>
        <v>93666.381371999989</v>
      </c>
      <c r="M23" s="147"/>
      <c r="N23" s="164" t="s">
        <v>52</v>
      </c>
      <c r="O23" s="170">
        <v>4040949.5</v>
      </c>
      <c r="P23" s="171">
        <v>4.4832626184655999E-2</v>
      </c>
      <c r="Q23" s="169">
        <f>IF(Calculation_ITS!L23=0,O23*P23,0)</f>
        <v>0</v>
      </c>
      <c r="R23" s="150"/>
      <c r="S23" s="172">
        <f>Calculation_ITS!L23+Q23</f>
        <v>93666.381371999989</v>
      </c>
    </row>
    <row r="24" spans="1:19" ht="15.75" customHeight="1">
      <c r="A24" s="153" t="s">
        <v>53</v>
      </c>
      <c r="B24" s="154">
        <f>(Gross_wages!B21*B$11)/1000</f>
        <v>202948.76494689999</v>
      </c>
      <c r="C24" s="154">
        <f>(Gross_wages!C21*C$11)/1000</f>
        <v>43840.727770999998</v>
      </c>
      <c r="D24" s="155">
        <f>(Gross_wages!D21*D$11)/1000</f>
        <v>0</v>
      </c>
      <c r="E24" s="154">
        <f>(Gross_wages!E21*E$11)/1000</f>
        <v>147454.221555</v>
      </c>
      <c r="F24" s="154">
        <f>(Gross_wages!F21*F$11)/1000</f>
        <v>0</v>
      </c>
      <c r="G24" s="154">
        <f>(Gross_wages!G21*G$11)/1000</f>
        <v>212078.1</v>
      </c>
      <c r="H24" s="156">
        <f>(Gross_wages!H21*H$11)/1000</f>
        <v>0</v>
      </c>
      <c r="I24" s="154">
        <f t="shared" si="0"/>
        <v>403373.04932600004</v>
      </c>
      <c r="J24" s="157">
        <f t="shared" si="1"/>
        <v>1</v>
      </c>
      <c r="K24" s="154">
        <f t="shared" si="2"/>
        <v>403373.04932600004</v>
      </c>
      <c r="L24" s="158">
        <f t="shared" si="3"/>
        <v>606321.8142729</v>
      </c>
      <c r="M24" s="147"/>
      <c r="N24" s="153" t="s">
        <v>53</v>
      </c>
      <c r="O24" s="159">
        <v>3947982.7</v>
      </c>
      <c r="P24" s="160">
        <v>0.17837499173089499</v>
      </c>
      <c r="Q24" s="158">
        <f>IF(Calculation_ITS!L24=0,O24*P24,0)</f>
        <v>0</v>
      </c>
      <c r="R24" s="150"/>
      <c r="S24" s="161">
        <f>Calculation_ITS!L24+Q24</f>
        <v>606321.8142729</v>
      </c>
    </row>
    <row r="25" spans="1:19" ht="15.75" customHeight="1">
      <c r="A25" s="164" t="s">
        <v>54</v>
      </c>
      <c r="B25" s="165">
        <f>(Gross_wages!B22*B$11)/1000</f>
        <v>108367.752484</v>
      </c>
      <c r="C25" s="165">
        <f>(Gross_wages!C22*C$11)/1000</f>
        <v>14126.330574</v>
      </c>
      <c r="D25" s="166">
        <f>(Gross_wages!D22*D$11)/1000</f>
        <v>0</v>
      </c>
      <c r="E25" s="165">
        <f>(Gross_wages!E22*E$11)/1000</f>
        <v>55561.604399999997</v>
      </c>
      <c r="F25" s="165">
        <f>(Gross_wages!F22*F$11)/1000</f>
        <v>0</v>
      </c>
      <c r="G25" s="165">
        <f>(Gross_wages!G22*G$11)/1000</f>
        <v>123656.9472</v>
      </c>
      <c r="H25" s="167">
        <f>(Gross_wages!H22*H$11)/1000</f>
        <v>0</v>
      </c>
      <c r="I25" s="165">
        <f t="shared" si="0"/>
        <v>193344.882174</v>
      </c>
      <c r="J25" s="168">
        <f t="shared" si="1"/>
        <v>1</v>
      </c>
      <c r="K25" s="165">
        <f t="shared" si="2"/>
        <v>193344.882174</v>
      </c>
      <c r="L25" s="169">
        <f t="shared" si="3"/>
        <v>301712.63465799997</v>
      </c>
      <c r="M25" s="147"/>
      <c r="N25" s="164" t="s">
        <v>54</v>
      </c>
      <c r="O25" s="170">
        <v>5919824.7999999998</v>
      </c>
      <c r="P25" s="171">
        <v>7.35518481815573E-2</v>
      </c>
      <c r="Q25" s="169">
        <f>IF(Calculation_ITS!L25=0,O25*P25,0)</f>
        <v>0</v>
      </c>
      <c r="R25" s="150"/>
      <c r="S25" s="172">
        <f>Calculation_ITS!L25+Q25</f>
        <v>301712.63465799997</v>
      </c>
    </row>
    <row r="26" spans="1:19" ht="15.75" customHeight="1">
      <c r="A26" s="153" t="s">
        <v>55</v>
      </c>
      <c r="B26" s="154">
        <f>(Gross_wages!B23*B$11)/1000</f>
        <v>62737.421769059991</v>
      </c>
      <c r="C26" s="154">
        <f>(Gross_wages!C23*C$11)/1000</f>
        <v>0</v>
      </c>
      <c r="D26" s="155">
        <f>(Gross_wages!D23*D$11)/1000</f>
        <v>4.9800000000000004</v>
      </c>
      <c r="E26" s="154">
        <f>(Gross_wages!E23*E$11)/1000</f>
        <v>38470.385520000003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38475.365520000007</v>
      </c>
      <c r="J26" s="157">
        <f t="shared" si="1"/>
        <v>1</v>
      </c>
      <c r="K26" s="154">
        <f t="shared" si="2"/>
        <v>38475.365520000007</v>
      </c>
      <c r="L26" s="158">
        <f t="shared" si="3"/>
        <v>101212.78728906</v>
      </c>
      <c r="M26" s="147"/>
      <c r="N26" s="153" t="s">
        <v>55</v>
      </c>
      <c r="O26" s="159">
        <v>1149343</v>
      </c>
      <c r="P26" s="160">
        <v>9.0808217321252896E-2</v>
      </c>
      <c r="Q26" s="158">
        <f>IF(Calculation_ITS!L26=0,O26*P26,0)</f>
        <v>0</v>
      </c>
      <c r="R26" s="150"/>
      <c r="S26" s="161">
        <f>Calculation_ITS!L26+Q26</f>
        <v>101212.78728906</v>
      </c>
    </row>
    <row r="27" spans="1:19" ht="15.75" customHeight="1">
      <c r="A27" s="164" t="s">
        <v>56</v>
      </c>
      <c r="B27" s="165">
        <f>(Gross_wages!B24*B$11)/1000</f>
        <v>21877.909685359999</v>
      </c>
      <c r="C27" s="165">
        <f>(Gross_wages!C24*C$11)/1000</f>
        <v>412.57836469999995</v>
      </c>
      <c r="D27" s="166">
        <f>(Gross_wages!D24*D$11)/1000</f>
        <v>1038.5149300000003</v>
      </c>
      <c r="E27" s="165">
        <f>(Gross_wages!E24*E$11)/1000</f>
        <v>188.22249749999997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1639.3157922</v>
      </c>
      <c r="J27" s="168">
        <f t="shared" si="1"/>
        <v>1</v>
      </c>
      <c r="K27" s="165">
        <f t="shared" si="2"/>
        <v>1639.3157922</v>
      </c>
      <c r="L27" s="169">
        <f t="shared" si="3"/>
        <v>23517.225477559998</v>
      </c>
      <c r="M27" s="147"/>
      <c r="N27" s="164" t="s">
        <v>56</v>
      </c>
      <c r="O27" s="170">
        <v>837652</v>
      </c>
      <c r="P27" s="171">
        <v>4.5681709750844499E-2</v>
      </c>
      <c r="Q27" s="169">
        <f>IF(Calculation_ITS!L27=0,O27*P27,0)</f>
        <v>0</v>
      </c>
      <c r="R27" s="150"/>
      <c r="S27" s="172">
        <f>Calculation_ITS!L27+Q27</f>
        <v>23517.225477559998</v>
      </c>
    </row>
    <row r="28" spans="1:19" ht="15.75" customHeight="1">
      <c r="A28" s="153" t="s">
        <v>57</v>
      </c>
      <c r="B28" s="154">
        <f>(Gross_wages!B25*B$11)/1000</f>
        <v>5754.9086968000001</v>
      </c>
      <c r="C28" s="154">
        <f>(Gross_wages!C25*C$11)/1000</f>
        <v>0</v>
      </c>
      <c r="D28" s="155">
        <f>(Gross_wages!D25*D$11)/1000</f>
        <v>106.34168000000001</v>
      </c>
      <c r="E28" s="154">
        <f>(Gross_wages!E25*E$11)/1000</f>
        <v>84.476474999999994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190.81815499999999</v>
      </c>
      <c r="J28" s="157">
        <f t="shared" si="1"/>
        <v>1</v>
      </c>
      <c r="K28" s="154">
        <f t="shared" si="2"/>
        <v>190.81815499999999</v>
      </c>
      <c r="L28" s="158">
        <f t="shared" si="3"/>
        <v>5945.7268518000001</v>
      </c>
      <c r="M28" s="147"/>
      <c r="N28" s="153" t="s">
        <v>57</v>
      </c>
      <c r="O28" s="159">
        <v>235581</v>
      </c>
      <c r="P28" s="160">
        <v>4.4527157292691799E-2</v>
      </c>
      <c r="Q28" s="158">
        <f>IF(Calculation_ITS!L28=0,O28*P28,0)</f>
        <v>0</v>
      </c>
      <c r="R28" s="150"/>
      <c r="S28" s="161">
        <f>Calculation_ITS!L28+Q28</f>
        <v>5945.7268518000001</v>
      </c>
    </row>
    <row r="29" spans="1:19" ht="15.75" customHeight="1">
      <c r="A29" s="164" t="s">
        <v>58</v>
      </c>
      <c r="B29" s="165">
        <f>(Gross_wages!B26*B$11)/1000</f>
        <v>214031.78152501999</v>
      </c>
      <c r="C29" s="165">
        <f>(Gross_wages!C26*C$11)/1000</f>
        <v>14069.529880399999</v>
      </c>
      <c r="D29" s="166">
        <f>(Gross_wages!D26*D$11)/1000</f>
        <v>37818.051599999999</v>
      </c>
      <c r="E29" s="165">
        <f>(Gross_wages!E26*E$11)/1000</f>
        <v>5526.1317149999995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57413.713195399992</v>
      </c>
      <c r="J29" s="168">
        <f t="shared" si="1"/>
        <v>1</v>
      </c>
      <c r="K29" s="165">
        <f t="shared" si="2"/>
        <v>57413.713195399992</v>
      </c>
      <c r="L29" s="169">
        <f t="shared" si="3"/>
        <v>271445.49472041999</v>
      </c>
      <c r="M29" s="147"/>
      <c r="N29" s="164" t="s">
        <v>58</v>
      </c>
      <c r="O29" s="170">
        <v>7893714.7000000002</v>
      </c>
      <c r="P29" s="171">
        <v>5.6445529091966901E-2</v>
      </c>
      <c r="Q29" s="169">
        <f>IF(Calculation_ITS!L29=0,O29*P29,0)</f>
        <v>0</v>
      </c>
      <c r="R29" s="150"/>
      <c r="S29" s="172">
        <f>Calculation_ITS!L29+Q29</f>
        <v>271445.49472041999</v>
      </c>
    </row>
    <row r="30" spans="1:19" ht="15.75" customHeight="1">
      <c r="A30" s="153" t="s">
        <v>59</v>
      </c>
      <c r="B30" s="154">
        <f>(Gross_wages!B27*B$11)/1000</f>
        <v>236748.53908906542</v>
      </c>
      <c r="C30" s="154">
        <f>(Gross_wages!C27*C$11)/1000</f>
        <v>26245.631544960001</v>
      </c>
      <c r="D30" s="155">
        <f>(Gross_wages!D27*D$11)/1000</f>
        <v>2139.4218480000004</v>
      </c>
      <c r="E30" s="154">
        <f>(Gross_wages!E27*E$11)/1000</f>
        <v>12.178872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21328.8585336</v>
      </c>
      <c r="I30" s="154">
        <f t="shared" si="0"/>
        <v>49726.090798560006</v>
      </c>
      <c r="J30" s="157">
        <f t="shared" si="1"/>
        <v>1</v>
      </c>
      <c r="K30" s="154">
        <f t="shared" si="2"/>
        <v>49726.090798560006</v>
      </c>
      <c r="L30" s="158">
        <f t="shared" si="3"/>
        <v>286474.62988762546</v>
      </c>
      <c r="M30" s="147"/>
      <c r="N30" s="153" t="s">
        <v>59</v>
      </c>
      <c r="O30" s="159">
        <v>2970502.9</v>
      </c>
      <c r="P30" s="160">
        <v>0.106187213880179</v>
      </c>
      <c r="Q30" s="158">
        <f>IF(Calculation_ITS!L30=0,O30*P30,0)</f>
        <v>0</v>
      </c>
      <c r="R30" s="150"/>
      <c r="S30" s="161">
        <f>Calculation_ITS!L30+Q30</f>
        <v>286474.62988762546</v>
      </c>
    </row>
    <row r="31" spans="1:19" ht="15.75" customHeight="1">
      <c r="A31" s="164" t="s">
        <v>60</v>
      </c>
      <c r="B31" s="165">
        <f>(Gross_wages!B28*B$11)/1000</f>
        <v>0</v>
      </c>
      <c r="C31" s="165">
        <f>(Gross_wages!C28*C$11)/1000</f>
        <v>0</v>
      </c>
      <c r="D31" s="166">
        <f>(Gross_wages!D28*D$11)/1000</f>
        <v>0</v>
      </c>
      <c r="E31" s="165">
        <f>(Gross_wages!E28*E$11)/1000</f>
        <v>0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0</v>
      </c>
      <c r="J31" s="168">
        <f t="shared" si="1"/>
        <v>1</v>
      </c>
      <c r="K31" s="165">
        <f t="shared" si="2"/>
        <v>0</v>
      </c>
      <c r="L31" s="169">
        <f t="shared" si="3"/>
        <v>0</v>
      </c>
      <c r="M31" s="147"/>
      <c r="N31" s="164" t="s">
        <v>60</v>
      </c>
      <c r="O31" s="170">
        <v>10151335.5</v>
      </c>
      <c r="P31" s="171">
        <v>6.6623457940304803E-2</v>
      </c>
      <c r="Q31" s="169">
        <f>IF(Calculation_ITS!L31=0,O31*P31,0)</f>
        <v>676317.07372217299</v>
      </c>
      <c r="R31" s="150"/>
      <c r="S31" s="172">
        <f>Calculation_ITS!L31+Q31</f>
        <v>676317.07372217299</v>
      </c>
    </row>
    <row r="32" spans="1:19" ht="15.75" customHeight="1">
      <c r="A32" s="153" t="s">
        <v>61</v>
      </c>
      <c r="B32" s="154">
        <f>(Gross_wages!B29*B$11)/1000</f>
        <v>110794.98803000001</v>
      </c>
      <c r="C32" s="154">
        <f>(Gross_wages!C29*C$11)/1000</f>
        <v>2903.469298</v>
      </c>
      <c r="D32" s="155">
        <f>(Gross_wages!D29*D$11)/1000</f>
        <v>1534.0176000000001</v>
      </c>
      <c r="E32" s="154">
        <f>(Gross_wages!E29*E$11)/1000</f>
        <v>26111.290800000002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30548.777698000002</v>
      </c>
      <c r="J32" s="157">
        <f t="shared" si="1"/>
        <v>1</v>
      </c>
      <c r="K32" s="154">
        <f t="shared" si="2"/>
        <v>30548.777698000002</v>
      </c>
      <c r="L32" s="158">
        <f t="shared" si="3"/>
        <v>141343.765728</v>
      </c>
      <c r="M32" s="147"/>
      <c r="N32" s="153" t="s">
        <v>61</v>
      </c>
      <c r="O32" s="159">
        <v>3488679.4</v>
      </c>
      <c r="P32" s="160">
        <v>6.3732147026674998E-2</v>
      </c>
      <c r="Q32" s="158">
        <f>IF(Calculation_ITS!L32=0,O32*P32,0)</f>
        <v>0</v>
      </c>
      <c r="R32" s="150"/>
      <c r="S32" s="161">
        <f>Calculation_ITS!L32+Q32</f>
        <v>141343.765728</v>
      </c>
    </row>
    <row r="33" spans="1:19" ht="15.75" customHeight="1">
      <c r="A33" s="164" t="s">
        <v>62</v>
      </c>
      <c r="B33" s="165">
        <f>(Gross_wages!B30*B$11)/1000</f>
        <v>279396.76576799998</v>
      </c>
      <c r="C33" s="165">
        <f>(Gross_wages!C30*C$11)/1000</f>
        <v>21998.851138000002</v>
      </c>
      <c r="D33" s="166">
        <f>(Gross_wages!D30*D$11)/1000</f>
        <v>0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426777.71241480001</v>
      </c>
      <c r="I33" s="165">
        <f t="shared" si="0"/>
        <v>448776.56355280004</v>
      </c>
      <c r="J33" s="168">
        <f t="shared" si="1"/>
        <v>1</v>
      </c>
      <c r="K33" s="165">
        <f t="shared" si="2"/>
        <v>448776.56355280004</v>
      </c>
      <c r="L33" s="169">
        <f t="shared" si="3"/>
        <v>728173.32932080003</v>
      </c>
      <c r="M33" s="147"/>
      <c r="N33" s="164" t="s">
        <v>62</v>
      </c>
      <c r="O33" s="170">
        <v>5267482.9000000004</v>
      </c>
      <c r="P33" s="171">
        <v>0.16936600415836101</v>
      </c>
      <c r="Q33" s="169">
        <f>IF(Calculation_ITS!L33=0,O33*P33,0)</f>
        <v>0</v>
      </c>
      <c r="R33" s="150"/>
      <c r="S33" s="172">
        <f>Calculation_ITS!L33+Q33</f>
        <v>728173.32932080003</v>
      </c>
    </row>
    <row r="34" spans="1:19" ht="15.75" customHeight="1">
      <c r="A34" s="153" t="s">
        <v>63</v>
      </c>
      <c r="B34" s="154">
        <f>(Gross_wages!B31*B$11)/1000</f>
        <v>502290.79282949999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130476.3116475</v>
      </c>
      <c r="H34" s="156">
        <f>(Gross_wages!H31*H$11)/1000</f>
        <v>0</v>
      </c>
      <c r="I34" s="154">
        <f t="shared" si="0"/>
        <v>130476.3116475</v>
      </c>
      <c r="J34" s="157">
        <f t="shared" si="1"/>
        <v>1</v>
      </c>
      <c r="K34" s="154">
        <f t="shared" si="2"/>
        <v>130476.3116475</v>
      </c>
      <c r="L34" s="158">
        <f t="shared" si="3"/>
        <v>632767.10447699996</v>
      </c>
      <c r="M34" s="147"/>
      <c r="N34" s="153" t="s">
        <v>63</v>
      </c>
      <c r="O34" s="159">
        <v>13528357.9589523</v>
      </c>
      <c r="P34" s="160">
        <v>8.2523775121541604E-2</v>
      </c>
      <c r="Q34" s="158">
        <f>IF(Calculation_ITS!L34=0,O34*P34,0)</f>
        <v>0</v>
      </c>
      <c r="R34" s="150"/>
      <c r="S34" s="161">
        <f>Calculation_ITS!L34+Q34</f>
        <v>632767.10447699996</v>
      </c>
    </row>
    <row r="35" spans="1:19" ht="15.75" customHeight="1">
      <c r="A35" s="164" t="s">
        <v>64</v>
      </c>
      <c r="B35" s="165">
        <f>(Gross_wages!B32*B$11)/1000</f>
        <v>245738.95522442</v>
      </c>
      <c r="C35" s="165">
        <f>(Gross_wages!C32*C$11)/1000</f>
        <v>219.77578539999999</v>
      </c>
      <c r="D35" s="166">
        <f>(Gross_wages!D32*D$11)/1000</f>
        <v>0</v>
      </c>
      <c r="E35" s="165">
        <f>(Gross_wages!E32*E$11)/1000</f>
        <v>0</v>
      </c>
      <c r="F35" s="165">
        <f>(Gross_wages!F32*F$11)/1000</f>
        <v>0</v>
      </c>
      <c r="G35" s="165">
        <f>(Gross_wages!G32*G$11)/1000</f>
        <v>6286.6867260000008</v>
      </c>
      <c r="H35" s="167">
        <f>(Gross_wages!H32*H$11)/1000</f>
        <v>10527.385374479998</v>
      </c>
      <c r="I35" s="165">
        <f t="shared" si="0"/>
        <v>17033.847885880001</v>
      </c>
      <c r="J35" s="168">
        <f t="shared" si="1"/>
        <v>1</v>
      </c>
      <c r="K35" s="165">
        <f t="shared" si="2"/>
        <v>17033.847885880001</v>
      </c>
      <c r="L35" s="169">
        <f t="shared" si="3"/>
        <v>262772.80311029998</v>
      </c>
      <c r="M35" s="147"/>
      <c r="N35" s="164" t="s">
        <v>64</v>
      </c>
      <c r="O35" s="170">
        <v>4142252.2</v>
      </c>
      <c r="P35" s="171">
        <v>8.1711102885873493E-2</v>
      </c>
      <c r="Q35" s="169">
        <f>IF(Calculation_ITS!L35=0,O35*P35,0)</f>
        <v>0</v>
      </c>
      <c r="R35" s="150"/>
      <c r="S35" s="172">
        <f>Calculation_ITS!L35+Q35</f>
        <v>262772.80311029998</v>
      </c>
    </row>
    <row r="36" spans="1:19" ht="15.75" customHeight="1">
      <c r="A36" s="153" t="s">
        <v>65</v>
      </c>
      <c r="B36" s="154">
        <f>(Gross_wages!B33*B$11)/1000</f>
        <v>104456.58937755998</v>
      </c>
      <c r="C36" s="154">
        <f>(Gross_wages!C33*C$11)/1000</f>
        <v>157.06087574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58788.3459</v>
      </c>
      <c r="H36" s="156">
        <f>(Gross_wages!H33*H$11)/1000</f>
        <v>0</v>
      </c>
      <c r="I36" s="154">
        <f t="shared" si="0"/>
        <v>58945.406775739997</v>
      </c>
      <c r="J36" s="157">
        <f t="shared" si="1"/>
        <v>1</v>
      </c>
      <c r="K36" s="154">
        <f t="shared" si="2"/>
        <v>58945.406775739997</v>
      </c>
      <c r="L36" s="158">
        <f t="shared" si="3"/>
        <v>163401.99615329999</v>
      </c>
      <c r="M36" s="147"/>
      <c r="N36" s="153" t="s">
        <v>65</v>
      </c>
      <c r="O36" s="159">
        <v>2665811</v>
      </c>
      <c r="P36" s="160">
        <v>7.7737037080413199E-2</v>
      </c>
      <c r="Q36" s="158">
        <f>IF(Calculation_ITS!L36=0,O36*P36,0)</f>
        <v>0</v>
      </c>
      <c r="R36" s="150"/>
      <c r="S36" s="161">
        <f>Calculation_ITS!L36+Q36</f>
        <v>163401.99615329999</v>
      </c>
    </row>
    <row r="37" spans="1:19" ht="15.75" customHeight="1">
      <c r="A37" s="164" t="s">
        <v>66</v>
      </c>
      <c r="B37" s="165">
        <f>(Gross_wages!B34*B$11)/1000</f>
        <v>565596.06223799998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1332155.9343906664</v>
      </c>
      <c r="G37" s="165">
        <f>(Gross_wages!G34*G$11)/1000</f>
        <v>0</v>
      </c>
      <c r="H37" s="167">
        <f>(Gross_wages!H34*H$11)/1000</f>
        <v>0</v>
      </c>
      <c r="I37" s="165">
        <f t="shared" si="0"/>
        <v>1332155.9343906664</v>
      </c>
      <c r="J37" s="168">
        <f t="shared" si="1"/>
        <v>1</v>
      </c>
      <c r="K37" s="165">
        <f t="shared" si="2"/>
        <v>1332155.9343906664</v>
      </c>
      <c r="L37" s="169">
        <f t="shared" si="3"/>
        <v>1897751.9966286663</v>
      </c>
      <c r="M37" s="147"/>
      <c r="N37" s="164" t="s">
        <v>66</v>
      </c>
      <c r="O37" s="170">
        <v>10217334.800000001</v>
      </c>
      <c r="P37" s="171">
        <v>0.197630477746678</v>
      </c>
      <c r="Q37" s="169">
        <f>IF(Calculation_ITS!L37=0,O37*P37,0)</f>
        <v>0</v>
      </c>
      <c r="R37" s="150"/>
      <c r="S37" s="172">
        <f>Calculation_ITS!L37+Q37</f>
        <v>1897751.9966286663</v>
      </c>
    </row>
    <row r="38" spans="1:19" ht="15.75" customHeight="1">
      <c r="A38" s="173" t="s">
        <v>67</v>
      </c>
      <c r="B38" s="174">
        <f>(Gross_wages!B35*B$11)/1000</f>
        <v>21671.258446</v>
      </c>
      <c r="C38" s="174">
        <f>(Gross_wages!C35*C$11)/1000</f>
        <v>1935.9591820000001</v>
      </c>
      <c r="D38" s="175">
        <f>(Gross_wages!D35*D$11)/1000</f>
        <v>0</v>
      </c>
      <c r="E38" s="174">
        <f>(Gross_wages!E35*E$11)/1000</f>
        <v>100.90859999999999</v>
      </c>
      <c r="F38" s="174">
        <f>(Gross_wages!F35*F$11)/1000</f>
        <v>0</v>
      </c>
      <c r="G38" s="174">
        <f>(Gross_wages!G35*G$11)/1000</f>
        <v>38374.740149999998</v>
      </c>
      <c r="H38" s="176">
        <f>(Gross_wages!H35*H$11)/1000</f>
        <v>0</v>
      </c>
      <c r="I38" s="174">
        <f t="shared" si="0"/>
        <v>40411.607931999999</v>
      </c>
      <c r="J38" s="177">
        <f t="shared" si="1"/>
        <v>1</v>
      </c>
      <c r="K38" s="174">
        <f t="shared" si="2"/>
        <v>40411.607931999999</v>
      </c>
      <c r="L38" s="178">
        <f t="shared" si="3"/>
        <v>62082.866377999999</v>
      </c>
      <c r="M38" s="147"/>
      <c r="N38" s="173" t="s">
        <v>67</v>
      </c>
      <c r="O38" s="179">
        <v>850707.4</v>
      </c>
      <c r="P38" s="180">
        <v>8.5022324370914004E-2</v>
      </c>
      <c r="Q38" s="178">
        <f>IF(Calculation_ITS!L38=0,O38*P38,0)</f>
        <v>0</v>
      </c>
      <c r="R38" s="150"/>
      <c r="S38" s="181">
        <f>Calculation_ITS!L38+Q38</f>
        <v>62082.866377999999</v>
      </c>
    </row>
    <row r="39" spans="1:19" ht="15.75" customHeight="1">
      <c r="A39" s="182" t="s">
        <v>68</v>
      </c>
      <c r="B39" s="183">
        <f t="shared" ref="B39:I39" si="4">SUM(B13:B38)</f>
        <v>4674587.020819285</v>
      </c>
      <c r="C39" s="183">
        <f t="shared" si="4"/>
        <v>141289.07394619999</v>
      </c>
      <c r="D39" s="184">
        <f t="shared" si="4"/>
        <v>42641.327657999995</v>
      </c>
      <c r="E39" s="183">
        <f t="shared" si="4"/>
        <v>321444.77286450006</v>
      </c>
      <c r="F39" s="183">
        <f t="shared" si="4"/>
        <v>1332155.9343906664</v>
      </c>
      <c r="G39" s="183">
        <f t="shared" si="4"/>
        <v>587860.91947349999</v>
      </c>
      <c r="H39" s="185">
        <f t="shared" si="4"/>
        <v>458633.95632288</v>
      </c>
      <c r="I39" s="183">
        <f t="shared" si="4"/>
        <v>2884025.9846557463</v>
      </c>
      <c r="J39" s="186">
        <v>1</v>
      </c>
      <c r="K39" s="183">
        <f t="shared" si="2"/>
        <v>2884025.9846557463</v>
      </c>
      <c r="L39" s="187">
        <f t="shared" si="3"/>
        <v>7558613.0054750312</v>
      </c>
      <c r="M39" s="147"/>
      <c r="N39" s="182" t="s">
        <v>68</v>
      </c>
      <c r="O39" s="188">
        <f>SUM(O13:O38)</f>
        <v>138774913.65895233</v>
      </c>
      <c r="P39" s="189"/>
      <c r="Q39" s="187">
        <f>SUM(Q13:Q38)</f>
        <v>676317.07372217299</v>
      </c>
      <c r="R39" s="150"/>
      <c r="S39" s="190">
        <f>SUM(S13:S38)</f>
        <v>8234930.0791972028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2012-05-21T07:18:02Z</dcterms:modified>
</cp:coreProperties>
</file>