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8\Datenbank\Dateien\Tabellen\"/>
    </mc:Choice>
  </mc:AlternateContent>
  <bookViews>
    <workbookView xWindow="0" yWindow="0" windowWidth="13125" windowHeight="6105"/>
  </bookViews>
  <sheets>
    <sheet name="INTRO" sheetId="30" r:id="rId1"/>
    <sheet name="TOTAL" sheetId="26" r:id="rId2"/>
    <sheet name="NP" sheetId="10" r:id="rId3"/>
    <sheet name="QS" sheetId="16" r:id="rId4"/>
    <sheet name="VERM" sheetId="12" r:id="rId5"/>
    <sheet name="JP" sheetId="27" r:id="rId6"/>
    <sheet name="REP" sheetId="13" r:id="rId7"/>
    <sheet name="ASG" sheetId="15" r:id="rId8"/>
    <sheet name="BEV" sheetId="18" r:id="rId9"/>
    <sheet name="RP" sheetId="19" r:id="rId10"/>
    <sheet name="ENTW" sheetId="20" r:id="rId11"/>
    <sheet name="DOT" sheetId="21" r:id="rId12"/>
    <sheet name="EINZ" sheetId="22" r:id="rId13"/>
    <sheet name="AUSZ" sheetId="6" r:id="rId14"/>
    <sheet name="SSE" sheetId="24" r:id="rId15"/>
    <sheet name="SST" sheetId="28" r:id="rId16"/>
    <sheet name="DFIE" sheetId="29" state="veryHidden" r:id="rId17"/>
  </sheets>
  <definedNames>
    <definedName name="_xlnm.Print_Area" localSheetId="7">ASG!$A$1:$I$91</definedName>
    <definedName name="_xlnm.Print_Area" localSheetId="13">AUSZ!$B$1:$G$37</definedName>
    <definedName name="_xlnm.Print_Area" localSheetId="8">BEV!$B$1:$F$35</definedName>
    <definedName name="_xlnm.Print_Area" localSheetId="11">DOT!$B$1:$G$17</definedName>
    <definedName name="_xlnm.Print_Area" localSheetId="12">EINZ!$B$1:$G$35</definedName>
    <definedName name="_xlnm.Print_Area" localSheetId="10">ENTW!$B$1:$I$36</definedName>
    <definedName name="_xlnm.Print_Area" localSheetId="5">JP!$A$1:$I$91</definedName>
    <definedName name="_xlnm.Print_Area" localSheetId="2">NP!$A$1:$I$91</definedName>
    <definedName name="_xlnm.Print_Area" localSheetId="3">QS!$A$1:$AB$91</definedName>
    <definedName name="_xlnm.Print_Area" localSheetId="6">REP!$A$1:$J$91</definedName>
    <definedName name="_xlnm.Print_Area" localSheetId="9">RP!$B$1:$I$36</definedName>
    <definedName name="_xlnm.Print_Area" localSheetId="14">SSE!$B$1:$I$37</definedName>
    <definedName name="_xlnm.Print_Area" localSheetId="15">SST!$B$1:$J$13</definedName>
    <definedName name="_xlnm.Print_Area" localSheetId="1">TOTAL!$A$1:$F$36</definedName>
    <definedName name="_xlnm.Print_Area" localSheetId="4">VERM!$B$1:$L$36</definedName>
    <definedName name="_xlnm.Print_Titles" localSheetId="7">ASG!$1:$8</definedName>
    <definedName name="_xlnm.Print_Titles" localSheetId="5">JP!$1:$8</definedName>
    <definedName name="_xlnm.Print_Titles" localSheetId="2">NP!$1:$8</definedName>
    <definedName name="_xlnm.Print_Titles" localSheetId="3">QS!$1:$8</definedName>
    <definedName name="_xlnm.Print_Titles" localSheetId="6">REP!$1:$8</definedName>
    <definedName name="solver_adj" localSheetId="13" hidden="1">AUSZ!$E$37</definedName>
    <definedName name="solver_cvg" localSheetId="13" hidden="1">0.0001</definedName>
    <definedName name="solver_drv" localSheetId="13" hidden="1">1</definedName>
    <definedName name="solver_est" localSheetId="13" hidden="1">1</definedName>
    <definedName name="solver_itr" localSheetId="13" hidden="1">100</definedName>
    <definedName name="solver_lhs1" localSheetId="13" hidden="1">AUSZ!#REF!</definedName>
    <definedName name="solver_lin" localSheetId="13" hidden="1">2</definedName>
    <definedName name="solver_neg" localSheetId="13" hidden="1">2</definedName>
    <definedName name="solver_num" localSheetId="13" hidden="1">1</definedName>
    <definedName name="solver_nwt" localSheetId="13" hidden="1">1</definedName>
    <definedName name="solver_opt" localSheetId="13" hidden="1">AUSZ!#REF!</definedName>
    <definedName name="solver_pre" localSheetId="13" hidden="1">0.00000000000001</definedName>
    <definedName name="solver_rel1" localSheetId="13" hidden="1">2</definedName>
    <definedName name="solver_rhs1" localSheetId="13" hidden="1">AUSZ!#REF!</definedName>
    <definedName name="solver_scl" localSheetId="13" hidden="1">2</definedName>
    <definedName name="solver_sho" localSheetId="13" hidden="1">2</definedName>
    <definedName name="solver_tim" localSheetId="13" hidden="1">100</definedName>
    <definedName name="solver_tol" localSheetId="13" hidden="1">0.05</definedName>
    <definedName name="solver_typ" localSheetId="13" hidden="1">1</definedName>
    <definedName name="solver_val" localSheetId="13" hidden="1">0</definedName>
  </definedNames>
  <calcPr calcId="152511"/>
</workbook>
</file>

<file path=xl/calcChain.xml><?xml version="1.0" encoding="utf-8"?>
<calcChain xmlns="http://schemas.openxmlformats.org/spreadsheetml/2006/main">
  <c r="B9" i="29" l="1"/>
  <c r="B118" i="29" s="1"/>
  <c r="B8" i="29"/>
  <c r="G2" i="29"/>
  <c r="H8" i="28"/>
  <c r="I7" i="28"/>
  <c r="I8" i="28" s="1"/>
  <c r="H7" i="28"/>
  <c r="C35" i="24"/>
  <c r="E30" i="24"/>
  <c r="D28" i="6"/>
  <c r="D24" i="6"/>
  <c r="D22" i="22"/>
  <c r="D16" i="22"/>
  <c r="G8" i="21"/>
  <c r="G4" i="21"/>
  <c r="C35" i="20"/>
  <c r="G31" i="19"/>
  <c r="G23" i="19"/>
  <c r="G18" i="19"/>
  <c r="D18" i="22" s="1"/>
  <c r="G16" i="19"/>
  <c r="E16" i="24" s="1"/>
  <c r="G14" i="19"/>
  <c r="D14" i="22" s="1"/>
  <c r="G12" i="19"/>
  <c r="G10" i="19"/>
  <c r="E35" i="18"/>
  <c r="D35" i="18"/>
  <c r="F34" i="18"/>
  <c r="G34" i="19" s="1"/>
  <c r="F33" i="18"/>
  <c r="G33" i="19" s="1"/>
  <c r="F32" i="18"/>
  <c r="G32" i="19" s="1"/>
  <c r="D32" i="22" s="1"/>
  <c r="F31" i="18"/>
  <c r="F30" i="18"/>
  <c r="G30" i="19" s="1"/>
  <c r="F29" i="18"/>
  <c r="G29" i="19" s="1"/>
  <c r="F28" i="18"/>
  <c r="G28" i="19" s="1"/>
  <c r="E28" i="24" s="1"/>
  <c r="F27" i="18"/>
  <c r="G27" i="19" s="1"/>
  <c r="F26" i="18"/>
  <c r="G26" i="19" s="1"/>
  <c r="D26" i="22" s="1"/>
  <c r="F25" i="18"/>
  <c r="G25" i="19" s="1"/>
  <c r="F24" i="18"/>
  <c r="G24" i="19" s="1"/>
  <c r="F23" i="18"/>
  <c r="F22" i="18"/>
  <c r="G22" i="19" s="1"/>
  <c r="F21" i="18"/>
  <c r="G21" i="19" s="1"/>
  <c r="F20" i="18"/>
  <c r="G20" i="19" s="1"/>
  <c r="E20" i="24" s="1"/>
  <c r="F19" i="18"/>
  <c r="G19" i="19" s="1"/>
  <c r="D19" i="6" s="1"/>
  <c r="F18" i="18"/>
  <c r="F17" i="18"/>
  <c r="G17" i="19" s="1"/>
  <c r="F16" i="18"/>
  <c r="F15" i="18"/>
  <c r="G15" i="19" s="1"/>
  <c r="F14" i="18"/>
  <c r="F13" i="18"/>
  <c r="G13" i="19" s="1"/>
  <c r="F12" i="18"/>
  <c r="F11" i="18"/>
  <c r="G11" i="19" s="1"/>
  <c r="F10" i="18"/>
  <c r="F9" i="18"/>
  <c r="D7" i="18"/>
  <c r="C90" i="15"/>
  <c r="F85" i="15"/>
  <c r="C85" i="15"/>
  <c r="E84" i="15"/>
  <c r="E83" i="15"/>
  <c r="C83" i="15"/>
  <c r="E80" i="15"/>
  <c r="E79" i="15"/>
  <c r="F78" i="15"/>
  <c r="E77" i="15"/>
  <c r="E76" i="15"/>
  <c r="E75" i="15"/>
  <c r="F73" i="15"/>
  <c r="E73" i="15"/>
  <c r="E72" i="15"/>
  <c r="C71" i="15"/>
  <c r="C70" i="15"/>
  <c r="E69" i="15"/>
  <c r="F68" i="15"/>
  <c r="E67" i="15"/>
  <c r="C65" i="15"/>
  <c r="F62" i="15"/>
  <c r="C61" i="15"/>
  <c r="F59" i="15"/>
  <c r="F54" i="15"/>
  <c r="E54" i="15"/>
  <c r="F51" i="15"/>
  <c r="E49" i="15"/>
  <c r="F46" i="15"/>
  <c r="F34" i="15"/>
  <c r="F33" i="15"/>
  <c r="E32" i="15"/>
  <c r="E31" i="15"/>
  <c r="F30" i="15"/>
  <c r="E29" i="15"/>
  <c r="C29" i="15"/>
  <c r="E28" i="15"/>
  <c r="E27" i="15"/>
  <c r="C27" i="15"/>
  <c r="F25" i="15"/>
  <c r="E25" i="15"/>
  <c r="F24" i="15"/>
  <c r="E24" i="15"/>
  <c r="F22" i="15"/>
  <c r="C22" i="15"/>
  <c r="F21" i="15"/>
  <c r="E21" i="15"/>
  <c r="F20" i="15"/>
  <c r="E19" i="15"/>
  <c r="C19" i="15"/>
  <c r="F18" i="15"/>
  <c r="F17" i="15"/>
  <c r="E16" i="15"/>
  <c r="E15" i="15"/>
  <c r="F14" i="15"/>
  <c r="E13" i="15"/>
  <c r="E12" i="15"/>
  <c r="E11" i="15"/>
  <c r="E9" i="15"/>
  <c r="C9" i="15"/>
  <c r="F91" i="13"/>
  <c r="D91" i="13"/>
  <c r="C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F63" i="13"/>
  <c r="D63" i="13"/>
  <c r="C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F35" i="13"/>
  <c r="E35" i="13"/>
  <c r="D35" i="13"/>
  <c r="C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D91" i="27"/>
  <c r="C91" i="27"/>
  <c r="E90" i="27"/>
  <c r="F90" i="15" s="1"/>
  <c r="E89" i="27"/>
  <c r="F89" i="15" s="1"/>
  <c r="E88" i="27"/>
  <c r="F88" i="15" s="1"/>
  <c r="E87" i="27"/>
  <c r="F87" i="15" s="1"/>
  <c r="E86" i="27"/>
  <c r="F86" i="15" s="1"/>
  <c r="E85" i="27"/>
  <c r="E84" i="27"/>
  <c r="F84" i="15" s="1"/>
  <c r="E83" i="27"/>
  <c r="F83" i="15" s="1"/>
  <c r="E82" i="27"/>
  <c r="F82" i="15" s="1"/>
  <c r="E81" i="27"/>
  <c r="F81" i="15" s="1"/>
  <c r="E80" i="27"/>
  <c r="F80" i="15" s="1"/>
  <c r="E79" i="27"/>
  <c r="F79" i="15" s="1"/>
  <c r="E78" i="27"/>
  <c r="E77" i="27"/>
  <c r="F77" i="15" s="1"/>
  <c r="E76" i="27"/>
  <c r="F76" i="15" s="1"/>
  <c r="E75" i="27"/>
  <c r="F75" i="15" s="1"/>
  <c r="E74" i="27"/>
  <c r="F74" i="15" s="1"/>
  <c r="E73" i="27"/>
  <c r="E72" i="27"/>
  <c r="F72" i="15" s="1"/>
  <c r="E71" i="27"/>
  <c r="F71" i="15" s="1"/>
  <c r="E70" i="27"/>
  <c r="F70" i="15" s="1"/>
  <c r="E69" i="27"/>
  <c r="F69" i="15" s="1"/>
  <c r="E68" i="27"/>
  <c r="I67" i="27"/>
  <c r="E67" i="27"/>
  <c r="F67" i="15" s="1"/>
  <c r="I66" i="27"/>
  <c r="E66" i="27"/>
  <c r="F66" i="15" s="1"/>
  <c r="I65" i="27"/>
  <c r="E65" i="27"/>
  <c r="D63" i="27"/>
  <c r="C63" i="27"/>
  <c r="E62" i="27"/>
  <c r="E61" i="27"/>
  <c r="F61" i="15" s="1"/>
  <c r="E60" i="27"/>
  <c r="F60" i="15" s="1"/>
  <c r="E59" i="27"/>
  <c r="E58" i="27"/>
  <c r="F58" i="15" s="1"/>
  <c r="E57" i="27"/>
  <c r="F57" i="15" s="1"/>
  <c r="E56" i="27"/>
  <c r="F56" i="15" s="1"/>
  <c r="E55" i="27"/>
  <c r="F55" i="15" s="1"/>
  <c r="E54" i="27"/>
  <c r="E53" i="27"/>
  <c r="F53" i="15" s="1"/>
  <c r="E52" i="27"/>
  <c r="F52" i="15" s="1"/>
  <c r="E51" i="27"/>
  <c r="E50" i="27"/>
  <c r="F50" i="15" s="1"/>
  <c r="E49" i="27"/>
  <c r="F49" i="15" s="1"/>
  <c r="E48" i="27"/>
  <c r="F48" i="15" s="1"/>
  <c r="E47" i="27"/>
  <c r="F47" i="15" s="1"/>
  <c r="E46" i="27"/>
  <c r="E45" i="27"/>
  <c r="F45" i="15" s="1"/>
  <c r="E44" i="27"/>
  <c r="F44" i="15" s="1"/>
  <c r="E43" i="27"/>
  <c r="F43" i="15" s="1"/>
  <c r="E42" i="27"/>
  <c r="F42" i="15" s="1"/>
  <c r="E41" i="27"/>
  <c r="F41" i="15" s="1"/>
  <c r="E40" i="27"/>
  <c r="F40" i="15" s="1"/>
  <c r="I39" i="27"/>
  <c r="E39" i="27"/>
  <c r="F39" i="15" s="1"/>
  <c r="I38" i="27"/>
  <c r="E38" i="27"/>
  <c r="F38" i="15" s="1"/>
  <c r="I37" i="27"/>
  <c r="E37" i="27"/>
  <c r="D35" i="27"/>
  <c r="C35" i="27"/>
  <c r="E34" i="27"/>
  <c r="E33" i="27"/>
  <c r="E32" i="27"/>
  <c r="F32" i="15" s="1"/>
  <c r="E31" i="27"/>
  <c r="F31" i="15" s="1"/>
  <c r="E30" i="27"/>
  <c r="E29" i="27"/>
  <c r="F29" i="15" s="1"/>
  <c r="E28" i="27"/>
  <c r="F28" i="15" s="1"/>
  <c r="E27" i="27"/>
  <c r="F27" i="15" s="1"/>
  <c r="E26" i="27"/>
  <c r="F26" i="15" s="1"/>
  <c r="E25" i="27"/>
  <c r="E24" i="27"/>
  <c r="E23" i="27"/>
  <c r="F23" i="15" s="1"/>
  <c r="E22" i="27"/>
  <c r="E21" i="27"/>
  <c r="E20" i="27"/>
  <c r="E19" i="27"/>
  <c r="F19" i="15" s="1"/>
  <c r="E18" i="27"/>
  <c r="E17" i="27"/>
  <c r="E16" i="27"/>
  <c r="F16" i="15" s="1"/>
  <c r="E15" i="27"/>
  <c r="F15" i="15" s="1"/>
  <c r="E14" i="27"/>
  <c r="E13" i="27"/>
  <c r="F13" i="15" s="1"/>
  <c r="E12" i="27"/>
  <c r="F12" i="15" s="1"/>
  <c r="E11" i="27"/>
  <c r="F11" i="15" s="1"/>
  <c r="E10" i="27"/>
  <c r="F10" i="15" s="1"/>
  <c r="E9" i="27"/>
  <c r="F9" i="15" s="1"/>
  <c r="J35" i="12"/>
  <c r="I35" i="12"/>
  <c r="F35" i="12"/>
  <c r="D35" i="12"/>
  <c r="C35" i="12"/>
  <c r="J34" i="12"/>
  <c r="E90" i="15" s="1"/>
  <c r="G34" i="12"/>
  <c r="E62" i="15" s="1"/>
  <c r="D34" i="12"/>
  <c r="E34" i="15" s="1"/>
  <c r="J33" i="12"/>
  <c r="E89" i="15" s="1"/>
  <c r="G33" i="12"/>
  <c r="E61" i="15" s="1"/>
  <c r="D33" i="12"/>
  <c r="E33" i="15" s="1"/>
  <c r="J32" i="12"/>
  <c r="E88" i="15" s="1"/>
  <c r="G32" i="12"/>
  <c r="E60" i="15" s="1"/>
  <c r="D32" i="12"/>
  <c r="J31" i="12"/>
  <c r="E87" i="15" s="1"/>
  <c r="G31" i="12"/>
  <c r="E59" i="15" s="1"/>
  <c r="D31" i="12"/>
  <c r="J30" i="12"/>
  <c r="E86" i="15" s="1"/>
  <c r="G30" i="12"/>
  <c r="E58" i="15" s="1"/>
  <c r="D30" i="12"/>
  <c r="E30" i="15" s="1"/>
  <c r="J29" i="12"/>
  <c r="E85" i="15" s="1"/>
  <c r="G29" i="12"/>
  <c r="E57" i="15" s="1"/>
  <c r="D29" i="12"/>
  <c r="J28" i="12"/>
  <c r="G28" i="12"/>
  <c r="E56" i="15" s="1"/>
  <c r="D28" i="12"/>
  <c r="J27" i="12"/>
  <c r="G27" i="12"/>
  <c r="E55" i="15" s="1"/>
  <c r="D27" i="12"/>
  <c r="J26" i="12"/>
  <c r="E82" i="15" s="1"/>
  <c r="G26" i="12"/>
  <c r="D26" i="12"/>
  <c r="E26" i="15" s="1"/>
  <c r="J25" i="12"/>
  <c r="E81" i="15" s="1"/>
  <c r="G25" i="12"/>
  <c r="E53" i="15" s="1"/>
  <c r="D25" i="12"/>
  <c r="J24" i="12"/>
  <c r="G24" i="12"/>
  <c r="E52" i="15" s="1"/>
  <c r="D24" i="12"/>
  <c r="J23" i="12"/>
  <c r="G23" i="12"/>
  <c r="E51" i="15" s="1"/>
  <c r="D23" i="12"/>
  <c r="E23" i="15" s="1"/>
  <c r="J22" i="12"/>
  <c r="E78" i="15" s="1"/>
  <c r="G22" i="12"/>
  <c r="E50" i="15" s="1"/>
  <c r="D22" i="12"/>
  <c r="E22" i="15" s="1"/>
  <c r="J21" i="12"/>
  <c r="G21" i="12"/>
  <c r="D21" i="12"/>
  <c r="J20" i="12"/>
  <c r="G20" i="12"/>
  <c r="E48" i="15" s="1"/>
  <c r="D20" i="12"/>
  <c r="E20" i="15" s="1"/>
  <c r="J19" i="12"/>
  <c r="G19" i="12"/>
  <c r="E47" i="15" s="1"/>
  <c r="D19" i="12"/>
  <c r="J18" i="12"/>
  <c r="E74" i="15" s="1"/>
  <c r="G18" i="12"/>
  <c r="E46" i="15" s="1"/>
  <c r="D18" i="12"/>
  <c r="E18" i="15" s="1"/>
  <c r="J17" i="12"/>
  <c r="G17" i="12"/>
  <c r="E45" i="15" s="1"/>
  <c r="D17" i="12"/>
  <c r="E17" i="15" s="1"/>
  <c r="J16" i="12"/>
  <c r="G16" i="12"/>
  <c r="E44" i="15" s="1"/>
  <c r="D16" i="12"/>
  <c r="J15" i="12"/>
  <c r="E71" i="15" s="1"/>
  <c r="G15" i="12"/>
  <c r="E43" i="15" s="1"/>
  <c r="D15" i="12"/>
  <c r="J14" i="12"/>
  <c r="E70" i="15" s="1"/>
  <c r="G14" i="12"/>
  <c r="E42" i="15" s="1"/>
  <c r="D14" i="12"/>
  <c r="E14" i="15" s="1"/>
  <c r="J13" i="12"/>
  <c r="G13" i="12"/>
  <c r="E41" i="15" s="1"/>
  <c r="D13" i="12"/>
  <c r="J12" i="12"/>
  <c r="E68" i="15" s="1"/>
  <c r="G12" i="12"/>
  <c r="E40" i="15" s="1"/>
  <c r="D12" i="12"/>
  <c r="J11" i="12"/>
  <c r="G11" i="12"/>
  <c r="E39" i="15" s="1"/>
  <c r="D11" i="12"/>
  <c r="J10" i="12"/>
  <c r="E66" i="15" s="1"/>
  <c r="G10" i="12"/>
  <c r="E38" i="15" s="1"/>
  <c r="D10" i="12"/>
  <c r="E10" i="15" s="1"/>
  <c r="J9" i="12"/>
  <c r="E65" i="15" s="1"/>
  <c r="G9" i="12"/>
  <c r="D9" i="12"/>
  <c r="Z91" i="16"/>
  <c r="I91" i="16"/>
  <c r="H91" i="16"/>
  <c r="G91" i="16"/>
  <c r="F91" i="16"/>
  <c r="E91" i="16"/>
  <c r="D91" i="16"/>
  <c r="C91" i="16"/>
  <c r="J91" i="16" s="1"/>
  <c r="J90" i="16"/>
  <c r="J89" i="16"/>
  <c r="J88" i="16"/>
  <c r="J87" i="16"/>
  <c r="V86" i="16"/>
  <c r="J86" i="16"/>
  <c r="V85" i="16"/>
  <c r="J85" i="16"/>
  <c r="J84" i="16"/>
  <c r="J83" i="16"/>
  <c r="N82" i="16"/>
  <c r="J82" i="16"/>
  <c r="J81" i="16"/>
  <c r="N80" i="16"/>
  <c r="T66" i="16" s="1"/>
  <c r="J80" i="16"/>
  <c r="J79" i="16"/>
  <c r="V78" i="16"/>
  <c r="J78" i="16"/>
  <c r="J77" i="16"/>
  <c r="V76" i="16"/>
  <c r="J76" i="16"/>
  <c r="J75" i="16"/>
  <c r="V74" i="16"/>
  <c r="J74" i="16"/>
  <c r="J73" i="16"/>
  <c r="V72" i="16"/>
  <c r="J72" i="16"/>
  <c r="J71" i="16"/>
  <c r="J70" i="16"/>
  <c r="J69" i="16"/>
  <c r="V68" i="16"/>
  <c r="J68" i="16"/>
  <c r="J67" i="16"/>
  <c r="V66" i="16"/>
  <c r="J66" i="16"/>
  <c r="V65" i="16"/>
  <c r="J65" i="16"/>
  <c r="Z63" i="16"/>
  <c r="I63" i="16"/>
  <c r="H63" i="16"/>
  <c r="G63" i="16"/>
  <c r="F63" i="16"/>
  <c r="J63" i="16" s="1"/>
  <c r="E63" i="16"/>
  <c r="D63" i="16"/>
  <c r="C63" i="16"/>
  <c r="J62" i="16"/>
  <c r="T61" i="16"/>
  <c r="J61" i="16"/>
  <c r="J60" i="16"/>
  <c r="J59" i="16"/>
  <c r="J58" i="16"/>
  <c r="J57" i="16"/>
  <c r="J56" i="16"/>
  <c r="J55" i="16"/>
  <c r="N54" i="16"/>
  <c r="J54" i="16"/>
  <c r="T53" i="16"/>
  <c r="J53" i="16"/>
  <c r="N52" i="16"/>
  <c r="J52" i="16"/>
  <c r="J51" i="16"/>
  <c r="T50" i="16"/>
  <c r="J50" i="16"/>
  <c r="J49" i="16"/>
  <c r="J48" i="16"/>
  <c r="T47" i="16"/>
  <c r="J47" i="16"/>
  <c r="J46" i="16"/>
  <c r="J45" i="16"/>
  <c r="T44" i="16"/>
  <c r="J44" i="16"/>
  <c r="J43" i="16"/>
  <c r="J42" i="16"/>
  <c r="J41" i="16"/>
  <c r="T40" i="16"/>
  <c r="J40" i="16"/>
  <c r="V39" i="16"/>
  <c r="J39" i="16"/>
  <c r="J38" i="16"/>
  <c r="V37" i="16"/>
  <c r="J37" i="16"/>
  <c r="I35" i="16"/>
  <c r="H35" i="16"/>
  <c r="G35" i="16"/>
  <c r="F35" i="16"/>
  <c r="E35" i="16"/>
  <c r="D35" i="16"/>
  <c r="C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D91" i="10"/>
  <c r="C91" i="10"/>
  <c r="E90" i="10"/>
  <c r="E89" i="10"/>
  <c r="E88" i="10"/>
  <c r="E87" i="10"/>
  <c r="E86" i="10"/>
  <c r="E85" i="10"/>
  <c r="E84" i="10"/>
  <c r="E83" i="10"/>
  <c r="E82" i="10"/>
  <c r="E81" i="10"/>
  <c r="E80" i="10"/>
  <c r="C80" i="15" s="1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D63" i="10"/>
  <c r="C63" i="10"/>
  <c r="E62" i="10"/>
  <c r="E61" i="10"/>
  <c r="E60" i="10"/>
  <c r="E59" i="10"/>
  <c r="C59" i="15" s="1"/>
  <c r="E58" i="10"/>
  <c r="E57" i="10"/>
  <c r="E56" i="10"/>
  <c r="E55" i="10"/>
  <c r="E54" i="10"/>
  <c r="E53" i="10"/>
  <c r="E52" i="10"/>
  <c r="C52" i="15" s="1"/>
  <c r="E51" i="10"/>
  <c r="C51" i="15" s="1"/>
  <c r="E50" i="10"/>
  <c r="E49" i="10"/>
  <c r="C49" i="15" s="1"/>
  <c r="E48" i="10"/>
  <c r="E47" i="10"/>
  <c r="C47" i="15" s="1"/>
  <c r="E46" i="10"/>
  <c r="E45" i="10"/>
  <c r="C45" i="15" s="1"/>
  <c r="E44" i="10"/>
  <c r="C44" i="15" s="1"/>
  <c r="E43" i="10"/>
  <c r="E42" i="10"/>
  <c r="E41" i="10"/>
  <c r="E40" i="10"/>
  <c r="C40" i="15" s="1"/>
  <c r="E39" i="10"/>
  <c r="C39" i="15" s="1"/>
  <c r="E38" i="10"/>
  <c r="H37" i="10"/>
  <c r="E37" i="10"/>
  <c r="D35" i="10"/>
  <c r="C35" i="10"/>
  <c r="E34" i="10"/>
  <c r="E33" i="10"/>
  <c r="E32" i="10"/>
  <c r="C32" i="15" s="1"/>
  <c r="E31" i="10"/>
  <c r="C31" i="15" s="1"/>
  <c r="E30" i="10"/>
  <c r="C30" i="15" s="1"/>
  <c r="E29" i="10"/>
  <c r="E28" i="10"/>
  <c r="C28" i="15" s="1"/>
  <c r="E27" i="10"/>
  <c r="E26" i="10"/>
  <c r="C26" i="15" s="1"/>
  <c r="E25" i="10"/>
  <c r="E24" i="10"/>
  <c r="C24" i="15" s="1"/>
  <c r="E23" i="10"/>
  <c r="C23" i="15" s="1"/>
  <c r="E22" i="10"/>
  <c r="E21" i="10"/>
  <c r="E20" i="10"/>
  <c r="E19" i="10"/>
  <c r="E18" i="10"/>
  <c r="E17" i="10"/>
  <c r="E16" i="10"/>
  <c r="C16" i="15" s="1"/>
  <c r="E15" i="10"/>
  <c r="C15" i="15" s="1"/>
  <c r="E14" i="10"/>
  <c r="C14" i="15" s="1"/>
  <c r="E13" i="10"/>
  <c r="E12" i="10"/>
  <c r="C12" i="15" s="1"/>
  <c r="E11" i="10"/>
  <c r="C11" i="15" s="1"/>
  <c r="E10" i="10"/>
  <c r="E9" i="10"/>
  <c r="C35" i="26"/>
  <c r="B66" i="29" l="1"/>
  <c r="C44" i="30" s="1"/>
  <c r="B163" i="29"/>
  <c r="B2" i="21" s="1"/>
  <c r="B17" i="29"/>
  <c r="C21" i="30" s="1"/>
  <c r="B94" i="29"/>
  <c r="V7" i="16" s="1"/>
  <c r="B179" i="29"/>
  <c r="E17" i="21" s="1"/>
  <c r="B34" i="29"/>
  <c r="B14" i="10" s="1"/>
  <c r="B117" i="29"/>
  <c r="D7" i="12" s="1"/>
  <c r="B191" i="29"/>
  <c r="F7" i="6" s="1"/>
  <c r="B53" i="29"/>
  <c r="B33" i="19" s="1"/>
  <c r="B131" i="29"/>
  <c r="E7" i="13" s="1"/>
  <c r="B211" i="29"/>
  <c r="B11" i="28" s="1"/>
  <c r="B14" i="16"/>
  <c r="B89" i="27"/>
  <c r="J6" i="12"/>
  <c r="G6" i="12"/>
  <c r="D6" i="12"/>
  <c r="B21" i="29"/>
  <c r="C25" i="30" s="1"/>
  <c r="B38" i="29"/>
  <c r="B18" i="13" s="1"/>
  <c r="B56" i="29"/>
  <c r="B5" i="22" s="1"/>
  <c r="B84" i="29"/>
  <c r="E6" i="10" s="1"/>
  <c r="B101" i="29"/>
  <c r="L69" i="16" s="1"/>
  <c r="B119" i="29"/>
  <c r="L7" i="12" s="1"/>
  <c r="B137" i="29"/>
  <c r="C7" i="15" s="1"/>
  <c r="B165" i="29"/>
  <c r="F3" i="21" s="1"/>
  <c r="B181" i="29"/>
  <c r="C7" i="22" s="1"/>
  <c r="B198" i="29"/>
  <c r="F7" i="24" s="1"/>
  <c r="B12" i="29"/>
  <c r="B13" i="30" s="1"/>
  <c r="B28" i="29"/>
  <c r="C32" i="30" s="1"/>
  <c r="B44" i="29"/>
  <c r="B24" i="20" s="1"/>
  <c r="B58" i="29"/>
  <c r="P6" i="16" s="1"/>
  <c r="B89" i="29"/>
  <c r="Q7" i="16" s="1"/>
  <c r="B109" i="29"/>
  <c r="X7" i="16" s="1"/>
  <c r="B121" i="29"/>
  <c r="C7" i="27" s="1"/>
  <c r="B150" i="29"/>
  <c r="F7" i="19" s="1"/>
  <c r="B171" i="29"/>
  <c r="D8" i="21" s="1"/>
  <c r="B183" i="29"/>
  <c r="E7" i="22" s="1"/>
  <c r="B202" i="29"/>
  <c r="I6" i="24" s="1"/>
  <c r="B16" i="29"/>
  <c r="C20" i="30" s="1"/>
  <c r="B29" i="29"/>
  <c r="B9" i="18" s="1"/>
  <c r="B45" i="29"/>
  <c r="B25" i="15" s="1"/>
  <c r="B65" i="29"/>
  <c r="D8" i="26" s="1"/>
  <c r="B93" i="29"/>
  <c r="U7" i="16" s="1"/>
  <c r="B110" i="29"/>
  <c r="Y7" i="16" s="1"/>
  <c r="B125" i="29"/>
  <c r="H9" i="27" s="1"/>
  <c r="H65" i="27" s="1"/>
  <c r="B159" i="29"/>
  <c r="I7" i="20" s="1"/>
  <c r="B173" i="29"/>
  <c r="D11" i="21" s="1"/>
  <c r="B185" i="29"/>
  <c r="G7" i="22" s="1"/>
  <c r="B205" i="29"/>
  <c r="B4" i="28" s="1"/>
  <c r="F7" i="20"/>
  <c r="V62" i="16"/>
  <c r="V59" i="16"/>
  <c r="V57" i="16"/>
  <c r="V56" i="16"/>
  <c r="V53" i="16"/>
  <c r="V52" i="16"/>
  <c r="V51" i="16"/>
  <c r="V48" i="16"/>
  <c r="V47" i="16"/>
  <c r="V50" i="16"/>
  <c r="V49" i="16"/>
  <c r="V44" i="16"/>
  <c r="V41" i="16"/>
  <c r="G204" i="29"/>
  <c r="D204" i="29"/>
  <c r="E187" i="29"/>
  <c r="F180" i="29"/>
  <c r="G178" i="29"/>
  <c r="F167" i="29"/>
  <c r="G162" i="29"/>
  <c r="G155" i="29"/>
  <c r="D149" i="29"/>
  <c r="D148" i="29"/>
  <c r="G146" i="29"/>
  <c r="E136" i="29"/>
  <c r="E120" i="29"/>
  <c r="D100" i="29"/>
  <c r="D99" i="29"/>
  <c r="E80" i="29"/>
  <c r="G72" i="29"/>
  <c r="E71" i="29"/>
  <c r="E70" i="29"/>
  <c r="G13" i="29"/>
  <c r="J8" i="28"/>
  <c r="G7" i="28"/>
  <c r="G8" i="28" s="1"/>
  <c r="G3" i="28"/>
  <c r="E7" i="20"/>
  <c r="H7" i="20" s="1"/>
  <c r="E7" i="18"/>
  <c r="F194" i="29"/>
  <c r="F187" i="29"/>
  <c r="E180" i="29"/>
  <c r="D178" i="29"/>
  <c r="B178" i="29" s="1"/>
  <c r="D15" i="21" s="1"/>
  <c r="G167" i="29"/>
  <c r="F162" i="29"/>
  <c r="E156" i="29"/>
  <c r="F147" i="29"/>
  <c r="D128" i="29"/>
  <c r="D120" i="29"/>
  <c r="B120" i="29" s="1"/>
  <c r="B1" i="27" s="1"/>
  <c r="E115" i="29"/>
  <c r="F98" i="29"/>
  <c r="D96" i="29"/>
  <c r="F87" i="29"/>
  <c r="E72" i="29"/>
  <c r="G70" i="29"/>
  <c r="F13" i="29"/>
  <c r="F7" i="18"/>
  <c r="Z35" i="16"/>
  <c r="D194" i="29"/>
  <c r="B194" i="29" s="1"/>
  <c r="B1" i="24" s="1"/>
  <c r="D180" i="29"/>
  <c r="B180" i="29" s="1"/>
  <c r="B1" i="22" s="1"/>
  <c r="E167" i="29"/>
  <c r="D162" i="29"/>
  <c r="B162" i="29" s="1"/>
  <c r="B1" i="21" s="1"/>
  <c r="D156" i="29"/>
  <c r="F148" i="29"/>
  <c r="E147" i="29"/>
  <c r="G143" i="29"/>
  <c r="D115" i="29"/>
  <c r="B115" i="29" s="1"/>
  <c r="B1" i="12" s="1"/>
  <c r="F99" i="29"/>
  <c r="E98" i="29"/>
  <c r="E87" i="29"/>
  <c r="D13" i="29"/>
  <c r="D71" i="29"/>
  <c r="B71" i="29" s="1"/>
  <c r="F74" i="29"/>
  <c r="G80" i="29"/>
  <c r="G98" i="29"/>
  <c r="D136" i="29"/>
  <c r="B136" i="29" s="1"/>
  <c r="B1" i="15" s="1"/>
  <c r="F143" i="29"/>
  <c r="E148" i="29"/>
  <c r="E155" i="29"/>
  <c r="F178" i="29"/>
  <c r="H65" i="10"/>
  <c r="N24" i="16"/>
  <c r="V43" i="16"/>
  <c r="V45" i="16"/>
  <c r="V54" i="16"/>
  <c r="D7" i="20"/>
  <c r="G7" i="20" s="1"/>
  <c r="B53" i="27"/>
  <c r="F71" i="29"/>
  <c r="G74" i="29"/>
  <c r="E99" i="29"/>
  <c r="E128" i="29"/>
  <c r="F136" i="29"/>
  <c r="D146" i="29"/>
  <c r="E149" i="29"/>
  <c r="F155" i="29"/>
  <c r="G187" i="29"/>
  <c r="H9" i="10"/>
  <c r="V12" i="16"/>
  <c r="N26" i="16"/>
  <c r="V15" i="16" s="1"/>
  <c r="T31" i="16"/>
  <c r="V38" i="16"/>
  <c r="D13" i="6"/>
  <c r="D13" i="22"/>
  <c r="C35" i="18"/>
  <c r="E19" i="24"/>
  <c r="H3" i="28"/>
  <c r="B14" i="6"/>
  <c r="B14" i="18"/>
  <c r="B89" i="13"/>
  <c r="D72" i="29"/>
  <c r="D87" i="29"/>
  <c r="B87" i="29" s="1"/>
  <c r="B1" i="16" s="1"/>
  <c r="P1" i="16" s="1"/>
  <c r="E96" i="29"/>
  <c r="E100" i="29"/>
  <c r="F120" i="29"/>
  <c r="F128" i="29"/>
  <c r="F146" i="29"/>
  <c r="G149" i="29"/>
  <c r="F156" i="29"/>
  <c r="E204" i="29"/>
  <c r="B25" i="26"/>
  <c r="B61" i="10"/>
  <c r="V40" i="16"/>
  <c r="V42" i="16"/>
  <c r="V46" i="16"/>
  <c r="T46" i="16"/>
  <c r="T42" i="16"/>
  <c r="T41" i="16"/>
  <c r="T59" i="16"/>
  <c r="T55" i="16"/>
  <c r="V55" i="16"/>
  <c r="T57" i="16"/>
  <c r="V60" i="16"/>
  <c r="V61" i="16"/>
  <c r="P89" i="16"/>
  <c r="B14" i="12"/>
  <c r="B42" i="13"/>
  <c r="E35" i="15"/>
  <c r="C7" i="18"/>
  <c r="D35" i="20"/>
  <c r="D18" i="6"/>
  <c r="E26" i="24"/>
  <c r="I3" i="28"/>
  <c r="F70" i="29"/>
  <c r="E74" i="29"/>
  <c r="D80" i="29"/>
  <c r="B80" i="29" s="1"/>
  <c r="B1" i="10" s="1"/>
  <c r="G96" i="29"/>
  <c r="G100" i="29"/>
  <c r="F115" i="29"/>
  <c r="E143" i="29"/>
  <c r="G147" i="29"/>
  <c r="G194" i="29"/>
  <c r="F204" i="29"/>
  <c r="V90" i="16"/>
  <c r="V81" i="16"/>
  <c r="V77" i="16"/>
  <c r="V73" i="16"/>
  <c r="V67" i="16"/>
  <c r="V89" i="16"/>
  <c r="D22" i="6"/>
  <c r="E22" i="24"/>
  <c r="D16" i="6"/>
  <c r="B206" i="29"/>
  <c r="B5" i="28" s="1"/>
  <c r="B197" i="29"/>
  <c r="E7" i="24" s="1"/>
  <c r="B193" i="29"/>
  <c r="C37" i="6" s="1"/>
  <c r="B175" i="29"/>
  <c r="D13" i="21" s="1"/>
  <c r="B157" i="29"/>
  <c r="D6" i="20" s="1"/>
  <c r="B151" i="29"/>
  <c r="G7" i="19" s="1"/>
  <c r="B145" i="29"/>
  <c r="F6" i="18" s="1"/>
  <c r="B139" i="29"/>
  <c r="E7" i="15" s="1"/>
  <c r="B130" i="29"/>
  <c r="D7" i="13" s="1"/>
  <c r="B126" i="29"/>
  <c r="H10" i="27" s="1"/>
  <c r="H38" i="27" s="1"/>
  <c r="B116" i="29"/>
  <c r="B114" i="29"/>
  <c r="AA5" i="16" s="1"/>
  <c r="B104" i="29"/>
  <c r="L17" i="16" s="1"/>
  <c r="B97" i="29"/>
  <c r="L8" i="16" s="1"/>
  <c r="B96" i="29"/>
  <c r="L7" i="16" s="1"/>
  <c r="B88" i="29"/>
  <c r="C3" i="16" s="1"/>
  <c r="B86" i="29"/>
  <c r="H8" i="10" s="1"/>
  <c r="B76" i="29"/>
  <c r="C7" i="26" s="1"/>
  <c r="B60" i="29"/>
  <c r="F8" i="16" s="1"/>
  <c r="B50" i="29"/>
  <c r="B30" i="26" s="1"/>
  <c r="B42" i="29"/>
  <c r="B22" i="20" s="1"/>
  <c r="B32" i="29"/>
  <c r="B68" i="15" s="1"/>
  <c r="B22" i="29"/>
  <c r="C26" i="30" s="1"/>
  <c r="B10" i="29"/>
  <c r="E1" i="30" s="1"/>
  <c r="B24" i="29"/>
  <c r="C28" i="30" s="1"/>
  <c r="B37" i="29"/>
  <c r="B17" i="24" s="1"/>
  <c r="B49" i="29"/>
  <c r="P29" i="16" s="1"/>
  <c r="B64" i="29"/>
  <c r="B77" i="29"/>
  <c r="D7" i="26" s="1"/>
  <c r="B81" i="29"/>
  <c r="C6" i="10" s="1"/>
  <c r="B100" i="29"/>
  <c r="L67" i="16" s="1"/>
  <c r="B106" i="29"/>
  <c r="B135" i="29"/>
  <c r="I7" i="13" s="1"/>
  <c r="B138" i="29"/>
  <c r="D7" i="15" s="1"/>
  <c r="B146" i="29"/>
  <c r="B1" i="19" s="1"/>
  <c r="B149" i="29"/>
  <c r="E7" i="19" s="1"/>
  <c r="B154" i="29"/>
  <c r="I6" i="19" s="1"/>
  <c r="B203" i="29"/>
  <c r="B37" i="24" s="1"/>
  <c r="B210" i="29"/>
  <c r="B10" i="28" s="1"/>
  <c r="B81" i="13"/>
  <c r="P81" i="16"/>
  <c r="B6" i="6"/>
  <c r="B4" i="18"/>
  <c r="G7" i="16"/>
  <c r="B57" i="27"/>
  <c r="B29" i="6"/>
  <c r="B78" i="10"/>
  <c r="B42" i="16"/>
  <c r="B14" i="15"/>
  <c r="B42" i="15"/>
  <c r="B89" i="15"/>
  <c r="F8" i="22"/>
  <c r="B33" i="22"/>
  <c r="B78" i="13"/>
  <c r="B70" i="10"/>
  <c r="P70" i="16"/>
  <c r="C7" i="12"/>
  <c r="B42" i="27"/>
  <c r="B70" i="27"/>
  <c r="B61" i="13"/>
  <c r="B80" i="15"/>
  <c r="B14" i="24"/>
  <c r="C20" i="15"/>
  <c r="C25" i="15"/>
  <c r="C41" i="15"/>
  <c r="C46" i="15"/>
  <c r="C76" i="15"/>
  <c r="C79" i="15"/>
  <c r="C81" i="15"/>
  <c r="T89" i="16"/>
  <c r="T85" i="16"/>
  <c r="T82" i="16"/>
  <c r="T74" i="16"/>
  <c r="T72" i="16"/>
  <c r="T70" i="16"/>
  <c r="T68" i="16"/>
  <c r="T90" i="16"/>
  <c r="T83" i="16"/>
  <c r="T78" i="16"/>
  <c r="T65" i="16"/>
  <c r="T86" i="16"/>
  <c r="T79" i="16"/>
  <c r="T75" i="16"/>
  <c r="T88" i="16"/>
  <c r="T87" i="16"/>
  <c r="T84" i="16"/>
  <c r="T77" i="16"/>
  <c r="T76" i="16"/>
  <c r="T73" i="16"/>
  <c r="T69" i="16"/>
  <c r="T81" i="16"/>
  <c r="E10" i="24"/>
  <c r="D10" i="22"/>
  <c r="D10" i="6"/>
  <c r="D23" i="6"/>
  <c r="E23" i="24"/>
  <c r="D23" i="22"/>
  <c r="C10" i="15"/>
  <c r="E35" i="10"/>
  <c r="N15" i="16" s="1"/>
  <c r="N17" i="16" s="1"/>
  <c r="C13" i="15"/>
  <c r="C21" i="15"/>
  <c r="C55" i="15"/>
  <c r="C58" i="15"/>
  <c r="C66" i="15"/>
  <c r="E91" i="10"/>
  <c r="N71" i="16" s="1"/>
  <c r="N73" i="16" s="1"/>
  <c r="C69" i="15"/>
  <c r="C77" i="15"/>
  <c r="C84" i="15"/>
  <c r="C86" i="15"/>
  <c r="H37" i="27"/>
  <c r="C18" i="15"/>
  <c r="C34" i="15"/>
  <c r="C37" i="15"/>
  <c r="E63" i="10"/>
  <c r="N43" i="16" s="1"/>
  <c r="N45" i="16" s="1"/>
  <c r="C48" i="15"/>
  <c r="C56" i="15"/>
  <c r="C67" i="15"/>
  <c r="C72" i="15"/>
  <c r="C74" i="15"/>
  <c r="V31" i="16"/>
  <c r="V27" i="16"/>
  <c r="V33" i="16"/>
  <c r="V28" i="16"/>
  <c r="V11" i="16"/>
  <c r="V34" i="16"/>
  <c r="V22" i="16"/>
  <c r="V17" i="16"/>
  <c r="T67" i="16"/>
  <c r="T71" i="16"/>
  <c r="T80" i="16"/>
  <c r="C43" i="15"/>
  <c r="C53" i="15"/>
  <c r="C88" i="15"/>
  <c r="V9" i="16"/>
  <c r="E91" i="15"/>
  <c r="E91" i="13"/>
  <c r="E29" i="24"/>
  <c r="D29" i="6"/>
  <c r="D29" i="22"/>
  <c r="D15" i="6"/>
  <c r="D15" i="22"/>
  <c r="E15" i="24"/>
  <c r="D17" i="6"/>
  <c r="D17" i="22"/>
  <c r="E17" i="24"/>
  <c r="D25" i="6"/>
  <c r="D25" i="22"/>
  <c r="E25" i="24"/>
  <c r="C42" i="15"/>
  <c r="C54" i="15"/>
  <c r="C62" i="15"/>
  <c r="C75" i="15"/>
  <c r="C82" i="15"/>
  <c r="C87" i="15"/>
  <c r="T26" i="16"/>
  <c r="T12" i="16"/>
  <c r="J35" i="16"/>
  <c r="T60" i="16"/>
  <c r="T56" i="16"/>
  <c r="T51" i="16"/>
  <c r="T49" i="16"/>
  <c r="T45" i="16"/>
  <c r="T43" i="16"/>
  <c r="T39" i="16"/>
  <c r="T37" i="16"/>
  <c r="T52" i="16"/>
  <c r="T54" i="16"/>
  <c r="E91" i="27"/>
  <c r="F65" i="15"/>
  <c r="F91" i="15" s="1"/>
  <c r="C33" i="15"/>
  <c r="E13" i="24"/>
  <c r="B22" i="26"/>
  <c r="B30" i="22"/>
  <c r="D8" i="24"/>
  <c r="G8" i="6"/>
  <c r="C38" i="15"/>
  <c r="C50" i="15"/>
  <c r="C57" i="15"/>
  <c r="C60" i="15"/>
  <c r="C68" i="15"/>
  <c r="C73" i="15"/>
  <c r="C78" i="15"/>
  <c r="T38" i="16"/>
  <c r="T48" i="16"/>
  <c r="T58" i="16"/>
  <c r="T62" i="16"/>
  <c r="V87" i="16"/>
  <c r="V83" i="16"/>
  <c r="V80" i="16"/>
  <c r="V69" i="16"/>
  <c r="V88" i="16"/>
  <c r="V79" i="16"/>
  <c r="V75" i="16"/>
  <c r="V71" i="16"/>
  <c r="V70" i="16"/>
  <c r="V82" i="16"/>
  <c r="V84" i="16"/>
  <c r="E37" i="15"/>
  <c r="E63" i="15" s="1"/>
  <c r="G35" i="12"/>
  <c r="F35" i="15"/>
  <c r="E63" i="13"/>
  <c r="C17" i="15"/>
  <c r="C89" i="15"/>
  <c r="E21" i="24"/>
  <c r="D21" i="6"/>
  <c r="D21" i="22"/>
  <c r="D27" i="6"/>
  <c r="E27" i="24"/>
  <c r="D27" i="22"/>
  <c r="E12" i="24"/>
  <c r="D12" i="22"/>
  <c r="D12" i="6"/>
  <c r="F37" i="15"/>
  <c r="F63" i="15" s="1"/>
  <c r="E63" i="27"/>
  <c r="D11" i="6"/>
  <c r="E11" i="24"/>
  <c r="D11" i="22"/>
  <c r="D31" i="6"/>
  <c r="D31" i="22"/>
  <c r="E31" i="24"/>
  <c r="V58" i="16"/>
  <c r="V63" i="16" s="1"/>
  <c r="E35" i="27"/>
  <c r="G9" i="19"/>
  <c r="F35" i="18"/>
  <c r="J10" i="28" s="1"/>
  <c r="D33" i="6"/>
  <c r="E33" i="24"/>
  <c r="D33" i="22"/>
  <c r="D19" i="22"/>
  <c r="E18" i="24"/>
  <c r="E14" i="24"/>
  <c r="D14" i="6"/>
  <c r="E24" i="24"/>
  <c r="D24" i="22"/>
  <c r="D30" i="6"/>
  <c r="D30" i="22"/>
  <c r="D32" i="6"/>
  <c r="E32" i="24"/>
  <c r="E34" i="24"/>
  <c r="D34" i="22"/>
  <c r="D34" i="6"/>
  <c r="D20" i="22"/>
  <c r="D28" i="22"/>
  <c r="D20" i="6"/>
  <c r="D26" i="6"/>
  <c r="B212" i="29"/>
  <c r="B12" i="28" s="1"/>
  <c r="B208" i="29"/>
  <c r="B7" i="28" s="1"/>
  <c r="B204" i="29"/>
  <c r="B1" i="28" s="1"/>
  <c r="B200" i="29"/>
  <c r="H7" i="24" s="1"/>
  <c r="B196" i="29"/>
  <c r="D7" i="24" s="1"/>
  <c r="B192" i="29"/>
  <c r="G7" i="6" s="1"/>
  <c r="B188" i="29"/>
  <c r="C7" i="6" s="1"/>
  <c r="B184" i="29"/>
  <c r="F7" i="22" s="1"/>
  <c r="B176" i="29"/>
  <c r="C11" i="21" s="1"/>
  <c r="B172" i="29"/>
  <c r="D9" i="21" s="1"/>
  <c r="B168" i="29"/>
  <c r="D5" i="21" s="1"/>
  <c r="B164" i="29"/>
  <c r="E3" i="21" s="1"/>
  <c r="B160" i="29"/>
  <c r="F36" i="20" s="1"/>
  <c r="B156" i="29"/>
  <c r="C6" i="20" s="1"/>
  <c r="B152" i="29"/>
  <c r="H7" i="19" s="1"/>
  <c r="B148" i="29"/>
  <c r="D7" i="19" s="1"/>
  <c r="B144" i="29"/>
  <c r="C6" i="18" s="1"/>
  <c r="B140" i="29"/>
  <c r="F7" i="15" s="1"/>
  <c r="B132" i="29"/>
  <c r="F7" i="13" s="1"/>
  <c r="B128" i="29"/>
  <c r="B1" i="13" s="1"/>
  <c r="B124" i="29"/>
  <c r="H7" i="27" s="1"/>
  <c r="B111" i="29"/>
  <c r="Z6" i="16" s="1"/>
  <c r="B107" i="29"/>
  <c r="B103" i="29"/>
  <c r="B99" i="29"/>
  <c r="L39" i="16" s="1"/>
  <c r="B95" i="29"/>
  <c r="B91" i="29"/>
  <c r="B83" i="29"/>
  <c r="D7" i="10" s="1"/>
  <c r="B79" i="29"/>
  <c r="B36" i="26" s="1"/>
  <c r="B75" i="29"/>
  <c r="B6" i="26" s="1"/>
  <c r="B67" i="29"/>
  <c r="C45" i="30" s="1"/>
  <c r="B63" i="29"/>
  <c r="B59" i="29"/>
  <c r="B55" i="29"/>
  <c r="B51" i="29"/>
  <c r="B47" i="29"/>
  <c r="B43" i="29"/>
  <c r="B39" i="29"/>
  <c r="B35" i="29"/>
  <c r="B31" i="29"/>
  <c r="B27" i="29"/>
  <c r="C31" i="30" s="1"/>
  <c r="B23" i="29"/>
  <c r="C27" i="30" s="1"/>
  <c r="B19" i="29"/>
  <c r="C23" i="30" s="1"/>
  <c r="B15" i="29"/>
  <c r="C19" i="30" s="1"/>
  <c r="B11" i="29"/>
  <c r="E2" i="30" s="1"/>
  <c r="B213" i="29"/>
  <c r="B13" i="28" s="1"/>
  <c r="B207" i="29"/>
  <c r="B6" i="28" s="1"/>
  <c r="B201" i="29"/>
  <c r="I7" i="24" s="1"/>
  <c r="B195" i="29"/>
  <c r="C7" i="24" s="1"/>
  <c r="B189" i="29"/>
  <c r="D7" i="6" s="1"/>
  <c r="B182" i="29"/>
  <c r="D7" i="22" s="1"/>
  <c r="B174" i="29"/>
  <c r="D12" i="21" s="1"/>
  <c r="B169" i="29"/>
  <c r="D6" i="21" s="1"/>
  <c r="B161" i="29"/>
  <c r="I36" i="20" s="1"/>
  <c r="B153" i="29"/>
  <c r="I7" i="19" s="1"/>
  <c r="B141" i="29"/>
  <c r="G7" i="15" s="1"/>
  <c r="B134" i="29"/>
  <c r="H7" i="13" s="1"/>
  <c r="B129" i="29"/>
  <c r="C7" i="13" s="1"/>
  <c r="B127" i="29"/>
  <c r="H11" i="27" s="1"/>
  <c r="B122" i="29"/>
  <c r="D7" i="27" s="1"/>
  <c r="B113" i="29"/>
  <c r="Q3" i="16" s="1"/>
  <c r="B108" i="29"/>
  <c r="B102" i="29"/>
  <c r="B92" i="29"/>
  <c r="B85" i="29"/>
  <c r="H6" i="10" s="1"/>
  <c r="B78" i="29"/>
  <c r="E8" i="26" s="1"/>
  <c r="B68" i="29"/>
  <c r="C46" i="30" s="1"/>
  <c r="B62" i="29"/>
  <c r="B57" i="29"/>
  <c r="B52" i="29"/>
  <c r="B46" i="29"/>
  <c r="B41" i="29"/>
  <c r="B36" i="29"/>
  <c r="B30" i="29"/>
  <c r="B25" i="29"/>
  <c r="C29" i="30" s="1"/>
  <c r="B20" i="29"/>
  <c r="C24" i="30" s="1"/>
  <c r="B14" i="29"/>
  <c r="C17" i="30" s="1"/>
  <c r="B13" i="29"/>
  <c r="B14" i="30" s="1"/>
  <c r="B18" i="29"/>
  <c r="C22" i="30" s="1"/>
  <c r="B26" i="29"/>
  <c r="C30" i="30" s="1"/>
  <c r="B33" i="29"/>
  <c r="B40" i="29"/>
  <c r="B48" i="29"/>
  <c r="B54" i="29"/>
  <c r="B61" i="29"/>
  <c r="B69" i="29"/>
  <c r="B72" i="29"/>
  <c r="B73" i="29"/>
  <c r="A2" i="26" s="1"/>
  <c r="B82" i="29"/>
  <c r="C7" i="10" s="1"/>
  <c r="B90" i="29"/>
  <c r="B105" i="29"/>
  <c r="B112" i="29"/>
  <c r="AA6" i="16" s="1"/>
  <c r="B123" i="29"/>
  <c r="E7" i="27" s="1"/>
  <c r="B133" i="29"/>
  <c r="G7" i="13" s="1"/>
  <c r="B142" i="29"/>
  <c r="H7" i="15" s="1"/>
  <c r="B158" i="29"/>
  <c r="G6" i="20" s="1"/>
  <c r="B166" i="29"/>
  <c r="G3" i="21" s="1"/>
  <c r="B170" i="29"/>
  <c r="D7" i="21" s="1"/>
  <c r="B177" i="29"/>
  <c r="C12" i="21" s="1"/>
  <c r="B186" i="29"/>
  <c r="G6" i="22" s="1"/>
  <c r="B190" i="29"/>
  <c r="E7" i="6" s="1"/>
  <c r="B199" i="29"/>
  <c r="G7" i="24" s="1"/>
  <c r="B209" i="29"/>
  <c r="B8" i="28" s="1"/>
  <c r="E13" i="29"/>
  <c r="D70" i="29"/>
  <c r="B70" i="29" s="1"/>
  <c r="G71" i="29"/>
  <c r="F72" i="29"/>
  <c r="D74" i="29"/>
  <c r="B74" i="29" s="1"/>
  <c r="A3" i="26" s="1"/>
  <c r="F80" i="29"/>
  <c r="G87" i="29"/>
  <c r="F96" i="29"/>
  <c r="D98" i="29"/>
  <c r="B98" i="29" s="1"/>
  <c r="L11" i="16" s="1"/>
  <c r="G99" i="29"/>
  <c r="F100" i="29"/>
  <c r="G115" i="29"/>
  <c r="G120" i="29"/>
  <c r="G128" i="29"/>
  <c r="G136" i="29"/>
  <c r="D143" i="29"/>
  <c r="B143" i="29" s="1"/>
  <c r="B1" i="18" s="1"/>
  <c r="E146" i="29"/>
  <c r="D147" i="29"/>
  <c r="B147" i="29" s="1"/>
  <c r="C7" i="19" s="1"/>
  <c r="G148" i="29"/>
  <c r="F149" i="29"/>
  <c r="D155" i="29"/>
  <c r="B155" i="29" s="1"/>
  <c r="B1" i="20" s="1"/>
  <c r="G156" i="29"/>
  <c r="E162" i="29"/>
  <c r="D167" i="29"/>
  <c r="B167" i="29" s="1"/>
  <c r="D4" i="21" s="1"/>
  <c r="E178" i="29"/>
  <c r="G180" i="29"/>
  <c r="D187" i="29"/>
  <c r="B187" i="29" s="1"/>
  <c r="B1" i="6" s="1"/>
  <c r="E194" i="29"/>
  <c r="B53" i="10" l="1"/>
  <c r="B81" i="15"/>
  <c r="B25" i="18"/>
  <c r="B25" i="19"/>
  <c r="B68" i="13"/>
  <c r="P22" i="16"/>
  <c r="B9" i="16"/>
  <c r="B4" i="16"/>
  <c r="B5" i="24"/>
  <c r="B81" i="10"/>
  <c r="P73" i="16"/>
  <c r="B81" i="27"/>
  <c r="B25" i="16"/>
  <c r="B25" i="10"/>
  <c r="B25" i="6"/>
  <c r="G7" i="12"/>
  <c r="B70" i="13"/>
  <c r="B14" i="27"/>
  <c r="P14" i="16"/>
  <c r="B14" i="13"/>
  <c r="B6" i="15"/>
  <c r="B25" i="22"/>
  <c r="B25" i="13"/>
  <c r="B53" i="15"/>
  <c r="B25" i="27"/>
  <c r="B53" i="13"/>
  <c r="L76" i="16"/>
  <c r="B81" i="16"/>
  <c r="B33" i="6"/>
  <c r="B61" i="15"/>
  <c r="B61" i="27"/>
  <c r="P33" i="16"/>
  <c r="B33" i="20"/>
  <c r="B33" i="15"/>
  <c r="B89" i="10"/>
  <c r="B33" i="16"/>
  <c r="B33" i="24"/>
  <c r="G8" i="22"/>
  <c r="P61" i="16"/>
  <c r="B33" i="26"/>
  <c r="B33" i="18"/>
  <c r="B33" i="27"/>
  <c r="B29" i="27"/>
  <c r="P4" i="16"/>
  <c r="B5" i="20"/>
  <c r="L48" i="16"/>
  <c r="L20" i="16"/>
  <c r="B33" i="12"/>
  <c r="B18" i="24"/>
  <c r="B86" i="16"/>
  <c r="D8" i="16"/>
  <c r="H8" i="19"/>
  <c r="B30" i="13"/>
  <c r="B30" i="18"/>
  <c r="B89" i="16"/>
  <c r="B29" i="10"/>
  <c r="B5" i="27"/>
  <c r="P25" i="16"/>
  <c r="B53" i="16"/>
  <c r="B25" i="24"/>
  <c r="B18" i="19"/>
  <c r="J7" i="16"/>
  <c r="B33" i="13"/>
  <c r="B6" i="16"/>
  <c r="C7" i="16"/>
  <c r="B22" i="19"/>
  <c r="B9" i="13"/>
  <c r="B24" i="22"/>
  <c r="P24" i="16"/>
  <c r="B24" i="6"/>
  <c r="P50" i="16"/>
  <c r="H7" i="16"/>
  <c r="B30" i="6"/>
  <c r="B22" i="22"/>
  <c r="B24" i="27"/>
  <c r="P78" i="16"/>
  <c r="B9" i="22"/>
  <c r="P65" i="16"/>
  <c r="B37" i="10"/>
  <c r="B80" i="10"/>
  <c r="J7" i="12"/>
  <c r="B14" i="19"/>
  <c r="B14" i="26"/>
  <c r="B29" i="24"/>
  <c r="G8" i="16"/>
  <c r="E11" i="28"/>
  <c r="B50" i="15"/>
  <c r="B14" i="22"/>
  <c r="B52" i="13"/>
  <c r="B24" i="12"/>
  <c r="B30" i="16"/>
  <c r="B14" i="20"/>
  <c r="B80" i="27"/>
  <c r="B65" i="10"/>
  <c r="B70" i="15"/>
  <c r="B70" i="16"/>
  <c r="B9" i="20"/>
  <c r="B42" i="10"/>
  <c r="P42" i="16"/>
  <c r="B61" i="16"/>
  <c r="B33" i="10"/>
  <c r="B46" i="15"/>
  <c r="B18" i="27"/>
  <c r="B18" i="16"/>
  <c r="B74" i="15"/>
  <c r="B74" i="27"/>
  <c r="B18" i="18"/>
  <c r="B18" i="15"/>
  <c r="B74" i="16"/>
  <c r="B18" i="10"/>
  <c r="B24" i="24"/>
  <c r="B9" i="6"/>
  <c r="B12" i="22"/>
  <c r="B24" i="15"/>
  <c r="B52" i="16"/>
  <c r="B65" i="27"/>
  <c r="B46" i="16"/>
  <c r="B9" i="10"/>
  <c r="B37" i="15"/>
  <c r="B37" i="16"/>
  <c r="B46" i="10"/>
  <c r="B73" i="16"/>
  <c r="P46" i="16"/>
  <c r="B18" i="22"/>
  <c r="B24" i="19"/>
  <c r="B65" i="15"/>
  <c r="B9" i="26"/>
  <c r="P52" i="16"/>
  <c r="B9" i="24"/>
  <c r="B22" i="13"/>
  <c r="B22" i="24"/>
  <c r="B9" i="19"/>
  <c r="P80" i="16"/>
  <c r="B52" i="27"/>
  <c r="B24" i="10"/>
  <c r="B18" i="20"/>
  <c r="B37" i="27"/>
  <c r="L41" i="16"/>
  <c r="B18" i="26"/>
  <c r="B9" i="15"/>
  <c r="P18" i="16"/>
  <c r="B17" i="15"/>
  <c r="B46" i="13"/>
  <c r="B52" i="15"/>
  <c r="P9" i="16"/>
  <c r="B80" i="13"/>
  <c r="B52" i="10"/>
  <c r="B24" i="13"/>
  <c r="B37" i="13"/>
  <c r="B18" i="6"/>
  <c r="L13" i="16"/>
  <c r="B22" i="12"/>
  <c r="B22" i="18"/>
  <c r="P12" i="16"/>
  <c r="B24" i="18"/>
  <c r="B24" i="16"/>
  <c r="B78" i="15"/>
  <c r="B80" i="16"/>
  <c r="B24" i="26"/>
  <c r="B65" i="13"/>
  <c r="B18" i="12"/>
  <c r="B74" i="13"/>
  <c r="P74" i="16"/>
  <c r="B74" i="10"/>
  <c r="B46" i="27"/>
  <c r="B9" i="12"/>
  <c r="P37" i="16"/>
  <c r="B65" i="16"/>
  <c r="B9" i="27"/>
  <c r="B25" i="12"/>
  <c r="B25" i="20"/>
  <c r="P53" i="16"/>
  <c r="B5" i="13"/>
  <c r="B4" i="10"/>
  <c r="B5" i="12"/>
  <c r="B5" i="19"/>
  <c r="B12" i="15"/>
  <c r="B22" i="16"/>
  <c r="B50" i="13"/>
  <c r="B78" i="27"/>
  <c r="B22" i="15"/>
  <c r="B22" i="6"/>
  <c r="B40" i="10"/>
  <c r="P68" i="16"/>
  <c r="B12" i="20"/>
  <c r="B12" i="10"/>
  <c r="P17" i="16"/>
  <c r="B17" i="22"/>
  <c r="B73" i="27"/>
  <c r="B12" i="16"/>
  <c r="B12" i="12"/>
  <c r="B12" i="18"/>
  <c r="B12" i="6"/>
  <c r="B17" i="6"/>
  <c r="B17" i="18"/>
  <c r="B17" i="12"/>
  <c r="B45" i="15"/>
  <c r="B22" i="27"/>
  <c r="B50" i="10"/>
  <c r="B50" i="27"/>
  <c r="B12" i="26"/>
  <c r="B12" i="24"/>
  <c r="B12" i="19"/>
  <c r="B68" i="27"/>
  <c r="H66" i="27"/>
  <c r="B17" i="10"/>
  <c r="B17" i="20"/>
  <c r="B17" i="27"/>
  <c r="V91" i="16"/>
  <c r="N76" i="16"/>
  <c r="N48" i="16"/>
  <c r="N20" i="16"/>
  <c r="E13" i="28"/>
  <c r="I8" i="20"/>
  <c r="F8" i="20"/>
  <c r="B30" i="15"/>
  <c r="P30" i="16"/>
  <c r="B86" i="27"/>
  <c r="B30" i="10"/>
  <c r="T27" i="16"/>
  <c r="T25" i="16"/>
  <c r="T19" i="16"/>
  <c r="T17" i="16"/>
  <c r="T11" i="16"/>
  <c r="T9" i="16"/>
  <c r="T35" i="16" s="1"/>
  <c r="T34" i="16"/>
  <c r="J11" i="28"/>
  <c r="T32" i="16"/>
  <c r="T20" i="16"/>
  <c r="B30" i="12"/>
  <c r="B58" i="10"/>
  <c r="B86" i="13"/>
  <c r="B58" i="27"/>
  <c r="B30" i="24"/>
  <c r="T14" i="16"/>
  <c r="T29" i="16"/>
  <c r="P58" i="16"/>
  <c r="B86" i="10"/>
  <c r="B29" i="19"/>
  <c r="B29" i="18"/>
  <c r="B57" i="10"/>
  <c r="B85" i="13"/>
  <c r="B57" i="13"/>
  <c r="B85" i="16"/>
  <c r="B85" i="10"/>
  <c r="B57" i="15"/>
  <c r="B29" i="13"/>
  <c r="B29" i="16"/>
  <c r="B29" i="20"/>
  <c r="B57" i="16"/>
  <c r="B29" i="26"/>
  <c r="H8" i="16"/>
  <c r="E8" i="16"/>
  <c r="I8" i="10"/>
  <c r="I7" i="12"/>
  <c r="F7" i="12"/>
  <c r="V10" i="16"/>
  <c r="T22" i="16"/>
  <c r="T30" i="16"/>
  <c r="T15" i="16"/>
  <c r="T10" i="16"/>
  <c r="H8" i="24"/>
  <c r="F8" i="24"/>
  <c r="F8" i="6"/>
  <c r="B30" i="27"/>
  <c r="B58" i="16"/>
  <c r="B58" i="15"/>
  <c r="B58" i="13"/>
  <c r="T28" i="16"/>
  <c r="T16" i="16"/>
  <c r="T33" i="16"/>
  <c r="V26" i="16"/>
  <c r="V21" i="16"/>
  <c r="V13" i="16"/>
  <c r="J8" i="16"/>
  <c r="B85" i="15"/>
  <c r="B29" i="12"/>
  <c r="P57" i="16"/>
  <c r="P45" i="16"/>
  <c r="B17" i="13"/>
  <c r="B73" i="15"/>
  <c r="B17" i="16"/>
  <c r="B73" i="13"/>
  <c r="B73" i="10"/>
  <c r="B45" i="10"/>
  <c r="B40" i="15"/>
  <c r="B68" i="16"/>
  <c r="V23" i="16"/>
  <c r="V20" i="16"/>
  <c r="V18" i="16"/>
  <c r="J3" i="28"/>
  <c r="B29" i="22"/>
  <c r="T23" i="16"/>
  <c r="T13" i="16"/>
  <c r="I8" i="16"/>
  <c r="C8" i="16"/>
  <c r="E12" i="28"/>
  <c r="G8" i="24"/>
  <c r="B30" i="20"/>
  <c r="P86" i="16"/>
  <c r="B86" i="15"/>
  <c r="B30" i="19"/>
  <c r="B12" i="27"/>
  <c r="B12" i="13"/>
  <c r="B40" i="27"/>
  <c r="B40" i="13"/>
  <c r="T24" i="16"/>
  <c r="T18" i="16"/>
  <c r="V30" i="16"/>
  <c r="V16" i="16"/>
  <c r="V29" i="16"/>
  <c r="V25" i="16"/>
  <c r="V24" i="16"/>
  <c r="B40" i="16"/>
  <c r="B68" i="10"/>
  <c r="P40" i="16"/>
  <c r="B29" i="15"/>
  <c r="B85" i="27"/>
  <c r="P85" i="16"/>
  <c r="B17" i="26"/>
  <c r="B45" i="13"/>
  <c r="B45" i="16"/>
  <c r="B45" i="27"/>
  <c r="B17" i="19"/>
  <c r="B78" i="16"/>
  <c r="B22" i="10"/>
  <c r="B50" i="16"/>
  <c r="L45" i="16"/>
  <c r="L73" i="16"/>
  <c r="T21" i="16"/>
  <c r="V14" i="16"/>
  <c r="V19" i="16"/>
  <c r="V32" i="16"/>
  <c r="A9" i="15"/>
  <c r="A9" i="16"/>
  <c r="A9" i="13"/>
  <c r="C4" i="12"/>
  <c r="A9" i="10"/>
  <c r="A9" i="27"/>
  <c r="AB9" i="16"/>
  <c r="D7" i="16"/>
  <c r="R7" i="16"/>
  <c r="B20" i="24"/>
  <c r="B20" i="6"/>
  <c r="B20" i="22"/>
  <c r="B20" i="19"/>
  <c r="B20" i="20"/>
  <c r="B48" i="13"/>
  <c r="B76" i="15"/>
  <c r="B76" i="27"/>
  <c r="B48" i="27"/>
  <c r="B76" i="16"/>
  <c r="B20" i="13"/>
  <c r="P76" i="16"/>
  <c r="B20" i="16"/>
  <c r="B48" i="10"/>
  <c r="B20" i="26"/>
  <c r="B48" i="15"/>
  <c r="B76" i="13"/>
  <c r="B20" i="27"/>
  <c r="B20" i="12"/>
  <c r="B20" i="15"/>
  <c r="B76" i="10"/>
  <c r="B20" i="10"/>
  <c r="B20" i="18"/>
  <c r="P20" i="16"/>
  <c r="P48" i="16"/>
  <c r="B48" i="16"/>
  <c r="B10" i="6"/>
  <c r="B10" i="24"/>
  <c r="B10" i="22"/>
  <c r="B66" i="13"/>
  <c r="B38" i="27"/>
  <c r="B10" i="19"/>
  <c r="B10" i="13"/>
  <c r="B66" i="27"/>
  <c r="P66" i="16"/>
  <c r="B38" i="16"/>
  <c r="B38" i="10"/>
  <c r="B10" i="26"/>
  <c r="B38" i="13"/>
  <c r="B10" i="12"/>
  <c r="B66" i="10"/>
  <c r="B10" i="10"/>
  <c r="B10" i="20"/>
  <c r="B10" i="18"/>
  <c r="B10" i="15"/>
  <c r="B10" i="16"/>
  <c r="B66" i="15"/>
  <c r="B38" i="15"/>
  <c r="P10" i="16"/>
  <c r="B10" i="27"/>
  <c r="B66" i="16"/>
  <c r="P38" i="16"/>
  <c r="B32" i="24"/>
  <c r="B32" i="6"/>
  <c r="B32" i="19"/>
  <c r="B32" i="20"/>
  <c r="B88" i="15"/>
  <c r="B60" i="13"/>
  <c r="B88" i="27"/>
  <c r="B60" i="27"/>
  <c r="B60" i="15"/>
  <c r="B88" i="13"/>
  <c r="B32" i="13"/>
  <c r="P88" i="16"/>
  <c r="P60" i="16"/>
  <c r="B60" i="10"/>
  <c r="B32" i="26"/>
  <c r="B32" i="22"/>
  <c r="B32" i="27"/>
  <c r="B32" i="12"/>
  <c r="B32" i="18"/>
  <c r="B88" i="10"/>
  <c r="B32" i="10"/>
  <c r="B32" i="15"/>
  <c r="B88" i="16"/>
  <c r="B60" i="16"/>
  <c r="B32" i="16"/>
  <c r="P32" i="16"/>
  <c r="L42" i="16"/>
  <c r="L14" i="16"/>
  <c r="L70" i="16"/>
  <c r="H67" i="27"/>
  <c r="H39" i="27"/>
  <c r="B19" i="24"/>
  <c r="B19" i="20"/>
  <c r="B19" i="6"/>
  <c r="B19" i="19"/>
  <c r="B75" i="15"/>
  <c r="B19" i="15"/>
  <c r="B19" i="13"/>
  <c r="B75" i="27"/>
  <c r="B19" i="18"/>
  <c r="B75" i="13"/>
  <c r="B47" i="27"/>
  <c r="B47" i="16"/>
  <c r="B75" i="10"/>
  <c r="B19" i="10"/>
  <c r="B19" i="26"/>
  <c r="B19" i="22"/>
  <c r="B47" i="15"/>
  <c r="B47" i="13"/>
  <c r="B19" i="12"/>
  <c r="B75" i="16"/>
  <c r="P47" i="16"/>
  <c r="P19" i="16"/>
  <c r="B19" i="27"/>
  <c r="B47" i="10"/>
  <c r="P75" i="16"/>
  <c r="B19" i="16"/>
  <c r="B35" i="24"/>
  <c r="B35" i="20"/>
  <c r="B35" i="22"/>
  <c r="B91" i="15"/>
  <c r="B35" i="6"/>
  <c r="B35" i="15"/>
  <c r="B35" i="13"/>
  <c r="B91" i="27"/>
  <c r="B35" i="18"/>
  <c r="B63" i="15"/>
  <c r="B91" i="13"/>
  <c r="B63" i="13"/>
  <c r="B91" i="16"/>
  <c r="B35" i="16"/>
  <c r="B91" i="10"/>
  <c r="B35" i="10"/>
  <c r="B35" i="26"/>
  <c r="B35" i="19"/>
  <c r="B35" i="12"/>
  <c r="B35" i="27"/>
  <c r="P91" i="16"/>
  <c r="B63" i="10"/>
  <c r="B63" i="27"/>
  <c r="P35" i="16"/>
  <c r="P63" i="16"/>
  <c r="B63" i="16"/>
  <c r="A37" i="13"/>
  <c r="F4" i="12"/>
  <c r="A37" i="10"/>
  <c r="A37" i="27"/>
  <c r="AB37" i="16"/>
  <c r="A37" i="16"/>
  <c r="A37" i="15"/>
  <c r="L15" i="16"/>
  <c r="L43" i="16"/>
  <c r="L71" i="16"/>
  <c r="E6" i="28"/>
  <c r="E4" i="28"/>
  <c r="E8" i="28"/>
  <c r="G8" i="20"/>
  <c r="E7" i="28"/>
  <c r="H8" i="20"/>
  <c r="E8" i="19"/>
  <c r="E8" i="20"/>
  <c r="D8" i="19"/>
  <c r="H8" i="15"/>
  <c r="D8" i="15"/>
  <c r="I8" i="13"/>
  <c r="D8" i="13"/>
  <c r="E5" i="28"/>
  <c r="D8" i="20"/>
  <c r="E8" i="15"/>
  <c r="F8" i="13"/>
  <c r="C8" i="27"/>
  <c r="J8" i="12"/>
  <c r="D8" i="12"/>
  <c r="C8" i="13"/>
  <c r="D8" i="27"/>
  <c r="F8" i="12"/>
  <c r="W8" i="16"/>
  <c r="S8" i="16"/>
  <c r="G8" i="15"/>
  <c r="F8" i="19"/>
  <c r="G8" i="12"/>
  <c r="V8" i="16"/>
  <c r="Q8" i="16"/>
  <c r="D8" i="10"/>
  <c r="C8" i="19"/>
  <c r="F8" i="15"/>
  <c r="G8" i="13"/>
  <c r="C8" i="12"/>
  <c r="AA8" i="16"/>
  <c r="U8" i="16"/>
  <c r="C8" i="15"/>
  <c r="E8" i="13"/>
  <c r="I8" i="12"/>
  <c r="R8" i="16"/>
  <c r="E8" i="10"/>
  <c r="Y8" i="16"/>
  <c r="E8" i="27"/>
  <c r="X8" i="16"/>
  <c r="T8" i="16"/>
  <c r="B13" i="24"/>
  <c r="B13" i="22"/>
  <c r="B13" i="6"/>
  <c r="B13" i="19"/>
  <c r="B41" i="15"/>
  <c r="B69" i="13"/>
  <c r="B69" i="27"/>
  <c r="B13" i="18"/>
  <c r="B13" i="20"/>
  <c r="B13" i="13"/>
  <c r="P69" i="16"/>
  <c r="B41" i="16"/>
  <c r="B69" i="10"/>
  <c r="B13" i="10"/>
  <c r="B13" i="26"/>
  <c r="B41" i="13"/>
  <c r="B13" i="12"/>
  <c r="B13" i="27"/>
  <c r="B41" i="10"/>
  <c r="B13" i="15"/>
  <c r="B69" i="15"/>
  <c r="B41" i="27"/>
  <c r="B69" i="16"/>
  <c r="B13" i="16"/>
  <c r="P41" i="16"/>
  <c r="P13" i="16"/>
  <c r="B16" i="24"/>
  <c r="B16" i="6"/>
  <c r="B16" i="20"/>
  <c r="B16" i="22"/>
  <c r="B44" i="13"/>
  <c r="B44" i="15"/>
  <c r="B72" i="13"/>
  <c r="B44" i="27"/>
  <c r="P72" i="16"/>
  <c r="B16" i="13"/>
  <c r="B72" i="16"/>
  <c r="P16" i="16"/>
  <c r="B44" i="10"/>
  <c r="B16" i="26"/>
  <c r="B72" i="27"/>
  <c r="B16" i="27"/>
  <c r="B16" i="12"/>
  <c r="B16" i="15"/>
  <c r="B44" i="16"/>
  <c r="B16" i="19"/>
  <c r="B16" i="18"/>
  <c r="P44" i="16"/>
  <c r="B16" i="16"/>
  <c r="B72" i="10"/>
  <c r="B16" i="10"/>
  <c r="B72" i="15"/>
  <c r="C3" i="21"/>
  <c r="B6" i="22"/>
  <c r="B6" i="19"/>
  <c r="B6" i="24"/>
  <c r="B5" i="18"/>
  <c r="F3" i="28"/>
  <c r="B6" i="13"/>
  <c r="B6" i="27"/>
  <c r="P5" i="16"/>
  <c r="B5" i="10"/>
  <c r="B6" i="12"/>
  <c r="B5" i="16"/>
  <c r="M53" i="16"/>
  <c r="M81" i="16"/>
  <c r="M25" i="16"/>
  <c r="B23" i="24"/>
  <c r="B23" i="20"/>
  <c r="B79" i="15"/>
  <c r="B23" i="15"/>
  <c r="B23" i="13"/>
  <c r="B79" i="27"/>
  <c r="B23" i="6"/>
  <c r="B23" i="18"/>
  <c r="B79" i="16"/>
  <c r="B23" i="19"/>
  <c r="B79" i="13"/>
  <c r="P79" i="16"/>
  <c r="P51" i="16"/>
  <c r="B23" i="16"/>
  <c r="B79" i="10"/>
  <c r="B23" i="10"/>
  <c r="B23" i="26"/>
  <c r="B51" i="15"/>
  <c r="B51" i="13"/>
  <c r="B23" i="12"/>
  <c r="B23" i="22"/>
  <c r="B51" i="27"/>
  <c r="B23" i="27"/>
  <c r="B51" i="16"/>
  <c r="B51" i="10"/>
  <c r="P23" i="16"/>
  <c r="B8" i="22"/>
  <c r="B8" i="6"/>
  <c r="B8" i="20"/>
  <c r="B8" i="18"/>
  <c r="E3" i="28"/>
  <c r="B8" i="24"/>
  <c r="B8" i="19"/>
  <c r="B8" i="15"/>
  <c r="B8" i="10"/>
  <c r="B8" i="13"/>
  <c r="B8" i="27"/>
  <c r="P8" i="16"/>
  <c r="B8" i="16"/>
  <c r="B8" i="12"/>
  <c r="S7" i="16"/>
  <c r="E7" i="16"/>
  <c r="M80" i="16"/>
  <c r="M82" i="16"/>
  <c r="M24" i="16"/>
  <c r="M52" i="16"/>
  <c r="M54" i="16"/>
  <c r="M26" i="16"/>
  <c r="D9" i="6"/>
  <c r="D35" i="6" s="1"/>
  <c r="D9" i="22"/>
  <c r="D35" i="22" s="1"/>
  <c r="E9" i="24"/>
  <c r="E35" i="24" s="1"/>
  <c r="G35" i="19"/>
  <c r="T91" i="16"/>
  <c r="B34" i="24"/>
  <c r="B34" i="6"/>
  <c r="B34" i="19"/>
  <c r="B34" i="22"/>
  <c r="B90" i="13"/>
  <c r="B62" i="13"/>
  <c r="B90" i="27"/>
  <c r="B62" i="27"/>
  <c r="B90" i="15"/>
  <c r="B34" i="13"/>
  <c r="B62" i="16"/>
  <c r="B62" i="10"/>
  <c r="B34" i="26"/>
  <c r="B34" i="20"/>
  <c r="B34" i="27"/>
  <c r="B34" i="12"/>
  <c r="B34" i="18"/>
  <c r="B90" i="16"/>
  <c r="B34" i="16"/>
  <c r="B90" i="10"/>
  <c r="B34" i="10"/>
  <c r="B62" i="15"/>
  <c r="B34" i="15"/>
  <c r="P90" i="16"/>
  <c r="P34" i="16"/>
  <c r="P62" i="16"/>
  <c r="B21" i="24"/>
  <c r="B21" i="22"/>
  <c r="B21" i="6"/>
  <c r="B49" i="15"/>
  <c r="B77" i="13"/>
  <c r="B77" i="27"/>
  <c r="B21" i="20"/>
  <c r="B21" i="19"/>
  <c r="B21" i="18"/>
  <c r="B77" i="16"/>
  <c r="B21" i="13"/>
  <c r="P49" i="16"/>
  <c r="B21" i="16"/>
  <c r="B77" i="10"/>
  <c r="B21" i="10"/>
  <c r="B21" i="26"/>
  <c r="B49" i="13"/>
  <c r="B49" i="27"/>
  <c r="B21" i="12"/>
  <c r="P21" i="16"/>
  <c r="B77" i="15"/>
  <c r="B21" i="15"/>
  <c r="B21" i="27"/>
  <c r="B49" i="10"/>
  <c r="P77" i="16"/>
  <c r="B49" i="16"/>
  <c r="E8" i="24"/>
  <c r="E10" i="28"/>
  <c r="D8" i="22"/>
  <c r="F8" i="18"/>
  <c r="E8" i="18"/>
  <c r="G8" i="19"/>
  <c r="D8" i="18"/>
  <c r="C8" i="18"/>
  <c r="C8" i="10"/>
  <c r="D8" i="6"/>
  <c r="F7" i="16"/>
  <c r="T7" i="16"/>
  <c r="B11" i="24"/>
  <c r="B11" i="20"/>
  <c r="B11" i="19"/>
  <c r="B67" i="15"/>
  <c r="B11" i="15"/>
  <c r="B11" i="13"/>
  <c r="B11" i="6"/>
  <c r="B11" i="22"/>
  <c r="B11" i="18"/>
  <c r="B67" i="13"/>
  <c r="B67" i="27"/>
  <c r="B39" i="27"/>
  <c r="B67" i="16"/>
  <c r="P39" i="16"/>
  <c r="B11" i="16"/>
  <c r="B67" i="10"/>
  <c r="B11" i="10"/>
  <c r="B11" i="26"/>
  <c r="B39" i="13"/>
  <c r="B11" i="12"/>
  <c r="P67" i="16"/>
  <c r="P11" i="16"/>
  <c r="B39" i="15"/>
  <c r="B39" i="16"/>
  <c r="B11" i="27"/>
  <c r="B39" i="10"/>
  <c r="B27" i="24"/>
  <c r="B27" i="20"/>
  <c r="B83" i="15"/>
  <c r="B27" i="15"/>
  <c r="B27" i="13"/>
  <c r="B83" i="27"/>
  <c r="B27" i="6"/>
  <c r="B27" i="18"/>
  <c r="B55" i="15"/>
  <c r="B55" i="13"/>
  <c r="B55" i="16"/>
  <c r="B83" i="10"/>
  <c r="B27" i="10"/>
  <c r="B27" i="26"/>
  <c r="B27" i="22"/>
  <c r="B27" i="19"/>
  <c r="B27" i="12"/>
  <c r="B55" i="27"/>
  <c r="B27" i="27"/>
  <c r="B55" i="10"/>
  <c r="B83" i="13"/>
  <c r="B83" i="16"/>
  <c r="P55" i="16"/>
  <c r="B27" i="16"/>
  <c r="P83" i="16"/>
  <c r="P27" i="16"/>
  <c r="C8" i="24"/>
  <c r="C8" i="20"/>
  <c r="I8" i="24"/>
  <c r="C8" i="6"/>
  <c r="I8" i="19"/>
  <c r="C8" i="22"/>
  <c r="W7" i="16"/>
  <c r="I7" i="16"/>
  <c r="V35" i="16"/>
  <c r="C35" i="15"/>
  <c r="N49" i="16"/>
  <c r="N51" i="16"/>
  <c r="N50" i="16"/>
  <c r="N53" i="16"/>
  <c r="N55" i="16"/>
  <c r="M48" i="16"/>
  <c r="M76" i="16"/>
  <c r="M20" i="16"/>
  <c r="I4" i="12"/>
  <c r="A65" i="15"/>
  <c r="A65" i="27"/>
  <c r="A65" i="13"/>
  <c r="A65" i="16"/>
  <c r="A65" i="10"/>
  <c r="AB65" i="16"/>
  <c r="B28" i="24"/>
  <c r="B28" i="6"/>
  <c r="B28" i="22"/>
  <c r="B28" i="20"/>
  <c r="B28" i="19"/>
  <c r="B56" i="13"/>
  <c r="B28" i="15"/>
  <c r="B56" i="27"/>
  <c r="B84" i="13"/>
  <c r="B28" i="13"/>
  <c r="P56" i="16"/>
  <c r="B56" i="10"/>
  <c r="B28" i="26"/>
  <c r="B56" i="15"/>
  <c r="B28" i="27"/>
  <c r="B28" i="12"/>
  <c r="P28" i="16"/>
  <c r="B84" i="27"/>
  <c r="B84" i="16"/>
  <c r="B56" i="16"/>
  <c r="B84" i="15"/>
  <c r="B28" i="16"/>
  <c r="B28" i="18"/>
  <c r="P84" i="16"/>
  <c r="B84" i="10"/>
  <c r="B28" i="10"/>
  <c r="B26" i="24"/>
  <c r="B26" i="6"/>
  <c r="B26" i="19"/>
  <c r="B26" i="22"/>
  <c r="B26" i="20"/>
  <c r="B54" i="13"/>
  <c r="B54" i="27"/>
  <c r="P82" i="16"/>
  <c r="B82" i="16"/>
  <c r="B54" i="15"/>
  <c r="B26" i="13"/>
  <c r="P26" i="16"/>
  <c r="B26" i="16"/>
  <c r="B54" i="10"/>
  <c r="B26" i="26"/>
  <c r="B26" i="18"/>
  <c r="B82" i="27"/>
  <c r="B26" i="27"/>
  <c r="B26" i="12"/>
  <c r="P54" i="16"/>
  <c r="B54" i="16"/>
  <c r="B26" i="15"/>
  <c r="B82" i="15"/>
  <c r="B82" i="10"/>
  <c r="B26" i="10"/>
  <c r="B82" i="13"/>
  <c r="B15" i="24"/>
  <c r="B15" i="22"/>
  <c r="B15" i="19"/>
  <c r="B71" i="15"/>
  <c r="B15" i="15"/>
  <c r="B15" i="13"/>
  <c r="B71" i="27"/>
  <c r="B15" i="6"/>
  <c r="B15" i="18"/>
  <c r="B71" i="13"/>
  <c r="B15" i="20"/>
  <c r="P71" i="16"/>
  <c r="B71" i="16"/>
  <c r="P43" i="16"/>
  <c r="B43" i="16"/>
  <c r="B71" i="10"/>
  <c r="B15" i="10"/>
  <c r="B15" i="26"/>
  <c r="B43" i="13"/>
  <c r="B15" i="12"/>
  <c r="B15" i="27"/>
  <c r="B43" i="10"/>
  <c r="B43" i="15"/>
  <c r="B43" i="27"/>
  <c r="P15" i="16"/>
  <c r="B15" i="16"/>
  <c r="B31" i="24"/>
  <c r="B31" i="20"/>
  <c r="B87" i="15"/>
  <c r="B31" i="19"/>
  <c r="B31" i="15"/>
  <c r="B31" i="13"/>
  <c r="B87" i="27"/>
  <c r="B31" i="18"/>
  <c r="B59" i="13"/>
  <c r="B87" i="16"/>
  <c r="B59" i="15"/>
  <c r="B87" i="13"/>
  <c r="B31" i="16"/>
  <c r="B87" i="10"/>
  <c r="B31" i="10"/>
  <c r="B31" i="26"/>
  <c r="B59" i="27"/>
  <c r="B31" i="12"/>
  <c r="B31" i="22"/>
  <c r="P59" i="16"/>
  <c r="P31" i="16"/>
  <c r="B31" i="6"/>
  <c r="P87" i="16"/>
  <c r="B31" i="27"/>
  <c r="B59" i="10"/>
  <c r="B59" i="16"/>
  <c r="C91" i="15"/>
  <c r="T63" i="16"/>
  <c r="C63" i="15"/>
  <c r="N81" i="16"/>
  <c r="N78" i="16"/>
  <c r="N83" i="16"/>
  <c r="N77" i="16"/>
  <c r="N79" i="16"/>
  <c r="N25" i="16"/>
  <c r="N22" i="16"/>
  <c r="N23" i="16"/>
  <c r="N21" i="16"/>
  <c r="N27" i="16"/>
  <c r="R87" i="16" l="1"/>
  <c r="R83" i="16"/>
  <c r="R80" i="16"/>
  <c r="R69" i="16"/>
  <c r="R89" i="16"/>
  <c r="R84" i="16"/>
  <c r="R81" i="16"/>
  <c r="R77" i="16"/>
  <c r="R67" i="16"/>
  <c r="R90" i="16"/>
  <c r="R72" i="16"/>
  <c r="R71" i="16"/>
  <c r="R65" i="16"/>
  <c r="R86" i="16"/>
  <c r="R85" i="16"/>
  <c r="R78" i="16"/>
  <c r="R75" i="16"/>
  <c r="R74" i="16"/>
  <c r="R70" i="16"/>
  <c r="R82" i="16"/>
  <c r="R79" i="16"/>
  <c r="R73" i="16"/>
  <c r="R68" i="16"/>
  <c r="R66" i="16"/>
  <c r="R76" i="16"/>
  <c r="R88" i="16"/>
  <c r="W61" i="16"/>
  <c r="W57" i="16"/>
  <c r="W54" i="16"/>
  <c r="W46" i="16"/>
  <c r="W44" i="16"/>
  <c r="W42" i="16"/>
  <c r="W40" i="16"/>
  <c r="W59" i="16"/>
  <c r="W55" i="16"/>
  <c r="W37" i="16"/>
  <c r="W48" i="16"/>
  <c r="W41" i="16"/>
  <c r="W38" i="16"/>
  <c r="W60" i="16"/>
  <c r="W58" i="16"/>
  <c r="W51" i="16"/>
  <c r="W47" i="16"/>
  <c r="W43" i="16"/>
  <c r="W39" i="16"/>
  <c r="W56" i="16"/>
  <c r="W53" i="16"/>
  <c r="W49" i="16"/>
  <c r="W52" i="16"/>
  <c r="W50" i="16"/>
  <c r="W62" i="16"/>
  <c r="W45" i="16"/>
  <c r="Q59" i="16"/>
  <c r="Q55" i="16"/>
  <c r="Q52" i="16"/>
  <c r="Q41" i="16"/>
  <c r="Q61" i="16"/>
  <c r="Q57" i="16"/>
  <c r="Q53" i="16"/>
  <c r="Q51" i="16"/>
  <c r="Q45" i="16"/>
  <c r="Q43" i="16"/>
  <c r="Q40" i="16"/>
  <c r="Q46" i="16"/>
  <c r="Q44" i="16"/>
  <c r="Q37" i="16"/>
  <c r="Q56" i="16"/>
  <c r="Q54" i="16"/>
  <c r="Q49" i="16"/>
  <c r="Q47" i="16"/>
  <c r="Q62" i="16"/>
  <c r="Q38" i="16"/>
  <c r="Q58" i="16"/>
  <c r="Q50" i="16"/>
  <c r="Q48" i="16"/>
  <c r="Q42" i="16"/>
  <c r="Q60" i="16"/>
  <c r="Q39" i="16"/>
  <c r="S34" i="16"/>
  <c r="S30" i="16"/>
  <c r="S25" i="16"/>
  <c r="S22" i="16"/>
  <c r="S20" i="16"/>
  <c r="S19" i="16"/>
  <c r="S10" i="16"/>
  <c r="S27" i="16"/>
  <c r="S18" i="16"/>
  <c r="S12" i="16"/>
  <c r="S9" i="16"/>
  <c r="S32" i="16"/>
  <c r="S23" i="16"/>
  <c r="S15" i="16"/>
  <c r="S14" i="16"/>
  <c r="S13" i="16"/>
  <c r="S33" i="16"/>
  <c r="S26" i="16"/>
  <c r="S31" i="16"/>
  <c r="S29" i="16"/>
  <c r="S11" i="16"/>
  <c r="S24" i="16"/>
  <c r="S21" i="16"/>
  <c r="S17" i="16"/>
  <c r="S28" i="16"/>
  <c r="S16" i="16"/>
  <c r="S90" i="16"/>
  <c r="S86" i="16"/>
  <c r="S81" i="16"/>
  <c r="S78" i="16"/>
  <c r="S76" i="16"/>
  <c r="S75" i="16"/>
  <c r="S66" i="16"/>
  <c r="S87" i="16"/>
  <c r="S85" i="16"/>
  <c r="S82" i="16"/>
  <c r="S73" i="16"/>
  <c r="S72" i="16"/>
  <c r="S80" i="16"/>
  <c r="S74" i="16"/>
  <c r="S70" i="16"/>
  <c r="S89" i="16"/>
  <c r="S83" i="16"/>
  <c r="S79" i="16"/>
  <c r="S77" i="16"/>
  <c r="S69" i="16"/>
  <c r="S65" i="16"/>
  <c r="S88" i="16"/>
  <c r="S84" i="16"/>
  <c r="S71" i="16"/>
  <c r="S67" i="16"/>
  <c r="S68" i="16"/>
  <c r="U88" i="16"/>
  <c r="U84" i="16"/>
  <c r="U79" i="16"/>
  <c r="U77" i="16"/>
  <c r="U73" i="16"/>
  <c r="U71" i="16"/>
  <c r="U67" i="16"/>
  <c r="U65" i="16"/>
  <c r="U86" i="16"/>
  <c r="U76" i="16"/>
  <c r="U74" i="16"/>
  <c r="U69" i="16"/>
  <c r="U68" i="16"/>
  <c r="U66" i="16"/>
  <c r="U89" i="16"/>
  <c r="U87" i="16"/>
  <c r="U85" i="16"/>
  <c r="U83" i="16"/>
  <c r="U78" i="16"/>
  <c r="U82" i="16"/>
  <c r="U81" i="16"/>
  <c r="U80" i="16"/>
  <c r="U75" i="16"/>
  <c r="U72" i="16"/>
  <c r="U70" i="16"/>
  <c r="U90" i="16"/>
  <c r="U59" i="16"/>
  <c r="U55" i="16"/>
  <c r="U52" i="16"/>
  <c r="U41" i="16"/>
  <c r="U60" i="16"/>
  <c r="U56" i="16"/>
  <c r="U54" i="16"/>
  <c r="U50" i="16"/>
  <c r="U49" i="16"/>
  <c r="U47" i="16"/>
  <c r="U42" i="16"/>
  <c r="U39" i="16"/>
  <c r="U61" i="16"/>
  <c r="U57" i="16"/>
  <c r="U53" i="16"/>
  <c r="U51" i="16"/>
  <c r="U45" i="16"/>
  <c r="U43" i="16"/>
  <c r="U40" i="16"/>
  <c r="U62" i="16"/>
  <c r="U38" i="16"/>
  <c r="U58" i="16"/>
  <c r="U48" i="16"/>
  <c r="U46" i="16"/>
  <c r="U44" i="16"/>
  <c r="U37" i="16"/>
  <c r="R31" i="16"/>
  <c r="R27" i="16"/>
  <c r="R24" i="16"/>
  <c r="R13" i="16"/>
  <c r="R34" i="16"/>
  <c r="R29" i="16"/>
  <c r="R26" i="16"/>
  <c r="R22" i="16"/>
  <c r="R17" i="16"/>
  <c r="R16" i="16"/>
  <c r="R30" i="16"/>
  <c r="R20" i="16"/>
  <c r="R18" i="16"/>
  <c r="R12" i="16"/>
  <c r="R10" i="16"/>
  <c r="R9" i="16"/>
  <c r="R28" i="16"/>
  <c r="R19" i="16"/>
  <c r="R15" i="16"/>
  <c r="R33" i="16"/>
  <c r="R23" i="16"/>
  <c r="R14" i="16"/>
  <c r="R11" i="16"/>
  <c r="R32" i="16"/>
  <c r="R25" i="16"/>
  <c r="R21" i="16"/>
  <c r="Q88" i="16"/>
  <c r="Q84" i="16"/>
  <c r="Q79" i="16"/>
  <c r="Q77" i="16"/>
  <c r="Q73" i="16"/>
  <c r="Q71" i="16"/>
  <c r="Q67" i="16"/>
  <c r="Q65" i="16"/>
  <c r="Q80" i="16"/>
  <c r="Q75" i="16"/>
  <c r="Q70" i="16"/>
  <c r="Q68" i="16"/>
  <c r="Q66" i="16"/>
  <c r="Q90" i="16"/>
  <c r="Q72" i="16"/>
  <c r="Q89" i="16"/>
  <c r="Q86" i="16"/>
  <c r="Q85" i="16"/>
  <c r="Q81" i="16"/>
  <c r="Q82" i="16"/>
  <c r="Q78" i="16"/>
  <c r="Q74" i="16"/>
  <c r="Q69" i="16"/>
  <c r="Q87" i="16"/>
  <c r="Q83" i="16"/>
  <c r="Q76" i="16"/>
  <c r="R62" i="16"/>
  <c r="R58" i="16"/>
  <c r="R53" i="16"/>
  <c r="R50" i="16"/>
  <c r="R48" i="16"/>
  <c r="R47" i="16"/>
  <c r="R38" i="16"/>
  <c r="R59" i="16"/>
  <c r="R55" i="16"/>
  <c r="R46" i="16"/>
  <c r="R44" i="16"/>
  <c r="R37" i="16"/>
  <c r="R41" i="16"/>
  <c r="R61" i="16"/>
  <c r="R40" i="16"/>
  <c r="R57" i="16"/>
  <c r="R52" i="16"/>
  <c r="R42" i="16"/>
  <c r="R60" i="16"/>
  <c r="R45" i="16"/>
  <c r="R39" i="16"/>
  <c r="R56" i="16"/>
  <c r="R54" i="16"/>
  <c r="R51" i="16"/>
  <c r="R49" i="16"/>
  <c r="R43" i="16"/>
  <c r="Q32" i="16"/>
  <c r="Q28" i="16"/>
  <c r="Q23" i="16"/>
  <c r="Q21" i="16"/>
  <c r="Q17" i="16"/>
  <c r="Q15" i="16"/>
  <c r="Q11" i="16"/>
  <c r="Q9" i="16"/>
  <c r="Q33" i="16"/>
  <c r="Q31" i="16"/>
  <c r="Q25" i="16"/>
  <c r="Q34" i="16"/>
  <c r="Q29" i="16"/>
  <c r="Q27" i="16"/>
  <c r="Q26" i="16"/>
  <c r="Q22" i="16"/>
  <c r="Q16" i="16"/>
  <c r="Q20" i="16"/>
  <c r="Q12" i="16"/>
  <c r="Q19" i="16"/>
  <c r="Q13" i="16"/>
  <c r="Q30" i="16"/>
  <c r="Q24" i="16"/>
  <c r="Q18" i="16"/>
  <c r="Q14" i="16"/>
  <c r="Q10" i="16"/>
  <c r="W34" i="16"/>
  <c r="W30" i="16"/>
  <c r="W25" i="16"/>
  <c r="W22" i="16"/>
  <c r="W20" i="16"/>
  <c r="W19" i="16"/>
  <c r="W10" i="16"/>
  <c r="W31" i="16"/>
  <c r="W29" i="16"/>
  <c r="W26" i="16"/>
  <c r="W17" i="16"/>
  <c r="W16" i="16"/>
  <c r="W27" i="16"/>
  <c r="W18" i="16"/>
  <c r="W12" i="16"/>
  <c r="W9" i="16"/>
  <c r="W23" i="16"/>
  <c r="W21" i="16"/>
  <c r="W14" i="16"/>
  <c r="W32" i="16"/>
  <c r="W24" i="16"/>
  <c r="W28" i="16"/>
  <c r="W15" i="16"/>
  <c r="W33" i="16"/>
  <c r="W13" i="16"/>
  <c r="W11" i="16"/>
  <c r="U32" i="16"/>
  <c r="U28" i="16"/>
  <c r="U23" i="16"/>
  <c r="U21" i="16"/>
  <c r="U17" i="16"/>
  <c r="U15" i="16"/>
  <c r="U11" i="16"/>
  <c r="U9" i="16"/>
  <c r="U24" i="16"/>
  <c r="U19" i="16"/>
  <c r="U14" i="16"/>
  <c r="U33" i="16"/>
  <c r="U31" i="16"/>
  <c r="U25" i="16"/>
  <c r="U29" i="16"/>
  <c r="U27" i="16"/>
  <c r="U13" i="16"/>
  <c r="U30" i="16"/>
  <c r="U34" i="16"/>
  <c r="U18" i="16"/>
  <c r="U16" i="16"/>
  <c r="U10" i="16"/>
  <c r="U26" i="16"/>
  <c r="U22" i="16"/>
  <c r="U20" i="16"/>
  <c r="U12" i="16"/>
  <c r="W90" i="16"/>
  <c r="W86" i="16"/>
  <c r="W81" i="16"/>
  <c r="W78" i="16"/>
  <c r="W76" i="16"/>
  <c r="W75" i="16"/>
  <c r="W66" i="16"/>
  <c r="W89" i="16"/>
  <c r="W84" i="16"/>
  <c r="W80" i="16"/>
  <c r="W77" i="16"/>
  <c r="W67" i="16"/>
  <c r="W88" i="16"/>
  <c r="W69" i="16"/>
  <c r="W68" i="16"/>
  <c r="W72" i="16"/>
  <c r="W71" i="16"/>
  <c r="W65" i="16"/>
  <c r="W70" i="16"/>
  <c r="W87" i="16"/>
  <c r="W85" i="16"/>
  <c r="W83" i="16"/>
  <c r="W73" i="16"/>
  <c r="W82" i="16"/>
  <c r="W79" i="16"/>
  <c r="W74" i="16"/>
  <c r="S61" i="16"/>
  <c r="S57" i="16"/>
  <c r="S54" i="16"/>
  <c r="S46" i="16"/>
  <c r="S44" i="16"/>
  <c r="S42" i="16"/>
  <c r="S40" i="16"/>
  <c r="S41" i="16"/>
  <c r="S62" i="16"/>
  <c r="S60" i="16"/>
  <c r="S58" i="16"/>
  <c r="S56" i="16"/>
  <c r="S49" i="16"/>
  <c r="S48" i="16"/>
  <c r="S39" i="16"/>
  <c r="S38" i="16"/>
  <c r="S53" i="16"/>
  <c r="S52" i="16"/>
  <c r="S37" i="16"/>
  <c r="S59" i="16"/>
  <c r="S50" i="16"/>
  <c r="S45" i="16"/>
  <c r="S55" i="16"/>
  <c r="S51" i="16"/>
  <c r="S43" i="16"/>
  <c r="S47" i="16"/>
  <c r="W91" i="16" l="1"/>
  <c r="X43" i="16"/>
  <c r="Y43" i="16" s="1"/>
  <c r="AA43" i="16" s="1"/>
  <c r="X42" i="16"/>
  <c r="Y42" i="16" s="1"/>
  <c r="AA42" i="16" s="1"/>
  <c r="G42" i="13" s="1"/>
  <c r="H42" i="13" s="1"/>
  <c r="I42" i="13" s="1"/>
  <c r="G42" i="15" s="1"/>
  <c r="X61" i="16"/>
  <c r="Y61" i="16" s="1"/>
  <c r="AA61" i="16" s="1"/>
  <c r="D61" i="15" s="1"/>
  <c r="X47" i="16"/>
  <c r="Y47" i="16" s="1"/>
  <c r="AA47" i="16" s="1"/>
  <c r="D47" i="15" s="1"/>
  <c r="X58" i="16"/>
  <c r="Y58" i="16" s="1"/>
  <c r="AA58" i="16" s="1"/>
  <c r="X14" i="16"/>
  <c r="Y14" i="16" s="1"/>
  <c r="AA14" i="16" s="1"/>
  <c r="D14" i="15" s="1"/>
  <c r="X12" i="16"/>
  <c r="Y12" i="16" s="1"/>
  <c r="AA12" i="16" s="1"/>
  <c r="X16" i="16"/>
  <c r="Y16" i="16" s="1"/>
  <c r="AA16" i="16" s="1"/>
  <c r="G16" i="13" s="1"/>
  <c r="H16" i="13" s="1"/>
  <c r="I16" i="13" s="1"/>
  <c r="G16" i="15" s="1"/>
  <c r="X29" i="16"/>
  <c r="Y29" i="16" s="1"/>
  <c r="AA29" i="16" s="1"/>
  <c r="X82" i="16"/>
  <c r="Y82" i="16" s="1"/>
  <c r="X77" i="16"/>
  <c r="Y77" i="16" s="1"/>
  <c r="AA77" i="16" s="1"/>
  <c r="X52" i="16"/>
  <c r="Y52" i="16" s="1"/>
  <c r="AA52" i="16" s="1"/>
  <c r="D52" i="15" s="1"/>
  <c r="X48" i="16"/>
  <c r="Y48" i="16" s="1"/>
  <c r="AA48" i="16" s="1"/>
  <c r="X25" i="16"/>
  <c r="Y25" i="16" s="1"/>
  <c r="X17" i="16"/>
  <c r="Y17" i="16" s="1"/>
  <c r="AA17" i="16" s="1"/>
  <c r="D17" i="15" s="1"/>
  <c r="X31" i="16"/>
  <c r="Y31" i="16" s="1"/>
  <c r="AA31" i="16" s="1"/>
  <c r="D31" i="15" s="1"/>
  <c r="U35" i="16"/>
  <c r="D43" i="15"/>
  <c r="G43" i="13"/>
  <c r="H43" i="13" s="1"/>
  <c r="I43" i="13" s="1"/>
  <c r="G43" i="15" s="1"/>
  <c r="X56" i="16"/>
  <c r="Y56" i="16" s="1"/>
  <c r="AA56" i="16" s="1"/>
  <c r="G47" i="13"/>
  <c r="H47" i="13" s="1"/>
  <c r="I47" i="13" s="1"/>
  <c r="G47" i="15" s="1"/>
  <c r="Q91" i="16"/>
  <c r="X21" i="16"/>
  <c r="Y21" i="16" s="1"/>
  <c r="AA21" i="16" s="1"/>
  <c r="D12" i="15"/>
  <c r="G12" i="13"/>
  <c r="H12" i="13" s="1"/>
  <c r="I12" i="13" s="1"/>
  <c r="G12" i="15" s="1"/>
  <c r="D29" i="15"/>
  <c r="G29" i="13"/>
  <c r="H29" i="13" s="1"/>
  <c r="I29" i="13" s="1"/>
  <c r="G29" i="15" s="1"/>
  <c r="W63" i="16"/>
  <c r="X66" i="16"/>
  <c r="Y66" i="16" s="1"/>
  <c r="AA66" i="16" s="1"/>
  <c r="X78" i="16"/>
  <c r="Y78" i="16" s="1"/>
  <c r="AA78" i="16" s="1"/>
  <c r="X49" i="16"/>
  <c r="Y49" i="16" s="1"/>
  <c r="AA49" i="16" s="1"/>
  <c r="X39" i="16"/>
  <c r="Y39" i="16" s="1"/>
  <c r="AA39" i="16" s="1"/>
  <c r="D48" i="15"/>
  <c r="G48" i="13"/>
  <c r="H48" i="13" s="1"/>
  <c r="I48" i="13" s="1"/>
  <c r="G48" i="15" s="1"/>
  <c r="AA25" i="16"/>
  <c r="X28" i="16"/>
  <c r="Y28" i="16" s="1"/>
  <c r="AA28" i="16" s="1"/>
  <c r="X34" i="16"/>
  <c r="Y34" i="16" s="1"/>
  <c r="AA34" i="16" s="1"/>
  <c r="X70" i="16"/>
  <c r="Y70" i="16" s="1"/>
  <c r="AA70" i="16" s="1"/>
  <c r="X81" i="16"/>
  <c r="Y81" i="16" s="1"/>
  <c r="AA81" i="16" s="1"/>
  <c r="W35" i="16"/>
  <c r="X51" i="16"/>
  <c r="Y51" i="16" s="1"/>
  <c r="AA51" i="16" s="1"/>
  <c r="X45" i="16"/>
  <c r="Y45" i="16" s="1"/>
  <c r="AA45" i="16" s="1"/>
  <c r="X57" i="16"/>
  <c r="Y57" i="16" s="1"/>
  <c r="AA57" i="16" s="1"/>
  <c r="R63" i="16"/>
  <c r="X37" i="16"/>
  <c r="X59" i="16"/>
  <c r="Y59" i="16" s="1"/>
  <c r="AA59" i="16" s="1"/>
  <c r="X50" i="16"/>
  <c r="Y50" i="16" s="1"/>
  <c r="AA50" i="16" s="1"/>
  <c r="X32" i="16"/>
  <c r="Y32" i="16" s="1"/>
  <c r="AA32" i="16" s="1"/>
  <c r="X33" i="16"/>
  <c r="Y33" i="16" s="1"/>
  <c r="AA33" i="16" s="1"/>
  <c r="R35" i="16"/>
  <c r="X9" i="16"/>
  <c r="X20" i="16"/>
  <c r="Y20" i="16" s="1"/>
  <c r="AA20" i="16" s="1"/>
  <c r="X22" i="16"/>
  <c r="Y22" i="16" s="1"/>
  <c r="AA22" i="16" s="1"/>
  <c r="X13" i="16"/>
  <c r="Y13" i="16" s="1"/>
  <c r="AA13" i="16" s="1"/>
  <c r="U63" i="16"/>
  <c r="U91" i="16"/>
  <c r="Q63" i="16"/>
  <c r="X88" i="16"/>
  <c r="Y88" i="16" s="1"/>
  <c r="AA88" i="16" s="1"/>
  <c r="X73" i="16"/>
  <c r="Y73" i="16" s="1"/>
  <c r="AA73" i="16" s="1"/>
  <c r="X74" i="16"/>
  <c r="Y74" i="16" s="1"/>
  <c r="AA74" i="16" s="1"/>
  <c r="X86" i="16"/>
  <c r="Y86" i="16" s="1"/>
  <c r="AA86" i="16" s="1"/>
  <c r="X90" i="16"/>
  <c r="Y90" i="16" s="1"/>
  <c r="AA90" i="16" s="1"/>
  <c r="X84" i="16"/>
  <c r="Y84" i="16" s="1"/>
  <c r="AA84" i="16" s="1"/>
  <c r="X83" i="16"/>
  <c r="Y83" i="16" s="1"/>
  <c r="AA83" i="16" s="1"/>
  <c r="Q35" i="16"/>
  <c r="D42" i="15"/>
  <c r="X46" i="16"/>
  <c r="Y46" i="16" s="1"/>
  <c r="AA46" i="16" s="1"/>
  <c r="D58" i="15"/>
  <c r="G58" i="13"/>
  <c r="H58" i="13" s="1"/>
  <c r="I58" i="13" s="1"/>
  <c r="G58" i="15" s="1"/>
  <c r="G14" i="13"/>
  <c r="H14" i="13" s="1"/>
  <c r="I14" i="13" s="1"/>
  <c r="G14" i="15" s="1"/>
  <c r="X19" i="16"/>
  <c r="Y19" i="16" s="1"/>
  <c r="AA19" i="16" s="1"/>
  <c r="D16" i="15"/>
  <c r="X27" i="16"/>
  <c r="Y27" i="16" s="1"/>
  <c r="AA27" i="16" s="1"/>
  <c r="AA82" i="16"/>
  <c r="X71" i="16"/>
  <c r="Y71" i="16" s="1"/>
  <c r="AA71" i="16" s="1"/>
  <c r="X69" i="16"/>
  <c r="Y69" i="16" s="1"/>
  <c r="AA69" i="16" s="1"/>
  <c r="S63" i="16"/>
  <c r="G52" i="13"/>
  <c r="H52" i="13" s="1"/>
  <c r="I52" i="13" s="1"/>
  <c r="G52" i="15" s="1"/>
  <c r="X41" i="16"/>
  <c r="Y41" i="16" s="1"/>
  <c r="AA41" i="16" s="1"/>
  <c r="X55" i="16"/>
  <c r="Y55" i="16" s="1"/>
  <c r="AA55" i="16" s="1"/>
  <c r="X62" i="16"/>
  <c r="Y62" i="16" s="1"/>
  <c r="AA62" i="16" s="1"/>
  <c r="X23" i="16"/>
  <c r="Y23" i="16" s="1"/>
  <c r="AA23" i="16" s="1"/>
  <c r="X18" i="16"/>
  <c r="Y18" i="16" s="1"/>
  <c r="AA18" i="16" s="1"/>
  <c r="X68" i="16"/>
  <c r="Y68" i="16" s="1"/>
  <c r="AA68" i="16" s="1"/>
  <c r="X85" i="16"/>
  <c r="Y85" i="16" s="1"/>
  <c r="AA85" i="16" s="1"/>
  <c r="X72" i="16"/>
  <c r="Y72" i="16" s="1"/>
  <c r="AA72" i="16" s="1"/>
  <c r="X80" i="16"/>
  <c r="Y80" i="16" s="1"/>
  <c r="AA80" i="16" s="1"/>
  <c r="X54" i="16"/>
  <c r="Y54" i="16" s="1"/>
  <c r="AA54" i="16" s="1"/>
  <c r="X60" i="16"/>
  <c r="Y60" i="16" s="1"/>
  <c r="AA60" i="16" s="1"/>
  <c r="X40" i="16"/>
  <c r="Y40" i="16" s="1"/>
  <c r="AA40" i="16" s="1"/>
  <c r="X44" i="16"/>
  <c r="Y44" i="16" s="1"/>
  <c r="AA44" i="16" s="1"/>
  <c r="X38" i="16"/>
  <c r="Y38" i="16" s="1"/>
  <c r="AA38" i="16" s="1"/>
  <c r="X53" i="16"/>
  <c r="Y53" i="16" s="1"/>
  <c r="AA53" i="16" s="1"/>
  <c r="X11" i="16"/>
  <c r="Y11" i="16" s="1"/>
  <c r="AA11" i="16" s="1"/>
  <c r="X15" i="16"/>
  <c r="Y15" i="16" s="1"/>
  <c r="AA15" i="16" s="1"/>
  <c r="X10" i="16"/>
  <c r="Y10" i="16" s="1"/>
  <c r="AA10" i="16" s="1"/>
  <c r="X30" i="16"/>
  <c r="Y30" i="16" s="1"/>
  <c r="AA30" i="16" s="1"/>
  <c r="X26" i="16"/>
  <c r="Y26" i="16" s="1"/>
  <c r="AA26" i="16" s="1"/>
  <c r="X24" i="16"/>
  <c r="Y24" i="16" s="1"/>
  <c r="AA24" i="16" s="1"/>
  <c r="S91" i="16"/>
  <c r="S35" i="16"/>
  <c r="X76" i="16"/>
  <c r="Y76" i="16" s="1"/>
  <c r="AA76" i="16" s="1"/>
  <c r="X79" i="16"/>
  <c r="Y79" i="16" s="1"/>
  <c r="AA79" i="16" s="1"/>
  <c r="X75" i="16"/>
  <c r="Y75" i="16" s="1"/>
  <c r="AA75" i="16" s="1"/>
  <c r="X65" i="16"/>
  <c r="R91" i="16"/>
  <c r="X67" i="16"/>
  <c r="Y67" i="16" s="1"/>
  <c r="AA67" i="16" s="1"/>
  <c r="X89" i="16"/>
  <c r="Y89" i="16" s="1"/>
  <c r="AA89" i="16" s="1"/>
  <c r="X87" i="16"/>
  <c r="Y87" i="16" s="1"/>
  <c r="AA87" i="16" s="1"/>
  <c r="H61" i="15" l="1"/>
  <c r="D33" i="19" s="1"/>
  <c r="H16" i="15"/>
  <c r="C16" i="19" s="1"/>
  <c r="H42" i="15"/>
  <c r="D14" i="19" s="1"/>
  <c r="G31" i="13"/>
  <c r="H31" i="13" s="1"/>
  <c r="I31" i="13" s="1"/>
  <c r="G31" i="15" s="1"/>
  <c r="H31" i="15" s="1"/>
  <c r="C31" i="19" s="1"/>
  <c r="G17" i="13"/>
  <c r="H17" i="13" s="1"/>
  <c r="I17" i="13" s="1"/>
  <c r="G17" i="15" s="1"/>
  <c r="H17" i="15" s="1"/>
  <c r="C17" i="19" s="1"/>
  <c r="G61" i="13"/>
  <c r="H61" i="13" s="1"/>
  <c r="I61" i="13" s="1"/>
  <c r="G61" i="15" s="1"/>
  <c r="D75" i="15"/>
  <c r="G75" i="13"/>
  <c r="H75" i="13" s="1"/>
  <c r="I75" i="13" s="1"/>
  <c r="G75" i="15" s="1"/>
  <c r="D54" i="15"/>
  <c r="G54" i="13"/>
  <c r="H54" i="13" s="1"/>
  <c r="I54" i="13" s="1"/>
  <c r="G54" i="15" s="1"/>
  <c r="D23" i="15"/>
  <c r="G23" i="13"/>
  <c r="H23" i="13" s="1"/>
  <c r="I23" i="13" s="1"/>
  <c r="G23" i="15" s="1"/>
  <c r="D13" i="15"/>
  <c r="H13" i="15" s="1"/>
  <c r="C13" i="19" s="1"/>
  <c r="G13" i="13"/>
  <c r="H13" i="13" s="1"/>
  <c r="I13" i="13" s="1"/>
  <c r="G13" i="15" s="1"/>
  <c r="D59" i="15"/>
  <c r="G59" i="13"/>
  <c r="H59" i="13" s="1"/>
  <c r="I59" i="13" s="1"/>
  <c r="G59" i="15" s="1"/>
  <c r="D28" i="15"/>
  <c r="H28" i="15" s="1"/>
  <c r="C28" i="19" s="1"/>
  <c r="G28" i="13"/>
  <c r="H28" i="13" s="1"/>
  <c r="I28" i="13" s="1"/>
  <c r="G28" i="15" s="1"/>
  <c r="D56" i="15"/>
  <c r="G56" i="13"/>
  <c r="H56" i="13" s="1"/>
  <c r="I56" i="13" s="1"/>
  <c r="G56" i="15" s="1"/>
  <c r="D67" i="15"/>
  <c r="H67" i="15" s="1"/>
  <c r="E11" i="19" s="1"/>
  <c r="G67" i="13"/>
  <c r="H67" i="13" s="1"/>
  <c r="I67" i="13" s="1"/>
  <c r="G67" i="15" s="1"/>
  <c r="D24" i="15"/>
  <c r="G24" i="13"/>
  <c r="H24" i="13" s="1"/>
  <c r="I24" i="13" s="1"/>
  <c r="G24" i="15" s="1"/>
  <c r="D44" i="15"/>
  <c r="H44" i="15" s="1"/>
  <c r="D16" i="19" s="1"/>
  <c r="G44" i="13"/>
  <c r="H44" i="13" s="1"/>
  <c r="I44" i="13" s="1"/>
  <c r="G44" i="15" s="1"/>
  <c r="D80" i="15"/>
  <c r="G80" i="13"/>
  <c r="H80" i="13" s="1"/>
  <c r="I80" i="13" s="1"/>
  <c r="G80" i="15" s="1"/>
  <c r="D62" i="15"/>
  <c r="H62" i="15" s="1"/>
  <c r="D34" i="19" s="1"/>
  <c r="G62" i="13"/>
  <c r="H62" i="13" s="1"/>
  <c r="I62" i="13" s="1"/>
  <c r="G62" i="15" s="1"/>
  <c r="D19" i="15"/>
  <c r="G19" i="13"/>
  <c r="H19" i="13" s="1"/>
  <c r="I19" i="13" s="1"/>
  <c r="G19" i="15" s="1"/>
  <c r="D86" i="15"/>
  <c r="H86" i="15" s="1"/>
  <c r="E30" i="19" s="1"/>
  <c r="G86" i="13"/>
  <c r="H86" i="13" s="1"/>
  <c r="I86" i="13" s="1"/>
  <c r="G86" i="15" s="1"/>
  <c r="D22" i="15"/>
  <c r="G22" i="13"/>
  <c r="H22" i="13" s="1"/>
  <c r="I22" i="13" s="1"/>
  <c r="G22" i="15" s="1"/>
  <c r="D34" i="15"/>
  <c r="H34" i="15" s="1"/>
  <c r="C34" i="19" s="1"/>
  <c r="G34" i="13"/>
  <c r="H34" i="13" s="1"/>
  <c r="I34" i="13" s="1"/>
  <c r="G34" i="15" s="1"/>
  <c r="D49" i="15"/>
  <c r="G49" i="13"/>
  <c r="H49" i="13" s="1"/>
  <c r="I49" i="13" s="1"/>
  <c r="G49" i="15" s="1"/>
  <c r="H12" i="15"/>
  <c r="C12" i="19" s="1"/>
  <c r="H47" i="15"/>
  <c r="D19" i="19" s="1"/>
  <c r="D26" i="15"/>
  <c r="G26" i="13"/>
  <c r="H26" i="13" s="1"/>
  <c r="I26" i="13" s="1"/>
  <c r="G26" i="15" s="1"/>
  <c r="D11" i="15"/>
  <c r="H11" i="15" s="1"/>
  <c r="C11" i="19" s="1"/>
  <c r="G11" i="13"/>
  <c r="H11" i="13" s="1"/>
  <c r="I11" i="13" s="1"/>
  <c r="G11" i="15" s="1"/>
  <c r="D40" i="15"/>
  <c r="G40" i="13"/>
  <c r="H40" i="13" s="1"/>
  <c r="I40" i="13" s="1"/>
  <c r="G40" i="15" s="1"/>
  <c r="D72" i="15"/>
  <c r="H72" i="15" s="1"/>
  <c r="E16" i="19" s="1"/>
  <c r="G72" i="13"/>
  <c r="H72" i="13" s="1"/>
  <c r="I72" i="13" s="1"/>
  <c r="G72" i="15" s="1"/>
  <c r="D55" i="15"/>
  <c r="G55" i="13"/>
  <c r="H55" i="13" s="1"/>
  <c r="I55" i="13" s="1"/>
  <c r="G55" i="15" s="1"/>
  <c r="D27" i="15"/>
  <c r="G27" i="13"/>
  <c r="H27" i="13" s="1"/>
  <c r="I27" i="13" s="1"/>
  <c r="G27" i="15" s="1"/>
  <c r="D46" i="15"/>
  <c r="G46" i="13"/>
  <c r="H46" i="13" s="1"/>
  <c r="I46" i="13" s="1"/>
  <c r="G46" i="15" s="1"/>
  <c r="D83" i="15"/>
  <c r="G83" i="13"/>
  <c r="H83" i="13" s="1"/>
  <c r="I83" i="13" s="1"/>
  <c r="G83" i="15" s="1"/>
  <c r="D74" i="15"/>
  <c r="G74" i="13"/>
  <c r="H74" i="13" s="1"/>
  <c r="I74" i="13" s="1"/>
  <c r="G74" i="15" s="1"/>
  <c r="D20" i="15"/>
  <c r="G20" i="13"/>
  <c r="H20" i="13" s="1"/>
  <c r="I20" i="13" s="1"/>
  <c r="G20" i="15" s="1"/>
  <c r="D32" i="15"/>
  <c r="G32" i="13"/>
  <c r="H32" i="13" s="1"/>
  <c r="I32" i="13" s="1"/>
  <c r="G32" i="15" s="1"/>
  <c r="D77" i="15"/>
  <c r="G77" i="13"/>
  <c r="H77" i="13" s="1"/>
  <c r="I77" i="13" s="1"/>
  <c r="G77" i="15" s="1"/>
  <c r="D21" i="15"/>
  <c r="G21" i="13"/>
  <c r="H21" i="13" s="1"/>
  <c r="I21" i="13" s="1"/>
  <c r="G21" i="15" s="1"/>
  <c r="H43" i="15"/>
  <c r="D15" i="19" s="1"/>
  <c r="D89" i="15"/>
  <c r="G89" i="13"/>
  <c r="H89" i="13" s="1"/>
  <c r="I89" i="13" s="1"/>
  <c r="G89" i="15" s="1"/>
  <c r="D10" i="15"/>
  <c r="H10" i="15" s="1"/>
  <c r="C10" i="19" s="1"/>
  <c r="G10" i="13"/>
  <c r="H10" i="13" s="1"/>
  <c r="I10" i="13" s="1"/>
  <c r="G10" i="15" s="1"/>
  <c r="D38" i="15"/>
  <c r="G38" i="13"/>
  <c r="H38" i="13" s="1"/>
  <c r="I38" i="13" s="1"/>
  <c r="G38" i="15" s="1"/>
  <c r="D68" i="15"/>
  <c r="H68" i="15" s="1"/>
  <c r="E12" i="19" s="1"/>
  <c r="G68" i="13"/>
  <c r="H68" i="13" s="1"/>
  <c r="I68" i="13" s="1"/>
  <c r="G68" i="15" s="1"/>
  <c r="D71" i="15"/>
  <c r="G71" i="13"/>
  <c r="H71" i="13" s="1"/>
  <c r="I71" i="13" s="1"/>
  <c r="G71" i="15" s="1"/>
  <c r="D90" i="15"/>
  <c r="H90" i="15" s="1"/>
  <c r="E34" i="19" s="1"/>
  <c r="G90" i="13"/>
  <c r="H90" i="13" s="1"/>
  <c r="I90" i="13" s="1"/>
  <c r="G90" i="15" s="1"/>
  <c r="D88" i="15"/>
  <c r="G88" i="13"/>
  <c r="H88" i="13" s="1"/>
  <c r="I88" i="13" s="1"/>
  <c r="G88" i="15" s="1"/>
  <c r="D45" i="15"/>
  <c r="H45" i="15" s="1"/>
  <c r="D17" i="19" s="1"/>
  <c r="G45" i="13"/>
  <c r="H45" i="13" s="1"/>
  <c r="I45" i="13" s="1"/>
  <c r="G45" i="15" s="1"/>
  <c r="D70" i="15"/>
  <c r="G70" i="13"/>
  <c r="H70" i="13" s="1"/>
  <c r="I70" i="13" s="1"/>
  <c r="G70" i="15" s="1"/>
  <c r="D39" i="15"/>
  <c r="H39" i="15" s="1"/>
  <c r="D11" i="19" s="1"/>
  <c r="G39" i="13"/>
  <c r="H39" i="13" s="1"/>
  <c r="I39" i="13" s="1"/>
  <c r="G39" i="15" s="1"/>
  <c r="D66" i="15"/>
  <c r="G66" i="13"/>
  <c r="H66" i="13" s="1"/>
  <c r="I66" i="13" s="1"/>
  <c r="G66" i="15" s="1"/>
  <c r="D79" i="15"/>
  <c r="H79" i="15" s="1"/>
  <c r="E23" i="19" s="1"/>
  <c r="G79" i="13"/>
  <c r="H79" i="13" s="1"/>
  <c r="I79" i="13" s="1"/>
  <c r="G79" i="15" s="1"/>
  <c r="G15" i="13"/>
  <c r="H15" i="13" s="1"/>
  <c r="I15" i="13" s="1"/>
  <c r="G15" i="15" s="1"/>
  <c r="D15" i="15"/>
  <c r="H15" i="15" s="1"/>
  <c r="C15" i="19" s="1"/>
  <c r="H52" i="15"/>
  <c r="D24" i="19" s="1"/>
  <c r="D82" i="15"/>
  <c r="G82" i="13"/>
  <c r="H82" i="13" s="1"/>
  <c r="I82" i="13" s="1"/>
  <c r="G82" i="15" s="1"/>
  <c r="H58" i="15"/>
  <c r="D30" i="19" s="1"/>
  <c r="D33" i="15"/>
  <c r="H33" i="15" s="1"/>
  <c r="C33" i="19" s="1"/>
  <c r="G33" i="13"/>
  <c r="H33" i="13" s="1"/>
  <c r="I33" i="13" s="1"/>
  <c r="G33" i="15" s="1"/>
  <c r="X63" i="16"/>
  <c r="Y37" i="16"/>
  <c r="D51" i="15"/>
  <c r="H51" i="15" s="1"/>
  <c r="D23" i="19" s="1"/>
  <c r="G51" i="13"/>
  <c r="H51" i="13" s="1"/>
  <c r="I51" i="13" s="1"/>
  <c r="G51" i="15" s="1"/>
  <c r="D25" i="15"/>
  <c r="G25" i="13"/>
  <c r="H25" i="13" s="1"/>
  <c r="I25" i="13" s="1"/>
  <c r="G25" i="15" s="1"/>
  <c r="D76" i="15"/>
  <c r="H76" i="15" s="1"/>
  <c r="E20" i="19" s="1"/>
  <c r="G76" i="13"/>
  <c r="H76" i="13" s="1"/>
  <c r="I76" i="13" s="1"/>
  <c r="G76" i="15" s="1"/>
  <c r="D87" i="15"/>
  <c r="G87" i="13"/>
  <c r="H87" i="13" s="1"/>
  <c r="I87" i="13" s="1"/>
  <c r="G87" i="15" s="1"/>
  <c r="Y65" i="16"/>
  <c r="X91" i="16"/>
  <c r="D30" i="15"/>
  <c r="G30" i="13"/>
  <c r="H30" i="13" s="1"/>
  <c r="I30" i="13" s="1"/>
  <c r="G30" i="15" s="1"/>
  <c r="D53" i="15"/>
  <c r="H53" i="15" s="1"/>
  <c r="D25" i="19" s="1"/>
  <c r="G53" i="13"/>
  <c r="H53" i="13" s="1"/>
  <c r="I53" i="13" s="1"/>
  <c r="G53" i="15" s="1"/>
  <c r="D60" i="15"/>
  <c r="G60" i="13"/>
  <c r="H60" i="13" s="1"/>
  <c r="I60" i="13" s="1"/>
  <c r="G60" i="15" s="1"/>
  <c r="D85" i="15"/>
  <c r="H85" i="15" s="1"/>
  <c r="E29" i="19" s="1"/>
  <c r="G85" i="13"/>
  <c r="H85" i="13" s="1"/>
  <c r="I85" i="13" s="1"/>
  <c r="G85" i="15" s="1"/>
  <c r="D18" i="15"/>
  <c r="G18" i="13"/>
  <c r="H18" i="13" s="1"/>
  <c r="I18" i="13" s="1"/>
  <c r="G18" i="15" s="1"/>
  <c r="D41" i="15"/>
  <c r="H41" i="15" s="1"/>
  <c r="D13" i="19" s="1"/>
  <c r="G41" i="13"/>
  <c r="H41" i="13" s="1"/>
  <c r="I41" i="13" s="1"/>
  <c r="G41" i="15" s="1"/>
  <c r="D69" i="15"/>
  <c r="G69" i="13"/>
  <c r="H69" i="13" s="1"/>
  <c r="I69" i="13" s="1"/>
  <c r="G69" i="15" s="1"/>
  <c r="H14" i="15"/>
  <c r="C14" i="19" s="1"/>
  <c r="D84" i="15"/>
  <c r="G84" i="13"/>
  <c r="H84" i="13" s="1"/>
  <c r="I84" i="13" s="1"/>
  <c r="G84" i="15" s="1"/>
  <c r="D73" i="15"/>
  <c r="G73" i="13"/>
  <c r="H73" i="13" s="1"/>
  <c r="I73" i="13" s="1"/>
  <c r="G73" i="15" s="1"/>
  <c r="Y9" i="16"/>
  <c r="X35" i="16"/>
  <c r="D50" i="15"/>
  <c r="G50" i="13"/>
  <c r="H50" i="13" s="1"/>
  <c r="I50" i="13" s="1"/>
  <c r="G50" i="15" s="1"/>
  <c r="D57" i="15"/>
  <c r="G57" i="13"/>
  <c r="H57" i="13" s="1"/>
  <c r="I57" i="13" s="1"/>
  <c r="G57" i="15" s="1"/>
  <c r="D81" i="15"/>
  <c r="G81" i="13"/>
  <c r="H81" i="13" s="1"/>
  <c r="I81" i="13" s="1"/>
  <c r="G81" i="15" s="1"/>
  <c r="H48" i="15"/>
  <c r="D20" i="19" s="1"/>
  <c r="D78" i="15"/>
  <c r="G78" i="13"/>
  <c r="H78" i="13" s="1"/>
  <c r="I78" i="13" s="1"/>
  <c r="G78" i="15" s="1"/>
  <c r="H29" i="15"/>
  <c r="C29" i="19" s="1"/>
  <c r="F16" i="19" l="1"/>
  <c r="E16" i="20" s="1"/>
  <c r="F16" i="20" s="1"/>
  <c r="H23" i="15"/>
  <c r="C23" i="19" s="1"/>
  <c r="H75" i="15"/>
  <c r="E19" i="19" s="1"/>
  <c r="H57" i="15"/>
  <c r="D29" i="19" s="1"/>
  <c r="F29" i="19" s="1"/>
  <c r="H84" i="15"/>
  <c r="E28" i="19" s="1"/>
  <c r="H82" i="15"/>
  <c r="E26" i="19" s="1"/>
  <c r="H77" i="15"/>
  <c r="E21" i="19" s="1"/>
  <c r="H20" i="15"/>
  <c r="C20" i="19" s="1"/>
  <c r="F20" i="19" s="1"/>
  <c r="H83" i="15"/>
  <c r="E27" i="19" s="1"/>
  <c r="H27" i="15"/>
  <c r="C27" i="19" s="1"/>
  <c r="F13" i="19"/>
  <c r="H81" i="15"/>
  <c r="E25" i="19" s="1"/>
  <c r="H73" i="15"/>
  <c r="E17" i="19" s="1"/>
  <c r="AA37" i="16"/>
  <c r="Y63" i="16"/>
  <c r="H21" i="15"/>
  <c r="C21" i="19" s="1"/>
  <c r="H74" i="15"/>
  <c r="E18" i="19" s="1"/>
  <c r="H46" i="15"/>
  <c r="D18" i="19" s="1"/>
  <c r="H54" i="15"/>
  <c r="D26" i="19" s="1"/>
  <c r="H69" i="15"/>
  <c r="E13" i="19" s="1"/>
  <c r="H18" i="15"/>
  <c r="C18" i="19" s="1"/>
  <c r="H60" i="15"/>
  <c r="D32" i="19" s="1"/>
  <c r="H30" i="15"/>
  <c r="C30" i="19" s="1"/>
  <c r="F30" i="19" s="1"/>
  <c r="H87" i="15"/>
  <c r="E31" i="19" s="1"/>
  <c r="H25" i="15"/>
  <c r="C25" i="19" s="1"/>
  <c r="F25" i="19" s="1"/>
  <c r="H66" i="15"/>
  <c r="E10" i="19" s="1"/>
  <c r="H70" i="15"/>
  <c r="E14" i="19" s="1"/>
  <c r="F14" i="19" s="1"/>
  <c r="H88" i="15"/>
  <c r="E32" i="19" s="1"/>
  <c r="H71" i="15"/>
  <c r="E15" i="19" s="1"/>
  <c r="F15" i="19" s="1"/>
  <c r="H38" i="15"/>
  <c r="D10" i="19" s="1"/>
  <c r="F10" i="19" s="1"/>
  <c r="H89" i="15"/>
  <c r="E33" i="19" s="1"/>
  <c r="F33" i="19" s="1"/>
  <c r="H40" i="15"/>
  <c r="D12" i="19" s="1"/>
  <c r="F12" i="19" s="1"/>
  <c r="H26" i="15"/>
  <c r="C26" i="19" s="1"/>
  <c r="H49" i="15"/>
  <c r="D21" i="19" s="1"/>
  <c r="H22" i="15"/>
  <c r="C22" i="19" s="1"/>
  <c r="H19" i="15"/>
  <c r="C19" i="19" s="1"/>
  <c r="H80" i="15"/>
  <c r="E24" i="19" s="1"/>
  <c r="H24" i="15"/>
  <c r="C24" i="19" s="1"/>
  <c r="H56" i="15"/>
  <c r="D28" i="19" s="1"/>
  <c r="F28" i="19" s="1"/>
  <c r="H59" i="15"/>
  <c r="D31" i="19" s="1"/>
  <c r="F31" i="19" s="1"/>
  <c r="Y91" i="16"/>
  <c r="AA65" i="16"/>
  <c r="F11" i="19"/>
  <c r="F34" i="19"/>
  <c r="H78" i="15"/>
  <c r="E22" i="19" s="1"/>
  <c r="H50" i="15"/>
  <c r="D22" i="19" s="1"/>
  <c r="H32" i="15"/>
  <c r="C32" i="19" s="1"/>
  <c r="H55" i="15"/>
  <c r="D27" i="19" s="1"/>
  <c r="F17" i="19"/>
  <c r="Y35" i="16"/>
  <c r="AA9" i="16"/>
  <c r="F23" i="19"/>
  <c r="H16" i="19" l="1"/>
  <c r="F26" i="19"/>
  <c r="F27" i="19"/>
  <c r="H27" i="19" s="1"/>
  <c r="F19" i="19"/>
  <c r="H19" i="19" s="1"/>
  <c r="E27" i="20"/>
  <c r="F27" i="20" s="1"/>
  <c r="E31" i="20"/>
  <c r="F31" i="20" s="1"/>
  <c r="H31" i="19"/>
  <c r="E12" i="20"/>
  <c r="F12" i="20" s="1"/>
  <c r="H12" i="19"/>
  <c r="H15" i="19"/>
  <c r="E15" i="20"/>
  <c r="F15" i="20" s="1"/>
  <c r="E29" i="20"/>
  <c r="F29" i="20" s="1"/>
  <c r="H29" i="19"/>
  <c r="E14" i="20"/>
  <c r="F14" i="20" s="1"/>
  <c r="H14" i="19"/>
  <c r="E26" i="20"/>
  <c r="F26" i="20" s="1"/>
  <c r="H26" i="19"/>
  <c r="E33" i="20"/>
  <c r="F33" i="20" s="1"/>
  <c r="H33" i="19"/>
  <c r="E19" i="20"/>
  <c r="F19" i="20" s="1"/>
  <c r="E25" i="20"/>
  <c r="F25" i="20" s="1"/>
  <c r="H25" i="19"/>
  <c r="F18" i="19"/>
  <c r="D37" i="15"/>
  <c r="AA63" i="16"/>
  <c r="G37" i="13"/>
  <c r="E23" i="20"/>
  <c r="F23" i="20" s="1"/>
  <c r="H23" i="19"/>
  <c r="F32" i="19"/>
  <c r="E34" i="20"/>
  <c r="F34" i="20" s="1"/>
  <c r="H34" i="19"/>
  <c r="D65" i="15"/>
  <c r="AA91" i="16"/>
  <c r="G65" i="13"/>
  <c r="F22" i="19"/>
  <c r="F21" i="19"/>
  <c r="E20" i="20"/>
  <c r="F20" i="20" s="1"/>
  <c r="H20" i="19"/>
  <c r="E10" i="20"/>
  <c r="F10" i="20" s="1"/>
  <c r="H10" i="19"/>
  <c r="E13" i="20"/>
  <c r="F13" i="20" s="1"/>
  <c r="H13" i="19"/>
  <c r="D9" i="15"/>
  <c r="AA35" i="16"/>
  <c r="G9" i="13"/>
  <c r="E28" i="20"/>
  <c r="F28" i="20" s="1"/>
  <c r="H28" i="19"/>
  <c r="E17" i="20"/>
  <c r="F17" i="20" s="1"/>
  <c r="H17" i="19"/>
  <c r="E11" i="20"/>
  <c r="F11" i="20" s="1"/>
  <c r="H11" i="19"/>
  <c r="F24" i="19"/>
  <c r="E30" i="20"/>
  <c r="F30" i="20" s="1"/>
  <c r="H30" i="19"/>
  <c r="G35" i="13" l="1"/>
  <c r="H35" i="13" s="1"/>
  <c r="H9" i="13"/>
  <c r="I9" i="13" s="1"/>
  <c r="E24" i="20"/>
  <c r="F24" i="20" s="1"/>
  <c r="H24" i="19"/>
  <c r="G91" i="13"/>
  <c r="H91" i="13" s="1"/>
  <c r="H65" i="13"/>
  <c r="I65" i="13" s="1"/>
  <c r="G63" i="13"/>
  <c r="H63" i="13" s="1"/>
  <c r="H37" i="13"/>
  <c r="I37" i="13" s="1"/>
  <c r="E22" i="20"/>
  <c r="F22" i="20" s="1"/>
  <c r="H22" i="19"/>
  <c r="E18" i="20"/>
  <c r="F18" i="20" s="1"/>
  <c r="H18" i="19"/>
  <c r="D35" i="15"/>
  <c r="E32" i="20"/>
  <c r="F32" i="20" s="1"/>
  <c r="H32" i="19"/>
  <c r="E21" i="20"/>
  <c r="F21" i="20" s="1"/>
  <c r="H21" i="19"/>
  <c r="D91" i="15"/>
  <c r="D63" i="15"/>
  <c r="G65" i="15" l="1"/>
  <c r="I91" i="13"/>
  <c r="G37" i="15"/>
  <c r="I63" i="13"/>
  <c r="G9" i="15"/>
  <c r="I35" i="13"/>
  <c r="G63" i="15" l="1"/>
  <c r="H37" i="15"/>
  <c r="G35" i="15"/>
  <c r="H9" i="15"/>
  <c r="G91" i="15"/>
  <c r="H65" i="15"/>
  <c r="H35" i="15" l="1"/>
  <c r="C9" i="19"/>
  <c r="E9" i="19"/>
  <c r="E35" i="19" s="1"/>
  <c r="H91" i="15"/>
  <c r="H63" i="15"/>
  <c r="D9" i="19"/>
  <c r="D35" i="19" s="1"/>
  <c r="C35" i="19" l="1"/>
  <c r="F9" i="19"/>
  <c r="E9" i="20" l="1"/>
  <c r="F35" i="19"/>
  <c r="H35" i="19" s="1"/>
  <c r="H9" i="19"/>
  <c r="F9" i="20" l="1"/>
  <c r="E35" i="20"/>
  <c r="F35" i="20" s="1"/>
  <c r="E5" i="21" s="1"/>
  <c r="E6" i="21" s="1"/>
  <c r="D9" i="24"/>
  <c r="I9" i="19"/>
  <c r="J12" i="28"/>
  <c r="J13" i="28" s="1"/>
  <c r="C35" i="22"/>
  <c r="C35" i="6" s="1"/>
  <c r="I16" i="19"/>
  <c r="D16" i="24"/>
  <c r="F16" i="24" s="1"/>
  <c r="I10" i="19"/>
  <c r="I33" i="19"/>
  <c r="I31" i="19"/>
  <c r="D28" i="24"/>
  <c r="F28" i="24" s="1"/>
  <c r="I30" i="19"/>
  <c r="I20" i="19"/>
  <c r="I26" i="19"/>
  <c r="D12" i="24"/>
  <c r="F12" i="24" s="1"/>
  <c r="D25" i="24"/>
  <c r="F25" i="24" s="1"/>
  <c r="I14" i="19"/>
  <c r="D17" i="24"/>
  <c r="F17" i="24" s="1"/>
  <c r="I34" i="19"/>
  <c r="I11" i="19"/>
  <c r="D15" i="24"/>
  <c r="F15" i="24" s="1"/>
  <c r="I13" i="19"/>
  <c r="D23" i="24"/>
  <c r="F23" i="24" s="1"/>
  <c r="D19" i="24"/>
  <c r="F19" i="24" s="1"/>
  <c r="D29" i="24"/>
  <c r="F29" i="24" s="1"/>
  <c r="D27" i="24"/>
  <c r="F27" i="24" s="1"/>
  <c r="D33" i="24"/>
  <c r="F33" i="24" s="1"/>
  <c r="D31" i="24"/>
  <c r="F31" i="24" s="1"/>
  <c r="I28" i="19"/>
  <c r="D30" i="24"/>
  <c r="F30" i="24" s="1"/>
  <c r="D20" i="24"/>
  <c r="F20" i="24" s="1"/>
  <c r="I12" i="19"/>
  <c r="I25" i="19"/>
  <c r="D14" i="24"/>
  <c r="F14" i="24" s="1"/>
  <c r="I17" i="19"/>
  <c r="D34" i="24"/>
  <c r="F34" i="24" s="1"/>
  <c r="D11" i="24"/>
  <c r="F11" i="24" s="1"/>
  <c r="I15" i="19"/>
  <c r="D13" i="24"/>
  <c r="F13" i="24" s="1"/>
  <c r="I23" i="19"/>
  <c r="I19" i="19"/>
  <c r="I29" i="19"/>
  <c r="I27" i="19"/>
  <c r="D10" i="24"/>
  <c r="F10" i="24" s="1"/>
  <c r="D26" i="24"/>
  <c r="F26" i="24" s="1"/>
  <c r="I21" i="19"/>
  <c r="D24" i="24"/>
  <c r="F24" i="24" s="1"/>
  <c r="I18" i="19"/>
  <c r="D32" i="24"/>
  <c r="F32" i="24" s="1"/>
  <c r="D22" i="24"/>
  <c r="F22" i="24" s="1"/>
  <c r="I32" i="19"/>
  <c r="I22" i="19"/>
  <c r="D21" i="24"/>
  <c r="F21" i="24" s="1"/>
  <c r="I24" i="19"/>
  <c r="D18" i="24"/>
  <c r="F18" i="24" s="1"/>
  <c r="C23" i="24" l="1"/>
  <c r="C23" i="22"/>
  <c r="C23" i="20"/>
  <c r="C23" i="26"/>
  <c r="C11" i="24"/>
  <c r="C11" i="22"/>
  <c r="C11" i="20"/>
  <c r="C11" i="26"/>
  <c r="C30" i="22"/>
  <c r="C30" i="20"/>
  <c r="C30" i="24"/>
  <c r="C30" i="26"/>
  <c r="C10" i="24"/>
  <c r="C10" i="22"/>
  <c r="C10" i="20"/>
  <c r="C10" i="26"/>
  <c r="C32" i="24"/>
  <c r="C32" i="22"/>
  <c r="C32" i="20"/>
  <c r="C32" i="26"/>
  <c r="C27" i="22"/>
  <c r="C27" i="20"/>
  <c r="C27" i="24"/>
  <c r="C27" i="26"/>
  <c r="C17" i="22"/>
  <c r="C17" i="20"/>
  <c r="C17" i="24"/>
  <c r="C17" i="26"/>
  <c r="C34" i="22"/>
  <c r="C34" i="20"/>
  <c r="C34" i="24"/>
  <c r="C34" i="26"/>
  <c r="C9" i="24"/>
  <c r="C9" i="20"/>
  <c r="C9" i="22"/>
  <c r="C9" i="26"/>
  <c r="C22" i="22"/>
  <c r="C22" i="24"/>
  <c r="C22" i="20"/>
  <c r="C22" i="26"/>
  <c r="C18" i="22"/>
  <c r="C18" i="24"/>
  <c r="C18" i="20"/>
  <c r="C18" i="26"/>
  <c r="C12" i="24"/>
  <c r="C12" i="22"/>
  <c r="C12" i="20"/>
  <c r="C12" i="26"/>
  <c r="C24" i="24"/>
  <c r="C24" i="22"/>
  <c r="C24" i="20"/>
  <c r="C24" i="26"/>
  <c r="C21" i="20"/>
  <c r="C21" i="24"/>
  <c r="C21" i="26"/>
  <c r="C21" i="22"/>
  <c r="C29" i="24"/>
  <c r="C29" i="22"/>
  <c r="C29" i="20"/>
  <c r="C29" i="26"/>
  <c r="C15" i="24"/>
  <c r="C15" i="20"/>
  <c r="C15" i="22"/>
  <c r="C15" i="26"/>
  <c r="C13" i="24"/>
  <c r="C13" i="20"/>
  <c r="C13" i="22"/>
  <c r="C13" i="26"/>
  <c r="C26" i="22"/>
  <c r="C26" i="24"/>
  <c r="C26" i="20"/>
  <c r="C26" i="26"/>
  <c r="C31" i="24"/>
  <c r="C31" i="20"/>
  <c r="C31" i="22"/>
  <c r="C31" i="26"/>
  <c r="C16" i="24"/>
  <c r="C16" i="22"/>
  <c r="C16" i="20"/>
  <c r="C16" i="26"/>
  <c r="D35" i="24"/>
  <c r="F35" i="24" s="1"/>
  <c r="F9" i="24"/>
  <c r="C19" i="24"/>
  <c r="C19" i="22"/>
  <c r="C19" i="20"/>
  <c r="C19" i="26"/>
  <c r="C25" i="24"/>
  <c r="C25" i="20"/>
  <c r="C25" i="22"/>
  <c r="C25" i="26"/>
  <c r="C28" i="22"/>
  <c r="C28" i="20"/>
  <c r="C28" i="24"/>
  <c r="C28" i="26"/>
  <c r="C14" i="24"/>
  <c r="C14" i="22"/>
  <c r="C14" i="20"/>
  <c r="C14" i="26"/>
  <c r="C20" i="22"/>
  <c r="C20" i="20"/>
  <c r="C20" i="24"/>
  <c r="C20" i="26"/>
  <c r="C33" i="20"/>
  <c r="C33" i="22"/>
  <c r="C33" i="24"/>
  <c r="C33" i="26"/>
  <c r="E7" i="21"/>
  <c r="E9" i="21" l="1"/>
  <c r="E20" i="22"/>
  <c r="C20" i="6"/>
  <c r="E25" i="22"/>
  <c r="C25" i="6"/>
  <c r="E26" i="22"/>
  <c r="C26" i="6"/>
  <c r="C24" i="6"/>
  <c r="E24" i="22"/>
  <c r="I18" i="20"/>
  <c r="H18" i="20"/>
  <c r="G18" i="20"/>
  <c r="H22" i="20"/>
  <c r="I22" i="20"/>
  <c r="G22" i="20"/>
  <c r="E17" i="22"/>
  <c r="C17" i="6"/>
  <c r="H32" i="20"/>
  <c r="G32" i="20"/>
  <c r="I32" i="20"/>
  <c r="G23" i="20"/>
  <c r="I23" i="20"/>
  <c r="H23" i="20"/>
  <c r="I25" i="20"/>
  <c r="H25" i="20"/>
  <c r="G25" i="20"/>
  <c r="H9" i="20"/>
  <c r="I9" i="20" s="1"/>
  <c r="G9" i="20"/>
  <c r="E34" i="22"/>
  <c r="C34" i="6"/>
  <c r="E27" i="22"/>
  <c r="C27" i="6"/>
  <c r="I10" i="20"/>
  <c r="H10" i="20"/>
  <c r="G10" i="20"/>
  <c r="E23" i="22"/>
  <c r="C23" i="6"/>
  <c r="H14" i="20"/>
  <c r="G14" i="20"/>
  <c r="C28" i="6"/>
  <c r="E28" i="22"/>
  <c r="E19" i="22"/>
  <c r="C19" i="6"/>
  <c r="H16" i="20"/>
  <c r="G16" i="20"/>
  <c r="I16" i="20"/>
  <c r="E31" i="22"/>
  <c r="C31" i="6"/>
  <c r="G26" i="20"/>
  <c r="H26" i="20"/>
  <c r="I26" i="20"/>
  <c r="E15" i="22"/>
  <c r="C15" i="6"/>
  <c r="I29" i="20"/>
  <c r="G29" i="20"/>
  <c r="H29" i="20"/>
  <c r="E18" i="22"/>
  <c r="C18" i="6"/>
  <c r="C22" i="6"/>
  <c r="E22" i="22"/>
  <c r="C37" i="24"/>
  <c r="C10" i="6"/>
  <c r="E10" i="22"/>
  <c r="H30" i="20"/>
  <c r="G30" i="20"/>
  <c r="I30" i="20"/>
  <c r="H11" i="20"/>
  <c r="G11" i="20"/>
  <c r="I11" i="20"/>
  <c r="G33" i="20"/>
  <c r="H33" i="20"/>
  <c r="H13" i="20"/>
  <c r="G13" i="20"/>
  <c r="I21" i="20"/>
  <c r="G21" i="20"/>
  <c r="H21" i="20"/>
  <c r="E12" i="22"/>
  <c r="C12" i="6"/>
  <c r="E9" i="22"/>
  <c r="C9" i="6"/>
  <c r="I34" i="20"/>
  <c r="H34" i="20"/>
  <c r="G34" i="20"/>
  <c r="G27" i="20"/>
  <c r="I27" i="20"/>
  <c r="H27" i="20"/>
  <c r="H28" i="20"/>
  <c r="I28" i="20"/>
  <c r="G28" i="20"/>
  <c r="G19" i="20"/>
  <c r="H19" i="20"/>
  <c r="I19" i="20"/>
  <c r="E21" i="22"/>
  <c r="C21" i="6"/>
  <c r="C32" i="6"/>
  <c r="E32" i="22"/>
  <c r="E33" i="22"/>
  <c r="C33" i="6"/>
  <c r="H20" i="20"/>
  <c r="I20" i="20" s="1"/>
  <c r="G20" i="20"/>
  <c r="C14" i="6"/>
  <c r="E14" i="22"/>
  <c r="C16" i="6"/>
  <c r="E16" i="22"/>
  <c r="G31" i="20"/>
  <c r="I31" i="20"/>
  <c r="H31" i="20"/>
  <c r="E13" i="22"/>
  <c r="C13" i="6"/>
  <c r="G15" i="20"/>
  <c r="I15" i="20"/>
  <c r="H15" i="20"/>
  <c r="E29" i="22"/>
  <c r="C29" i="6"/>
  <c r="H24" i="20"/>
  <c r="G24" i="20"/>
  <c r="I24" i="20"/>
  <c r="G12" i="20"/>
  <c r="I12" i="20"/>
  <c r="H12" i="20"/>
  <c r="G17" i="20"/>
  <c r="H17" i="20"/>
  <c r="I17" i="20" s="1"/>
  <c r="C30" i="6"/>
  <c r="E30" i="22"/>
  <c r="E11" i="22"/>
  <c r="C11" i="6"/>
  <c r="I14" i="20" l="1"/>
  <c r="I33" i="20"/>
  <c r="I13" i="20"/>
  <c r="E11" i="6"/>
  <c r="E32" i="6"/>
  <c r="E29" i="6"/>
  <c r="F14" i="6"/>
  <c r="G14" i="6" s="1"/>
  <c r="E14" i="6"/>
  <c r="E18" i="6"/>
  <c r="E25" i="6"/>
  <c r="E13" i="6"/>
  <c r="F13" i="6"/>
  <c r="G13" i="6" s="1"/>
  <c r="E9" i="6"/>
  <c r="F9" i="6"/>
  <c r="G9" i="6" s="1"/>
  <c r="E10" i="6"/>
  <c r="E15" i="6"/>
  <c r="F15" i="6"/>
  <c r="G15" i="6" s="1"/>
  <c r="E23" i="6"/>
  <c r="E34" i="6"/>
  <c r="H35" i="20"/>
  <c r="E26" i="6"/>
  <c r="F12" i="21"/>
  <c r="E15" i="21"/>
  <c r="F11" i="21"/>
  <c r="E12" i="6"/>
  <c r="E22" i="6"/>
  <c r="E19" i="6"/>
  <c r="E28" i="6"/>
  <c r="E27" i="6"/>
  <c r="E24" i="6"/>
  <c r="F20" i="6"/>
  <c r="G20" i="6" s="1"/>
  <c r="E20" i="6"/>
  <c r="E16" i="6"/>
  <c r="E33" i="6"/>
  <c r="F33" i="6"/>
  <c r="G33" i="6" s="1"/>
  <c r="G35" i="20"/>
  <c r="E30" i="6"/>
  <c r="E21" i="6"/>
  <c r="E35" i="22"/>
  <c r="E31" i="6"/>
  <c r="E17" i="6"/>
  <c r="F17" i="6"/>
  <c r="G17" i="6" s="1"/>
  <c r="E35" i="6" l="1"/>
  <c r="I35" i="20"/>
  <c r="F5" i="21" s="1"/>
  <c r="F6" i="21" s="1"/>
  <c r="F7" i="21" l="1"/>
  <c r="G6" i="21"/>
  <c r="G5" i="21" s="1"/>
  <c r="F9" i="21" l="1"/>
  <c r="G7" i="21"/>
  <c r="F15" i="21" l="1"/>
  <c r="F13" i="21"/>
  <c r="G13" i="21" s="1"/>
  <c r="G9" i="21"/>
  <c r="G34" i="22" l="1"/>
  <c r="F34" i="22" s="1"/>
  <c r="G32" i="22"/>
  <c r="F32" i="22" s="1"/>
  <c r="G30" i="22"/>
  <c r="F30" i="22" s="1"/>
  <c r="G28" i="22"/>
  <c r="F28" i="22" s="1"/>
  <c r="G26" i="22"/>
  <c r="F26" i="22" s="1"/>
  <c r="G24" i="22"/>
  <c r="F24" i="22" s="1"/>
  <c r="G22" i="22"/>
  <c r="F22" i="22" s="1"/>
  <c r="G20" i="22"/>
  <c r="G18" i="22"/>
  <c r="F18" i="22" s="1"/>
  <c r="G16" i="22"/>
  <c r="F16" i="22" s="1"/>
  <c r="G14" i="22"/>
  <c r="G12" i="22"/>
  <c r="F12" i="22" s="1"/>
  <c r="G10" i="22"/>
  <c r="F10" i="22" s="1"/>
  <c r="G29" i="22"/>
  <c r="F29" i="22" s="1"/>
  <c r="G21" i="22"/>
  <c r="F21" i="22" s="1"/>
  <c r="G13" i="22"/>
  <c r="G33" i="22"/>
  <c r="G27" i="22"/>
  <c r="F27" i="22" s="1"/>
  <c r="F17" i="21"/>
  <c r="G9" i="22"/>
  <c r="G11" i="22"/>
  <c r="F11" i="22" s="1"/>
  <c r="G15" i="22"/>
  <c r="G17" i="22"/>
  <c r="G19" i="22"/>
  <c r="F19" i="22" s="1"/>
  <c r="G31" i="22"/>
  <c r="F31" i="22" s="1"/>
  <c r="G23" i="22"/>
  <c r="F23" i="22" s="1"/>
  <c r="G25" i="22"/>
  <c r="F25" i="22" s="1"/>
  <c r="G15" i="21"/>
  <c r="F9" i="22" l="1"/>
  <c r="G35" i="22"/>
  <c r="G9" i="24"/>
  <c r="D9" i="26"/>
  <c r="F13" i="22"/>
  <c r="G13" i="24"/>
  <c r="D13" i="26"/>
  <c r="F20" i="22"/>
  <c r="G20" i="24"/>
  <c r="D20" i="26"/>
  <c r="F17" i="22"/>
  <c r="G17" i="24"/>
  <c r="D17" i="26"/>
  <c r="F14" i="22"/>
  <c r="G14" i="24"/>
  <c r="D14" i="26"/>
  <c r="F15" i="22"/>
  <c r="G15" i="24"/>
  <c r="D15" i="26"/>
  <c r="F11" i="6"/>
  <c r="G11" i="6" s="1"/>
  <c r="F18" i="6"/>
  <c r="G18" i="6" s="1"/>
  <c r="F10" i="6"/>
  <c r="G10" i="6" s="1"/>
  <c r="F31" i="6"/>
  <c r="G31" i="6" s="1"/>
  <c r="F30" i="6"/>
  <c r="G30" i="6" s="1"/>
  <c r="F19" i="6"/>
  <c r="G19" i="6" s="1"/>
  <c r="F29" i="6"/>
  <c r="G29" i="6" s="1"/>
  <c r="F23" i="6"/>
  <c r="G23" i="6" s="1"/>
  <c r="F26" i="6"/>
  <c r="G26" i="6" s="1"/>
  <c r="F22" i="6"/>
  <c r="G22" i="6" s="1"/>
  <c r="F28" i="6"/>
  <c r="G28" i="6" s="1"/>
  <c r="F24" i="6"/>
  <c r="G24" i="6" s="1"/>
  <c r="F16" i="6"/>
  <c r="G16" i="6" s="1"/>
  <c r="F21" i="6"/>
  <c r="G21" i="6" s="1"/>
  <c r="F32" i="6"/>
  <c r="G32" i="6" s="1"/>
  <c r="F34" i="6"/>
  <c r="G34" i="6" s="1"/>
  <c r="F25" i="6"/>
  <c r="G25" i="6" s="1"/>
  <c r="F12" i="6"/>
  <c r="G12" i="6" s="1"/>
  <c r="F27" i="6"/>
  <c r="G27" i="6" s="1"/>
  <c r="F33" i="22"/>
  <c r="G33" i="24"/>
  <c r="D33" i="26"/>
  <c r="E33" i="26" l="1"/>
  <c r="H33" i="24"/>
  <c r="I33" i="24" s="1"/>
  <c r="D16" i="26"/>
  <c r="G16" i="24"/>
  <c r="D30" i="26"/>
  <c r="G30" i="24"/>
  <c r="E17" i="26"/>
  <c r="H17" i="24"/>
  <c r="I17" i="24" s="1"/>
  <c r="D34" i="26"/>
  <c r="G34" i="24"/>
  <c r="D23" i="26"/>
  <c r="G23" i="24"/>
  <c r="D31" i="26"/>
  <c r="G31" i="24"/>
  <c r="E14" i="26"/>
  <c r="H14" i="24"/>
  <c r="I14" i="24" s="1"/>
  <c r="E9" i="26"/>
  <c r="H9" i="24"/>
  <c r="I9" i="24" s="1"/>
  <c r="D27" i="26"/>
  <c r="G27" i="24"/>
  <c r="D32" i="26"/>
  <c r="G32" i="24"/>
  <c r="D28" i="26"/>
  <c r="G28" i="24"/>
  <c r="D29" i="26"/>
  <c r="G29" i="24"/>
  <c r="D10" i="26"/>
  <c r="G10" i="24"/>
  <c r="G35" i="6"/>
  <c r="E15" i="26"/>
  <c r="H15" i="24"/>
  <c r="I15" i="24" s="1"/>
  <c r="E13" i="26"/>
  <c r="H13" i="24"/>
  <c r="I13" i="24" s="1"/>
  <c r="D25" i="26"/>
  <c r="G25" i="24"/>
  <c r="D26" i="26"/>
  <c r="G26" i="24"/>
  <c r="D11" i="26"/>
  <c r="G11" i="24"/>
  <c r="D35" i="26"/>
  <c r="D24" i="26"/>
  <c r="G24" i="24"/>
  <c r="D12" i="26"/>
  <c r="G12" i="24"/>
  <c r="D21" i="26"/>
  <c r="G21" i="24"/>
  <c r="D22" i="26"/>
  <c r="G22" i="24"/>
  <c r="D19" i="26"/>
  <c r="G19" i="24"/>
  <c r="D18" i="26"/>
  <c r="G18" i="24"/>
  <c r="E20" i="26"/>
  <c r="H20" i="24"/>
  <c r="I20" i="24" s="1"/>
  <c r="E18" i="26" l="1"/>
  <c r="H18" i="24"/>
  <c r="I18" i="24" s="1"/>
  <c r="E12" i="26"/>
  <c r="H12" i="24"/>
  <c r="I12" i="24" s="1"/>
  <c r="E10" i="26"/>
  <c r="H10" i="24"/>
  <c r="I10" i="24" s="1"/>
  <c r="E23" i="26"/>
  <c r="H23" i="24"/>
  <c r="I23" i="24" s="1"/>
  <c r="E16" i="26"/>
  <c r="H16" i="24"/>
  <c r="I16" i="24" s="1"/>
  <c r="E11" i="26"/>
  <c r="H11" i="24"/>
  <c r="I11" i="24" s="1"/>
  <c r="E19" i="26"/>
  <c r="H19" i="24"/>
  <c r="I19" i="24" s="1"/>
  <c r="E21" i="26"/>
  <c r="H21" i="24"/>
  <c r="I21" i="24" s="1"/>
  <c r="E24" i="26"/>
  <c r="H24" i="24"/>
  <c r="I24" i="24" s="1"/>
  <c r="E29" i="26"/>
  <c r="H29" i="24"/>
  <c r="I29" i="24" s="1"/>
  <c r="E32" i="26"/>
  <c r="H32" i="24"/>
  <c r="I32" i="24" s="1"/>
  <c r="E31" i="26"/>
  <c r="H31" i="24"/>
  <c r="I31" i="24" s="1"/>
  <c r="E34" i="26"/>
  <c r="H34" i="24"/>
  <c r="I34" i="24" s="1"/>
  <c r="E30" i="26"/>
  <c r="H30" i="24"/>
  <c r="I30" i="24" s="1"/>
  <c r="E22" i="26"/>
  <c r="H22" i="24"/>
  <c r="I22" i="24" s="1"/>
  <c r="E28" i="26"/>
  <c r="H28" i="24"/>
  <c r="I28" i="24" s="1"/>
  <c r="E27" i="26"/>
  <c r="H27" i="24"/>
  <c r="I27" i="24" s="1"/>
  <c r="E25" i="26"/>
  <c r="H25" i="24"/>
  <c r="I25" i="24" s="1"/>
  <c r="E26" i="26"/>
  <c r="H26" i="24"/>
  <c r="I26" i="24" s="1"/>
  <c r="I37" i="24" l="1"/>
</calcChain>
</file>

<file path=xl/sharedStrings.xml><?xml version="1.0" encoding="utf-8"?>
<sst xmlns="http://schemas.openxmlformats.org/spreadsheetml/2006/main" count="1297" uniqueCount="696">
  <si>
    <t>Massgebende Wohnbevölkerung</t>
  </si>
  <si>
    <t>Einheit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</si>
  <si>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</si>
  <si>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</si>
  <si>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</si>
  <si>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</si>
  <si>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</si>
  <si>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</si>
  <si>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</si>
  <si>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</si>
  <si>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</si>
  <si>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</si>
  <si>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</si>
  <si>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</si>
  <si>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</si>
  <si>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</si>
  <si>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</si>
  <si>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</si>
  <si>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</si>
  <si>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</si>
  <si>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</si>
  <si>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</si>
  <si>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</si>
  <si>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</si>
  <si>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</si>
  <si>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</si>
  <si>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</si>
  <si>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</si>
  <si>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</si>
  <si>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Spalte</t>
  </si>
  <si>
    <t>C</t>
  </si>
  <si>
    <t>D</t>
  </si>
  <si>
    <t>E</t>
  </si>
  <si>
    <t>H</t>
  </si>
  <si>
    <t>I</t>
  </si>
  <si>
    <t>J</t>
  </si>
  <si>
    <t>Formel</t>
  </si>
  <si>
    <t>CHF 1'000</t>
  </si>
  <si>
    <t>CHF</t>
  </si>
  <si>
    <t>in CHF 1'000</t>
  </si>
  <si>
    <t>in CHF</t>
  </si>
  <si>
    <t>Schweiz</t>
  </si>
  <si>
    <t>Minimum</t>
  </si>
  <si>
    <t>G</t>
  </si>
  <si>
    <t>F</t>
  </si>
  <si>
    <t>Faktor Alpha</t>
  </si>
  <si>
    <t>Reinvermögen</t>
  </si>
  <si>
    <t>Massgebende Steuerbemessungs-grundlage DBSt</t>
  </si>
  <si>
    <t>Saldo</t>
  </si>
  <si>
    <t>Erhalten von
anderen
Kantonen</t>
  </si>
  <si>
    <t>Zu Gunsten
anderer
Kantone</t>
  </si>
  <si>
    <t>T</t>
  </si>
  <si>
    <t>S</t>
  </si>
  <si>
    <t>R</t>
  </si>
  <si>
    <t>ASG Total</t>
  </si>
  <si>
    <t>Referenzjahr</t>
  </si>
  <si>
    <t>Kategorie</t>
  </si>
  <si>
    <t>A2</t>
  </si>
  <si>
    <t>D2</t>
  </si>
  <si>
    <t>F2</t>
  </si>
  <si>
    <t>F3</t>
  </si>
  <si>
    <t>I2</t>
  </si>
  <si>
    <t>U</t>
  </si>
  <si>
    <t>Y</t>
  </si>
  <si>
    <t>(C + D + E) / 3</t>
  </si>
  <si>
    <t>F / G * 1000</t>
  </si>
  <si>
    <t>Ressourcenpotenzial aller Kantone</t>
  </si>
  <si>
    <t>Veränderung</t>
  </si>
  <si>
    <t>Punkte</t>
  </si>
  <si>
    <t>Prozent</t>
  </si>
  <si>
    <t>γ</t>
  </si>
  <si>
    <t>Ausgleichszahlungen</t>
  </si>
  <si>
    <t>Pro Einwohner</t>
  </si>
  <si>
    <t>Berechnungsdatum</t>
  </si>
  <si>
    <t>Berechnungs-ID</t>
  </si>
  <si>
    <t>Q</t>
  </si>
  <si>
    <t>V</t>
  </si>
  <si>
    <t>W</t>
  </si>
  <si>
    <t>X</t>
  </si>
  <si>
    <t>Faktor Delta</t>
  </si>
  <si>
    <t>E = C + D</t>
  </si>
  <si>
    <t>B   Debitorenverluste auf Steuereinnahmen</t>
  </si>
  <si>
    <t>C   Einnahmen direkte Bundessteuer (DBSt)</t>
  </si>
  <si>
    <t>D   17 % Kantonsanteil an DBSt</t>
  </si>
  <si>
    <t>F   Massgebende Wohnbevölkerung</t>
  </si>
  <si>
    <t>G   Standardisierte Steuererträge pro Kopf</t>
  </si>
  <si>
    <t>H   Ressourcenpotenzial pro Kopf</t>
  </si>
  <si>
    <t>A - B + D</t>
  </si>
  <si>
    <t>E / F * 1000</t>
  </si>
  <si>
    <t>G / H</t>
  </si>
  <si>
    <t>(C - 100) * D</t>
  </si>
  <si>
    <t>G / D</t>
  </si>
  <si>
    <t>D / E</t>
  </si>
  <si>
    <t>F + G</t>
  </si>
  <si>
    <t>A    Primäreinkommen der privaten Haushalte</t>
  </si>
  <si>
    <t>B    Massgebendes Einkommen</t>
  </si>
  <si>
    <t>Beta-Faktoren</t>
  </si>
  <si>
    <t>Holdinggesellschaften</t>
  </si>
  <si>
    <t>Domizilgesellschaften</t>
  </si>
  <si>
    <t>Gemischte Gesellschaften</t>
  </si>
  <si>
    <t>D-C</t>
  </si>
  <si>
    <t>G / F</t>
  </si>
  <si>
    <t>H * E</t>
  </si>
  <si>
    <t>(1 - 0.125) γ</t>
  </si>
  <si>
    <t>(1 - 0.4) γ</t>
  </si>
  <si>
    <t xml:space="preserve">I </t>
  </si>
  <si>
    <t>Formel für Gewicht</t>
  </si>
  <si>
    <t>Zahlungen im</t>
  </si>
  <si>
    <t>H / H[Schweiz] * 100</t>
  </si>
  <si>
    <t>Anzahl</t>
  </si>
  <si>
    <t>Dotation/E[Schweiz]*E</t>
  </si>
  <si>
    <t>Index SSE
nach
Ausgleich</t>
  </si>
  <si>
    <t>H / F[Schweiz]</t>
  </si>
  <si>
    <t>Steuerpflichtige</t>
  </si>
  <si>
    <t>Ressourcenpotenzial
der ressourcenstarken Kantone</t>
  </si>
  <si>
    <t>Mittlere ständige und nichtständige Wohnbevölkerung</t>
  </si>
  <si>
    <t>Bemessungsjahr</t>
  </si>
  <si>
    <t>D - (I / 1000 * C)</t>
  </si>
  <si>
    <t>Bruttoeinkommen</t>
  </si>
  <si>
    <t>Gewicht (ω)</t>
  </si>
  <si>
    <t>C * ω</t>
  </si>
  <si>
    <t>D * ω</t>
  </si>
  <si>
    <t>E * ω</t>
  </si>
  <si>
    <t>F * ω</t>
  </si>
  <si>
    <t>G * ω</t>
  </si>
  <si>
    <t>H * ω</t>
  </si>
  <si>
    <t>I * ω</t>
  </si>
  <si>
    <t>Z</t>
  </si>
  <si>
    <t>R+S+T+U+V+W</t>
  </si>
  <si>
    <t>X * Delta</t>
  </si>
  <si>
    <t>Ressourcen-
index</t>
  </si>
  <si>
    <t>Obere Grenze HRA (80% des VRA)</t>
  </si>
  <si>
    <t>Untere Grenze HRA (2/3 des VRA)</t>
  </si>
  <si>
    <t>A</t>
  </si>
  <si>
    <t>B</t>
  </si>
  <si>
    <t>B * A</t>
  </si>
  <si>
    <t>A + C</t>
  </si>
  <si>
    <t>D + E</t>
  </si>
  <si>
    <t>G ≥ F ≥ H</t>
  </si>
  <si>
    <t>F + I</t>
  </si>
  <si>
    <t>0.8 * F[VRA]</t>
  </si>
  <si>
    <t>2 * F[VRA] / 3</t>
  </si>
  <si>
    <t>Massgebender Gewinn
der juristischen Personen</t>
  </si>
  <si>
    <t>Auszahlung</t>
  </si>
  <si>
    <t>Auszahlung
pro Einwohner</t>
  </si>
  <si>
    <t>Einzahlung</t>
  </si>
  <si>
    <t>E   Standardisierte Steuererträge (SSE)</t>
  </si>
  <si>
    <t>Die Berechnung des Ressourcenausgleichs wird im technischen Bericht detailliert beschrieben:
www.efv.admin.ch → Themen  → Finanzausgleich  → Dokumentation</t>
  </si>
  <si>
    <t>(+) Einzahlungen; (-) Auszahlungen in CHF</t>
  </si>
  <si>
    <t>Wachstumsrate VRA</t>
  </si>
  <si>
    <t>Wachstumsrate HRA</t>
  </si>
  <si>
    <t>Wachstumsrate</t>
  </si>
  <si>
    <t>= Dotation nach Fortschreibung</t>
  </si>
  <si>
    <t>+ Anpassung Dotation</t>
  </si>
  <si>
    <t>= Provisorische Dotation</t>
  </si>
  <si>
    <t>+ Korrektur aufgrund Bandbreite</t>
  </si>
  <si>
    <t>+ Wachstum</t>
  </si>
  <si>
    <t>Progressionsmass p</t>
  </si>
  <si>
    <t>Beschriftung der Tabellen</t>
  </si>
  <si>
    <t>Sprache</t>
  </si>
  <si>
    <t>Auswahl der Sprache</t>
  </si>
  <si>
    <t>Deutsch</t>
  </si>
  <si>
    <t>Français</t>
  </si>
  <si>
    <t xml:space="preserve">Die Sprache wird über das Steuerelement auf dem </t>
  </si>
  <si>
    <t>Italiano</t>
  </si>
  <si>
    <t>Tabellenblatt "INTRO" ausgewählt.</t>
  </si>
  <si>
    <t>English</t>
  </si>
  <si>
    <t xml:space="preserve"> </t>
  </si>
  <si>
    <t>Eidgenössisches Finanzdepartement EFD</t>
  </si>
  <si>
    <t>Département fédéral des finances DFF</t>
  </si>
  <si>
    <t>Eidgenössische Finanzverwaltung EFV</t>
  </si>
  <si>
    <t>Administration fédérale des finances AFF</t>
  </si>
  <si>
    <t>Finanzausgleich zwischen Bund und Kantonen</t>
  </si>
  <si>
    <t>Péréquation financière entre la Confédération et les cantons</t>
  </si>
  <si>
    <t>Suisse</t>
  </si>
  <si>
    <t>Zurich</t>
  </si>
  <si>
    <t>Berne</t>
  </si>
  <si>
    <t>Lucerne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</si>
  <si>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</si>
  <si>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</si>
  <si>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</si>
  <si>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</si>
  <si>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</si>
  <si>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</si>
  <si>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</si>
  <si>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</si>
  <si>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</si>
  <si>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</si>
  <si>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</si>
  <si>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</si>
  <si>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</si>
  <si>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</si>
  <si>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</si>
  <si>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Vaud</t>
  </si>
  <si>
    <t>Valais</t>
  </si>
  <si>
    <t>Neuchâtel</t>
  </si>
  <si>
    <t>Genève</t>
  </si>
  <si>
    <t>Wählen Sie Ihre Sprache</t>
  </si>
  <si>
    <t>Choisissez votre langue</t>
  </si>
  <si>
    <t>Selezionare la vostra lingua</t>
  </si>
  <si>
    <t>Choose your language</t>
  </si>
  <si>
    <t>TOTAL</t>
  </si>
  <si>
    <t>NP</t>
  </si>
  <si>
    <t>QS</t>
  </si>
  <si>
    <t>VERM</t>
  </si>
  <si>
    <t>JP</t>
  </si>
  <si>
    <t>REP</t>
  </si>
  <si>
    <t>ASG</t>
  </si>
  <si>
    <t>BEV</t>
  </si>
  <si>
    <t>RP</t>
  </si>
  <si>
    <t>ENTW</t>
  </si>
  <si>
    <t>DOT</t>
  </si>
  <si>
    <t>EINZ</t>
  </si>
  <si>
    <t>AUSZ</t>
  </si>
  <si>
    <t>SSE</t>
  </si>
  <si>
    <t>SST</t>
  </si>
  <si>
    <t>Einkommen natürlicher Personen</t>
  </si>
  <si>
    <t>Quellenbesteuerte Einkommen natürlicher Personen</t>
  </si>
  <si>
    <t>Vermögen natürlicher Personen</t>
  </si>
  <si>
    <t>Gewinne juristischer Personen</t>
  </si>
  <si>
    <t>Steuerrepartitionen</t>
  </si>
  <si>
    <t>Berechnung Ressourcenpotenzial und -index</t>
  </si>
  <si>
    <t>Wachstumsraten der Ressourcenpotenziale</t>
  </si>
  <si>
    <t>Fortschreibung der Dotationen im Ressourcenausgleich</t>
  </si>
  <si>
    <t>Einzahlungen der ressourcenstarken Kantone</t>
  </si>
  <si>
    <t>Auszahlungen an die ressourcenschwachen Kantone</t>
  </si>
  <si>
    <t>C    Gamma (B / A)</t>
  </si>
  <si>
    <t>Ressourcen-
potenzial</t>
  </si>
  <si>
    <t>A   Steuereinnahmen der Kantone und Gemeinden</t>
  </si>
  <si>
    <t>Grenzgänger
Total</t>
  </si>
  <si>
    <t>Revenu des personnes physiques</t>
  </si>
  <si>
    <t>Fortune des personnes physiques</t>
  </si>
  <si>
    <t>Bénéfice des personnes morales</t>
  </si>
  <si>
    <t>Répartitions fiscales</t>
  </si>
  <si>
    <t>Montants versés par les cantons à fort potentiel de ressources</t>
  </si>
  <si>
    <t>Montants reçus par les cantons à faible potentiel de ressources</t>
  </si>
  <si>
    <t>Taux fiscal standardisé</t>
  </si>
  <si>
    <t>Übersicht über die Zahlungen im Ressourcenausgleich</t>
  </si>
  <si>
    <t xml:space="preserve"> I   Standardisierter Steuersatz (SST)</t>
  </si>
  <si>
    <t>Aggregierte Steuerbemessungsgrundlage</t>
  </si>
  <si>
    <t>Assiette fiscale agrégée</t>
  </si>
  <si>
    <t>Calcul du potentiel de ressources et de l'indice des ressources</t>
  </si>
  <si>
    <t>Standardisierter Steuerertrag</t>
  </si>
  <si>
    <t>Standardisierter Steuersatz</t>
  </si>
  <si>
    <t>Wealth</t>
  </si>
  <si>
    <t>Profit of legal entities</t>
  </si>
  <si>
    <t>Extrapolation of resource equalization endowments</t>
  </si>
  <si>
    <t>Standardized tax revenue</t>
  </si>
  <si>
    <t>Standardized tax rate</t>
  </si>
  <si>
    <t>Ticino</t>
  </si>
  <si>
    <t>Geneva</t>
  </si>
  <si>
    <t>Switzerland</t>
  </si>
  <si>
    <t>Column</t>
  </si>
  <si>
    <t>Formula</t>
  </si>
  <si>
    <t>Category</t>
  </si>
  <si>
    <t>Unit</t>
  </si>
  <si>
    <t>CHF 1,000</t>
  </si>
  <si>
    <t>Points</t>
  </si>
  <si>
    <t>Reference year</t>
  </si>
  <si>
    <t>Assessment year</t>
  </si>
  <si>
    <t>Colonne</t>
  </si>
  <si>
    <t>Formule</t>
  </si>
  <si>
    <t>Catégorie</t>
  </si>
  <si>
    <t>Unité</t>
  </si>
  <si>
    <t>Nombre</t>
  </si>
  <si>
    <t>Année de référence</t>
  </si>
  <si>
    <t>Année de calcul</t>
  </si>
  <si>
    <t>Paiements compensatoires</t>
  </si>
  <si>
    <t>Par habitant</t>
  </si>
  <si>
    <t>Salaires bruts</t>
  </si>
  <si>
    <t>Facteur delta</t>
  </si>
  <si>
    <t>A    Revenu primaire des ménages privés</t>
  </si>
  <si>
    <t>B    Revenu déterminant</t>
  </si>
  <si>
    <t>Formule pour pondération</t>
  </si>
  <si>
    <t>Pondération (ω)</t>
  </si>
  <si>
    <t>Revenu déterminant pour l'imposition à la source</t>
  </si>
  <si>
    <t>Fortune nette</t>
  </si>
  <si>
    <t>Facteur alpha</t>
  </si>
  <si>
    <t>Facteurs bêta</t>
  </si>
  <si>
    <t>Sociétés holding</t>
  </si>
  <si>
    <t>Sociétés de domicile</t>
  </si>
  <si>
    <t>Sociétés mixtes</t>
  </si>
  <si>
    <t>Solde</t>
  </si>
  <si>
    <t>AFA totale</t>
  </si>
  <si>
    <t>H / H[Suisse] * 100</t>
  </si>
  <si>
    <t>Taux de croissance</t>
  </si>
  <si>
    <t>+ Croissance</t>
  </si>
  <si>
    <t>+ Adaptation de la dotation</t>
  </si>
  <si>
    <t>= Dotation provisoire</t>
  </si>
  <si>
    <t>Dotation/E[Suisse]*E</t>
  </si>
  <si>
    <t>H / F[Suisse]</t>
  </si>
  <si>
    <t>A   Recettes fiscales des cantons et communes</t>
  </si>
  <si>
    <t>C   Recettes de l'impôt fédéral direct (IFD)</t>
  </si>
  <si>
    <t>E   Total des recettes fiscales standardisées (RFS)</t>
  </si>
  <si>
    <t>H   Potentiel de ressources par habitant</t>
  </si>
  <si>
    <t xml:space="preserve"> I   Taux fiscal standardisé (TFS)</t>
  </si>
  <si>
    <t>Delta factor</t>
  </si>
  <si>
    <t>A    Primary income of households</t>
  </si>
  <si>
    <t>B    Relevant income</t>
  </si>
  <si>
    <t>Relevant income taxed at source</t>
  </si>
  <si>
    <t>Net wealth</t>
  </si>
  <si>
    <t>Alpha factor</t>
  </si>
  <si>
    <t>Beta factors</t>
  </si>
  <si>
    <t>Balance</t>
  </si>
  <si>
    <t>Total ATB</t>
  </si>
  <si>
    <t>Relevant resident population</t>
  </si>
  <si>
    <t>H / H[Switzerland] * 100</t>
  </si>
  <si>
    <t>Change</t>
  </si>
  <si>
    <t>Growth rate VRE</t>
  </si>
  <si>
    <t>Growth rate HRE</t>
  </si>
  <si>
    <t>Growth rate</t>
  </si>
  <si>
    <t>+ Growth</t>
  </si>
  <si>
    <t>= Endowment after extrapolation</t>
  </si>
  <si>
    <t>+ Endowment adjustment</t>
  </si>
  <si>
    <t>Upper limit HRE (80% of VRE)</t>
  </si>
  <si>
    <t>Lower limit HRE (2/3 of VRE)</t>
  </si>
  <si>
    <t>0.8 * F[VRE]</t>
  </si>
  <si>
    <t>2 * F[VRE] / 3</t>
  </si>
  <si>
    <t>H / F[Switzerland]</t>
  </si>
  <si>
    <t>A   Tax receipts of cantons and communes</t>
  </si>
  <si>
    <t>C   Direct federal tax receipts</t>
  </si>
  <si>
    <t>D   17% cantonal share of direct federal tax</t>
  </si>
  <si>
    <t>G   Standardized tax revenue per capita</t>
  </si>
  <si>
    <t>H   Resource potential per capita</t>
  </si>
  <si>
    <t xml:space="preserve"> I   Standardized tax rate (STRate)</t>
  </si>
  <si>
    <t>0.045 / SSTV</t>
  </si>
  <si>
    <t>γ - 0.035 / SSTV</t>
  </si>
  <si>
    <t>Variation</t>
  </si>
  <si>
    <t>Federal Department of Finance FDF</t>
  </si>
  <si>
    <t>AA</t>
  </si>
  <si>
    <t>(Q + Y) oder Z</t>
  </si>
  <si>
    <t>Federal Finance Administration FFA</t>
  </si>
  <si>
    <t>Fiscal equalization between the Confederation and the cantons</t>
  </si>
  <si>
    <t>Overview of resource equalization payments</t>
  </si>
  <si>
    <t>Income of natural persons</t>
  </si>
  <si>
    <t>Income of natural persons taxed at source</t>
  </si>
  <si>
    <t>Tax repartitions</t>
  </si>
  <si>
    <t>Aggregated tax base</t>
  </si>
  <si>
    <t>Resource potential and resource index calculation</t>
  </si>
  <si>
    <t>Resource potential growth rates</t>
  </si>
  <si>
    <t>Inpayments of financially strong cantons</t>
  </si>
  <si>
    <t>Outpayments to financially weak cantons</t>
  </si>
  <si>
    <t>Basel Stadt</t>
  </si>
  <si>
    <t>Basel Landschaft</t>
  </si>
  <si>
    <t>Number</t>
  </si>
  <si>
    <t>Percent</t>
  </si>
  <si>
    <t>Calculation date</t>
  </si>
  <si>
    <t>Calculation ID</t>
  </si>
  <si>
    <t>Payments in</t>
  </si>
  <si>
    <t>(+) inpayments; (-) outpayments in CHF</t>
  </si>
  <si>
    <t>Equalization payments</t>
  </si>
  <si>
    <t>Per capita</t>
  </si>
  <si>
    <t>Gross income</t>
  </si>
  <si>
    <t>in CHF 1,000</t>
  </si>
  <si>
    <t>Weighting formula</t>
  </si>
  <si>
    <t>0.045 / STRateP</t>
  </si>
  <si>
    <t>γ - 0.035 / STRateP</t>
  </si>
  <si>
    <t>Weighting (ω)</t>
  </si>
  <si>
    <t>Holding companies</t>
  </si>
  <si>
    <t>Domiciliary companies</t>
  </si>
  <si>
    <t>Mixed companies</t>
  </si>
  <si>
    <t>Average permanent and non-permanent resident population</t>
  </si>
  <si>
    <t>Resource potential of all cantons</t>
  </si>
  <si>
    <t>= Provisional endowment</t>
  </si>
  <si>
    <t>+ Correction based on range</t>
  </si>
  <si>
    <t>Inpayment</t>
  </si>
  <si>
    <t>Outpayment</t>
  </si>
  <si>
    <t>Progression rate p</t>
  </si>
  <si>
    <t>B   Losses on taxes assessed but unlikely to be collected</t>
  </si>
  <si>
    <t>E   Standardized tax revenue (STR)</t>
  </si>
  <si>
    <t>F   Relevant resident population</t>
  </si>
  <si>
    <t>Aperçu des paiements au titre de la péréquation des ressources</t>
  </si>
  <si>
    <t>Revenu pour l’imposition à la source des personnes physiques</t>
  </si>
  <si>
    <t>Population résidante déterminante</t>
  </si>
  <si>
    <t>Taux de croissance du potentiel de ressources</t>
  </si>
  <si>
    <t>Actualisation des dotations de la péréquation des ressources</t>
  </si>
  <si>
    <t>Recettes fiscales standardisées</t>
  </si>
  <si>
    <t>Date de calcul</t>
  </si>
  <si>
    <t>Code de calcul</t>
  </si>
  <si>
    <t>Paiements au titre de la</t>
  </si>
  <si>
    <t>Contribuables</t>
  </si>
  <si>
    <t>0.045 / TFSap</t>
  </si>
  <si>
    <t>γ - 0.035 / TFSap</t>
  </si>
  <si>
    <t>Taux de croissance PVR</t>
  </si>
  <si>
    <t>Taux de croissance PHR</t>
  </si>
  <si>
    <t>= Dotation après actualisation</t>
  </si>
  <si>
    <t>Limite supérieure PHR (80% de la PVR)</t>
  </si>
  <si>
    <t>Limite inférieure PHR (2/3 de la PVR)</t>
  </si>
  <si>
    <t>+ correction selon fourchette</t>
  </si>
  <si>
    <t>0.8 * F[PVR]</t>
  </si>
  <si>
    <t>2 * F[PVR] / 3</t>
  </si>
  <si>
    <t>B   Pertes sur débiteurs, recettes fiscales</t>
  </si>
  <si>
    <t>D   Part cantonale à l'IFD, 17 %</t>
  </si>
  <si>
    <t>F   Population résidante déterminante</t>
  </si>
  <si>
    <t>G   Recettes fiscales standardisées (RFS) par habitant</t>
  </si>
  <si>
    <t>Dipartimento federale delle finanze DFF</t>
  </si>
  <si>
    <t>Amministrazione federale delle finanze AFF</t>
  </si>
  <si>
    <t>Perequazione finanziaria tra Confederazione e Cantoni</t>
  </si>
  <si>
    <t>Panoramica dei pagamenti nella perequazione delle risorse</t>
  </si>
  <si>
    <t>Reddito delle persone fisiche</t>
  </si>
  <si>
    <t>Reddito tassato alla fonte delle persone fisiche</t>
  </si>
  <si>
    <t>Sostanza delle persone fisiche</t>
  </si>
  <si>
    <t>Utili delle persone giuridiche</t>
  </si>
  <si>
    <t>Riparti fiscali</t>
  </si>
  <si>
    <t>Base imponibile aggregata</t>
  </si>
  <si>
    <t>Popolazione residente determinante</t>
  </si>
  <si>
    <t>Calcolo del potenziale e dell'indice delle risorse</t>
  </si>
  <si>
    <t>Tassi di crescita dei potenziali di risorse</t>
  </si>
  <si>
    <t>Aggiornamento delle dotazioni nella perequazione delle risorse</t>
  </si>
  <si>
    <t>Contributi dei Cantoni finanziariamente forti</t>
  </si>
  <si>
    <t>Versamenti ai Cantoni finanziariamente deboli</t>
  </si>
  <si>
    <t>Gettito fiscale standardizzato</t>
  </si>
  <si>
    <t>Aliquota d'imposizione standardizzata</t>
  </si>
  <si>
    <t>Zurigo</t>
  </si>
  <si>
    <t>Berna</t>
  </si>
  <si>
    <t>Lucerna</t>
  </si>
  <si>
    <t>Svitto</t>
  </si>
  <si>
    <t>Obvaldo</t>
  </si>
  <si>
    <t>Nidvaldo</t>
  </si>
  <si>
    <t>Glarona</t>
  </si>
  <si>
    <t>Zugo</t>
  </si>
  <si>
    <t>Friburgo</t>
  </si>
  <si>
    <t>Soletta</t>
  </si>
  <si>
    <t>Basilea Città</t>
  </si>
  <si>
    <t>Basilea Campagna</t>
  </si>
  <si>
    <t>Sciaffusa</t>
  </si>
  <si>
    <t>Appenzello Esterno</t>
  </si>
  <si>
    <t>Appenzello Interno</t>
  </si>
  <si>
    <t>San Gallo</t>
  </si>
  <si>
    <t>Grigioni</t>
  </si>
  <si>
    <t>Argovia</t>
  </si>
  <si>
    <t>Turgovia</t>
  </si>
  <si>
    <t>Vallese</t>
  </si>
  <si>
    <t>Ginevra</t>
  </si>
  <si>
    <t>Giura</t>
  </si>
  <si>
    <t>Svizzera</t>
  </si>
  <si>
    <t>Colonna</t>
  </si>
  <si>
    <t>Categoria</t>
  </si>
  <si>
    <t>Unità</t>
  </si>
  <si>
    <t>CHF 1000</t>
  </si>
  <si>
    <t>Numero</t>
  </si>
  <si>
    <t>Punti</t>
  </si>
  <si>
    <t>Percento</t>
  </si>
  <si>
    <t>Totale</t>
  </si>
  <si>
    <t>Anno di calcolo</t>
  </si>
  <si>
    <t>Pagamenti nella</t>
  </si>
  <si>
    <t>(+) Contributi; (-) Versamenti in CHF</t>
  </si>
  <si>
    <t>Versamenti di compensazione</t>
  </si>
  <si>
    <t>Per abitante</t>
  </si>
  <si>
    <t>Contribuenti</t>
  </si>
  <si>
    <t>Reddito lordo</t>
  </si>
  <si>
    <t>Fattore delta</t>
  </si>
  <si>
    <t>in CHF 1000</t>
  </si>
  <si>
    <t>A    Reddito primario delle economie domestiche private</t>
  </si>
  <si>
    <t>B    Reddito determinante</t>
  </si>
  <si>
    <t>Formula di ponderazione</t>
  </si>
  <si>
    <t>0.045 / AIS ap</t>
  </si>
  <si>
    <t>γ - 0.035 / AIS ap</t>
  </si>
  <si>
    <t>Ponderazione (ω)</t>
  </si>
  <si>
    <t>Reddito determinante tassato alla fonte</t>
  </si>
  <si>
    <t>Sostanza netta</t>
  </si>
  <si>
    <t>Fattore alfa</t>
  </si>
  <si>
    <t>Fattori beta</t>
  </si>
  <si>
    <t>Società holding</t>
  </si>
  <si>
    <t>Società di domicilio</t>
  </si>
  <si>
    <t>Società miste</t>
  </si>
  <si>
    <t>Somma</t>
  </si>
  <si>
    <t>Totale BIA</t>
  </si>
  <si>
    <t>H / H[Svizzera] * 100</t>
  </si>
  <si>
    <t>Potenziale di risorse di tutti i Cantoni</t>
  </si>
  <si>
    <t>Variazione</t>
  </si>
  <si>
    <t>Tasso di crescita PVR</t>
  </si>
  <si>
    <t>Tasso di crescita POR</t>
  </si>
  <si>
    <t>Tasso di crescita</t>
  </si>
  <si>
    <t>+ crescita</t>
  </si>
  <si>
    <t>= dotazione dopo aggiornamento</t>
  </si>
  <si>
    <t>+ adeguamento della dotazione</t>
  </si>
  <si>
    <t>= dotazione provvisoria</t>
  </si>
  <si>
    <t>Limite massimo POR (80 % della PVR)</t>
  </si>
  <si>
    <t>Limite minimo POR (2/3 della PVR)</t>
  </si>
  <si>
    <t>+ correzione in base alla fascia</t>
  </si>
  <si>
    <t>0,8 * F[PVR]</t>
  </si>
  <si>
    <t>2 * F[PVR]</t>
  </si>
  <si>
    <t>Contributo</t>
  </si>
  <si>
    <t>Dotazione/E[Svizzera]*E</t>
  </si>
  <si>
    <t>Versamento</t>
  </si>
  <si>
    <t>Densità di progressione p</t>
  </si>
  <si>
    <t>H / F[Svizzera]</t>
  </si>
  <si>
    <t>Minimo</t>
  </si>
  <si>
    <t>A   Entrate fiscali di Cantoni e Comuni</t>
  </si>
  <si>
    <t>B   Perdite su debitori in ambito di entrate fiscali</t>
  </si>
  <si>
    <t>C   Entrate dell'imposta federale diretta (IFD)</t>
  </si>
  <si>
    <t>D   Quota dei Cantoni all'IFD (17 %)</t>
  </si>
  <si>
    <t>E   Gettito fiscale standardizzato (GFS)</t>
  </si>
  <si>
    <t>F   Popolazione residente determinante</t>
  </si>
  <si>
    <t>G   Gettito fiscale standardizzato pro capite</t>
  </si>
  <si>
    <t>H   Potenziale di risorse pro capite</t>
  </si>
  <si>
    <t xml:space="preserve"> I   Aliquota d'imposta standardizzata (AIS)</t>
  </si>
  <si>
    <t>Anno di riferimento</t>
  </si>
  <si>
    <t>Calcolato il</t>
  </si>
  <si>
    <t>Codice calcolo</t>
  </si>
  <si>
    <t>En CHF 1'000</t>
  </si>
  <si>
    <t>(+) Montants versés; (-) Montants reçus en francs</t>
  </si>
  <si>
    <t>En francs</t>
  </si>
  <si>
    <t>%</t>
  </si>
  <si>
    <t>Steuerbares Einkommen
der Steuerpflichtigen</t>
  </si>
  <si>
    <t>Gebietsansässige
Ausländer und
ausländische
Verwaltungsräte</t>
  </si>
  <si>
    <t>Vollständig
besteuerte
Grenzgänger</t>
  </si>
  <si>
    <t>Begrenzt
besteuerte
Grenzgänger
aus Österreich</t>
  </si>
  <si>
    <t>Begrenzt
besteuerte
Grenzgänger
aus Deutschland</t>
  </si>
  <si>
    <t>Begrenzt besteuerte
Grenzgänger aus
Frankreich mit
Besteuerung durch
den Kanton Genf</t>
  </si>
  <si>
    <t>Begrenzt besteuerte
Grenzgänger aus
Frankreich mit
Besteuerung durch
Frankreich</t>
  </si>
  <si>
    <t>Begrenzt
besteuerte
Grenzgänger
aus Italien</t>
  </si>
  <si>
    <t>Ergebnis auf
der Basis der
Bruttolöhne
(Grenzgänger)</t>
  </si>
  <si>
    <t>Ergebnis auf
der Basis
geschätzter
Daten</t>
  </si>
  <si>
    <t>Massgebende
quellenbesteuerte
Einkommen</t>
  </si>
  <si>
    <t>Massgebendes
Vermögen</t>
  </si>
  <si>
    <t>Massgebender Gewinn
ordentlich besteuerter
Unternehmen</t>
  </si>
  <si>
    <t>Massgebender Gewinn
von Gesellschaften mit
besonderem Steuerstatus</t>
  </si>
  <si>
    <t>Ablieferungen DBSt
an die ESTV</t>
  </si>
  <si>
    <t>Gewichtungs-
faktor</t>
  </si>
  <si>
    <t>Massgebende
Steuerrepartitionen</t>
  </si>
  <si>
    <t>Massgebendes
Einkommen der
natürlichen
Personen</t>
  </si>
  <si>
    <t>Massgebendes
quellenbesteuertes
Einkommen</t>
  </si>
  <si>
    <t>Massgebender
Gewinn der
juristischen
Personen</t>
  </si>
  <si>
    <t>Massgebende
Steuer-
repartitionen</t>
  </si>
  <si>
    <t>Massgebende
Wohnbevölkerung</t>
  </si>
  <si>
    <t>Ressourcen-
potenzial pro
Einwohner</t>
  </si>
  <si>
    <t>Vertikaler
Ressourcenausgleich
(VRA)</t>
  </si>
  <si>
    <t>Ausgleich
Total</t>
  </si>
  <si>
    <t>Massgebende
Wohn-
bevölkerung</t>
  </si>
  <si>
    <t>Summe der
gewichteten
Abweichungen</t>
  </si>
  <si>
    <t>Einzahlung
pro Einwohner</t>
  </si>
  <si>
    <t>Standardisierter
Steuerertrag
(SSE)</t>
  </si>
  <si>
    <t>Standardisierter
Steuerertrag pro
Einwohner vor
Ausgleich</t>
  </si>
  <si>
    <t>Ressourcen-
ausgleich pro
Einwohner</t>
  </si>
  <si>
    <t>Standardisierter
Steuerertrag pro
Einwohner nach
Ausgleich</t>
  </si>
  <si>
    <t>In favor of
other cantons</t>
  </si>
  <si>
    <t>Received from
other cantons</t>
  </si>
  <si>
    <t>Relevant direct
federal tax base</t>
  </si>
  <si>
    <t>Revenu imposable
des contribuables</t>
  </si>
  <si>
    <t>Revenu
déterminant
des personnes
physiques</t>
  </si>
  <si>
    <t>Étrangers résidants
et conseillers
d'administration
étrangers</t>
  </si>
  <si>
    <t>Frontaliers
imposés de
façon illimitée</t>
  </si>
  <si>
    <t>Frontaliers
autrichiens
assujettis de
façon limitée</t>
  </si>
  <si>
    <t xml:space="preserve">Frontaliers
allemands
assujettis de
façon limitée </t>
  </si>
  <si>
    <t>Frontaliers français
assujettis de façon
limitée, imposés
par la France</t>
  </si>
  <si>
    <t xml:space="preserve">Frontaliers
italiens
assujettis de
façon limitée </t>
  </si>
  <si>
    <t>Frontaliers français
assujettis de façon
limitée, imposés
par le canton
de Genève</t>
  </si>
  <si>
    <t>Résultat sur
la base des
salaires bruts
(frontaliers)</t>
  </si>
  <si>
    <t>Revenu
déterminant
pour l'imposition
à la source</t>
  </si>
  <si>
    <t>Résultat sur
la base de
données
estimées</t>
  </si>
  <si>
    <t>Massgebende quellenbesteuerte Einkommen</t>
  </si>
  <si>
    <t>Fortune
déterminante</t>
  </si>
  <si>
    <t>Sostanza
determinante</t>
  </si>
  <si>
    <t>Relevant
wealth</t>
  </si>
  <si>
    <t>Bénéfice déterminant
des sociétés imposées
ordinairement</t>
  </si>
  <si>
    <t>Bénéfice déterminant
des sociétés à statut
fiscal spécial</t>
  </si>
  <si>
    <t>Bénéfice déterminant
des personnes
morales</t>
  </si>
  <si>
    <t>Au profit
d'autres cantons</t>
  </si>
  <si>
    <t>Reçu
d'autres cantons</t>
  </si>
  <si>
    <t>Versements
à l'AFF au
titre de l'IFD</t>
  </si>
  <si>
    <t>Assiette fiscale
déterminante
pour l'IFD</t>
  </si>
  <si>
    <t>Facteur de
pondération</t>
  </si>
  <si>
    <t>Répartitions
fiscales
déterminantes</t>
  </si>
  <si>
    <t>Bénéfice
déterminant
des personnes
morales</t>
  </si>
  <si>
    <t>Population
résidante
déterminante</t>
  </si>
  <si>
    <t>Potentiel de
ressources</t>
  </si>
  <si>
    <t>Potentiel de
ressources
par habitant</t>
  </si>
  <si>
    <t>Indice des
ressources</t>
  </si>
  <si>
    <t>Potentiel de ressources
des cantons à fort potentiel</t>
  </si>
  <si>
    <t>Potentiel de ressources
de tous les cantons</t>
  </si>
  <si>
    <t>Péréquation
verticale des
ressources (PVR)</t>
  </si>
  <si>
    <t>Péréquation
horizontale des
ressources (PHR)</t>
  </si>
  <si>
    <t>Péréquation
totale</t>
  </si>
  <si>
    <t>Somme
des écarts
pondérés</t>
  </si>
  <si>
    <t>Montant versé,
par habitant</t>
  </si>
  <si>
    <t>Montant
versé</t>
  </si>
  <si>
    <t>Montant reçu,
par habitant</t>
  </si>
  <si>
    <t>Montant
reçu</t>
  </si>
  <si>
    <t>Force de progression (p)</t>
  </si>
  <si>
    <t>Recettes fiscales
standardisées
(RFS)</t>
  </si>
  <si>
    <t>Recettes fiscales
standardisées par
habitant, avant
péréquation</t>
  </si>
  <si>
    <t>Péréquation
des ressources
par habitant</t>
  </si>
  <si>
    <t>Recettes fiscales
standardisées par
habitant, après
péréquation</t>
  </si>
  <si>
    <t>Indice RFS
après
péréquation</t>
  </si>
  <si>
    <t>Population résidante permanente
et non permanente moyenne</t>
  </si>
  <si>
    <t>Le calcul de la péréquation des ressources est décrit en détail dans la documentation technique:
www.efv.admin.ch → Thèmes  → Péréquation financière  → Documentation</t>
  </si>
  <si>
    <t>Indice delle
risorse</t>
  </si>
  <si>
    <t>Reddito imponibile
dei contribuenti</t>
  </si>
  <si>
    <t>Reddito
imponibile
delle persone
fisiche</t>
  </si>
  <si>
    <t>Resource
index</t>
  </si>
  <si>
    <t>Il calcolo della perequazione delle risorse è descritto in modo dettagliato nel rapporto tecnico:
www.efv.admin.ch → Temi  → Perequazione finanziaria  → Documentazione</t>
  </si>
  <si>
    <t>The calculation of resource equalization is described in detail in the technical report:
www.efv.admin.ch → Topics → Fiscal equalization → Documentation</t>
  </si>
  <si>
    <t>Stranieri residenti
e consiglieri di
amministrazione
stranieri</t>
  </si>
  <si>
    <t xml:space="preserve">Frontalieri
tassati
integralmente </t>
  </si>
  <si>
    <t xml:space="preserve">Frontalieri
dell'Austria
tassati
limitatamente </t>
  </si>
  <si>
    <t>Frontalieri della
Francia tassati
limitatamente, con 
imposizione nel
Cantone di Ginevra</t>
  </si>
  <si>
    <t>Frontalieri della
Germania tassati
limitatamente</t>
  </si>
  <si>
    <t>Frontalieri della
Francia tassati
limitatamente, con
imposizione in
Francia</t>
  </si>
  <si>
    <t>Frontalieri
dell'Italia tassati
limitatamente</t>
  </si>
  <si>
    <t>Totale
frontalieri</t>
  </si>
  <si>
    <t>Risultato
sulla base dei
salari lordi
(frontalieri)</t>
  </si>
  <si>
    <t>Reddito
determinante
tassato alla fonte</t>
  </si>
  <si>
    <t>Utile determinante delle
imprese tassate secondo
la procedura ordinaria</t>
  </si>
  <si>
    <t>Utile determinante delle
società con statuto
fiscale speciale</t>
  </si>
  <si>
    <t>Utile determinante
delle persone giuridiche</t>
  </si>
  <si>
    <t>A favore di
altri Cantoni</t>
  </si>
  <si>
    <t>Ricevuto da
altri Cantoni</t>
  </si>
  <si>
    <t>Versamenti
dell'IFD all'AFC</t>
  </si>
  <si>
    <t>Fattore di
ponderazione</t>
  </si>
  <si>
    <t>Riparti fiscali
determinanti</t>
  </si>
  <si>
    <t>Reddito
determinante
delle persone
fisiche</t>
  </si>
  <si>
    <t>Utile
determinante
delle persone
giuridiche</t>
  </si>
  <si>
    <t>Popolazione residente permanente
e non permanente media</t>
  </si>
  <si>
    <t>Popolazione
residente
determinante</t>
  </si>
  <si>
    <t>Potenziale
di risorse</t>
  </si>
  <si>
    <t>Potenziale
di risorse
per abitante</t>
  </si>
  <si>
    <t>Indice
delle risorse</t>
  </si>
  <si>
    <t>Potenziale di risorse
dei Cantoni finanziariamente forti</t>
  </si>
  <si>
    <t>Perequazione
verticale delle
risorse (PVR)</t>
  </si>
  <si>
    <t>Perequazione
orizzontale delle
risorse (POR)</t>
  </si>
  <si>
    <t>Totale
perequazione</t>
  </si>
  <si>
    <t>Somma delle
divergenze
ponderate</t>
  </si>
  <si>
    <t>Contributo
per abitante</t>
  </si>
  <si>
    <t>Versamento
per abitante</t>
  </si>
  <si>
    <t>Gettito fiscale
standardizzato
(GFS)</t>
  </si>
  <si>
    <t>Gettito fiscale
standardizzato per
abitante prima della
compensazione</t>
  </si>
  <si>
    <t>Compensazione
delle risorse
per abitante</t>
  </si>
  <si>
    <t>Gettito fiscale
standardizzato per
abitante dopo la
compensazione</t>
  </si>
  <si>
    <t>Indice GFS
dopo la
compensazione</t>
  </si>
  <si>
    <t>Taxable income
of taxpayers</t>
  </si>
  <si>
    <t>Number
of taxpayers</t>
  </si>
  <si>
    <t>Relevant income
of natural persons</t>
  </si>
  <si>
    <t>Resident foreigners
and foreign boards
of directors</t>
  </si>
  <si>
    <t>Fully taxed
cross-border
commuters</t>
  </si>
  <si>
    <t>Cross-border
commuters with
limited taxation
from Austria</t>
  </si>
  <si>
    <t>Cross-border
commuters with
limited taxation
from Germany</t>
  </si>
  <si>
    <t>Cross-border
commuters with
limited taxation from
France subject to
taxation by France</t>
  </si>
  <si>
    <t>Cross-border
commuters with
limited taxation from
France subject to
taxation by the
canton of Geneva</t>
  </si>
  <si>
    <t>Cross-border
commuters with
limited taxation
from Italy</t>
  </si>
  <si>
    <t>Total
cross-border
commuters</t>
  </si>
  <si>
    <t>Result based on
gross wages
(cross-border commuters)</t>
  </si>
  <si>
    <t>Risultato
sulla base di
dati stimati</t>
  </si>
  <si>
    <t>Result based on
estimated data</t>
  </si>
  <si>
    <t>Relevant income
taxed at source</t>
  </si>
  <si>
    <t>Relevant profits
of legal entities
taxed normally</t>
  </si>
  <si>
    <t>Relevant profits
of legal entities</t>
  </si>
  <si>
    <t>Relevant profits
of legal entities with
a special tax status</t>
  </si>
  <si>
    <t>Direct federal tax
deliveries to the FTA</t>
  </si>
  <si>
    <t>Weighting
factor</t>
  </si>
  <si>
    <t>Relevant tax
repartitions</t>
  </si>
  <si>
    <t>Relevant
income of
natural persons</t>
  </si>
  <si>
    <t>Relevant profit
of legal entities</t>
  </si>
  <si>
    <t>Relevant resident
population</t>
  </si>
  <si>
    <t>Resource
potential</t>
  </si>
  <si>
    <t>Resource potential
per capita</t>
  </si>
  <si>
    <t>Resource potential
of financially strong cantons</t>
  </si>
  <si>
    <t>Vertical resource
equalization
(VRE)</t>
  </si>
  <si>
    <t>Horizontal resource
equalization
(HRE)</t>
  </si>
  <si>
    <t>Total
equalization</t>
  </si>
  <si>
    <t>Relevant
resident
population</t>
  </si>
  <si>
    <t>Sum of the
weighted
deviations</t>
  </si>
  <si>
    <t>Inpayment
per capita</t>
  </si>
  <si>
    <t>Endowm./E[Swi]*E</t>
  </si>
  <si>
    <t>Outpayment
per capita</t>
  </si>
  <si>
    <t>Standardized
tax revenue
(STR)</t>
  </si>
  <si>
    <t>Standardized tax
revenue per capita
before equalization</t>
  </si>
  <si>
    <t>Resource
equalization
per capita</t>
  </si>
  <si>
    <t>Standardized tax
revenue per capita
after equalization</t>
  </si>
  <si>
    <t>STR index
after
equalization</t>
  </si>
  <si>
    <t>(Q + Y) ou Z</t>
  </si>
  <si>
    <t>(Q + Y) or Z</t>
  </si>
  <si>
    <t>(Q + Y) o Z</t>
  </si>
  <si>
    <t>HRE in % of VRE</t>
  </si>
  <si>
    <t>PHR en % de la PVR</t>
  </si>
  <si>
    <t>POR in % della PVR</t>
  </si>
  <si>
    <t>HRA in % des VRA</t>
  </si>
  <si>
    <t>Frontaliers,
total</t>
  </si>
  <si>
    <t>Base imponibile
aggregata deter-
minante per l'IFD</t>
  </si>
  <si>
    <t>L</t>
  </si>
  <si>
    <t>Horizontaler
Ressourcenausgleich
(HRA)</t>
  </si>
  <si>
    <t>07.05.2018</t>
  </si>
  <si>
    <t>FA2019-18127105219</t>
  </si>
  <si>
    <t>Steuerpflichtige mit steuerbarem Einkommen
grösser oder gleich dem Freibetrag</t>
  </si>
  <si>
    <t>Contribuables dont le revenu imposable est
supérieur ou égal à la franchise</t>
  </si>
  <si>
    <t>Contribuenti con reddito imponibile
uguale o superiore alla franchigia</t>
  </si>
  <si>
    <t>Taxpayers whose taxable income is
equal to or higher than the threshold</t>
  </si>
  <si>
    <t>Freibetrag pro
steuerpflichtige Person</t>
  </si>
  <si>
    <t>Franchise par
contribuable</t>
  </si>
  <si>
    <t>Franchigia per
contribuente</t>
  </si>
  <si>
    <t>Threshold per
taxpayer</t>
  </si>
  <si>
    <t>Alpha</t>
  </si>
  <si>
    <t>alpha</t>
  </si>
  <si>
    <t>alfa</t>
  </si>
  <si>
    <t>0.17 *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</si>
</sst>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_ ;\-0.0_ ;0.0_ ;@_ "/>
    <numFmt numFmtId="165" formatCode="_ * #,##0_ ;_ * \-#,##0_ ;_ * &quot;-&quot;??_ ;_ @_ "/>
    <numFmt numFmtId="166" formatCode="0.0%_ ;\-0.0%_ ;0.0%_ ;@_ "/>
    <numFmt numFmtId="167" formatCode="0.00%_ ;\-0.00%_ ;0.00%_ ;@_ "/>
    <numFmt numFmtId="168" formatCode="_ * #,##0_ ;_ * \-#,##0_ ;_ * 0_ ;_ @_ "/>
    <numFmt numFmtId="169" formatCode="_ @"/>
    <numFmt numFmtId="170" formatCode="0.000000000_ ;\-0.000000000_ \ "/>
    <numFmt numFmtId="171" formatCode="_(* #,##0.00_);_(* \(#,##0.00\);_(* &quot;-&quot;??_);_(@_)"/>
  </numFmts>
  <fonts count="29" x14ac:knownFonts="1">
    <font>
      <sz val="10"/>
      <name val="Arial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.5"/>
      <color rgb="FF000000"/>
      <name val="Arial"/>
      <family val="2"/>
    </font>
    <font>
      <b/>
      <sz val="14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8"/>
      <color rgb="FF000000"/>
      <name val="Arial"/>
      <family val="2"/>
    </font>
    <font>
      <b/>
      <sz val="18"/>
      <color rgb="FF000000"/>
      <name val="Arial"/>
      <family val="2"/>
    </font>
    <font>
      <b/>
      <sz val="22"/>
      <color rgb="FF000000"/>
      <name val="Arial"/>
      <family val="2"/>
    </font>
    <font>
      <sz val="10"/>
      <color rgb="FF0000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9" tint="0.59999389629810485"/>
      <name val="Arial"/>
      <family val="2"/>
    </font>
    <font>
      <i/>
      <sz val="10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theme="0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0">
    <xf numFmtId="0" fontId="0" fillId="0" borderId="0" xfId="0"/>
    <xf numFmtId="4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1" xfId="0" applyFont="1" applyBorder="1"/>
    <xf numFmtId="0" fontId="8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1" fontId="1" fillId="0" borderId="0" xfId="0" applyNumberFormat="1" applyFont="1" applyAlignment="1">
      <alignment horizontal="right"/>
    </xf>
    <xf numFmtId="0" fontId="2" fillId="0" borderId="0" xfId="0" applyFont="1"/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164" fontId="7" fillId="0" borderId="5" xfId="0" applyNumberFormat="1" applyFont="1" applyBorder="1"/>
    <xf numFmtId="164" fontId="10" fillId="0" borderId="3" xfId="0" applyNumberFormat="1" applyFont="1" applyBorder="1"/>
    <xf numFmtId="0" fontId="11" fillId="0" borderId="0" xfId="0" applyFont="1"/>
    <xf numFmtId="0" fontId="12" fillId="0" borderId="0" xfId="0" applyFont="1"/>
    <xf numFmtId="0" fontId="11" fillId="3" borderId="5" xfId="0" applyFont="1" applyFill="1" applyBorder="1"/>
    <xf numFmtId="164" fontId="7" fillId="3" borderId="5" xfId="0" applyNumberFormat="1" applyFont="1" applyFill="1" applyBorder="1"/>
    <xf numFmtId="165" fontId="7" fillId="3" borderId="5" xfId="0" applyNumberFormat="1" applyFont="1" applyFill="1" applyBorder="1"/>
    <xf numFmtId="165" fontId="11" fillId="3" borderId="6" xfId="0" applyNumberFormat="1" applyFont="1" applyFill="1" applyBorder="1"/>
    <xf numFmtId="0" fontId="10" fillId="0" borderId="10" xfId="0" applyFont="1" applyBorder="1" applyAlignment="1">
      <alignment horizontal="right" vertical="center" wrapText="1"/>
    </xf>
    <xf numFmtId="165" fontId="11" fillId="0" borderId="6" xfId="0" applyNumberFormat="1" applyFont="1" applyBorder="1"/>
    <xf numFmtId="0" fontId="10" fillId="0" borderId="9" xfId="0" applyFont="1" applyBorder="1"/>
    <xf numFmtId="0" fontId="11" fillId="0" borderId="5" xfId="0" applyFont="1" applyBorder="1"/>
    <xf numFmtId="0" fontId="10" fillId="0" borderId="3" xfId="0" applyFont="1" applyBorder="1"/>
    <xf numFmtId="165" fontId="7" fillId="0" borderId="5" xfId="0" applyNumberFormat="1" applyFont="1" applyBorder="1"/>
    <xf numFmtId="165" fontId="10" fillId="0" borderId="3" xfId="0" applyNumberFormat="1" applyFont="1" applyBorder="1"/>
    <xf numFmtId="165" fontId="7" fillId="0" borderId="10" xfId="0" applyNumberFormat="1" applyFont="1" applyBorder="1"/>
    <xf numFmtId="165" fontId="10" fillId="0" borderId="8" xfId="0" applyNumberFormat="1" applyFont="1" applyBorder="1"/>
    <xf numFmtId="165" fontId="15" fillId="0" borderId="0" xfId="0" applyNumberFormat="1" applyFo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3" xfId="0" applyFont="1" applyBorder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7" fillId="3" borderId="5" xfId="0" applyFont="1" applyFill="1" applyBorder="1"/>
    <xf numFmtId="165" fontId="15" fillId="3" borderId="0" xfId="0" applyNumberFormat="1" applyFont="1" applyFill="1"/>
    <xf numFmtId="3" fontId="10" fillId="0" borderId="0" xfId="0" applyNumberFormat="1" applyFont="1"/>
    <xf numFmtId="0" fontId="12" fillId="2" borderId="12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right"/>
    </xf>
    <xf numFmtId="1" fontId="7" fillId="2" borderId="12" xfId="0" applyNumberFormat="1" applyFont="1" applyFill="1" applyBorder="1"/>
    <xf numFmtId="165" fontId="15" fillId="2" borderId="9" xfId="0" applyNumberFormat="1" applyFont="1" applyFill="1" applyBorder="1"/>
    <xf numFmtId="0" fontId="7" fillId="0" borderId="0" xfId="0" applyFont="1"/>
    <xf numFmtId="0" fontId="10" fillId="0" borderId="5" xfId="0" applyFont="1" applyBorder="1" applyAlignment="1">
      <alignment horizontal="right" wrapText="1"/>
    </xf>
    <xf numFmtId="0" fontId="7" fillId="4" borderId="0" xfId="0" applyFont="1" applyFill="1"/>
    <xf numFmtId="0" fontId="10" fillId="4" borderId="0" xfId="0" applyFont="1" applyFill="1"/>
    <xf numFmtId="0" fontId="7" fillId="5" borderId="0" xfId="0" applyFont="1" applyFill="1"/>
    <xf numFmtId="0" fontId="10" fillId="5" borderId="0" xfId="0" applyFont="1" applyFill="1"/>
    <xf numFmtId="0" fontId="7" fillId="6" borderId="0" xfId="0" applyFont="1" applyFill="1"/>
    <xf numFmtId="0" fontId="10" fillId="6" borderId="0" xfId="0" applyFont="1" applyFill="1"/>
    <xf numFmtId="0" fontId="7" fillId="0" borderId="0" xfId="0" applyFont="1" applyAlignment="1">
      <alignment horizontal="right" wrapText="1"/>
    </xf>
    <xf numFmtId="0" fontId="19" fillId="0" borderId="5" xfId="0" applyFont="1" applyBorder="1" applyAlignment="1">
      <alignment horizontal="right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/>
    <xf numFmtId="0" fontId="7" fillId="0" borderId="10" xfId="0" applyFont="1" applyBorder="1"/>
    <xf numFmtId="165" fontId="15" fillId="0" borderId="7" xfId="0" applyNumberFormat="1" applyFont="1" applyBorder="1"/>
    <xf numFmtId="165" fontId="10" fillId="0" borderId="3" xfId="0" applyNumberFormat="1" applyFont="1" applyBorder="1" applyAlignment="1">
      <alignment horizontal="right" vertical="center"/>
    </xf>
    <xf numFmtId="165" fontId="10" fillId="0" borderId="8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165" fontId="11" fillId="0" borderId="0" xfId="0" applyNumberFormat="1" applyFont="1"/>
    <xf numFmtId="165" fontId="11" fillId="0" borderId="7" xfId="0" applyNumberFormat="1" applyFont="1" applyBorder="1"/>
    <xf numFmtId="165" fontId="11" fillId="0" borderId="10" xfId="0" applyNumberFormat="1" applyFont="1" applyBorder="1"/>
    <xf numFmtId="166" fontId="10" fillId="0" borderId="0" xfId="0" applyNumberFormat="1" applyFont="1"/>
    <xf numFmtId="165" fontId="7" fillId="0" borderId="0" xfId="0" applyNumberFormat="1" applyFont="1"/>
    <xf numFmtId="0" fontId="10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5" fontId="15" fillId="0" borderId="10" xfId="0" applyNumberFormat="1" applyFont="1" applyBorder="1"/>
    <xf numFmtId="165" fontId="15" fillId="0" borderId="5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wrapText="1"/>
    </xf>
    <xf numFmtId="165" fontId="11" fillId="3" borderId="0" xfId="0" applyNumberFormat="1" applyFont="1" applyFill="1"/>
    <xf numFmtId="165" fontId="15" fillId="3" borderId="5" xfId="0" applyNumberFormat="1" applyFont="1" applyFill="1" applyBorder="1"/>
    <xf numFmtId="0" fontId="2" fillId="2" borderId="0" xfId="0" applyFont="1" applyFill="1"/>
    <xf numFmtId="0" fontId="7" fillId="2" borderId="0" xfId="0" applyFont="1" applyFill="1"/>
    <xf numFmtId="0" fontId="10" fillId="2" borderId="0" xfId="0" applyFont="1" applyFill="1"/>
    <xf numFmtId="166" fontId="15" fillId="2" borderId="0" xfId="0" applyNumberFormat="1" applyFont="1" applyFill="1"/>
    <xf numFmtId="0" fontId="11" fillId="2" borderId="0" xfId="0" applyFont="1" applyFill="1"/>
    <xf numFmtId="0" fontId="22" fillId="4" borderId="0" xfId="0" applyFont="1" applyFill="1"/>
    <xf numFmtId="0" fontId="11" fillId="4" borderId="0" xfId="0" applyFont="1" applyFill="1"/>
    <xf numFmtId="0" fontId="23" fillId="0" borderId="0" xfId="0" applyFont="1"/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indent="2"/>
    </xf>
    <xf numFmtId="9" fontId="15" fillId="4" borderId="0" xfId="0" applyNumberFormat="1" applyFont="1" applyFill="1" applyAlignment="1">
      <alignment horizontal="center"/>
    </xf>
    <xf numFmtId="0" fontId="11" fillId="5" borderId="0" xfId="0" applyFont="1" applyFill="1"/>
    <xf numFmtId="9" fontId="7" fillId="5" borderId="0" xfId="0" applyNumberFormat="1" applyFont="1" applyFill="1" applyAlignment="1">
      <alignment horizontal="center"/>
    </xf>
    <xf numFmtId="0" fontId="11" fillId="6" borderId="0" xfId="0" applyFont="1" applyFill="1"/>
    <xf numFmtId="9" fontId="7" fillId="6" borderId="0" xfId="0" applyNumberFormat="1" applyFont="1" applyFill="1" applyAlignment="1">
      <alignment horizontal="center"/>
    </xf>
    <xf numFmtId="0" fontId="2" fillId="0" borderId="3" xfId="0" applyFont="1" applyBorder="1" applyAlignment="1">
      <alignment horizontal="right" vertical="center" wrapText="1"/>
    </xf>
    <xf numFmtId="3" fontId="10" fillId="0" borderId="8" xfId="0" applyNumberFormat="1" applyFont="1" applyBorder="1"/>
    <xf numFmtId="0" fontId="7" fillId="0" borderId="8" xfId="0" applyFont="1" applyBorder="1" applyAlignment="1">
      <alignment horizontal="center" vertical="center" wrapText="1"/>
    </xf>
    <xf numFmtId="3" fontId="11" fillId="0" borderId="7" xfId="0" applyNumberFormat="1" applyFont="1" applyBorder="1"/>
    <xf numFmtId="0" fontId="11" fillId="0" borderId="10" xfId="0" applyFont="1" applyBorder="1"/>
    <xf numFmtId="165" fontId="15" fillId="0" borderId="16" xfId="0" applyNumberFormat="1" applyFont="1" applyBorder="1" applyAlignment="1">
      <alignment vertical="center"/>
    </xf>
    <xf numFmtId="0" fontId="24" fillId="0" borderId="3" xfId="0" applyFont="1" applyBorder="1" applyAlignment="1">
      <alignment vertical="top" wrapText="1"/>
    </xf>
    <xf numFmtId="0" fontId="7" fillId="0" borderId="8" xfId="0" applyFont="1" applyBorder="1" applyAlignment="1">
      <alignment horizontal="right" wrapText="1"/>
    </xf>
    <xf numFmtId="0" fontId="7" fillId="0" borderId="12" xfId="0" applyFont="1" applyBorder="1" applyAlignment="1">
      <alignment horizontal="right" wrapText="1"/>
    </xf>
    <xf numFmtId="165" fontId="7" fillId="0" borderId="6" xfId="0" applyNumberFormat="1" applyFont="1" applyBorder="1" applyAlignment="1">
      <alignment vertical="center"/>
    </xf>
    <xf numFmtId="165" fontId="10" fillId="0" borderId="9" xfId="0" applyNumberFormat="1" applyFont="1" applyBorder="1" applyAlignment="1">
      <alignment vertical="center"/>
    </xf>
    <xf numFmtId="165" fontId="10" fillId="0" borderId="12" xfId="0" applyNumberFormat="1" applyFont="1" applyBorder="1" applyAlignment="1">
      <alignment vertical="center"/>
    </xf>
    <xf numFmtId="165" fontId="10" fillId="0" borderId="8" xfId="0" applyNumberFormat="1" applyFont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0" fillId="0" borderId="9" xfId="0" applyFont="1" applyBorder="1" applyAlignment="1">
      <alignment horizontal="right" wrapText="1"/>
    </xf>
    <xf numFmtId="3" fontId="10" fillId="5" borderId="0" xfId="0" applyNumberFormat="1" applyFont="1" applyFill="1" applyAlignment="1">
      <alignment vertical="center"/>
    </xf>
    <xf numFmtId="0" fontId="5" fillId="0" borderId="0" xfId="0" applyFont="1" applyAlignment="1">
      <alignment vertical="top"/>
    </xf>
    <xf numFmtId="0" fontId="19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165" fontId="15" fillId="3" borderId="0" xfId="0" applyNumberFormat="1" applyFont="1" applyFill="1" applyAlignment="1">
      <alignment vertical="center"/>
    </xf>
    <xf numFmtId="165" fontId="7" fillId="3" borderId="6" xfId="0" applyNumberFormat="1" applyFont="1" applyFill="1" applyBorder="1" applyAlignment="1">
      <alignment vertical="center"/>
    </xf>
    <xf numFmtId="165" fontId="15" fillId="3" borderId="16" xfId="0" applyNumberFormat="1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167" fontId="15" fillId="2" borderId="3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9" fontId="11" fillId="0" borderId="0" xfId="0" applyNumberFormat="1" applyFont="1"/>
    <xf numFmtId="3" fontId="10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center" vertical="center"/>
    </xf>
    <xf numFmtId="0" fontId="7" fillId="2" borderId="13" xfId="0" applyFont="1" applyFill="1" applyBorder="1"/>
    <xf numFmtId="166" fontId="15" fillId="2" borderId="14" xfId="0" applyNumberFormat="1" applyFont="1" applyFill="1" applyBorder="1"/>
    <xf numFmtId="0" fontId="7" fillId="2" borderId="16" xfId="0" applyFont="1" applyFill="1" applyBorder="1"/>
    <xf numFmtId="166" fontId="15" fillId="2" borderId="6" xfId="0" applyNumberFormat="1" applyFont="1" applyFill="1" applyBorder="1"/>
    <xf numFmtId="0" fontId="7" fillId="2" borderId="15" xfId="0" applyFont="1" applyFill="1" applyBorder="1"/>
    <xf numFmtId="166" fontId="15" fillId="2" borderId="4" xfId="0" applyNumberFormat="1" applyFont="1" applyFill="1" applyBorder="1"/>
    <xf numFmtId="0" fontId="25" fillId="0" borderId="3" xfId="0" applyFont="1" applyBorder="1" applyAlignment="1">
      <alignment vertical="top"/>
    </xf>
    <xf numFmtId="165" fontId="7" fillId="0" borderId="7" xfId="0" applyNumberFormat="1" applyFont="1" applyBorder="1"/>
    <xf numFmtId="164" fontId="7" fillId="0" borderId="0" xfId="0" applyNumberFormat="1" applyFont="1"/>
    <xf numFmtId="164" fontId="10" fillId="0" borderId="8" xfId="0" applyNumberFormat="1" applyFont="1" applyBorder="1"/>
    <xf numFmtId="164" fontId="7" fillId="0" borderId="7" xfId="0" applyNumberFormat="1" applyFont="1" applyBorder="1"/>
    <xf numFmtId="168" fontId="10" fillId="0" borderId="3" xfId="0" applyNumberFormat="1" applyFont="1" applyBorder="1"/>
    <xf numFmtId="165" fontId="7" fillId="3" borderId="0" xfId="0" applyNumberFormat="1" applyFont="1" applyFill="1"/>
    <xf numFmtId="164" fontId="7" fillId="3" borderId="0" xfId="0" applyNumberFormat="1" applyFont="1" applyFill="1"/>
    <xf numFmtId="0" fontId="2" fillId="0" borderId="5" xfId="0" applyFont="1" applyBorder="1" applyAlignment="1">
      <alignment vertical="top" wrapText="1"/>
    </xf>
    <xf numFmtId="0" fontId="20" fillId="0" borderId="0" xfId="0" applyFont="1"/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" fontId="10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0" fontId="18" fillId="0" borderId="0" xfId="0" applyFont="1"/>
    <xf numFmtId="1" fontId="7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8" fillId="0" borderId="8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wrapText="1"/>
    </xf>
    <xf numFmtId="0" fontId="7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 wrapText="1"/>
    </xf>
    <xf numFmtId="0" fontId="7" fillId="6" borderId="0" xfId="0" applyFont="1" applyFill="1" applyAlignment="1">
      <alignment horizontal="right" wrapText="1"/>
    </xf>
    <xf numFmtId="165" fontId="7" fillId="0" borderId="16" xfId="0" applyNumberFormat="1" applyFont="1" applyBorder="1"/>
    <xf numFmtId="165" fontId="10" fillId="0" borderId="12" xfId="0" applyNumberFormat="1" applyFont="1" applyBorder="1"/>
    <xf numFmtId="164" fontId="7" fillId="0" borderId="6" xfId="0" applyNumberFormat="1" applyFont="1" applyBorder="1"/>
    <xf numFmtId="164" fontId="10" fillId="0" borderId="9" xfId="0" applyNumberFormat="1" applyFont="1" applyBorder="1"/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7" fillId="3" borderId="16" xfId="0" applyNumberFormat="1" applyFont="1" applyFill="1" applyBorder="1"/>
    <xf numFmtId="164" fontId="7" fillId="3" borderId="6" xfId="0" applyNumberFormat="1" applyFont="1" applyFill="1" applyBorder="1"/>
    <xf numFmtId="3" fontId="10" fillId="4" borderId="0" xfId="0" applyNumberFormat="1" applyFont="1" applyFill="1"/>
    <xf numFmtId="3" fontId="10" fillId="5" borderId="0" xfId="0" applyNumberFormat="1" applyFont="1" applyFill="1"/>
    <xf numFmtId="3" fontId="10" fillId="6" borderId="0" xfId="0" applyNumberFormat="1" applyFont="1" applyFill="1"/>
    <xf numFmtId="0" fontId="10" fillId="0" borderId="0" xfId="0" applyFont="1" applyAlignment="1">
      <alignment horizontal="right" wrapText="1"/>
    </xf>
    <xf numFmtId="0" fontId="7" fillId="0" borderId="16" xfId="0" applyFont="1" applyBorder="1" applyAlignment="1">
      <alignment horizontal="right" wrapText="1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right" vertical="center" wrapText="1"/>
    </xf>
    <xf numFmtId="165" fontId="10" fillId="0" borderId="8" xfId="0" applyNumberFormat="1" applyFont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165" fontId="15" fillId="0" borderId="16" xfId="0" applyNumberFormat="1" applyFont="1" applyBorder="1" applyAlignment="1">
      <alignment horizontal="right"/>
    </xf>
    <xf numFmtId="165" fontId="10" fillId="0" borderId="12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6" fontId="7" fillId="0" borderId="6" xfId="0" applyNumberFormat="1" applyFont="1" applyBorder="1"/>
    <xf numFmtId="166" fontId="10" fillId="7" borderId="9" xfId="0" applyNumberFormat="1" applyFont="1" applyFill="1" applyBorder="1"/>
    <xf numFmtId="0" fontId="7" fillId="7" borderId="0" xfId="0" applyFont="1" applyFill="1" applyAlignment="1">
      <alignment horizontal="center" vertical="center" wrapText="1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 wrapText="1"/>
    </xf>
    <xf numFmtId="165" fontId="15" fillId="3" borderId="16" xfId="0" applyNumberFormat="1" applyFont="1" applyFill="1" applyBorder="1" applyAlignment="1">
      <alignment horizontal="right"/>
    </xf>
    <xf numFmtId="165" fontId="7" fillId="3" borderId="0" xfId="0" applyNumberFormat="1" applyFont="1" applyFill="1" applyAlignment="1">
      <alignment horizontal="right"/>
    </xf>
    <xf numFmtId="166" fontId="7" fillId="3" borderId="6" xfId="0" applyNumberFormat="1" applyFont="1" applyFill="1" applyBorder="1"/>
    <xf numFmtId="0" fontId="26" fillId="0" borderId="0" xfId="0" applyFont="1" applyAlignment="1">
      <alignment horizontal="left" vertical="top"/>
    </xf>
    <xf numFmtId="0" fontId="7" fillId="0" borderId="12" xfId="0" applyFont="1" applyBorder="1"/>
    <xf numFmtId="165" fontId="7" fillId="0" borderId="16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168" fontId="15" fillId="0" borderId="16" xfId="0" applyNumberFormat="1" applyFont="1" applyBorder="1" applyAlignment="1">
      <alignment vertical="center"/>
    </xf>
    <xf numFmtId="168" fontId="15" fillId="0" borderId="13" xfId="0" applyNumberFormat="1" applyFont="1" applyBorder="1" applyAlignment="1">
      <alignment vertical="center"/>
    </xf>
    <xf numFmtId="168" fontId="15" fillId="0" borderId="14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12" fillId="0" borderId="8" xfId="0" applyFont="1" applyBorder="1" applyAlignment="1">
      <alignment horizontal="left" indent="1"/>
    </xf>
    <xf numFmtId="0" fontId="7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8" xfId="0" applyFont="1" applyBorder="1"/>
    <xf numFmtId="0" fontId="2" fillId="0" borderId="7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165" fontId="7" fillId="0" borderId="1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right" wrapText="1"/>
    </xf>
    <xf numFmtId="168" fontId="15" fillId="0" borderId="6" xfId="0" applyNumberFormat="1" applyFont="1" applyBorder="1" applyAlignment="1">
      <alignment vertical="center"/>
    </xf>
    <xf numFmtId="165" fontId="2" fillId="0" borderId="14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6" fontId="27" fillId="0" borderId="9" xfId="0" applyNumberFormat="1" applyFont="1" applyBorder="1" applyAlignment="1">
      <alignment vertical="center"/>
    </xf>
    <xf numFmtId="169" fontId="2" fillId="0" borderId="12" xfId="0" applyNumberFormat="1" applyFont="1" applyBorder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1"/>
    </xf>
    <xf numFmtId="166" fontId="2" fillId="3" borderId="16" xfId="0" applyNumberFormat="1" applyFont="1" applyFill="1" applyBorder="1" applyAlignment="1">
      <alignment vertical="center"/>
    </xf>
    <xf numFmtId="166" fontId="2" fillId="3" borderId="6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vertical="center"/>
    </xf>
    <xf numFmtId="165" fontId="7" fillId="3" borderId="15" xfId="0" applyNumberFormat="1" applyFont="1" applyFill="1" applyBorder="1" applyAlignment="1">
      <alignment vertical="center"/>
    </xf>
    <xf numFmtId="165" fontId="7" fillId="3" borderId="4" xfId="0" applyNumberFormat="1" applyFont="1" applyFill="1" applyBorder="1" applyAlignment="1">
      <alignment vertical="center"/>
    </xf>
    <xf numFmtId="165" fontId="2" fillId="3" borderId="16" xfId="0" applyNumberFormat="1" applyFont="1" applyFill="1" applyBorder="1" applyAlignment="1">
      <alignment vertical="center"/>
    </xf>
    <xf numFmtId="165" fontId="2" fillId="3" borderId="6" xfId="0" applyNumberFormat="1" applyFont="1" applyFill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/>
    <xf numFmtId="165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10" fillId="0" borderId="8" xfId="0" applyNumberFormat="1" applyFont="1" applyBorder="1" applyAlignment="1">
      <alignment vertical="center"/>
    </xf>
    <xf numFmtId="0" fontId="10" fillId="0" borderId="9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165" fontId="7" fillId="3" borderId="16" xfId="0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170" fontId="15" fillId="0" borderId="9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164" fontId="7" fillId="3" borderId="16" xfId="0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wrapText="1"/>
    </xf>
    <xf numFmtId="0" fontId="7" fillId="8" borderId="5" xfId="0" applyFont="1" applyFill="1" applyBorder="1" applyAlignment="1">
      <alignment wrapText="1"/>
    </xf>
    <xf numFmtId="0" fontId="7" fillId="0" borderId="9" xfId="0" applyFont="1" applyBorder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165" fontId="7" fillId="8" borderId="0" xfId="0" applyNumberFormat="1" applyFont="1" applyFill="1" applyAlignment="1">
      <alignment horizontal="right"/>
    </xf>
    <xf numFmtId="165" fontId="7" fillId="8" borderId="0" xfId="0" applyNumberFormat="1" applyFont="1" applyFill="1"/>
    <xf numFmtId="0" fontId="10" fillId="0" borderId="0" xfId="0" applyFont="1" applyAlignment="1">
      <alignment horizontal="center"/>
    </xf>
    <xf numFmtId="164" fontId="7" fillId="8" borderId="0" xfId="0" applyNumberFormat="1" applyFont="1" applyFill="1"/>
    <xf numFmtId="164" fontId="7" fillId="8" borderId="6" xfId="0" applyNumberFormat="1" applyFont="1" applyFill="1" applyBorder="1"/>
    <xf numFmtId="164" fontId="10" fillId="0" borderId="9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165" fontId="7" fillId="0" borderId="8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right" vertical="center" wrapText="1"/>
    </xf>
    <xf numFmtId="3" fontId="7" fillId="0" borderId="0" xfId="0" applyNumberFormat="1" applyFont="1"/>
    <xf numFmtId="0" fontId="12" fillId="0" borderId="8" xfId="0" applyFont="1" applyBorder="1" applyAlignment="1">
      <alignment horizontal="right" vertical="center" wrapText="1"/>
    </xf>
    <xf numFmtId="0" fontId="7" fillId="3" borderId="5" xfId="0" applyFont="1" applyFill="1" applyBorder="1" applyAlignment="1">
      <alignment wrapText="1"/>
    </xf>
    <xf numFmtId="168" fontId="15" fillId="0" borderId="7" xfId="0" applyNumberFormat="1" applyFont="1" applyBorder="1" applyAlignment="1">
      <alignment vertical="center"/>
    </xf>
    <xf numFmtId="168" fontId="15" fillId="0" borderId="12" xfId="0" applyNumberFormat="1" applyFont="1" applyBorder="1" applyAlignment="1">
      <alignment vertical="center"/>
    </xf>
    <xf numFmtId="168" fontId="15" fillId="0" borderId="8" xfId="0" applyNumberFormat="1" applyFont="1" applyBorder="1" applyAlignment="1">
      <alignment vertical="center"/>
    </xf>
    <xf numFmtId="168" fontId="15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" fontId="10" fillId="0" borderId="12" xfId="0" applyNumberFormat="1" applyFont="1" applyBorder="1" applyAlignment="1">
      <alignment horizontal="right" vertical="center"/>
    </xf>
    <xf numFmtId="1" fontId="10" fillId="0" borderId="8" xfId="0" applyNumberFormat="1" applyFont="1" applyBorder="1" applyAlignment="1">
      <alignment horizontal="right" vertical="center"/>
    </xf>
    <xf numFmtId="1" fontId="10" fillId="0" borderId="9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71" fontId="7" fillId="0" borderId="0" xfId="0" applyNumberFormat="1" applyFont="1"/>
    <xf numFmtId="0" fontId="12" fillId="0" borderId="3" xfId="0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12" xfId="0" applyNumberFormat="1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/>
    </xf>
    <xf numFmtId="165" fontId="7" fillId="0" borderId="9" xfId="0" applyNumberFormat="1" applyFont="1" applyBorder="1" applyAlignment="1">
      <alignment horizontal="right" vertical="center"/>
    </xf>
    <xf numFmtId="165" fontId="7" fillId="0" borderId="11" xfId="0" applyNumberFormat="1" applyFont="1" applyBorder="1" applyAlignment="1">
      <alignment horizontal="right" vertical="center"/>
    </xf>
    <xf numFmtId="0" fontId="7" fillId="3" borderId="12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165" fontId="10" fillId="3" borderId="12" xfId="0" applyNumberFormat="1" applyFont="1" applyFill="1" applyBorder="1" applyAlignment="1">
      <alignment horizontal="right" vertical="center"/>
    </xf>
    <xf numFmtId="165" fontId="10" fillId="3" borderId="8" xfId="0" applyNumberFormat="1" applyFont="1" applyFill="1" applyBorder="1" applyAlignment="1">
      <alignment horizontal="right" vertical="center"/>
    </xf>
    <xf numFmtId="165" fontId="10" fillId="3" borderId="9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65" fontId="7" fillId="3" borderId="8" xfId="0" applyNumberFormat="1" applyFont="1" applyFill="1" applyBorder="1" applyAlignment="1">
      <alignment horizontal="right"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166" fontId="10" fillId="3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3" fillId="9" borderId="3" xfId="0" applyFont="1" applyFill="1" applyBorder="1"/>
    <xf numFmtId="0" fontId="2" fillId="9" borderId="10" xfId="0" applyFont="1" applyFill="1" applyBorder="1"/>
    <xf numFmtId="0" fontId="2" fillId="9" borderId="5" xfId="0" applyFont="1" applyFill="1" applyBorder="1"/>
    <xf numFmtId="0" fontId="26" fillId="0" borderId="0" xfId="0" applyFont="1"/>
    <xf numFmtId="0" fontId="3" fillId="0" borderId="0" xfId="0" applyFont="1"/>
    <xf numFmtId="0" fontId="2" fillId="9" borderId="11" xfId="0" applyFont="1" applyFill="1" applyBorder="1"/>
    <xf numFmtId="0" fontId="2" fillId="10" borderId="3" xfId="0" applyFont="1" applyFill="1" applyBorder="1" applyAlignment="1">
      <alignment horizontal="left"/>
    </xf>
    <xf numFmtId="0" fontId="28" fillId="0" borderId="0" xfId="0" applyFont="1"/>
    <xf numFmtId="0" fontId="2" fillId="11" borderId="3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1" fontId="2" fillId="12" borderId="3" xfId="0" applyNumberFormat="1" applyFont="1" applyFill="1" applyBorder="1" applyAlignment="1">
      <alignment horizontal="left"/>
    </xf>
    <xf numFmtId="0" fontId="2" fillId="12" borderId="5" xfId="0" applyFont="1" applyFill="1" applyBorder="1"/>
    <xf numFmtId="0" fontId="2" fillId="12" borderId="10" xfId="0" applyFont="1" applyFill="1" applyBorder="1"/>
    <xf numFmtId="0" fontId="2" fillId="12" borderId="11" xfId="0" applyFont="1" applyFill="1" applyBorder="1"/>
    <xf numFmtId="0" fontId="3" fillId="12" borderId="5" xfId="0" applyFont="1" applyFill="1" applyBorder="1"/>
    <xf numFmtId="0" fontId="3" fillId="12" borderId="10" xfId="0" applyFont="1" applyFill="1" applyBorder="1"/>
    <xf numFmtId="0" fontId="7" fillId="2" borderId="2" xfId="0" applyFont="1" applyFill="1" applyBorder="1" applyAlignment="1">
      <alignment horizontal="left" vertical="center" indent="1"/>
    </xf>
    <xf numFmtId="0" fontId="10" fillId="2" borderId="2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top"/>
    </xf>
    <xf numFmtId="0" fontId="7" fillId="2" borderId="13" xfId="0" applyFont="1" applyFill="1" applyBorder="1" applyAlignment="1">
      <alignment horizontal="right" wrapText="1"/>
    </xf>
    <xf numFmtId="0" fontId="11" fillId="2" borderId="14" xfId="0" applyFont="1" applyFill="1" applyBorder="1" applyAlignment="1">
      <alignment horizontal="right" wrapText="1"/>
    </xf>
    <xf numFmtId="0" fontId="11" fillId="2" borderId="15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17" fillId="4" borderId="0" xfId="0" applyFont="1" applyFill="1" applyAlignment="1">
      <alignment horizontal="center" vertical="center" textRotation="90"/>
    </xf>
    <xf numFmtId="0" fontId="17" fillId="5" borderId="0" xfId="0" applyFont="1" applyFill="1" applyAlignment="1">
      <alignment horizontal="center" vertical="center" textRotation="90"/>
    </xf>
    <xf numFmtId="0" fontId="17" fillId="6" borderId="0" xfId="0" applyFont="1" applyFill="1" applyAlignment="1">
      <alignment horizontal="center" vertical="center" textRotation="90"/>
    </xf>
    <xf numFmtId="0" fontId="21" fillId="0" borderId="0" xfId="0" applyFont="1" applyAlignment="1">
      <alignment horizontal="center" wrapText="1"/>
    </xf>
    <xf numFmtId="0" fontId="10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1">
    <cellStyle name="Standard" xfId="0" builtinId="0"/>
  </cellStyles>
  <dxfs count="65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Up">
          <f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4" dropStyle="combo" dx="16" fmlaLink="DFIE!$D$6" fmlaRange="DFIE!$D$2:$D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6</xdr:row>
      <xdr:rowOff>38100</xdr:rowOff>
    </xdr:from>
    <xdr:to>
      <xdr:col>3</xdr:col>
      <xdr:colOff>857250</xdr:colOff>
      <xdr:row>7</xdr:row>
      <xdr:rowOff>114300</xdr:rowOff>
    </xdr:to>
    <xdr:sp macro="" textlink="">
      <xdr:nvSpPr>
        <xdr:cNvPr id="2049" name="Drop Down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123825</xdr:rowOff>
    </xdr:from>
    <xdr:to>
      <xdr:col>2</xdr:col>
      <xdr:colOff>977900</xdr:colOff>
      <xdr:row>3</xdr:row>
      <xdr:rowOff>79375</xdr:rowOff>
    </xdr:to>
    <xdr:pic>
      <xdr:nvPicPr>
        <xdr:cNvPr id="3" name="Picture 37" descr="Logo_CMYK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23825"/>
          <a:ext cx="19970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6</xdr:row>
          <xdr:rowOff>38100</xdr:rowOff>
        </xdr:from>
        <xdr:to>
          <xdr:col>3</xdr:col>
          <xdr:colOff>857250</xdr:colOff>
          <xdr:row>7</xdr:row>
          <xdr:rowOff>114300</xdr:rowOff>
        </xdr:to>
        <xdr:sp macro="" textlink="">
          <xdr:nvSpPr>
            <xdr:cNvPr id="2" name="Drop Down 1025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E46"/>
  <sheetViews>
    <sheetView showGridLines="0" showRowColHeaders="0" tabSelected="1" zoomScaleNormal="100" workbookViewId="0">
      <selection activeCell="A114" sqref="A114"/>
    </sheetView>
  </sheetViews>
  <sheetFormatPr baseColWidth="10" defaultColWidth="9.140625" defaultRowHeight="12.75" x14ac:dyDescent="0.2"/>
  <cols>
    <col min="1" max="1" width="2.7109375" customWidth="1"/>
    <col min="2" max="4" width="15.7109375" customWidth="1"/>
    <col min="5" max="5" width="41.28515625" customWidth="1"/>
  </cols>
  <sheetData>
    <row r="1" spans="2:5" ht="18" customHeight="1" x14ac:dyDescent="0.2">
      <c r="E1" s="3" t="str">
        <f>DFIE!B10</f>
        <v>Eidgenössisches Finanzdepartement EFD</v>
      </c>
    </row>
    <row r="2" spans="2:5" x14ac:dyDescent="0.2">
      <c r="E2" s="4" t="str">
        <f>DFIE!B11</f>
        <v>Eidgenössische Finanzverwaltung EFV</v>
      </c>
    </row>
    <row r="7" spans="2:5" x14ac:dyDescent="0.2">
      <c r="B7" s="5" t="s">
        <v>197</v>
      </c>
    </row>
    <row r="8" spans="2:5" x14ac:dyDescent="0.2">
      <c r="B8" s="5" t="s">
        <v>198</v>
      </c>
    </row>
    <row r="9" spans="2:5" x14ac:dyDescent="0.2">
      <c r="B9" s="5" t="s">
        <v>199</v>
      </c>
    </row>
    <row r="10" spans="2:5" x14ac:dyDescent="0.2">
      <c r="B10" s="5" t="s">
        <v>200</v>
      </c>
    </row>
    <row r="13" spans="2:5" ht="21" customHeight="1" x14ac:dyDescent="0.25">
      <c r="B13" s="6" t="str">
        <f>DFIE!B12</f>
        <v>Finanzausgleich zwischen Bund und Kantonen</v>
      </c>
    </row>
    <row r="14" spans="2:5" ht="21" customHeight="1" x14ac:dyDescent="0.25">
      <c r="B14" s="6" t="str">
        <f>DFIE!B13</f>
        <v>Ressourcenausgleich 2019</v>
      </c>
    </row>
    <row r="15" spans="2:5" ht="15" customHeight="1" x14ac:dyDescent="0.2"/>
    <row r="16" spans="2:5" ht="15" customHeight="1" x14ac:dyDescent="0.2"/>
    <row r="17" spans="2:5" ht="20.25" customHeight="1" x14ac:dyDescent="0.2">
      <c r="B17" s="11" t="s">
        <v>201</v>
      </c>
      <c r="C17" s="338" t="str">
        <f>DFIE!B14</f>
        <v>Übersicht über die Zahlungen im Ressourcenausgleich</v>
      </c>
      <c r="D17" s="338"/>
      <c r="E17" s="338"/>
    </row>
    <row r="18" spans="2:5" ht="16.5" customHeight="1" x14ac:dyDescent="0.2">
      <c r="B18" s="7"/>
      <c r="C18" s="8"/>
    </row>
    <row r="19" spans="2:5" ht="20.25" customHeight="1" x14ac:dyDescent="0.2">
      <c r="B19" s="10" t="s">
        <v>202</v>
      </c>
      <c r="C19" s="337" t="str">
        <f>DFIE!B15</f>
        <v>Einkommen natürlicher Personen</v>
      </c>
      <c r="D19" s="337"/>
      <c r="E19" s="337"/>
    </row>
    <row r="20" spans="2:5" ht="20.25" customHeight="1" x14ac:dyDescent="0.2">
      <c r="B20" s="10" t="s">
        <v>203</v>
      </c>
      <c r="C20" s="337" t="str">
        <f>DFIE!B16</f>
        <v>Quellenbesteuerte Einkommen natürlicher Personen</v>
      </c>
      <c r="D20" s="337"/>
      <c r="E20" s="337"/>
    </row>
    <row r="21" spans="2:5" ht="20.25" customHeight="1" x14ac:dyDescent="0.2">
      <c r="B21" s="10" t="s">
        <v>204</v>
      </c>
      <c r="C21" s="337" t="str">
        <f>DFIE!B17</f>
        <v>Vermögen natürlicher Personen</v>
      </c>
      <c r="D21" s="337"/>
      <c r="E21" s="337"/>
    </row>
    <row r="22" spans="2:5" ht="20.25" customHeight="1" x14ac:dyDescent="0.2">
      <c r="B22" s="10" t="s">
        <v>205</v>
      </c>
      <c r="C22" s="337" t="str">
        <f>DFIE!B18</f>
        <v>Gewinne juristischer Personen</v>
      </c>
      <c r="D22" s="337"/>
      <c r="E22" s="337"/>
    </row>
    <row r="23" spans="2:5" ht="20.25" customHeight="1" x14ac:dyDescent="0.2">
      <c r="B23" s="10" t="s">
        <v>206</v>
      </c>
      <c r="C23" s="337" t="str">
        <f>DFIE!B19</f>
        <v>Steuerrepartitionen</v>
      </c>
      <c r="D23" s="337"/>
      <c r="E23" s="337"/>
    </row>
    <row r="24" spans="2:5" ht="20.25" customHeight="1" x14ac:dyDescent="0.2">
      <c r="B24" s="10" t="s">
        <v>207</v>
      </c>
      <c r="C24" s="337" t="str">
        <f>DFIE!B20</f>
        <v>Aggregierte Steuerbemessungsgrundlage</v>
      </c>
      <c r="D24" s="337"/>
      <c r="E24" s="337"/>
    </row>
    <row r="25" spans="2:5" ht="20.25" customHeight="1" x14ac:dyDescent="0.2">
      <c r="B25" s="10" t="s">
        <v>208</v>
      </c>
      <c r="C25" s="337" t="str">
        <f>DFIE!B21</f>
        <v>Massgebende Wohnbevölkerung</v>
      </c>
      <c r="D25" s="337"/>
      <c r="E25" s="337"/>
    </row>
    <row r="26" spans="2:5" ht="20.25" customHeight="1" x14ac:dyDescent="0.2">
      <c r="B26" s="10" t="s">
        <v>209</v>
      </c>
      <c r="C26" s="337" t="str">
        <f>DFIE!B22</f>
        <v>Berechnung Ressourcenpotenzial und -index</v>
      </c>
      <c r="D26" s="337"/>
      <c r="E26" s="337"/>
    </row>
    <row r="27" spans="2:5" ht="20.25" customHeight="1" x14ac:dyDescent="0.2">
      <c r="B27" s="10" t="s">
        <v>210</v>
      </c>
      <c r="C27" s="337" t="str">
        <f>DFIE!B23</f>
        <v>Wachstumsraten der Ressourcenpotenziale</v>
      </c>
      <c r="D27" s="337"/>
      <c r="E27" s="337"/>
    </row>
    <row r="28" spans="2:5" ht="20.25" customHeight="1" x14ac:dyDescent="0.2">
      <c r="B28" s="10" t="s">
        <v>211</v>
      </c>
      <c r="C28" s="337" t="str">
        <f>DFIE!B24</f>
        <v>Fortschreibung der Dotationen im Ressourcenausgleich</v>
      </c>
      <c r="D28" s="337"/>
      <c r="E28" s="337"/>
    </row>
    <row r="29" spans="2:5" ht="20.25" customHeight="1" x14ac:dyDescent="0.2">
      <c r="B29" s="10" t="s">
        <v>212</v>
      </c>
      <c r="C29" s="337" t="str">
        <f>DFIE!B25</f>
        <v>Einzahlungen der ressourcenstarken Kantone</v>
      </c>
      <c r="D29" s="337"/>
      <c r="E29" s="337"/>
    </row>
    <row r="30" spans="2:5" ht="20.25" customHeight="1" x14ac:dyDescent="0.2">
      <c r="B30" s="10" t="s">
        <v>213</v>
      </c>
      <c r="C30" s="337" t="str">
        <f>DFIE!B26</f>
        <v>Auszahlungen an die ressourcenschwachen Kantone</v>
      </c>
      <c r="D30" s="337"/>
      <c r="E30" s="337"/>
    </row>
    <row r="31" spans="2:5" ht="20.25" customHeight="1" x14ac:dyDescent="0.2">
      <c r="B31" s="10" t="s">
        <v>214</v>
      </c>
      <c r="C31" s="337" t="str">
        <f>DFIE!B27</f>
        <v>Standardisierter Steuerertrag</v>
      </c>
      <c r="D31" s="337"/>
      <c r="E31" s="337"/>
    </row>
    <row r="32" spans="2:5" ht="20.25" customHeight="1" x14ac:dyDescent="0.2">
      <c r="B32" s="10" t="s">
        <v>215</v>
      </c>
      <c r="C32" s="337" t="str">
        <f>DFIE!B28</f>
        <v>Standardisierter Steuersatz</v>
      </c>
      <c r="D32" s="337"/>
      <c r="E32" s="337"/>
    </row>
    <row r="33" spans="2:5" ht="12.75" customHeight="1" x14ac:dyDescent="0.2"/>
    <row r="42" spans="2:5" x14ac:dyDescent="0.2">
      <c r="B42" s="9"/>
      <c r="C42" s="9"/>
      <c r="D42" s="9"/>
      <c r="E42" s="9"/>
    </row>
    <row r="44" spans="2:5" x14ac:dyDescent="0.2">
      <c r="B44" s="13"/>
      <c r="C44" s="13" t="str">
        <f>DFIE!$B$66</f>
        <v>Referenzjahr</v>
      </c>
      <c r="D44" s="12">
        <v>2019</v>
      </c>
    </row>
    <row r="45" spans="2:5" x14ac:dyDescent="0.2">
      <c r="B45" s="13"/>
      <c r="C45" s="13" t="str">
        <f>DFIE!$B$67</f>
        <v>Berechnungsdatum</v>
      </c>
      <c r="D45" s="2" t="s">
        <v>682</v>
      </c>
    </row>
    <row r="46" spans="2:5" x14ac:dyDescent="0.2">
      <c r="B46" s="13"/>
      <c r="C46" s="13" t="str">
        <f>DFIE!$B$68</f>
        <v>Berechnungs-ID</v>
      </c>
      <c r="D46" s="1" t="s">
        <v>683</v>
      </c>
    </row>
  </sheetData>
  <mergeCells count="15">
    <mergeCell ref="C31:E31"/>
    <mergeCell ref="C28:E28"/>
    <mergeCell ref="C29:E29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</mergeCells>
  <conditionalFormatting sqref="D44:D46">
    <cfRule type="expression" dxfId="64" priority="1" stopIfTrue="1">
      <formula>ISBLANK(D44)</formula>
    </cfRule>
  </conditionalFormatting>
  <hyperlinks>
    <hyperlink ref="B17" location="TOTAL!A1" display="TOTAL"/>
    <hyperlink ref="B29" location="EINZ!A1" display="EINZ"/>
    <hyperlink ref="B28" location="DOT!A1" display="DOT"/>
    <hyperlink ref="B31" location="SSE!A1" display="SSE"/>
    <hyperlink ref="B30" location="AUSZ!A1" display="AUSZ"/>
    <hyperlink ref="B27" location="ENTW!A1" display="ENTW"/>
    <hyperlink ref="B26" location="RP!A1" display="RP"/>
    <hyperlink ref="B25" location="BEV!A1" display="BEV"/>
    <hyperlink ref="B24" location="ASG!A1" display="ASG"/>
    <hyperlink ref="B23" location="REP!A1" display="REP"/>
    <hyperlink ref="B22" location="JP!A1" display="JP"/>
    <hyperlink ref="B21" location="VERM!A1" display="VERM"/>
    <hyperlink ref="B20" location="QS!A1" display="QS"/>
    <hyperlink ref="B19" location="NP!A1" display="NP"/>
    <hyperlink ref="B32" location="SST!A1" display="SST"/>
  </hyperlinks>
  <pageMargins left="0.7" right="0.54" top="0.78740157499999996" bottom="0.78740157499999996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3" name="Drop Down 1025">
              <controlPr defaultSize="0" autoLine="0" autoPict="0">
                <anchor moveWithCells="1">
                  <from>
                    <xdr:col>2</xdr:col>
                    <xdr:colOff>628650</xdr:colOff>
                    <xdr:row>6</xdr:row>
                    <xdr:rowOff>38100</xdr:rowOff>
                  </from>
                  <to>
                    <xdr:col>3</xdr:col>
                    <xdr:colOff>857250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I36"/>
  <sheetViews>
    <sheetView showGridLines="0" zoomScaleNormal="100" workbookViewId="0">
      <selection activeCell="A114" sqref="A114"/>
    </sheetView>
  </sheetViews>
  <sheetFormatPr baseColWidth="10" defaultColWidth="9.140625" defaultRowHeight="12.75" x14ac:dyDescent="0.2"/>
  <cols>
    <col min="1" max="1" width="1.42578125" customWidth="1"/>
    <col min="2" max="6" width="16.7109375" customWidth="1"/>
    <col min="7" max="9" width="17.7109375" customWidth="1"/>
  </cols>
  <sheetData>
    <row r="1" spans="1:9" ht="18" customHeight="1" x14ac:dyDescent="0.2">
      <c r="B1" s="123" t="str">
        <f>DFIE!$B$146</f>
        <v>Berechnung Ressourcenpotenzial und -index 2019</v>
      </c>
      <c r="C1" s="165"/>
      <c r="D1" s="165"/>
      <c r="E1" s="162"/>
      <c r="F1" s="169"/>
      <c r="G1" s="52"/>
      <c r="H1" s="52"/>
      <c r="I1" s="52"/>
    </row>
    <row r="2" spans="1:9" ht="12.75" customHeight="1" x14ac:dyDescent="0.2">
      <c r="A2" s="166"/>
      <c r="B2" s="52"/>
      <c r="C2" s="166"/>
      <c r="D2" s="166"/>
      <c r="E2" s="167"/>
      <c r="F2" s="168"/>
    </row>
    <row r="3" spans="1:9" ht="0.75" customHeight="1" x14ac:dyDescent="0.2">
      <c r="A3" s="166"/>
      <c r="B3" s="52"/>
      <c r="C3" s="167"/>
      <c r="D3" s="167"/>
      <c r="E3" s="167"/>
      <c r="F3" s="167"/>
      <c r="G3" s="167"/>
      <c r="H3" s="167"/>
      <c r="I3" s="168"/>
    </row>
    <row r="4" spans="1:9" ht="0.75" customHeight="1" x14ac:dyDescent="0.2">
      <c r="A4" s="166"/>
      <c r="B4" s="52"/>
      <c r="C4" s="167"/>
      <c r="D4" s="167"/>
      <c r="E4" s="167"/>
      <c r="F4" s="167"/>
      <c r="G4" s="167"/>
      <c r="H4" s="167"/>
      <c r="I4" s="168"/>
    </row>
    <row r="5" spans="1:9" ht="12" customHeight="1" x14ac:dyDescent="0.2">
      <c r="A5" s="163"/>
      <c r="B5" s="37" t="str">
        <f>DFIE!B56</f>
        <v>Spalte</v>
      </c>
      <c r="C5" s="38" t="s">
        <v>30</v>
      </c>
      <c r="D5" s="38" t="s">
        <v>31</v>
      </c>
      <c r="E5" s="38" t="s">
        <v>32</v>
      </c>
      <c r="F5" s="38" t="s">
        <v>44</v>
      </c>
      <c r="G5" s="126" t="s">
        <v>43</v>
      </c>
      <c r="H5" s="38" t="s">
        <v>33</v>
      </c>
      <c r="I5" s="124" t="s">
        <v>34</v>
      </c>
    </row>
    <row r="6" spans="1:9" ht="12" customHeight="1" x14ac:dyDescent="0.2">
      <c r="A6" s="163"/>
      <c r="B6" s="37" t="str">
        <f>DFIE!B57</f>
        <v>Formel</v>
      </c>
      <c r="C6" s="142"/>
      <c r="D6" s="142"/>
      <c r="E6" s="142"/>
      <c r="F6" s="78" t="s">
        <v>64</v>
      </c>
      <c r="G6" s="180"/>
      <c r="H6" s="78" t="s">
        <v>65</v>
      </c>
      <c r="I6" s="181" t="str">
        <f>DFIE!B154</f>
        <v>H / H[Schweiz] * 100</v>
      </c>
    </row>
    <row r="7" spans="1:9" ht="38.25" customHeight="1" x14ac:dyDescent="0.2">
      <c r="B7" s="63"/>
      <c r="C7" s="173" t="str">
        <f>DFIE!B147</f>
        <v>ASG 2013</v>
      </c>
      <c r="D7" s="174" t="str">
        <f>DFIE!B148</f>
        <v>ASG 2014</v>
      </c>
      <c r="E7" s="175" t="str">
        <f>DFIE!B149</f>
        <v>ASG 2015</v>
      </c>
      <c r="F7" s="187" t="str">
        <f>DFIE!B150</f>
        <v>Ressourcen-
potenzial</v>
      </c>
      <c r="G7" s="188" t="str">
        <f>DFIE!B151</f>
        <v>Massgebende
Wohnbevölkerung</v>
      </c>
      <c r="H7" s="60" t="str">
        <f>DFIE!B152</f>
        <v>Ressourcen-
potenzial pro
Einwohner</v>
      </c>
      <c r="I7" s="172" t="str">
        <f>DFIE!B153</f>
        <v>Ressourcen-
index</v>
      </c>
    </row>
    <row r="8" spans="1:9" ht="12.75" customHeight="1" x14ac:dyDescent="0.2">
      <c r="B8" s="37" t="str">
        <f>DFIE!B59</f>
        <v>Einheit</v>
      </c>
      <c r="C8" s="43" t="str">
        <f>DFIE!$B$61</f>
        <v>CHF 1'000</v>
      </c>
      <c r="D8" s="43" t="str">
        <f>DFIE!$B$61</f>
        <v>CHF 1'000</v>
      </c>
      <c r="E8" s="43" t="str">
        <f>DFIE!$B$61</f>
        <v>CHF 1'000</v>
      </c>
      <c r="F8" s="43" t="str">
        <f>DFIE!$B$61</f>
        <v>CHF 1'000</v>
      </c>
      <c r="G8" s="129" t="str">
        <f>DFIE!B62</f>
        <v>Anzahl</v>
      </c>
      <c r="H8" s="43" t="str">
        <f>DFIE!$B$60</f>
        <v>CHF</v>
      </c>
      <c r="I8" s="128" t="str">
        <f>DFIE!B63</f>
        <v>Punkte</v>
      </c>
    </row>
    <row r="9" spans="1:9" x14ac:dyDescent="0.2">
      <c r="B9" s="63" t="str">
        <f>DFIE!$B29</f>
        <v>Zürich</v>
      </c>
      <c r="C9" s="73">
        <f>ASG!H9</f>
        <v>55797098.856253758</v>
      </c>
      <c r="D9" s="73">
        <f>ASG!H37</f>
        <v>60041240.929057129</v>
      </c>
      <c r="E9" s="73">
        <f>ASG!H65</f>
        <v>60634596.173897542</v>
      </c>
      <c r="F9" s="73">
        <f>IF(DFIE!$G$2=2008,AVERAGE(D9:E9),AVERAGE(C9:E9))</f>
        <v>58824311.98640281</v>
      </c>
      <c r="G9" s="176">
        <f>BEV!F9</f>
        <v>1450187.1666666667</v>
      </c>
      <c r="H9" s="73">
        <f t="shared" ref="H9:H35" si="0">F9/G9*1000</f>
        <v>40563.255101487106</v>
      </c>
      <c r="I9" s="178">
        <f>IF(DFIE!$G$2&gt;2013,H9/$H$35*100,ROUND(H9/$H$35*100,1))</f>
        <v>120.50025231564906</v>
      </c>
    </row>
    <row r="10" spans="1:9" x14ac:dyDescent="0.2">
      <c r="B10" s="45" t="str">
        <f>DFIE!$B30</f>
        <v>Bern</v>
      </c>
      <c r="C10" s="155">
        <f>ASG!H10</f>
        <v>25342731.915718846</v>
      </c>
      <c r="D10" s="155">
        <f>ASG!H38</f>
        <v>25777981.384674855</v>
      </c>
      <c r="E10" s="155">
        <f>ASG!H66</f>
        <v>27268684.526091419</v>
      </c>
      <c r="F10" s="155">
        <f>IF(DFIE!$G$2=2008,AVERAGE(D10:E10),AVERAGE(C10:E10))</f>
        <v>26129799.275495041</v>
      </c>
      <c r="G10" s="182">
        <f>BEV!F10</f>
        <v>1013156.6666666666</v>
      </c>
      <c r="H10" s="155">
        <f t="shared" si="0"/>
        <v>25790.482494147047</v>
      </c>
      <c r="I10" s="183">
        <f>IF(DFIE!$G$2&gt;2013,H10/$H$35*100,ROUND(H10/$H$35*100,1))</f>
        <v>76.61514442348377</v>
      </c>
    </row>
    <row r="11" spans="1:9" x14ac:dyDescent="0.2">
      <c r="B11" s="63" t="str">
        <f>DFIE!$B31</f>
        <v>Luzern</v>
      </c>
      <c r="C11" s="73">
        <f>ASG!H11</f>
        <v>11685583.705474896</v>
      </c>
      <c r="D11" s="73">
        <f>ASG!H39</f>
        <v>11848306.097641347</v>
      </c>
      <c r="E11" s="73">
        <f>ASG!H67</f>
        <v>12024209.630195042</v>
      </c>
      <c r="F11" s="73">
        <f>IF(DFIE!$G$2=2008,AVERAGE(D11:E11),AVERAGE(C11:E11))</f>
        <v>11852699.811103761</v>
      </c>
      <c r="G11" s="176">
        <f>BEV!F11</f>
        <v>395831.66666666669</v>
      </c>
      <c r="H11" s="73">
        <f t="shared" si="0"/>
        <v>29943.788759793752</v>
      </c>
      <c r="I11" s="178">
        <f>IF(DFIE!$G$2&gt;2013,H11/$H$35*100,ROUND(H11/$H$35*100,1))</f>
        <v>88.953267971567712</v>
      </c>
    </row>
    <row r="12" spans="1:9" x14ac:dyDescent="0.2">
      <c r="B12" s="45" t="str">
        <f>DFIE!$B32</f>
        <v>Uri</v>
      </c>
      <c r="C12" s="155">
        <f>ASG!H12</f>
        <v>824504.02064652019</v>
      </c>
      <c r="D12" s="155">
        <f>ASG!H40</f>
        <v>842621.10585752211</v>
      </c>
      <c r="E12" s="155">
        <f>ASG!H68</f>
        <v>912058.49683600082</v>
      </c>
      <c r="F12" s="155">
        <f>IF(DFIE!$G$2=2008,AVERAGE(D12:E12),AVERAGE(C12:E12))</f>
        <v>859727.87444668112</v>
      </c>
      <c r="G12" s="182">
        <f>BEV!F12</f>
        <v>36425</v>
      </c>
      <c r="H12" s="155">
        <f t="shared" si="0"/>
        <v>23602.687012949376</v>
      </c>
      <c r="I12" s="183">
        <f>IF(DFIE!$G$2&gt;2013,H12/$H$35*100,ROUND(H12/$H$35*100,1))</f>
        <v>70.115914841445331</v>
      </c>
    </row>
    <row r="13" spans="1:9" x14ac:dyDescent="0.2">
      <c r="B13" s="63" t="str">
        <f>DFIE!$B33</f>
        <v>Schwyz</v>
      </c>
      <c r="C13" s="73">
        <f>ASG!H13</f>
        <v>8289890.7141318917</v>
      </c>
      <c r="D13" s="73">
        <f>ASG!H41</f>
        <v>9671275.0045864526</v>
      </c>
      <c r="E13" s="73">
        <f>ASG!H69</f>
        <v>8764002.2940073609</v>
      </c>
      <c r="F13" s="73">
        <f>IF(DFIE!$G$2=2008,AVERAGE(D13:E13),AVERAGE(C13:E13))</f>
        <v>8908389.3375752345</v>
      </c>
      <c r="G13" s="176">
        <f>BEV!F13</f>
        <v>153538.33333333334</v>
      </c>
      <c r="H13" s="73">
        <f t="shared" si="0"/>
        <v>58020.620285326579</v>
      </c>
      <c r="I13" s="178">
        <f>IF(DFIE!$G$2&gt;2013,H13/$H$35*100,ROUND(H13/$H$35*100,1))</f>
        <v>172.3604125556482</v>
      </c>
    </row>
    <row r="14" spans="1:9" x14ac:dyDescent="0.2">
      <c r="B14" s="45" t="str">
        <f>DFIE!$B34</f>
        <v>Obwalden</v>
      </c>
      <c r="C14" s="155">
        <f>ASG!H14</f>
        <v>1344203.8466420835</v>
      </c>
      <c r="D14" s="155">
        <f>ASG!H42</f>
        <v>1248388.1316285843</v>
      </c>
      <c r="E14" s="155">
        <f>ASG!H70</f>
        <v>1872065.2442701149</v>
      </c>
      <c r="F14" s="155">
        <f>IF(DFIE!$G$2=2008,AVERAGE(D14:E14),AVERAGE(C14:E14))</f>
        <v>1488219.074180261</v>
      </c>
      <c r="G14" s="182">
        <f>BEV!F14</f>
        <v>37045</v>
      </c>
      <c r="H14" s="155">
        <f t="shared" si="0"/>
        <v>40173.277748151195</v>
      </c>
      <c r="I14" s="183">
        <f>IF(DFIE!$G$2&gt;2013,H14/$H$35*100,ROUND(H14/$H$35*100,1))</f>
        <v>119.34175629858154</v>
      </c>
    </row>
    <row r="15" spans="1:9" x14ac:dyDescent="0.2">
      <c r="B15" s="63" t="str">
        <f>DFIE!$B35</f>
        <v>Nidwalden</v>
      </c>
      <c r="C15" s="73">
        <f>ASG!H15</f>
        <v>2180401.6142840437</v>
      </c>
      <c r="D15" s="73">
        <f>ASG!H43</f>
        <v>2441867.6465217313</v>
      </c>
      <c r="E15" s="73">
        <f>ASG!H71</f>
        <v>2197763.7350414619</v>
      </c>
      <c r="F15" s="73">
        <f>IF(DFIE!$G$2=2008,AVERAGE(D15:E15),AVERAGE(C15:E15))</f>
        <v>2273344.3319490789</v>
      </c>
      <c r="G15" s="176">
        <f>BEV!F15</f>
        <v>42343.666666666664</v>
      </c>
      <c r="H15" s="73">
        <f t="shared" si="0"/>
        <v>53687.942280602663</v>
      </c>
      <c r="I15" s="178">
        <f>IF(DFIE!$G$2&gt;2013,H15/$H$35*100,ROUND(H15/$H$35*100,1))</f>
        <v>159.48943384682772</v>
      </c>
    </row>
    <row r="16" spans="1:9" x14ac:dyDescent="0.2">
      <c r="B16" s="45" t="str">
        <f>DFIE!$B36</f>
        <v>Glarus</v>
      </c>
      <c r="C16" s="155">
        <f>ASG!H16</f>
        <v>989261.65286935191</v>
      </c>
      <c r="D16" s="155">
        <f>ASG!H44</f>
        <v>955797.17650318344</v>
      </c>
      <c r="E16" s="155">
        <f>ASG!H72</f>
        <v>951099.24639424135</v>
      </c>
      <c r="F16" s="155">
        <f>IF(DFIE!$G$2=2008,AVERAGE(D16:E16),AVERAGE(C16:E16))</f>
        <v>965386.02525559219</v>
      </c>
      <c r="G16" s="182">
        <f>BEV!F16</f>
        <v>40283.666666666664</v>
      </c>
      <c r="H16" s="155">
        <f t="shared" si="0"/>
        <v>23964.700960412218</v>
      </c>
      <c r="I16" s="183">
        <f>IF(DFIE!$G$2&gt;2013,H16/$H$35*100,ROUND(H16/$H$35*100,1))</f>
        <v>71.191340664691396</v>
      </c>
    </row>
    <row r="17" spans="2:9" x14ac:dyDescent="0.2">
      <c r="B17" s="63" t="str">
        <f>DFIE!$B37</f>
        <v>Zug</v>
      </c>
      <c r="C17" s="73">
        <f>ASG!H17</f>
        <v>9488467.3684386779</v>
      </c>
      <c r="D17" s="73">
        <f>ASG!H45</f>
        <v>9843313.6688387189</v>
      </c>
      <c r="E17" s="73">
        <f>ASG!H73</f>
        <v>10884470.321826506</v>
      </c>
      <c r="F17" s="73">
        <f>IF(DFIE!$G$2=2008,AVERAGE(D17:E17),AVERAGE(C17:E17))</f>
        <v>10072083.786367968</v>
      </c>
      <c r="G17" s="176">
        <f>BEV!F17</f>
        <v>120816.16666666667</v>
      </c>
      <c r="H17" s="73">
        <f t="shared" si="0"/>
        <v>83367.020029339066</v>
      </c>
      <c r="I17" s="178">
        <f>IF(DFIE!$G$2&gt;2013,H17/$H$35*100,ROUND(H17/$H$35*100,1))</f>
        <v>247.65633140647125</v>
      </c>
    </row>
    <row r="18" spans="2:9" x14ac:dyDescent="0.2">
      <c r="B18" s="45" t="str">
        <f>DFIE!$B38</f>
        <v>Freiburg</v>
      </c>
      <c r="C18" s="155">
        <f>ASG!H18</f>
        <v>7727575.8329335777</v>
      </c>
      <c r="D18" s="155">
        <f>ASG!H46</f>
        <v>8267021.8061363287</v>
      </c>
      <c r="E18" s="155">
        <f>ASG!H74</f>
        <v>8402270.8806087486</v>
      </c>
      <c r="F18" s="155">
        <f>IF(DFIE!$G$2=2008,AVERAGE(D18:E18),AVERAGE(C18:E18))</f>
        <v>8132289.5065595517</v>
      </c>
      <c r="G18" s="182">
        <f>BEV!F18</f>
        <v>302305</v>
      </c>
      <c r="H18" s="155">
        <f t="shared" si="0"/>
        <v>26900.942778186109</v>
      </c>
      <c r="I18" s="183">
        <f>IF(DFIE!$G$2&gt;2013,H18/$H$35*100,ROUND(H18/$H$35*100,1))</f>
        <v>79.913961150061226</v>
      </c>
    </row>
    <row r="19" spans="2:9" x14ac:dyDescent="0.2">
      <c r="B19" s="63" t="str">
        <f>DFIE!$B39</f>
        <v>Solothurn</v>
      </c>
      <c r="C19" s="73">
        <f>ASG!H19</f>
        <v>6304168.6617168263</v>
      </c>
      <c r="D19" s="73">
        <f>ASG!H47</f>
        <v>6609983.0591521934</v>
      </c>
      <c r="E19" s="73">
        <f>ASG!H75</f>
        <v>6600313.8599391161</v>
      </c>
      <c r="F19" s="73">
        <f>IF(DFIE!$G$2=2008,AVERAGE(D19:E19),AVERAGE(C19:E19))</f>
        <v>6504821.8602693789</v>
      </c>
      <c r="G19" s="176">
        <f>BEV!F19</f>
        <v>264772.83333333331</v>
      </c>
      <c r="H19" s="73">
        <f t="shared" si="0"/>
        <v>24567.557699849793</v>
      </c>
      <c r="I19" s="178">
        <f>IF(DFIE!$G$2&gt;2013,H19/$H$35*100,ROUND(H19/$H$35*100,1))</f>
        <v>72.982232175509864</v>
      </c>
    </row>
    <row r="20" spans="2:9" x14ac:dyDescent="0.2">
      <c r="B20" s="45" t="str">
        <f>DFIE!$B40</f>
        <v>Basel-Stadt</v>
      </c>
      <c r="C20" s="155">
        <f>ASG!H20</f>
        <v>9518310.5302471314</v>
      </c>
      <c r="D20" s="155">
        <f>ASG!H48</f>
        <v>9845385.4724332578</v>
      </c>
      <c r="E20" s="155">
        <f>ASG!H76</f>
        <v>9798925.030556431</v>
      </c>
      <c r="F20" s="155">
        <f>IF(DFIE!$G$2=2008,AVERAGE(D20:E20),AVERAGE(C20:E20))</f>
        <v>9720873.6777456086</v>
      </c>
      <c r="G20" s="182">
        <f>BEV!F20</f>
        <v>193219.83333333334</v>
      </c>
      <c r="H20" s="155">
        <f t="shared" si="0"/>
        <v>50309.91648241222</v>
      </c>
      <c r="I20" s="183">
        <f>IF(DFIE!$G$2&gt;2013,H20/$H$35*100,ROUND(H20/$H$35*100,1))</f>
        <v>149.45441668678237</v>
      </c>
    </row>
    <row r="21" spans="2:9" x14ac:dyDescent="0.2">
      <c r="B21" s="63" t="str">
        <f>DFIE!$B41</f>
        <v>Basel-Landschaft</v>
      </c>
      <c r="C21" s="73">
        <f>ASG!H21</f>
        <v>8909508.7729348335</v>
      </c>
      <c r="D21" s="73">
        <f>ASG!H49</f>
        <v>9183882.2318568397</v>
      </c>
      <c r="E21" s="73">
        <f>ASG!H77</f>
        <v>9418381.392227063</v>
      </c>
      <c r="F21" s="73">
        <f>IF(DFIE!$G$2=2008,AVERAGE(D21:E21),AVERAGE(C21:E21))</f>
        <v>9170590.799006246</v>
      </c>
      <c r="G21" s="176">
        <f>BEV!F21</f>
        <v>281425</v>
      </c>
      <c r="H21" s="73">
        <f t="shared" si="0"/>
        <v>32586.269162321209</v>
      </c>
      <c r="I21" s="178">
        <f>IF(DFIE!$G$2&gt;2013,H21/$H$35*100,ROUND(H21/$H$35*100,1))</f>
        <v>96.803218732349791</v>
      </c>
    </row>
    <row r="22" spans="2:9" x14ac:dyDescent="0.2">
      <c r="B22" s="45" t="str">
        <f>DFIE!$B42</f>
        <v>Schaffhausen</v>
      </c>
      <c r="C22" s="155">
        <f>ASG!H22</f>
        <v>2392234.0252988194</v>
      </c>
      <c r="D22" s="155">
        <f>ASG!H50</f>
        <v>2475289.030982458</v>
      </c>
      <c r="E22" s="155">
        <f>ASG!H78</f>
        <v>2532345.4074650565</v>
      </c>
      <c r="F22" s="155">
        <f>IF(DFIE!$G$2=2008,AVERAGE(D22:E22),AVERAGE(C22:E22))</f>
        <v>2466622.8212487781</v>
      </c>
      <c r="G22" s="182">
        <f>BEV!F22</f>
        <v>79925.666666666672</v>
      </c>
      <c r="H22" s="155">
        <f t="shared" si="0"/>
        <v>30861.460706182552</v>
      </c>
      <c r="I22" s="183">
        <f>IF(DFIE!$G$2&gt;2013,H22/$H$35*100,ROUND(H22/$H$35*100,1))</f>
        <v>91.679373181965119</v>
      </c>
    </row>
    <row r="23" spans="2:9" x14ac:dyDescent="0.2">
      <c r="B23" s="63" t="str">
        <f>DFIE!$B43</f>
        <v>Appenzell A.Rh.</v>
      </c>
      <c r="C23" s="73">
        <f>ASG!H23</f>
        <v>1517678.5821553273</v>
      </c>
      <c r="D23" s="73">
        <f>ASG!H51</f>
        <v>1578157.3318690327</v>
      </c>
      <c r="E23" s="73">
        <f>ASG!H79</f>
        <v>1569383.3085087333</v>
      </c>
      <c r="F23" s="73">
        <f>IF(DFIE!$G$2=2008,AVERAGE(D23:E23),AVERAGE(C23:E23))</f>
        <v>1555073.074177698</v>
      </c>
      <c r="G23" s="176">
        <f>BEV!F23</f>
        <v>54175.5</v>
      </c>
      <c r="H23" s="73">
        <f t="shared" si="0"/>
        <v>28704.360350669547</v>
      </c>
      <c r="I23" s="178">
        <f>IF(DFIE!$G$2&gt;2013,H23/$H$35*100,ROUND(H23/$H$35*100,1))</f>
        <v>85.271328845800298</v>
      </c>
    </row>
    <row r="24" spans="2:9" x14ac:dyDescent="0.2">
      <c r="B24" s="45" t="str">
        <f>DFIE!$B44</f>
        <v>Appenzell I.Rh.</v>
      </c>
      <c r="C24" s="155">
        <f>ASG!H24</f>
        <v>440857.32925473468</v>
      </c>
      <c r="D24" s="155">
        <f>ASG!H52</f>
        <v>464009.31452105823</v>
      </c>
      <c r="E24" s="155">
        <f>ASG!H80</f>
        <v>523143.65887478285</v>
      </c>
      <c r="F24" s="155">
        <f>IF(DFIE!$G$2=2008,AVERAGE(D24:E24),AVERAGE(C24:E24))</f>
        <v>476003.43421685859</v>
      </c>
      <c r="G24" s="182">
        <f>BEV!F24</f>
        <v>15915.5</v>
      </c>
      <c r="H24" s="155">
        <f t="shared" si="0"/>
        <v>29908.167146295033</v>
      </c>
      <c r="I24" s="183">
        <f>IF(DFIE!$G$2&gt;2013,H24/$H$35*100,ROUND(H24/$H$35*100,1))</f>
        <v>88.847447730964575</v>
      </c>
    </row>
    <row r="25" spans="2:9" x14ac:dyDescent="0.2">
      <c r="B25" s="63" t="str">
        <f>DFIE!$B45</f>
        <v>St. Gallen</v>
      </c>
      <c r="C25" s="73">
        <f>ASG!H25</f>
        <v>12799290.4415104</v>
      </c>
      <c r="D25" s="73">
        <f>ASG!H53</f>
        <v>13315626.415129308</v>
      </c>
      <c r="E25" s="73">
        <f>ASG!H81</f>
        <v>13468120.364159117</v>
      </c>
      <c r="F25" s="73">
        <f>IF(DFIE!$G$2=2008,AVERAGE(D25:E25),AVERAGE(C25:E25))</f>
        <v>13194345.740266273</v>
      </c>
      <c r="G25" s="176">
        <f>BEV!F25</f>
        <v>497213</v>
      </c>
      <c r="H25" s="73">
        <f t="shared" si="0"/>
        <v>26536.606525304593</v>
      </c>
      <c r="I25" s="178">
        <f>IF(DFIE!$G$2&gt;2013,H25/$H$35*100,ROUND(H25/$H$35*100,1))</f>
        <v>78.831636511909807</v>
      </c>
    </row>
    <row r="26" spans="2:9" x14ac:dyDescent="0.2">
      <c r="B26" s="45" t="str">
        <f>DFIE!$B46</f>
        <v>Graubünden</v>
      </c>
      <c r="C26" s="155">
        <f>ASG!H26</f>
        <v>5573320.8675906602</v>
      </c>
      <c r="D26" s="155">
        <f>ASG!H54</f>
        <v>5735348.5302984873</v>
      </c>
      <c r="E26" s="155">
        <f>ASG!H82</f>
        <v>5828729.0677761761</v>
      </c>
      <c r="F26" s="155">
        <f>IF(DFIE!$G$2=2008,AVERAGE(D26:E26),AVERAGE(C26:E26))</f>
        <v>5712466.1552217752</v>
      </c>
      <c r="G26" s="182">
        <f>BEV!F26</f>
        <v>203695.5</v>
      </c>
      <c r="H26" s="155">
        <f t="shared" si="0"/>
        <v>28044.145085295331</v>
      </c>
      <c r="I26" s="183">
        <f>IF(DFIE!$G$2&gt;2013,H26/$H$35*100,ROUND(H26/$H$35*100,1))</f>
        <v>83.310043789628381</v>
      </c>
    </row>
    <row r="27" spans="2:9" x14ac:dyDescent="0.2">
      <c r="B27" s="63" t="str">
        <f>DFIE!$B47</f>
        <v>Aargau</v>
      </c>
      <c r="C27" s="73">
        <f>ASG!H27</f>
        <v>18092547.028502382</v>
      </c>
      <c r="D27" s="73">
        <f>ASG!H55</f>
        <v>18310666.077957932</v>
      </c>
      <c r="E27" s="73">
        <f>ASG!H83</f>
        <v>18306719.309064846</v>
      </c>
      <c r="F27" s="73">
        <f>IF(DFIE!$G$2=2008,AVERAGE(D27:E27),AVERAGE(C27:E27))</f>
        <v>18236644.138508391</v>
      </c>
      <c r="G27" s="176">
        <f>BEV!F27</f>
        <v>646230.5</v>
      </c>
      <c r="H27" s="73">
        <f t="shared" si="0"/>
        <v>28220.030064363087</v>
      </c>
      <c r="I27" s="178">
        <f>IF(DFIE!$G$2&gt;2013,H27/$H$35*100,ROUND(H27/$H$35*100,1))</f>
        <v>83.832540919189853</v>
      </c>
    </row>
    <row r="28" spans="2:9" x14ac:dyDescent="0.2">
      <c r="B28" s="45" t="str">
        <f>DFIE!$B48</f>
        <v>Thurgau</v>
      </c>
      <c r="C28" s="155">
        <f>ASG!H28</f>
        <v>6926667.3668624116</v>
      </c>
      <c r="D28" s="155">
        <f>ASG!H56</f>
        <v>6908833.0370322149</v>
      </c>
      <c r="E28" s="155">
        <f>ASG!H84</f>
        <v>7080685.471819222</v>
      </c>
      <c r="F28" s="155">
        <f>IF(DFIE!$G$2=2008,AVERAGE(D28:E28),AVERAGE(C28:E28))</f>
        <v>6972061.9585712822</v>
      </c>
      <c r="G28" s="182">
        <f>BEV!F28</f>
        <v>264242</v>
      </c>
      <c r="H28" s="155">
        <f t="shared" si="0"/>
        <v>26385.139223027691</v>
      </c>
      <c r="I28" s="183">
        <f>IF(DFIE!$G$2&gt;2013,H28/$H$35*100,ROUND(H28/$H$35*100,1))</f>
        <v>78.381676367037997</v>
      </c>
    </row>
    <row r="29" spans="2:9" x14ac:dyDescent="0.2">
      <c r="B29" s="63" t="str">
        <f>DFIE!$B49</f>
        <v>Tessin</v>
      </c>
      <c r="C29" s="73">
        <f>ASG!H29</f>
        <v>11237325.101528101</v>
      </c>
      <c r="D29" s="73">
        <f>ASG!H57</f>
        <v>11437312.380368415</v>
      </c>
      <c r="E29" s="73">
        <f>ASG!H85</f>
        <v>11703170.842455439</v>
      </c>
      <c r="F29" s="73">
        <f>IF(DFIE!$G$2=2008,AVERAGE(D29:E29),AVERAGE(C29:E29))</f>
        <v>11459269.44145065</v>
      </c>
      <c r="G29" s="176">
        <f>BEV!F29</f>
        <v>350414.33333333331</v>
      </c>
      <c r="H29" s="73">
        <f t="shared" si="0"/>
        <v>32702.0568263969</v>
      </c>
      <c r="I29" s="178">
        <f>IF(DFIE!$G$2&gt;2013,H29/$H$35*100,ROUND(H29/$H$35*100,1))</f>
        <v>97.147186264078996</v>
      </c>
    </row>
    <row r="30" spans="2:9" x14ac:dyDescent="0.2">
      <c r="B30" s="45" t="str">
        <f>DFIE!$B50</f>
        <v>Waadt</v>
      </c>
      <c r="C30" s="155">
        <f>ASG!H30</f>
        <v>24472698.465872314</v>
      </c>
      <c r="D30" s="155">
        <f>ASG!H58</f>
        <v>25399773.363290809</v>
      </c>
      <c r="E30" s="155">
        <f>ASG!H86</f>
        <v>27072815.945804559</v>
      </c>
      <c r="F30" s="155">
        <f>IF(DFIE!$G$2=2008,AVERAGE(D30:E30),AVERAGE(C30:E30))</f>
        <v>25648429.258322556</v>
      </c>
      <c r="G30" s="182">
        <f>BEV!F30</f>
        <v>764900.33333333337</v>
      </c>
      <c r="H30" s="155">
        <f t="shared" si="0"/>
        <v>33531.727129141298</v>
      </c>
      <c r="I30" s="183">
        <f>IF(DFIE!$G$2&gt;2013,H30/$H$35*100,ROUND(H30/$H$35*100,1))</f>
        <v>99.611867182051867</v>
      </c>
    </row>
    <row r="31" spans="2:9" x14ac:dyDescent="0.2">
      <c r="B31" s="63" t="str">
        <f>DFIE!$B51</f>
        <v>Wallis</v>
      </c>
      <c r="C31" s="73">
        <f>ASG!H31</f>
        <v>7468210.6633037794</v>
      </c>
      <c r="D31" s="73">
        <f>ASG!H59</f>
        <v>7485636.2806302439</v>
      </c>
      <c r="E31" s="73">
        <f>ASG!H87</f>
        <v>7574762.8230151748</v>
      </c>
      <c r="F31" s="73">
        <f>IF(DFIE!$G$2=2008,AVERAGE(D31:E31),AVERAGE(C31:E31))</f>
        <v>7509536.5889830664</v>
      </c>
      <c r="G31" s="176">
        <f>BEV!F31</f>
        <v>337516.66666666669</v>
      </c>
      <c r="H31" s="73">
        <f t="shared" si="0"/>
        <v>22249.380047354894</v>
      </c>
      <c r="I31" s="178">
        <f>IF(DFIE!$G$2&gt;2013,H31/$H$35*100,ROUND(H31/$H$35*100,1))</f>
        <v>66.095679522394676</v>
      </c>
    </row>
    <row r="32" spans="2:9" x14ac:dyDescent="0.2">
      <c r="B32" s="45" t="str">
        <f>DFIE!$B52</f>
        <v>Neuenburg</v>
      </c>
      <c r="C32" s="155">
        <f>ASG!H32</f>
        <v>6159606.2978431489</v>
      </c>
      <c r="D32" s="155">
        <f>ASG!H60</f>
        <v>5084445.8201226825</v>
      </c>
      <c r="E32" s="155">
        <f>ASG!H88</f>
        <v>5051114.4093107078</v>
      </c>
      <c r="F32" s="155">
        <f>IF(DFIE!$G$2=2008,AVERAGE(D32:E32),AVERAGE(C32:E32))</f>
        <v>5431722.175758847</v>
      </c>
      <c r="G32" s="182">
        <f>BEV!F32</f>
        <v>178204</v>
      </c>
      <c r="H32" s="155">
        <f t="shared" si="0"/>
        <v>30480.360574166949</v>
      </c>
      <c r="I32" s="183">
        <f>IF(DFIE!$G$2&gt;2013,H32/$H$35*100,ROUND(H32/$H$35*100,1))</f>
        <v>90.547248505320923</v>
      </c>
    </row>
    <row r="33" spans="1:9" x14ac:dyDescent="0.2">
      <c r="B33" s="63" t="str">
        <f>DFIE!$B53</f>
        <v>Genf</v>
      </c>
      <c r="C33" s="73">
        <f>ASG!H33</f>
        <v>21980052.922005545</v>
      </c>
      <c r="D33" s="73">
        <f>ASG!H61</f>
        <v>24635562.430806961</v>
      </c>
      <c r="E33" s="73">
        <f>ASG!H89</f>
        <v>23439804.368577152</v>
      </c>
      <c r="F33" s="73">
        <f>IF(DFIE!$G$2=2008,AVERAGE(D33:E33),AVERAGE(C33:E33))</f>
        <v>23351806.573796552</v>
      </c>
      <c r="G33" s="176">
        <f>BEV!F33</f>
        <v>477338</v>
      </c>
      <c r="H33" s="73">
        <f t="shared" si="0"/>
        <v>48920.904210007488</v>
      </c>
      <c r="I33" s="178">
        <f>IF(DFIE!$G$2&gt;2013,H33/$H$35*100,ROUND(H33/$H$35*100,1))</f>
        <v>145.32811250149109</v>
      </c>
    </row>
    <row r="34" spans="1:9" x14ac:dyDescent="0.2">
      <c r="B34" s="45" t="str">
        <f>DFIE!$B54</f>
        <v>Jura</v>
      </c>
      <c r="C34" s="155">
        <f>ASG!H34</f>
        <v>1548959.479763835</v>
      </c>
      <c r="D34" s="155">
        <f>ASG!H62</f>
        <v>1632250.2206549936</v>
      </c>
      <c r="E34" s="155">
        <f>ASG!H90</f>
        <v>1587982.6075927068</v>
      </c>
      <c r="F34" s="155">
        <f>IF(DFIE!$G$2=2008,AVERAGE(D34:E34),AVERAGE(C34:E34))</f>
        <v>1589730.7693371784</v>
      </c>
      <c r="G34" s="182">
        <f>BEV!F34</f>
        <v>72394.833333333328</v>
      </c>
      <c r="H34" s="155">
        <f t="shared" si="0"/>
        <v>21959.174379440225</v>
      </c>
      <c r="I34" s="183">
        <f>IF(DFIE!$G$2&gt;2013,H34/$H$35*100,ROUND(H34/$H$35*100,1))</f>
        <v>65.233572767903297</v>
      </c>
    </row>
    <row r="35" spans="1:9" x14ac:dyDescent="0.2">
      <c r="A35" s="34"/>
      <c r="B35" s="28" t="str">
        <f>DFIE!$B55</f>
        <v>Schweiz</v>
      </c>
      <c r="C35" s="32">
        <f>SUM(C9:C34)</f>
        <v>269011156.06378388</v>
      </c>
      <c r="D35" s="32">
        <f>SUM(D9:D34)</f>
        <v>281039973.94855273</v>
      </c>
      <c r="E35" s="32">
        <f>SUM(E9:E34)</f>
        <v>285467618.41631472</v>
      </c>
      <c r="F35" s="32">
        <f>SUM(F9:F34)</f>
        <v>278506249.47621709</v>
      </c>
      <c r="G35" s="177">
        <f>SUM(G9:G34)</f>
        <v>8273515.833333333</v>
      </c>
      <c r="H35" s="32">
        <f t="shared" si="0"/>
        <v>33662.381880522633</v>
      </c>
      <c r="I35" s="179">
        <v>100</v>
      </c>
    </row>
    <row r="36" spans="1:9" ht="10.5" customHeight="1" x14ac:dyDescent="0.2">
      <c r="C36" s="184"/>
      <c r="D36" s="185"/>
      <c r="E36" s="186"/>
    </row>
  </sheetData>
  <conditionalFormatting sqref="C9:F34">
    <cfRule type="expression" dxfId="9" priority="2" stopIfTrue="1">
      <formula>ISBLANK(C9)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I36"/>
  <sheetViews>
    <sheetView showGridLines="0" workbookViewId="0">
      <selection activeCell="A114" sqref="A114"/>
    </sheetView>
  </sheetViews>
  <sheetFormatPr baseColWidth="10" defaultColWidth="9.140625" defaultRowHeight="12.75" x14ac:dyDescent="0.2"/>
  <cols>
    <col min="1" max="1" width="1.42578125" customWidth="1"/>
    <col min="2" max="2" width="16.7109375" customWidth="1"/>
    <col min="3" max="9" width="14.7109375" customWidth="1"/>
  </cols>
  <sheetData>
    <row r="1" spans="1:9" ht="18" customHeight="1" x14ac:dyDescent="0.2">
      <c r="B1" s="123" t="str">
        <f>DFIE!B155</f>
        <v>Wachstumsraten der Ressourcenpotenziale 2019</v>
      </c>
      <c r="C1" s="165"/>
      <c r="D1" s="165"/>
      <c r="E1" s="162"/>
      <c r="F1" s="169"/>
      <c r="G1" s="52"/>
      <c r="H1" s="52"/>
      <c r="I1" s="52"/>
    </row>
    <row r="2" spans="1:9" ht="12.75" customHeight="1" x14ac:dyDescent="0.2">
      <c r="A2" s="166"/>
      <c r="B2" s="52"/>
      <c r="C2" s="166"/>
      <c r="D2" s="166"/>
      <c r="E2" s="167"/>
      <c r="F2" s="168"/>
    </row>
    <row r="3" spans="1:9" ht="0.75" customHeight="1" x14ac:dyDescent="0.2">
      <c r="A3" s="166"/>
      <c r="B3" s="52"/>
      <c r="C3" s="166"/>
      <c r="D3" s="166"/>
      <c r="E3" s="166"/>
      <c r="F3" s="166"/>
      <c r="G3" s="166"/>
      <c r="H3" s="167"/>
      <c r="I3" s="52"/>
    </row>
    <row r="4" spans="1:9" ht="0.75" customHeight="1" x14ac:dyDescent="0.2">
      <c r="A4" s="166"/>
      <c r="B4" s="52"/>
      <c r="C4" s="166"/>
      <c r="D4" s="166"/>
      <c r="E4" s="166"/>
      <c r="F4" s="166"/>
      <c r="G4" s="166"/>
      <c r="H4" s="167"/>
      <c r="I4" s="52"/>
    </row>
    <row r="5" spans="1:9" ht="12" customHeight="1" x14ac:dyDescent="0.2">
      <c r="A5" s="13"/>
      <c r="B5" s="37" t="str">
        <f>DFIE!B56</f>
        <v>Spalte</v>
      </c>
      <c r="C5" s="38" t="s">
        <v>30</v>
      </c>
      <c r="D5" s="126" t="s">
        <v>31</v>
      </c>
      <c r="E5" s="38" t="s">
        <v>32</v>
      </c>
      <c r="F5" s="124" t="s">
        <v>44</v>
      </c>
      <c r="G5" s="38" t="s">
        <v>43</v>
      </c>
      <c r="H5" s="38" t="s">
        <v>33</v>
      </c>
      <c r="I5" s="124" t="s">
        <v>34</v>
      </c>
    </row>
    <row r="6" spans="1:9" ht="30.75" customHeight="1" x14ac:dyDescent="0.2">
      <c r="A6" s="52"/>
      <c r="B6" s="63"/>
      <c r="C6" s="374" t="str">
        <f>DFIE!B156</f>
        <v>Ressourcen-index 2019</v>
      </c>
      <c r="D6" s="375" t="str">
        <f>DFIE!B157</f>
        <v>Ressourcenpotenzial aller Kantone</v>
      </c>
      <c r="E6" s="376"/>
      <c r="F6" s="377"/>
      <c r="G6" s="376" t="str">
        <f>DFIE!B158</f>
        <v>Ressourcenpotenzial
der ressourcenstarken Kantone</v>
      </c>
      <c r="H6" s="376"/>
      <c r="I6" s="377"/>
    </row>
    <row r="7" spans="1:9" ht="15.75" customHeight="1" x14ac:dyDescent="0.2">
      <c r="A7" s="52"/>
      <c r="B7" s="63"/>
      <c r="C7" s="374"/>
      <c r="D7" s="193">
        <f>DFIE!$G$2-1</f>
        <v>2018</v>
      </c>
      <c r="E7" s="190">
        <f>DFIE!$G$2</f>
        <v>2019</v>
      </c>
      <c r="F7" s="191" t="str">
        <f>DFIE!$B$159</f>
        <v>Veränderung</v>
      </c>
      <c r="G7" s="190">
        <f>D7</f>
        <v>2018</v>
      </c>
      <c r="H7" s="190">
        <f>E7</f>
        <v>2019</v>
      </c>
      <c r="I7" s="191" t="str">
        <f>DFIE!$B$159</f>
        <v>Veränderung</v>
      </c>
    </row>
    <row r="8" spans="1:9" ht="12.75" customHeight="1" x14ac:dyDescent="0.2">
      <c r="B8" s="37" t="str">
        <f>DFIE!B59</f>
        <v>Einheit</v>
      </c>
      <c r="C8" s="200" t="str">
        <f>DFIE!B63</f>
        <v>Punkte</v>
      </c>
      <c r="D8" s="129" t="str">
        <f>DFIE!$B$61</f>
        <v>CHF 1'000</v>
      </c>
      <c r="E8" s="43" t="str">
        <f>DFIE!$B$61</f>
        <v>CHF 1'000</v>
      </c>
      <c r="F8" s="128" t="str">
        <f>DFIE!B64</f>
        <v>Prozent</v>
      </c>
      <c r="G8" s="43" t="str">
        <f>DFIE!$B$61</f>
        <v>CHF 1'000</v>
      </c>
      <c r="H8" s="43" t="str">
        <f>DFIE!$B$61</f>
        <v>CHF 1'000</v>
      </c>
      <c r="I8" s="201" t="str">
        <f>DFIE!B64</f>
        <v>Prozent</v>
      </c>
    </row>
    <row r="9" spans="1:9" x14ac:dyDescent="0.2">
      <c r="B9" s="63" t="str">
        <f>DFIE!$B29</f>
        <v>Zürich</v>
      </c>
      <c r="C9" s="151">
        <f>RP!I9</f>
        <v>120.50025231564906</v>
      </c>
      <c r="D9" s="194">
        <v>56708053.826370001</v>
      </c>
      <c r="E9" s="196">
        <f>RP!F9</f>
        <v>58824311.98640281</v>
      </c>
      <c r="F9" s="197">
        <f>IF(DFIE!$G$2=2008,"",E9/D9-1)</f>
        <v>3.7318476252287125E-2</v>
      </c>
      <c r="G9" s="73">
        <f>IF(DFIE!$G$2=2008,"",IF($C9&gt;100,D9,""))</f>
        <v>56708053.826370001</v>
      </c>
      <c r="H9" s="73">
        <f t="shared" ref="H9:H34" si="0">IF($C9&gt;100,E9,"")</f>
        <v>58824311.98640281</v>
      </c>
      <c r="I9" s="197">
        <f>IF(DFIE!$G$2=2008,"",IF(C9&gt;=100,H9/G9-1,""))</f>
        <v>3.7318476252287125E-2</v>
      </c>
    </row>
    <row r="10" spans="1:9" x14ac:dyDescent="0.2">
      <c r="B10" s="45" t="str">
        <f>DFIE!$B30</f>
        <v>Bern</v>
      </c>
      <c r="C10" s="156">
        <f>RP!I10</f>
        <v>76.61514442348377</v>
      </c>
      <c r="D10" s="202">
        <v>24898074.107366499</v>
      </c>
      <c r="E10" s="203">
        <f>RP!F10</f>
        <v>26129799.275495041</v>
      </c>
      <c r="F10" s="204">
        <f>IF(DFIE!$G$2=2008,"",E10/D10-1)</f>
        <v>4.9470700537601608E-2</v>
      </c>
      <c r="G10" s="155" t="str">
        <f>IF(DFIE!$G$2=2008,"",IF($C10&gt;100,D10,""))</f>
        <v/>
      </c>
      <c r="H10" s="155" t="str">
        <f t="shared" si="0"/>
        <v/>
      </c>
      <c r="I10" s="204" t="str">
        <f>IF(DFIE!$G$2=2008,"",IF(C10&gt;=100,H10/G10-1,""))</f>
        <v/>
      </c>
    </row>
    <row r="11" spans="1:9" x14ac:dyDescent="0.2">
      <c r="B11" s="63" t="str">
        <f>DFIE!$B31</f>
        <v>Luzern</v>
      </c>
      <c r="C11" s="151">
        <f>RP!I11</f>
        <v>88.953267971567712</v>
      </c>
      <c r="D11" s="194">
        <v>11537456.116574001</v>
      </c>
      <c r="E11" s="196">
        <f>RP!F11</f>
        <v>11852699.811103761</v>
      </c>
      <c r="F11" s="197">
        <f>IF(DFIE!$G$2=2008,"",E11/D11-1)</f>
        <v>2.7323501068567513E-2</v>
      </c>
      <c r="G11" s="73" t="str">
        <f>IF(DFIE!$G$2=2008,"",IF($C11&gt;100,D11,""))</f>
        <v/>
      </c>
      <c r="H11" s="73" t="str">
        <f t="shared" si="0"/>
        <v/>
      </c>
      <c r="I11" s="197" t="str">
        <f>IF(DFIE!$G$2=2008,"",IF(C11&gt;=100,H11/G11-1,""))</f>
        <v/>
      </c>
    </row>
    <row r="12" spans="1:9" x14ac:dyDescent="0.2">
      <c r="B12" s="45" t="str">
        <f>DFIE!$B32</f>
        <v>Uri</v>
      </c>
      <c r="C12" s="156">
        <f>RP!I12</f>
        <v>70.115914841445331</v>
      </c>
      <c r="D12" s="202">
        <v>813674.44636465702</v>
      </c>
      <c r="E12" s="203">
        <f>RP!F12</f>
        <v>859727.87444668112</v>
      </c>
      <c r="F12" s="204">
        <f>IF(DFIE!$G$2=2008,"",E12/D12-1)</f>
        <v>5.6599329483409511E-2</v>
      </c>
      <c r="G12" s="155" t="str">
        <f>IF(DFIE!$G$2=2008,"",IF($C12&gt;100,D12,""))</f>
        <v/>
      </c>
      <c r="H12" s="155" t="str">
        <f t="shared" si="0"/>
        <v/>
      </c>
      <c r="I12" s="204" t="str">
        <f>IF(DFIE!$G$2=2008,"",IF(C12&gt;=100,H12/G12-1,""))</f>
        <v/>
      </c>
    </row>
    <row r="13" spans="1:9" x14ac:dyDescent="0.2">
      <c r="B13" s="63" t="str">
        <f>DFIE!$B33</f>
        <v>Schwyz</v>
      </c>
      <c r="C13" s="151">
        <f>RP!I13</f>
        <v>172.3604125556482</v>
      </c>
      <c r="D13" s="194">
        <v>8621432.4809894897</v>
      </c>
      <c r="E13" s="196">
        <f>RP!F13</f>
        <v>8908389.3375752345</v>
      </c>
      <c r="F13" s="197">
        <f>IF(DFIE!$G$2=2008,"",E13/D13-1)</f>
        <v>3.3284127344092029E-2</v>
      </c>
      <c r="G13" s="73">
        <f>IF(DFIE!$G$2=2008,"",IF($C13&gt;100,D13,""))</f>
        <v>8621432.4809894897</v>
      </c>
      <c r="H13" s="73">
        <f t="shared" si="0"/>
        <v>8908389.3375752345</v>
      </c>
      <c r="I13" s="197">
        <f>IF(DFIE!$G$2=2008,"",IF(C13&gt;=100,H13/G13-1,""))</f>
        <v>3.3284127344092029E-2</v>
      </c>
    </row>
    <row r="14" spans="1:9" x14ac:dyDescent="0.2">
      <c r="B14" s="45" t="str">
        <f>DFIE!$B34</f>
        <v>Obwalden</v>
      </c>
      <c r="C14" s="156">
        <f>RP!I14</f>
        <v>119.34175629858154</v>
      </c>
      <c r="D14" s="202">
        <v>1239751.0413346901</v>
      </c>
      <c r="E14" s="203">
        <f>RP!F14</f>
        <v>1488219.074180261</v>
      </c>
      <c r="F14" s="204">
        <f>IF(DFIE!$G$2=2008,"",E14/D14-1)</f>
        <v>0.2004176843264236</v>
      </c>
      <c r="G14" s="155">
        <f>IF(DFIE!$G$2=2008,"",IF($C14&gt;100,D14,""))</f>
        <v>1239751.0413346901</v>
      </c>
      <c r="H14" s="155">
        <f t="shared" si="0"/>
        <v>1488219.074180261</v>
      </c>
      <c r="I14" s="204">
        <f>IF(DFIE!$G$2=2008,"",IF(C14&gt;=100,H14/G14-1,""))</f>
        <v>0.2004176843264236</v>
      </c>
    </row>
    <row r="15" spans="1:9" x14ac:dyDescent="0.2">
      <c r="B15" s="63" t="str">
        <f>DFIE!$B35</f>
        <v>Nidwalden</v>
      </c>
      <c r="C15" s="151">
        <f>RP!I15</f>
        <v>159.48943384682772</v>
      </c>
      <c r="D15" s="194">
        <v>2213982.08865277</v>
      </c>
      <c r="E15" s="196">
        <f>RP!F15</f>
        <v>2273344.3319490789</v>
      </c>
      <c r="F15" s="197">
        <f>IF(DFIE!$G$2=2008,"",E15/D15-1)</f>
        <v>2.6812431591274333E-2</v>
      </c>
      <c r="G15" s="73">
        <f>IF(DFIE!$G$2=2008,"",IF($C15&gt;100,D15,""))</f>
        <v>2213982.08865277</v>
      </c>
      <c r="H15" s="73">
        <f t="shared" si="0"/>
        <v>2273344.3319490789</v>
      </c>
      <c r="I15" s="197">
        <f>IF(DFIE!$G$2=2008,"",IF(C15&gt;=100,H15/G15-1,""))</f>
        <v>2.6812431591274333E-2</v>
      </c>
    </row>
    <row r="16" spans="1:9" x14ac:dyDescent="0.2">
      <c r="B16" s="45" t="str">
        <f>DFIE!$B36</f>
        <v>Glarus</v>
      </c>
      <c r="C16" s="156">
        <f>RP!I16</f>
        <v>71.191340664691396</v>
      </c>
      <c r="D16" s="202">
        <v>940718.60953171295</v>
      </c>
      <c r="E16" s="203">
        <f>RP!F16</f>
        <v>965386.02525559219</v>
      </c>
      <c r="F16" s="204">
        <f>IF(DFIE!$G$2=2008,"",E16/D16-1)</f>
        <v>2.6221885560612668E-2</v>
      </c>
      <c r="G16" s="155" t="str">
        <f>IF(DFIE!$G$2=2008,"",IF($C16&gt;100,D16,""))</f>
        <v/>
      </c>
      <c r="H16" s="155" t="str">
        <f t="shared" si="0"/>
        <v/>
      </c>
      <c r="I16" s="204" t="str">
        <f>IF(DFIE!$G$2=2008,"",IF(C16&gt;=100,H16/G16-1,""))</f>
        <v/>
      </c>
    </row>
    <row r="17" spans="2:9" x14ac:dyDescent="0.2">
      <c r="B17" s="63" t="str">
        <f>DFIE!$B37</f>
        <v>Zug</v>
      </c>
      <c r="C17" s="151">
        <f>RP!I17</f>
        <v>247.65633140647125</v>
      </c>
      <c r="D17" s="194">
        <v>9572875.6583641991</v>
      </c>
      <c r="E17" s="196">
        <f>RP!F17</f>
        <v>10072083.786367968</v>
      </c>
      <c r="F17" s="197">
        <f>IF(DFIE!$G$2=2008,"",E17/D17-1)</f>
        <v>5.2148188884871827E-2</v>
      </c>
      <c r="G17" s="73">
        <f>IF(DFIE!$G$2=2008,"",IF($C17&gt;100,D17,""))</f>
        <v>9572875.6583641991</v>
      </c>
      <c r="H17" s="73">
        <f t="shared" si="0"/>
        <v>10072083.786367968</v>
      </c>
      <c r="I17" s="197">
        <f>IF(DFIE!$G$2=2008,"",IF(C17&gt;=100,H17/G17-1,""))</f>
        <v>5.2148188884871827E-2</v>
      </c>
    </row>
    <row r="18" spans="2:9" x14ac:dyDescent="0.2">
      <c r="B18" s="45" t="str">
        <f>DFIE!$B38</f>
        <v>Freiburg</v>
      </c>
      <c r="C18" s="156">
        <f>RP!I18</f>
        <v>79.913961150061226</v>
      </c>
      <c r="D18" s="202">
        <v>7771684.2930405196</v>
      </c>
      <c r="E18" s="203">
        <f>RP!F18</f>
        <v>8132289.5065595517</v>
      </c>
      <c r="F18" s="204">
        <f>IF(DFIE!$G$2=2008,"",E18/D18-1)</f>
        <v>4.6399879346868289E-2</v>
      </c>
      <c r="G18" s="155" t="str">
        <f>IF(DFIE!$G$2=2008,"",IF($C18&gt;100,D18,""))</f>
        <v/>
      </c>
      <c r="H18" s="155" t="str">
        <f t="shared" si="0"/>
        <v/>
      </c>
      <c r="I18" s="204" t="str">
        <f>IF(DFIE!$G$2=2008,"",IF(C18&gt;=100,H18/G18-1,""))</f>
        <v/>
      </c>
    </row>
    <row r="19" spans="2:9" x14ac:dyDescent="0.2">
      <c r="B19" s="63" t="str">
        <f>DFIE!$B39</f>
        <v>Solothurn</v>
      </c>
      <c r="C19" s="151">
        <f>RP!I19</f>
        <v>72.982232175509864</v>
      </c>
      <c r="D19" s="194">
        <v>6449332.61953854</v>
      </c>
      <c r="E19" s="196">
        <f>RP!F19</f>
        <v>6504821.8602693789</v>
      </c>
      <c r="F19" s="197">
        <f>IF(DFIE!$G$2=2008,"",E19/D19-1)</f>
        <v>8.6038733004298873E-3</v>
      </c>
      <c r="G19" s="73" t="str">
        <f>IF(DFIE!$G$2=2008,"",IF($C19&gt;100,D19,""))</f>
        <v/>
      </c>
      <c r="H19" s="73" t="str">
        <f t="shared" si="0"/>
        <v/>
      </c>
      <c r="I19" s="197" t="str">
        <f>IF(DFIE!$G$2=2008,"",IF(C19&gt;=100,H19/G19-1,""))</f>
        <v/>
      </c>
    </row>
    <row r="20" spans="2:9" x14ac:dyDescent="0.2">
      <c r="B20" s="45" t="str">
        <f>DFIE!$B40</f>
        <v>Basel-Stadt</v>
      </c>
      <c r="C20" s="156">
        <f>RP!I20</f>
        <v>149.45441668678237</v>
      </c>
      <c r="D20" s="202">
        <v>9458189.1857247595</v>
      </c>
      <c r="E20" s="203">
        <f>RP!F20</f>
        <v>9720873.6777456086</v>
      </c>
      <c r="F20" s="204">
        <f>IF(DFIE!$G$2=2008,"",E20/D20-1)</f>
        <v>2.777323300080714E-2</v>
      </c>
      <c r="G20" s="155">
        <f>IF(DFIE!$G$2=2008,"",IF($C20&gt;100,D20,""))</f>
        <v>9458189.1857247595</v>
      </c>
      <c r="H20" s="155">
        <f t="shared" si="0"/>
        <v>9720873.6777456086</v>
      </c>
      <c r="I20" s="204">
        <f>IF(DFIE!$G$2=2008,"",IF(C20&gt;=100,H20/G20-1,""))</f>
        <v>2.777323300080714E-2</v>
      </c>
    </row>
    <row r="21" spans="2:9" x14ac:dyDescent="0.2">
      <c r="B21" s="63" t="str">
        <f>DFIE!$B41</f>
        <v>Basel-Landschaft</v>
      </c>
      <c r="C21" s="151">
        <f>RP!I21</f>
        <v>96.803218732349791</v>
      </c>
      <c r="D21" s="194">
        <v>8883519.3359116204</v>
      </c>
      <c r="E21" s="196">
        <f>RP!F21</f>
        <v>9170590.799006246</v>
      </c>
      <c r="F21" s="197">
        <f>IF(DFIE!$G$2=2008,"",E21/D21-1)</f>
        <v>3.2315060308828247E-2</v>
      </c>
      <c r="G21" s="73" t="str">
        <f>IF(DFIE!$G$2=2008,"",IF($C21&gt;100,D21,""))</f>
        <v/>
      </c>
      <c r="H21" s="73" t="str">
        <f t="shared" si="0"/>
        <v/>
      </c>
      <c r="I21" s="197" t="str">
        <f>IF(DFIE!$G$2=2008,"",IF(C21&gt;=100,H21/G21-1,""))</f>
        <v/>
      </c>
    </row>
    <row r="22" spans="2:9" x14ac:dyDescent="0.2">
      <c r="B22" s="45" t="str">
        <f>DFIE!$B42</f>
        <v>Schaffhausen</v>
      </c>
      <c r="C22" s="156">
        <f>RP!I22</f>
        <v>91.679373181965119</v>
      </c>
      <c r="D22" s="202">
        <v>2426577.9671984999</v>
      </c>
      <c r="E22" s="203">
        <f>RP!F22</f>
        <v>2466622.8212487781</v>
      </c>
      <c r="F22" s="204">
        <f>IF(DFIE!$G$2=2008,"",E22/D22-1)</f>
        <v>1.6502603498254942E-2</v>
      </c>
      <c r="G22" s="155" t="str">
        <f>IF(DFIE!$G$2=2008,"",IF($C22&gt;100,D22,""))</f>
        <v/>
      </c>
      <c r="H22" s="155" t="str">
        <f t="shared" si="0"/>
        <v/>
      </c>
      <c r="I22" s="204" t="str">
        <f>IF(DFIE!$G$2=2008,"",IF(C22&gt;=100,H22/G22-1,""))</f>
        <v/>
      </c>
    </row>
    <row r="23" spans="2:9" x14ac:dyDescent="0.2">
      <c r="B23" s="63" t="str">
        <f>DFIE!$B43</f>
        <v>Appenzell A.Rh.</v>
      </c>
      <c r="C23" s="151">
        <f>RP!I23</f>
        <v>85.271328845800298</v>
      </c>
      <c r="D23" s="194">
        <v>1518894.9314001501</v>
      </c>
      <c r="E23" s="196">
        <f>RP!F23</f>
        <v>1555073.074177698</v>
      </c>
      <c r="F23" s="197">
        <f>IF(DFIE!$G$2=2008,"",E23/D23-1)</f>
        <v>2.3818726384318145E-2</v>
      </c>
      <c r="G23" s="73" t="str">
        <f>IF(DFIE!$G$2=2008,"",IF($C23&gt;100,D23,""))</f>
        <v/>
      </c>
      <c r="H23" s="73" t="str">
        <f t="shared" si="0"/>
        <v/>
      </c>
      <c r="I23" s="197" t="str">
        <f>IF(DFIE!$G$2=2008,"",IF(C23&gt;=100,H23/G23-1,""))</f>
        <v/>
      </c>
    </row>
    <row r="24" spans="2:9" x14ac:dyDescent="0.2">
      <c r="B24" s="45" t="str">
        <f>DFIE!$B44</f>
        <v>Appenzell I.Rh.</v>
      </c>
      <c r="C24" s="156">
        <f>RP!I24</f>
        <v>88.847447730964575</v>
      </c>
      <c r="D24" s="202">
        <v>444900.04166614002</v>
      </c>
      <c r="E24" s="203">
        <f>RP!F24</f>
        <v>476003.43421685859</v>
      </c>
      <c r="F24" s="204">
        <f>IF(DFIE!$G$2=2008,"",E24/D24-1)</f>
        <v>6.9910967942904856E-2</v>
      </c>
      <c r="G24" s="155" t="str">
        <f>IF(DFIE!$G$2=2008,"",IF($C24&gt;100,D24,""))</f>
        <v/>
      </c>
      <c r="H24" s="155" t="str">
        <f t="shared" si="0"/>
        <v/>
      </c>
      <c r="I24" s="204" t="str">
        <f>IF(DFIE!$G$2=2008,"",IF(C24&gt;=100,H24/G24-1,""))</f>
        <v/>
      </c>
    </row>
    <row r="25" spans="2:9" x14ac:dyDescent="0.2">
      <c r="B25" s="63" t="str">
        <f>DFIE!$B45</f>
        <v>St. Gallen</v>
      </c>
      <c r="C25" s="151">
        <f>RP!I25</f>
        <v>78.831636511909807</v>
      </c>
      <c r="D25" s="194">
        <v>12861745.673344599</v>
      </c>
      <c r="E25" s="196">
        <f>RP!F25</f>
        <v>13194345.740266273</v>
      </c>
      <c r="F25" s="197">
        <f>IF(DFIE!$G$2=2008,"",E25/D25-1)</f>
        <v>2.5859636426412314E-2</v>
      </c>
      <c r="G25" s="73" t="str">
        <f>IF(DFIE!$G$2=2008,"",IF($C25&gt;100,D25,""))</f>
        <v/>
      </c>
      <c r="H25" s="73" t="str">
        <f t="shared" si="0"/>
        <v/>
      </c>
      <c r="I25" s="197" t="str">
        <f>IF(DFIE!$G$2=2008,"",IF(C25&gt;=100,H25/G25-1,""))</f>
        <v/>
      </c>
    </row>
    <row r="26" spans="2:9" x14ac:dyDescent="0.2">
      <c r="B26" s="45" t="str">
        <f>DFIE!$B46</f>
        <v>Graubünden</v>
      </c>
      <c r="C26" s="156">
        <f>RP!I26</f>
        <v>83.310043789628381</v>
      </c>
      <c r="D26" s="202">
        <v>5562262.0131662497</v>
      </c>
      <c r="E26" s="203">
        <f>RP!F26</f>
        <v>5712466.1552217752</v>
      </c>
      <c r="F26" s="204">
        <f>IF(DFIE!$G$2=2008,"",E26/D26-1)</f>
        <v>2.7004147179687354E-2</v>
      </c>
      <c r="G26" s="155" t="str">
        <f>IF(DFIE!$G$2=2008,"",IF($C26&gt;100,D26,""))</f>
        <v/>
      </c>
      <c r="H26" s="155" t="str">
        <f t="shared" si="0"/>
        <v/>
      </c>
      <c r="I26" s="204" t="str">
        <f>IF(DFIE!$G$2=2008,"",IF(C26&gt;=100,H26/G26-1,""))</f>
        <v/>
      </c>
    </row>
    <row r="27" spans="2:9" x14ac:dyDescent="0.2">
      <c r="B27" s="63" t="str">
        <f>DFIE!$B47</f>
        <v>Aargau</v>
      </c>
      <c r="C27" s="151">
        <f>RP!I27</f>
        <v>83.832540919189853</v>
      </c>
      <c r="D27" s="194">
        <v>17896771.242723599</v>
      </c>
      <c r="E27" s="196">
        <f>RP!F27</f>
        <v>18236644.138508391</v>
      </c>
      <c r="F27" s="197">
        <f>IF(DFIE!$G$2=2008,"",E27/D27-1)</f>
        <v>1.8990738115568062E-2</v>
      </c>
      <c r="G27" s="73" t="str">
        <f>IF(DFIE!$G$2=2008,"",IF($C27&gt;100,D27,""))</f>
        <v/>
      </c>
      <c r="H27" s="73" t="str">
        <f t="shared" si="0"/>
        <v/>
      </c>
      <c r="I27" s="197" t="str">
        <f>IF(DFIE!$G$2=2008,"",IF(C27&gt;=100,H27/G27-1,""))</f>
        <v/>
      </c>
    </row>
    <row r="28" spans="2:9" x14ac:dyDescent="0.2">
      <c r="B28" s="45" t="str">
        <f>DFIE!$B48</f>
        <v>Thurgau</v>
      </c>
      <c r="C28" s="156">
        <f>RP!I28</f>
        <v>78.381676367037997</v>
      </c>
      <c r="D28" s="202">
        <v>6780947.8110809904</v>
      </c>
      <c r="E28" s="203">
        <f>RP!F28</f>
        <v>6972061.9585712822</v>
      </c>
      <c r="F28" s="204">
        <f>IF(DFIE!$G$2=2008,"",E28/D28-1)</f>
        <v>2.8183987373857189E-2</v>
      </c>
      <c r="G28" s="155" t="str">
        <f>IF(DFIE!$G$2=2008,"",IF($C28&gt;100,D28,""))</f>
        <v/>
      </c>
      <c r="H28" s="155" t="str">
        <f t="shared" si="0"/>
        <v/>
      </c>
      <c r="I28" s="204" t="str">
        <f>IF(DFIE!$G$2=2008,"",IF(C28&gt;=100,H28/G28-1,""))</f>
        <v/>
      </c>
    </row>
    <row r="29" spans="2:9" x14ac:dyDescent="0.2">
      <c r="B29" s="63" t="str">
        <f>DFIE!$B49</f>
        <v>Tessin</v>
      </c>
      <c r="C29" s="151">
        <f>RP!I29</f>
        <v>97.147186264078996</v>
      </c>
      <c r="D29" s="194">
        <v>11117135.5228751</v>
      </c>
      <c r="E29" s="196">
        <f>RP!F29</f>
        <v>11459269.44145065</v>
      </c>
      <c r="F29" s="197">
        <f>IF(DFIE!$G$2=2008,"",E29/D29-1)</f>
        <v>3.0775366358677614E-2</v>
      </c>
      <c r="G29" s="73" t="str">
        <f>IF(DFIE!$G$2=2008,"",IF($C29&gt;100,D29,""))</f>
        <v/>
      </c>
      <c r="H29" s="73" t="str">
        <f t="shared" si="0"/>
        <v/>
      </c>
      <c r="I29" s="197" t="str">
        <f>IF(DFIE!$G$2=2008,"",IF(C29&gt;=100,H29/G29-1,""))</f>
        <v/>
      </c>
    </row>
    <row r="30" spans="2:9" x14ac:dyDescent="0.2">
      <c r="B30" s="45" t="str">
        <f>DFIE!$B50</f>
        <v>Waadt</v>
      </c>
      <c r="C30" s="156">
        <f>RP!I30</f>
        <v>99.611867182051867</v>
      </c>
      <c r="D30" s="202">
        <v>24697059.093478099</v>
      </c>
      <c r="E30" s="203">
        <f>RP!F30</f>
        <v>25648429.258322556</v>
      </c>
      <c r="F30" s="204">
        <f>IF(DFIE!$G$2=2008,"",E30/D30-1)</f>
        <v>3.8521597298023735E-2</v>
      </c>
      <c r="G30" s="155" t="str">
        <f>IF(DFIE!$G$2=2008,"",IF($C30&gt;100,D30,""))</f>
        <v/>
      </c>
      <c r="H30" s="155" t="str">
        <f t="shared" si="0"/>
        <v/>
      </c>
      <c r="I30" s="204" t="str">
        <f>IF(DFIE!$G$2=2008,"",IF(C30&gt;=100,H30/G30-1,""))</f>
        <v/>
      </c>
    </row>
    <row r="31" spans="2:9" x14ac:dyDescent="0.2">
      <c r="B31" s="63" t="str">
        <f>DFIE!$B51</f>
        <v>Wallis</v>
      </c>
      <c r="C31" s="151">
        <f>RP!I31</f>
        <v>66.095679522394676</v>
      </c>
      <c r="D31" s="194">
        <v>7321719.5746313799</v>
      </c>
      <c r="E31" s="196">
        <f>RP!F31</f>
        <v>7509536.5889830664</v>
      </c>
      <c r="F31" s="197">
        <f>IF(DFIE!$G$2=2008,"",E31/D31-1)</f>
        <v>2.5652036032961956E-2</v>
      </c>
      <c r="G31" s="73" t="str">
        <f>IF(DFIE!$G$2=2008,"",IF($C31&gt;100,D31,""))</f>
        <v/>
      </c>
      <c r="H31" s="73" t="str">
        <f t="shared" si="0"/>
        <v/>
      </c>
      <c r="I31" s="197" t="str">
        <f>IF(DFIE!$G$2=2008,"",IF(C31&gt;=100,H31/G31-1,""))</f>
        <v/>
      </c>
    </row>
    <row r="32" spans="2:9" x14ac:dyDescent="0.2">
      <c r="B32" s="45" t="str">
        <f>DFIE!$B52</f>
        <v>Neuenburg</v>
      </c>
      <c r="C32" s="156">
        <f>RP!I32</f>
        <v>90.547248505320923</v>
      </c>
      <c r="D32" s="202">
        <v>5494470.6096099801</v>
      </c>
      <c r="E32" s="203">
        <f>RP!F32</f>
        <v>5431722.175758847</v>
      </c>
      <c r="F32" s="204">
        <f>IF(DFIE!$G$2=2008,"",E32/D32-1)</f>
        <v>-1.1420287468893564E-2</v>
      </c>
      <c r="G32" s="155" t="str">
        <f>IF(DFIE!$G$2=2008,"",IF($C32&gt;100,D32,""))</f>
        <v/>
      </c>
      <c r="H32" s="155" t="str">
        <f t="shared" si="0"/>
        <v/>
      </c>
      <c r="I32" s="204" t="str">
        <f>IF(DFIE!$G$2=2008,"",IF(C32&gt;=100,H32/G32-1,""))</f>
        <v/>
      </c>
    </row>
    <row r="33" spans="1:9" x14ac:dyDescent="0.2">
      <c r="B33" s="63" t="str">
        <f>DFIE!$B53</f>
        <v>Genf</v>
      </c>
      <c r="C33" s="151">
        <f>RP!I33</f>
        <v>145.32811250149109</v>
      </c>
      <c r="D33" s="194">
        <v>22672979.772180401</v>
      </c>
      <c r="E33" s="196">
        <f>RP!F33</f>
        <v>23351806.573796552</v>
      </c>
      <c r="F33" s="197">
        <f>IF(DFIE!$G$2=2008,"",E33/D33-1)</f>
        <v>2.9939902405287988E-2</v>
      </c>
      <c r="G33" s="73">
        <f>IF(DFIE!$G$2=2008,"",IF($C33&gt;100,D33,""))</f>
        <v>22672979.772180401</v>
      </c>
      <c r="H33" s="73">
        <f t="shared" si="0"/>
        <v>23351806.573796552</v>
      </c>
      <c r="I33" s="197">
        <f>IF(DFIE!$G$2=2008,"",IF(C33&gt;=100,H33/G33-1,""))</f>
        <v>2.9939902405287988E-2</v>
      </c>
    </row>
    <row r="34" spans="1:9" x14ac:dyDescent="0.2">
      <c r="A34" s="34"/>
      <c r="B34" s="45" t="str">
        <f>DFIE!$B54</f>
        <v>Jura</v>
      </c>
      <c r="C34" s="156">
        <f>RP!I34</f>
        <v>65.233572767903297</v>
      </c>
      <c r="D34" s="202">
        <v>1559632.9534495799</v>
      </c>
      <c r="E34" s="203">
        <f>RP!F34</f>
        <v>1589730.7693371784</v>
      </c>
      <c r="F34" s="204">
        <f>IF(DFIE!$G$2=2008,"",E34/D34-1)</f>
        <v>1.9298012279766574E-2</v>
      </c>
      <c r="G34" s="155" t="str">
        <f>IF(DFIE!$G$2=2008,"",IF($C34&gt;100,D34,""))</f>
        <v/>
      </c>
      <c r="H34" s="155" t="str">
        <f t="shared" si="0"/>
        <v/>
      </c>
      <c r="I34" s="204" t="str">
        <f>IF(DFIE!$G$2=2008,"",IF(C34&gt;=100,H34/G34-1,""))</f>
        <v/>
      </c>
    </row>
    <row r="35" spans="1:9" x14ac:dyDescent="0.2">
      <c r="B35" s="28" t="str">
        <f>DFIE!$B55</f>
        <v>Schweiz</v>
      </c>
      <c r="C35" s="152">
        <f>RP!I35</f>
        <v>100</v>
      </c>
      <c r="D35" s="195">
        <f>IF(DFIE!$G$2=2008,"",SUM(D9:D34))</f>
        <v>269463841.01656836</v>
      </c>
      <c r="E35" s="192">
        <f>SUM(E9:E34)</f>
        <v>278506249.47621709</v>
      </c>
      <c r="F35" s="198">
        <f>IF(DFIE!$G$2=2008,0,E35/D35-1)</f>
        <v>3.355703839719526E-2</v>
      </c>
      <c r="G35" s="32">
        <f>IF(DFIE!$G$2=2008,"",SUM(G9:G34))</f>
        <v>110487264.05361632</v>
      </c>
      <c r="H35" s="32">
        <f>SUM(H9:H34)</f>
        <v>114639028.76801752</v>
      </c>
      <c r="I35" s="198">
        <f>IF(DFIE!$G$2=2008,0,H35/G35-1)</f>
        <v>3.7576862364756103E-2</v>
      </c>
    </row>
    <row r="36" spans="1:9" ht="27" customHeight="1" x14ac:dyDescent="0.2">
      <c r="A36" s="205"/>
      <c r="F36" s="199" t="str">
        <f>DFIE!B160</f>
        <v>Wachstumsrate VRA</v>
      </c>
      <c r="G36" s="189"/>
      <c r="H36" s="189"/>
      <c r="I36" s="199" t="str">
        <f>DFIE!B161</f>
        <v>Wachstumsrate HRA</v>
      </c>
    </row>
  </sheetData>
  <mergeCells count="3">
    <mergeCell ref="C6:C7"/>
    <mergeCell ref="D6:F6"/>
    <mergeCell ref="G6:I6"/>
  </mergeCells>
  <conditionalFormatting sqref="G7:H7 D7:E7 D9:E34">
    <cfRule type="expression" dxfId="8" priority="1" stopIfTrue="1">
      <formula>ISBLANK(D7)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G17"/>
  <sheetViews>
    <sheetView showGridLines="0" workbookViewId="0">
      <selection activeCell="A114" sqref="A114"/>
    </sheetView>
  </sheetViews>
  <sheetFormatPr baseColWidth="10" defaultColWidth="9.140625" defaultRowHeight="12.75" x14ac:dyDescent="0.2"/>
  <cols>
    <col min="1" max="1" width="1.42578125" customWidth="1"/>
    <col min="2" max="2" width="2.42578125" customWidth="1"/>
    <col min="3" max="3" width="13.42578125" customWidth="1"/>
    <col min="4" max="4" width="29.28515625" customWidth="1"/>
    <col min="5" max="7" width="20.7109375" customWidth="1"/>
    <col min="11" max="11" width="2.42578125" customWidth="1"/>
    <col min="13" max="13" width="30.85546875" customWidth="1"/>
    <col min="14" max="16" width="19.5703125" customWidth="1"/>
  </cols>
  <sheetData>
    <row r="1" spans="1:7" ht="18" customHeight="1" x14ac:dyDescent="0.25">
      <c r="B1" s="6" t="str">
        <f>DFIE!B162</f>
        <v>Fortschreibung der Dotationen im Ressourcenausgleich 2019</v>
      </c>
    </row>
    <row r="2" spans="1:7" ht="22.5" customHeight="1" x14ac:dyDescent="0.2">
      <c r="B2" s="19" t="str">
        <f>DFIE!B163</f>
        <v>in CHF</v>
      </c>
    </row>
    <row r="3" spans="1:7" ht="45" customHeight="1" x14ac:dyDescent="0.2">
      <c r="B3" s="206"/>
      <c r="C3" s="213" t="str">
        <f>DFIE!B57</f>
        <v>Formel</v>
      </c>
      <c r="D3" s="216"/>
      <c r="E3" s="115" t="str">
        <f>DFIE!B164</f>
        <v>Vertikaler
Ressourcenausgleich
(VRA)</v>
      </c>
      <c r="F3" s="222" t="str">
        <f>DFIE!B165</f>
        <v>Horizontaler
Ressourcenausgleich
(HRA)</v>
      </c>
      <c r="G3" s="121" t="str">
        <f>DFIE!B166</f>
        <v>Ausgleich
Total</v>
      </c>
    </row>
    <row r="4" spans="1:7" ht="14.25" customHeight="1" x14ac:dyDescent="0.2">
      <c r="A4" s="189"/>
      <c r="B4" s="226" t="s">
        <v>133</v>
      </c>
      <c r="C4" s="217"/>
      <c r="D4" s="214" t="str">
        <f>DFIE!B167</f>
        <v>Dotation 2018</v>
      </c>
      <c r="E4" s="210">
        <v>2423358591.4860201</v>
      </c>
      <c r="F4" s="211">
        <v>1650708909.7572601</v>
      </c>
      <c r="G4" s="243">
        <f>E4+F4</f>
        <v>4074067501.2432804</v>
      </c>
    </row>
    <row r="5" spans="1:7" ht="14.25" customHeight="1" x14ac:dyDescent="0.2">
      <c r="A5" s="189"/>
      <c r="B5" s="232" t="s">
        <v>134</v>
      </c>
      <c r="C5" s="233"/>
      <c r="D5" s="233" t="str">
        <f>DFIE!B168</f>
        <v>Wachstumsrate</v>
      </c>
      <c r="E5" s="234">
        <f>ENTW!F35</f>
        <v>3.355703839719526E-2</v>
      </c>
      <c r="F5" s="235">
        <f>ENTW!I35</f>
        <v>3.7576862364756103E-2</v>
      </c>
      <c r="G5" s="235">
        <f>IF(DFIE!$G$2=2008,0,G6/G4)</f>
        <v>3.5185769201700454E-2</v>
      </c>
    </row>
    <row r="6" spans="1:7" ht="14.25" customHeight="1" x14ac:dyDescent="0.2">
      <c r="A6" s="189"/>
      <c r="B6" s="227" t="s">
        <v>30</v>
      </c>
      <c r="C6" s="212" t="s">
        <v>135</v>
      </c>
      <c r="D6" s="221" t="str">
        <f>DFIE!B169</f>
        <v>+ Wachstum</v>
      </c>
      <c r="E6" s="207">
        <f>E5*E4</f>
        <v>81320737.304669395</v>
      </c>
      <c r="F6" s="116">
        <f>F5*F4</f>
        <v>62028461.506225161</v>
      </c>
      <c r="G6" s="116">
        <f t="shared" ref="G6:G9" si="0">E6+F6</f>
        <v>143349198.81089455</v>
      </c>
    </row>
    <row r="7" spans="1:7" ht="14.25" customHeight="1" x14ac:dyDescent="0.2">
      <c r="A7" s="189"/>
      <c r="B7" s="236" t="s">
        <v>31</v>
      </c>
      <c r="C7" s="237" t="s">
        <v>136</v>
      </c>
      <c r="D7" s="238" t="str">
        <f>DFIE!B170</f>
        <v>= Dotation nach Fortschreibung</v>
      </c>
      <c r="E7" s="239">
        <f>E4+E6</f>
        <v>2504679328.7906895</v>
      </c>
      <c r="F7" s="240">
        <f>F4+F6</f>
        <v>1712737371.2634852</v>
      </c>
      <c r="G7" s="240">
        <f>E7+F7</f>
        <v>4217416700.0541744</v>
      </c>
    </row>
    <row r="8" spans="1:7" ht="14.25" customHeight="1" x14ac:dyDescent="0.2">
      <c r="A8" s="189"/>
      <c r="B8" s="227" t="s">
        <v>32</v>
      </c>
      <c r="C8" s="212"/>
      <c r="D8" s="221" t="str">
        <f>DFIE!B171</f>
        <v>+ Anpassung Dotation</v>
      </c>
      <c r="E8" s="209">
        <v>0</v>
      </c>
      <c r="F8" s="223">
        <v>0</v>
      </c>
      <c r="G8" s="116">
        <f t="shared" si="0"/>
        <v>0</v>
      </c>
    </row>
    <row r="9" spans="1:7" ht="14.25" customHeight="1" x14ac:dyDescent="0.2">
      <c r="A9" s="189"/>
      <c r="B9" s="236" t="s">
        <v>44</v>
      </c>
      <c r="C9" s="237" t="s">
        <v>137</v>
      </c>
      <c r="D9" s="238" t="str">
        <f>DFIE!B172</f>
        <v>= Provisorische Dotation</v>
      </c>
      <c r="E9" s="239">
        <f>E7+E8</f>
        <v>2504679328.7906895</v>
      </c>
      <c r="F9" s="240">
        <f>F7+F8</f>
        <v>1712737371.2634852</v>
      </c>
      <c r="G9" s="240">
        <f t="shared" si="0"/>
        <v>4217416700.0541744</v>
      </c>
    </row>
    <row r="10" spans="1:7" ht="7.5" customHeight="1" x14ac:dyDescent="0.2">
      <c r="A10" s="189"/>
      <c r="C10" s="212"/>
    </row>
    <row r="11" spans="1:7" ht="14.25" customHeight="1" x14ac:dyDescent="0.2">
      <c r="A11" s="189"/>
      <c r="B11" s="226" t="s">
        <v>43</v>
      </c>
      <c r="C11" s="217" t="str">
        <f>DFIE!B176</f>
        <v>0.8 * F[VRA]</v>
      </c>
      <c r="D11" s="217" t="str">
        <f>DFIE!B173</f>
        <v>Obere Grenze HRA (80% des VRA)</v>
      </c>
      <c r="E11" s="208"/>
      <c r="F11" s="224">
        <f>0.8*E9</f>
        <v>2003743463.0325518</v>
      </c>
      <c r="G11" s="224"/>
    </row>
    <row r="12" spans="1:7" ht="14.25" customHeight="1" x14ac:dyDescent="0.2">
      <c r="A12" s="189"/>
      <c r="B12" s="232" t="s">
        <v>33</v>
      </c>
      <c r="C12" s="233" t="str">
        <f>DFIE!B177</f>
        <v>2 * F[VRA] / 3</v>
      </c>
      <c r="D12" s="233" t="str">
        <f>DFIE!B174</f>
        <v>Untere Grenze HRA (2/3 des VRA)</v>
      </c>
      <c r="E12" s="241"/>
      <c r="F12" s="242">
        <f>E9*2/3</f>
        <v>1669786219.1937931</v>
      </c>
      <c r="G12" s="242"/>
    </row>
    <row r="13" spans="1:7" ht="14.25" customHeight="1" x14ac:dyDescent="0.2">
      <c r="A13" s="189"/>
      <c r="B13" s="228" t="s">
        <v>34</v>
      </c>
      <c r="C13" s="218" t="s">
        <v>138</v>
      </c>
      <c r="D13" s="225" t="str">
        <f>DFIE!B175</f>
        <v>+ Korrektur aufgrund Bandbreite</v>
      </c>
      <c r="E13" s="220"/>
      <c r="F13" s="244">
        <f>MAX(F12, MIN(F11,F9))-F9</f>
        <v>0</v>
      </c>
      <c r="G13" s="244">
        <f>F13</f>
        <v>0</v>
      </c>
    </row>
    <row r="14" spans="1:7" ht="7.5" customHeight="1" x14ac:dyDescent="0.2">
      <c r="A14" s="189"/>
      <c r="C14" s="212"/>
    </row>
    <row r="15" spans="1:7" ht="14.25" customHeight="1" x14ac:dyDescent="0.2">
      <c r="A15" s="189"/>
      <c r="B15" s="229" t="s">
        <v>35</v>
      </c>
      <c r="C15" s="219" t="s">
        <v>139</v>
      </c>
      <c r="D15" s="215" t="str">
        <f>DFIE!B178</f>
        <v>Dotation 2019</v>
      </c>
      <c r="E15" s="118">
        <f>E9</f>
        <v>2504679328.7906895</v>
      </c>
      <c r="F15" s="117">
        <f>F9+F13</f>
        <v>1712737371.2634852</v>
      </c>
      <c r="G15" s="117">
        <f>E15+F15</f>
        <v>4217416700.0541744</v>
      </c>
    </row>
    <row r="17" spans="5:6" ht="14.25" customHeight="1" x14ac:dyDescent="0.2">
      <c r="E17" s="231" t="str">
        <f>DFIE!$B$179</f>
        <v>HRA in % des VRA</v>
      </c>
      <c r="F17" s="230">
        <f>F15/E15</f>
        <v>0.68381503036176283</v>
      </c>
    </row>
  </sheetData>
  <conditionalFormatting sqref="E4:F4">
    <cfRule type="expression" dxfId="7" priority="2">
      <formula>ISBLANK(E4)</formula>
    </cfRule>
  </conditionalFormatting>
  <conditionalFormatting sqref="E8:F8">
    <cfRule type="expression" dxfId="6" priority="1" stopIfTrue="1">
      <formula>ISBLANK(E8)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G35"/>
  <sheetViews>
    <sheetView showGridLines="0" workbookViewId="0">
      <selection activeCell="A114" sqref="A114"/>
    </sheetView>
  </sheetViews>
  <sheetFormatPr baseColWidth="10" defaultColWidth="9.140625" defaultRowHeight="12.75" x14ac:dyDescent="0.2"/>
  <cols>
    <col min="1" max="1" width="1.42578125" customWidth="1"/>
    <col min="2" max="2" width="16.5703125" customWidth="1"/>
    <col min="3" max="7" width="16.7109375" customWidth="1"/>
  </cols>
  <sheetData>
    <row r="1" spans="1:7" ht="18" customHeight="1" x14ac:dyDescent="0.2">
      <c r="B1" s="123" t="str">
        <f>DFIE!B180</f>
        <v>Einzahlungen der ressourcenstarken Kantone 2019</v>
      </c>
      <c r="C1" s="165"/>
      <c r="D1" s="165"/>
      <c r="E1" s="162"/>
      <c r="F1" s="169"/>
      <c r="G1" s="52"/>
    </row>
    <row r="2" spans="1:7" ht="12.75" customHeight="1" x14ac:dyDescent="0.2">
      <c r="A2" s="166"/>
      <c r="B2" s="52"/>
      <c r="C2" s="166"/>
      <c r="D2" s="166"/>
      <c r="E2" s="167"/>
      <c r="F2" s="168"/>
    </row>
    <row r="3" spans="1:7" ht="0.75" customHeight="1" x14ac:dyDescent="0.2">
      <c r="A3" s="166"/>
      <c r="B3" s="166"/>
      <c r="C3" s="166"/>
      <c r="D3" s="166"/>
      <c r="E3" s="166"/>
      <c r="F3" s="166"/>
      <c r="G3" s="52"/>
    </row>
    <row r="4" spans="1:7" ht="0.75" customHeight="1" x14ac:dyDescent="0.2">
      <c r="A4" s="166"/>
      <c r="B4" s="166"/>
      <c r="C4" s="166"/>
      <c r="D4" s="166"/>
      <c r="E4" s="166"/>
      <c r="F4" s="166"/>
      <c r="G4" s="52"/>
    </row>
    <row r="5" spans="1:7" ht="12" customHeight="1" x14ac:dyDescent="0.2">
      <c r="B5" s="37" t="str">
        <f>DFIE!B56</f>
        <v>Spalte</v>
      </c>
      <c r="C5" s="83" t="s">
        <v>30</v>
      </c>
      <c r="D5" s="38" t="s">
        <v>31</v>
      </c>
      <c r="E5" s="38" t="s">
        <v>32</v>
      </c>
      <c r="F5" s="126" t="s">
        <v>44</v>
      </c>
      <c r="G5" s="124" t="s">
        <v>43</v>
      </c>
    </row>
    <row r="6" spans="1:7" ht="12" customHeight="1" x14ac:dyDescent="0.2">
      <c r="B6" s="37" t="str">
        <f>DFIE!B57</f>
        <v>Formel</v>
      </c>
      <c r="C6" s="85"/>
      <c r="D6" s="142"/>
      <c r="E6" s="142" t="s">
        <v>90</v>
      </c>
      <c r="F6" s="252" t="s">
        <v>91</v>
      </c>
      <c r="G6" s="253" t="str">
        <f>DFIE!B186</f>
        <v>Dotation/E[Schweiz]*E</v>
      </c>
    </row>
    <row r="7" spans="1:7" ht="42.75" customHeight="1" x14ac:dyDescent="0.2">
      <c r="B7" s="246"/>
      <c r="C7" s="77" t="str">
        <f>DFIE!B181</f>
        <v>Ressourcen-
index</v>
      </c>
      <c r="D7" s="77" t="str">
        <f>DFIE!B182</f>
        <v>Massgebende
Wohn-
bevölkerung</v>
      </c>
      <c r="E7" s="77" t="str">
        <f>DFIE!B183</f>
        <v>Summe der
gewichteten
Abweichungen</v>
      </c>
      <c r="F7" s="251" t="str">
        <f>DFIE!B184</f>
        <v>Einzahlung
pro Einwohner</v>
      </c>
      <c r="G7" s="250" t="str">
        <f>DFIE!B185</f>
        <v>Einzahlung</v>
      </c>
    </row>
    <row r="8" spans="1:7" x14ac:dyDescent="0.2">
      <c r="B8" s="37" t="str">
        <f>DFIE!B59</f>
        <v>Einheit</v>
      </c>
      <c r="C8" s="200" t="str">
        <f>DFIE!B63</f>
        <v>Punkte</v>
      </c>
      <c r="D8" s="43" t="str">
        <f>DFIE!B62</f>
        <v>Anzahl</v>
      </c>
      <c r="E8" s="43"/>
      <c r="F8" s="129" t="str">
        <f>DFIE!$B$60</f>
        <v>CHF</v>
      </c>
      <c r="G8" s="128" t="str">
        <f>DFIE!$B$60</f>
        <v>CHF</v>
      </c>
    </row>
    <row r="9" spans="1:7" ht="12.75" customHeight="1" x14ac:dyDescent="0.2">
      <c r="B9" s="245" t="str">
        <f>DFIE!$B29</f>
        <v>Zürich</v>
      </c>
      <c r="C9" s="248">
        <f>RP!I9</f>
        <v>120.50025231564906</v>
      </c>
      <c r="D9" s="247">
        <f>RP!G9</f>
        <v>1450187.1666666667</v>
      </c>
      <c r="E9" s="247">
        <f t="shared" ref="E9:E34" si="0">IF(C9&gt;100,(C9-100)*D9,0)</f>
        <v>29729202.821582891</v>
      </c>
      <c r="F9" s="207">
        <f>G9/D9</f>
        <v>377.11170538991018</v>
      </c>
      <c r="G9" s="116">
        <f>DOT!$F$15/$E$35*E9</f>
        <v>546882555.55622864</v>
      </c>
    </row>
    <row r="10" spans="1:7" ht="12.75" customHeight="1" x14ac:dyDescent="0.2">
      <c r="B10" s="254" t="str">
        <f>DFIE!$B30</f>
        <v>Bern</v>
      </c>
      <c r="C10" s="255">
        <f>RP!I10</f>
        <v>76.61514442348377</v>
      </c>
      <c r="D10" s="256">
        <f>RP!G10</f>
        <v>1013156.6666666666</v>
      </c>
      <c r="E10" s="256">
        <f t="shared" si="0"/>
        <v>0</v>
      </c>
      <c r="F10" s="257">
        <f t="shared" ref="F10:F34" si="1">G10/D10</f>
        <v>0</v>
      </c>
      <c r="G10" s="131">
        <f>DOT!$F$15/$E$35*E10</f>
        <v>0</v>
      </c>
    </row>
    <row r="11" spans="1:7" ht="12.75" customHeight="1" x14ac:dyDescent="0.2">
      <c r="B11" s="245" t="str">
        <f>DFIE!$B31</f>
        <v>Luzern</v>
      </c>
      <c r="C11" s="248">
        <f>RP!I11</f>
        <v>88.953267971567712</v>
      </c>
      <c r="D11" s="247">
        <f>RP!G11</f>
        <v>395831.66666666669</v>
      </c>
      <c r="E11" s="247">
        <f t="shared" si="0"/>
        <v>0</v>
      </c>
      <c r="F11" s="207">
        <f t="shared" si="1"/>
        <v>0</v>
      </c>
      <c r="G11" s="116">
        <f>DOT!$F$15/$E$35*E11</f>
        <v>0</v>
      </c>
    </row>
    <row r="12" spans="1:7" ht="12.75" customHeight="1" x14ac:dyDescent="0.2">
      <c r="B12" s="254" t="str">
        <f>DFIE!$B32</f>
        <v>Uri</v>
      </c>
      <c r="C12" s="255">
        <f>RP!I12</f>
        <v>70.115914841445331</v>
      </c>
      <c r="D12" s="256">
        <f>RP!G12</f>
        <v>36425</v>
      </c>
      <c r="E12" s="256">
        <f t="shared" si="0"/>
        <v>0</v>
      </c>
      <c r="F12" s="257">
        <f t="shared" si="1"/>
        <v>0</v>
      </c>
      <c r="G12" s="131">
        <f>DOT!$F$15/$E$35*E12</f>
        <v>0</v>
      </c>
    </row>
    <row r="13" spans="1:7" ht="12.75" customHeight="1" x14ac:dyDescent="0.2">
      <c r="B13" s="245" t="str">
        <f>DFIE!$B33</f>
        <v>Schwyz</v>
      </c>
      <c r="C13" s="248">
        <f>RP!I13</f>
        <v>172.3604125556482</v>
      </c>
      <c r="D13" s="247">
        <f>RP!G13</f>
        <v>153538.33333333334</v>
      </c>
      <c r="E13" s="247">
        <f t="shared" si="0"/>
        <v>11110097.143106632</v>
      </c>
      <c r="F13" s="207">
        <f t="shared" si="1"/>
        <v>1331.1035474791418</v>
      </c>
      <c r="G13" s="116">
        <f>DOT!$F$15/$E$35*E13</f>
        <v>204375420.17403498</v>
      </c>
    </row>
    <row r="14" spans="1:7" ht="12.75" customHeight="1" x14ac:dyDescent="0.2">
      <c r="B14" s="254" t="str">
        <f>DFIE!$B34</f>
        <v>Obwalden</v>
      </c>
      <c r="C14" s="255">
        <f>RP!I14</f>
        <v>119.34175629858154</v>
      </c>
      <c r="D14" s="256">
        <f>RP!G14</f>
        <v>37045</v>
      </c>
      <c r="E14" s="256">
        <f t="shared" si="0"/>
        <v>716515.36208095332</v>
      </c>
      <c r="F14" s="257">
        <f t="shared" si="1"/>
        <v>355.80063067936857</v>
      </c>
      <c r="G14" s="131">
        <f>DOT!$F$15/$E$35*E14</f>
        <v>13180634.363517208</v>
      </c>
    </row>
    <row r="15" spans="1:7" ht="12.75" customHeight="1" x14ac:dyDescent="0.2">
      <c r="B15" s="245" t="str">
        <f>DFIE!$B35</f>
        <v>Nidwalden</v>
      </c>
      <c r="C15" s="248">
        <f>RP!I15</f>
        <v>159.48943384682772</v>
      </c>
      <c r="D15" s="247">
        <f>RP!G15</f>
        <v>42343.666666666664</v>
      </c>
      <c r="E15" s="247">
        <f t="shared" si="0"/>
        <v>2519000.7569987909</v>
      </c>
      <c r="F15" s="207">
        <f t="shared" si="1"/>
        <v>1094.3358893944987</v>
      </c>
      <c r="G15" s="116">
        <f>DOT!$F$15/$E$35*E15</f>
        <v>46338194.12189085</v>
      </c>
    </row>
    <row r="16" spans="1:7" ht="12.75" customHeight="1" x14ac:dyDescent="0.2">
      <c r="B16" s="254" t="str">
        <f>DFIE!$B36</f>
        <v>Glarus</v>
      </c>
      <c r="C16" s="255">
        <f>RP!I16</f>
        <v>71.191340664691396</v>
      </c>
      <c r="D16" s="256">
        <f>RP!G16</f>
        <v>40283.666666666664</v>
      </c>
      <c r="E16" s="256">
        <f t="shared" si="0"/>
        <v>0</v>
      </c>
      <c r="F16" s="257">
        <f t="shared" si="1"/>
        <v>0</v>
      </c>
      <c r="G16" s="131">
        <f>DOT!$F$15/$E$35*E16</f>
        <v>0</v>
      </c>
    </row>
    <row r="17" spans="2:7" ht="12.75" customHeight="1" x14ac:dyDescent="0.2">
      <c r="B17" s="245" t="str">
        <f>DFIE!$B37</f>
        <v>Zug</v>
      </c>
      <c r="C17" s="248">
        <f>RP!I17</f>
        <v>247.65633140647125</v>
      </c>
      <c r="D17" s="247">
        <f>RP!G17</f>
        <v>120816.16666666667</v>
      </c>
      <c r="E17" s="247">
        <f t="shared" si="0"/>
        <v>17839271.9445928</v>
      </c>
      <c r="F17" s="207">
        <f t="shared" si="1"/>
        <v>2716.2071027684883</v>
      </c>
      <c r="G17" s="116">
        <f>DOT!$F$15/$E$35*E17</f>
        <v>328161730.02926147</v>
      </c>
    </row>
    <row r="18" spans="2:7" ht="12.75" customHeight="1" x14ac:dyDescent="0.2">
      <c r="B18" s="254" t="str">
        <f>DFIE!$B38</f>
        <v>Freiburg</v>
      </c>
      <c r="C18" s="255">
        <f>RP!I18</f>
        <v>79.913961150061226</v>
      </c>
      <c r="D18" s="256">
        <f>RP!G18</f>
        <v>302305</v>
      </c>
      <c r="E18" s="256">
        <f t="shared" si="0"/>
        <v>0</v>
      </c>
      <c r="F18" s="257">
        <f t="shared" si="1"/>
        <v>0</v>
      </c>
      <c r="G18" s="131">
        <f>DOT!$F$15/$E$35*E18</f>
        <v>0</v>
      </c>
    </row>
    <row r="19" spans="2:7" ht="12.75" customHeight="1" x14ac:dyDescent="0.2">
      <c r="B19" s="245" t="str">
        <f>DFIE!$B39</f>
        <v>Solothurn</v>
      </c>
      <c r="C19" s="248">
        <f>RP!I19</f>
        <v>72.982232175509864</v>
      </c>
      <c r="D19" s="247">
        <f>RP!G19</f>
        <v>264772.83333333331</v>
      </c>
      <c r="E19" s="247">
        <f t="shared" si="0"/>
        <v>0</v>
      </c>
      <c r="F19" s="207">
        <f t="shared" si="1"/>
        <v>0</v>
      </c>
      <c r="G19" s="116">
        <f>DOT!$F$15/$E$35*E19</f>
        <v>0</v>
      </c>
    </row>
    <row r="20" spans="2:7" ht="12.75" customHeight="1" x14ac:dyDescent="0.2">
      <c r="B20" s="254" t="str">
        <f>DFIE!$B40</f>
        <v>Basel-Stadt</v>
      </c>
      <c r="C20" s="255">
        <f>RP!I20</f>
        <v>149.45441668678237</v>
      </c>
      <c r="D20" s="256">
        <f>RP!G20</f>
        <v>193219.83333333334</v>
      </c>
      <c r="E20" s="256">
        <f t="shared" si="0"/>
        <v>9555574.1498173084</v>
      </c>
      <c r="F20" s="257">
        <f t="shared" si="1"/>
        <v>909.73706706913049</v>
      </c>
      <c r="G20" s="131">
        <f>DOT!$F$15/$E$35*E20</f>
        <v>175779244.47625288</v>
      </c>
    </row>
    <row r="21" spans="2:7" ht="12.75" customHeight="1" x14ac:dyDescent="0.2">
      <c r="B21" s="245" t="str">
        <f>DFIE!$B41</f>
        <v>Basel-Landschaft</v>
      </c>
      <c r="C21" s="248">
        <f>RP!I21</f>
        <v>96.803218732349791</v>
      </c>
      <c r="D21" s="247">
        <f>RP!G21</f>
        <v>281425</v>
      </c>
      <c r="E21" s="247">
        <f t="shared" si="0"/>
        <v>0</v>
      </c>
      <c r="F21" s="207">
        <f t="shared" si="1"/>
        <v>0</v>
      </c>
      <c r="G21" s="116">
        <f>DOT!$F$15/$E$35*E21</f>
        <v>0</v>
      </c>
    </row>
    <row r="22" spans="2:7" ht="12.75" customHeight="1" x14ac:dyDescent="0.2">
      <c r="B22" s="254" t="str">
        <f>DFIE!$B42</f>
        <v>Schaffhausen</v>
      </c>
      <c r="C22" s="255">
        <f>RP!I22</f>
        <v>91.679373181965119</v>
      </c>
      <c r="D22" s="256">
        <f>RP!G22</f>
        <v>79925.666666666672</v>
      </c>
      <c r="E22" s="256">
        <f t="shared" si="0"/>
        <v>0</v>
      </c>
      <c r="F22" s="257">
        <f t="shared" si="1"/>
        <v>0</v>
      </c>
      <c r="G22" s="131">
        <f>DOT!$F$15/$E$35*E22</f>
        <v>0</v>
      </c>
    </row>
    <row r="23" spans="2:7" ht="12.75" customHeight="1" x14ac:dyDescent="0.2">
      <c r="B23" s="245" t="str">
        <f>DFIE!$B43</f>
        <v>Appenzell A.Rh.</v>
      </c>
      <c r="C23" s="248">
        <f>RP!I23</f>
        <v>85.271328845800298</v>
      </c>
      <c r="D23" s="247">
        <f>RP!G23</f>
        <v>54175.5</v>
      </c>
      <c r="E23" s="247">
        <f t="shared" si="0"/>
        <v>0</v>
      </c>
      <c r="F23" s="207">
        <f t="shared" si="1"/>
        <v>0</v>
      </c>
      <c r="G23" s="116">
        <f>DOT!$F$15/$E$35*E23</f>
        <v>0</v>
      </c>
    </row>
    <row r="24" spans="2:7" ht="12.75" customHeight="1" x14ac:dyDescent="0.2">
      <c r="B24" s="254" t="str">
        <f>DFIE!$B44</f>
        <v>Appenzell I.Rh.</v>
      </c>
      <c r="C24" s="255">
        <f>RP!I24</f>
        <v>88.847447730964575</v>
      </c>
      <c r="D24" s="256">
        <f>RP!G24</f>
        <v>15915.5</v>
      </c>
      <c r="E24" s="256">
        <f t="shared" si="0"/>
        <v>0</v>
      </c>
      <c r="F24" s="257">
        <f t="shared" si="1"/>
        <v>0</v>
      </c>
      <c r="G24" s="131">
        <f>DOT!$F$15/$E$35*E24</f>
        <v>0</v>
      </c>
    </row>
    <row r="25" spans="2:7" ht="12.75" customHeight="1" x14ac:dyDescent="0.2">
      <c r="B25" s="245" t="str">
        <f>DFIE!$B45</f>
        <v>St. Gallen</v>
      </c>
      <c r="C25" s="248">
        <f>RP!I25</f>
        <v>78.831636511909807</v>
      </c>
      <c r="D25" s="247">
        <f>RP!G25</f>
        <v>497213</v>
      </c>
      <c r="E25" s="247">
        <f t="shared" si="0"/>
        <v>0</v>
      </c>
      <c r="F25" s="207">
        <f t="shared" si="1"/>
        <v>0</v>
      </c>
      <c r="G25" s="116">
        <f>DOT!$F$15/$E$35*E25</f>
        <v>0</v>
      </c>
    </row>
    <row r="26" spans="2:7" ht="12.75" customHeight="1" x14ac:dyDescent="0.2">
      <c r="B26" s="254" t="str">
        <f>DFIE!$B46</f>
        <v>Graubünden</v>
      </c>
      <c r="C26" s="255">
        <f>RP!I26</f>
        <v>83.310043789628381</v>
      </c>
      <c r="D26" s="256">
        <f>RP!G26</f>
        <v>203695.5</v>
      </c>
      <c r="E26" s="256">
        <f t="shared" si="0"/>
        <v>0</v>
      </c>
      <c r="F26" s="257">
        <f t="shared" si="1"/>
        <v>0</v>
      </c>
      <c r="G26" s="131">
        <f>DOT!$F$15/$E$35*E26</f>
        <v>0</v>
      </c>
    </row>
    <row r="27" spans="2:7" ht="12.75" customHeight="1" x14ac:dyDescent="0.2">
      <c r="B27" s="245" t="str">
        <f>DFIE!$B47</f>
        <v>Aargau</v>
      </c>
      <c r="C27" s="248">
        <f>RP!I27</f>
        <v>83.832540919189853</v>
      </c>
      <c r="D27" s="247">
        <f>RP!G27</f>
        <v>646230.5</v>
      </c>
      <c r="E27" s="247">
        <f t="shared" si="0"/>
        <v>0</v>
      </c>
      <c r="F27" s="207">
        <f t="shared" si="1"/>
        <v>0</v>
      </c>
      <c r="G27" s="116">
        <f>DOT!$F$15/$E$35*E27</f>
        <v>0</v>
      </c>
    </row>
    <row r="28" spans="2:7" ht="12.75" customHeight="1" x14ac:dyDescent="0.2">
      <c r="B28" s="254" t="str">
        <f>DFIE!$B48</f>
        <v>Thurgau</v>
      </c>
      <c r="C28" s="255">
        <f>RP!I28</f>
        <v>78.381676367037997</v>
      </c>
      <c r="D28" s="256">
        <f>RP!G28</f>
        <v>264242</v>
      </c>
      <c r="E28" s="256">
        <f t="shared" si="0"/>
        <v>0</v>
      </c>
      <c r="F28" s="257">
        <f t="shared" si="1"/>
        <v>0</v>
      </c>
      <c r="G28" s="131">
        <f>DOT!$F$15/$E$35*E28</f>
        <v>0</v>
      </c>
    </row>
    <row r="29" spans="2:7" ht="12.75" customHeight="1" x14ac:dyDescent="0.2">
      <c r="B29" s="245" t="str">
        <f>DFIE!$B49</f>
        <v>Tessin</v>
      </c>
      <c r="C29" s="248">
        <f>RP!I29</f>
        <v>97.147186264078996</v>
      </c>
      <c r="D29" s="247">
        <f>RP!G29</f>
        <v>350414.33333333331</v>
      </c>
      <c r="E29" s="247">
        <f t="shared" si="0"/>
        <v>0</v>
      </c>
      <c r="F29" s="207">
        <f t="shared" si="1"/>
        <v>0</v>
      </c>
      <c r="G29" s="116">
        <f>DOT!$F$15/$E$35*E29</f>
        <v>0</v>
      </c>
    </row>
    <row r="30" spans="2:7" ht="12.75" customHeight="1" x14ac:dyDescent="0.2">
      <c r="B30" s="254" t="str">
        <f>DFIE!$B50</f>
        <v>Waadt</v>
      </c>
      <c r="C30" s="255">
        <f>RP!I30</f>
        <v>99.611867182051867</v>
      </c>
      <c r="D30" s="256">
        <f>RP!G30</f>
        <v>764900.33333333337</v>
      </c>
      <c r="E30" s="256">
        <f t="shared" si="0"/>
        <v>0</v>
      </c>
      <c r="F30" s="257">
        <f t="shared" si="1"/>
        <v>0</v>
      </c>
      <c r="G30" s="131">
        <f>DOT!$F$15/$E$35*E30</f>
        <v>0</v>
      </c>
    </row>
    <row r="31" spans="2:7" ht="12.75" customHeight="1" x14ac:dyDescent="0.2">
      <c r="B31" s="245" t="str">
        <f>DFIE!$B51</f>
        <v>Wallis</v>
      </c>
      <c r="C31" s="248">
        <f>RP!I31</f>
        <v>66.095679522394676</v>
      </c>
      <c r="D31" s="247">
        <f>RP!G31</f>
        <v>337516.66666666669</v>
      </c>
      <c r="E31" s="247">
        <f t="shared" si="0"/>
        <v>0</v>
      </c>
      <c r="F31" s="207">
        <f t="shared" si="1"/>
        <v>0</v>
      </c>
      <c r="G31" s="116">
        <f>DOT!$F$15/$E$35*E31</f>
        <v>0</v>
      </c>
    </row>
    <row r="32" spans="2:7" ht="12.75" customHeight="1" x14ac:dyDescent="0.2">
      <c r="B32" s="254" t="str">
        <f>DFIE!$B52</f>
        <v>Neuenburg</v>
      </c>
      <c r="C32" s="255">
        <f>RP!I32</f>
        <v>90.547248505320923</v>
      </c>
      <c r="D32" s="256">
        <f>RP!G32</f>
        <v>178204</v>
      </c>
      <c r="E32" s="256">
        <f t="shared" si="0"/>
        <v>0</v>
      </c>
      <c r="F32" s="257">
        <f t="shared" si="1"/>
        <v>0</v>
      </c>
      <c r="G32" s="131">
        <f>DOT!$F$15/$E$35*E32</f>
        <v>0</v>
      </c>
    </row>
    <row r="33" spans="2:7" ht="12.75" customHeight="1" x14ac:dyDescent="0.2">
      <c r="B33" s="245" t="str">
        <f>DFIE!$B53</f>
        <v>Genf</v>
      </c>
      <c r="C33" s="248">
        <f>RP!I33</f>
        <v>145.32811250149109</v>
      </c>
      <c r="D33" s="247">
        <f>RP!G33</f>
        <v>477338</v>
      </c>
      <c r="E33" s="247">
        <f t="shared" si="0"/>
        <v>21636830.565236755</v>
      </c>
      <c r="F33" s="207">
        <f t="shared" si="1"/>
        <v>833.83177652376139</v>
      </c>
      <c r="G33" s="116">
        <f>DOT!$F$15/$E$35*E33</f>
        <v>398019592.54229921</v>
      </c>
    </row>
    <row r="34" spans="2:7" ht="12.75" customHeight="1" x14ac:dyDescent="0.2">
      <c r="B34" s="254" t="str">
        <f>DFIE!$B54</f>
        <v>Jura</v>
      </c>
      <c r="C34" s="255">
        <f>RP!I34</f>
        <v>65.233572767903297</v>
      </c>
      <c r="D34" s="256">
        <f>RP!G34</f>
        <v>72394.833333333328</v>
      </c>
      <c r="E34" s="256">
        <f t="shared" si="0"/>
        <v>0</v>
      </c>
      <c r="F34" s="257">
        <f t="shared" si="1"/>
        <v>0</v>
      </c>
      <c r="G34" s="131">
        <f>DOT!$F$15/$E$35*E34</f>
        <v>0</v>
      </c>
    </row>
    <row r="35" spans="2:7" ht="12.75" customHeight="1" x14ac:dyDescent="0.2">
      <c r="B35" s="139" t="str">
        <f>DFIE!$B55</f>
        <v>Schweiz</v>
      </c>
      <c r="C35" s="249">
        <f>RP!H35/RP!H$35*100</f>
        <v>100</v>
      </c>
      <c r="D35" s="119">
        <f>SUM(D9:D34)</f>
        <v>8273515.833333333</v>
      </c>
      <c r="E35" s="119">
        <f>SUM(E9:E34)</f>
        <v>93106492.743416131</v>
      </c>
      <c r="F35" s="118"/>
      <c r="G35" s="117">
        <f>SUM(G9:G34)</f>
        <v>1712737371.2634852</v>
      </c>
    </row>
  </sheetData>
  <conditionalFormatting sqref="C35">
    <cfRule type="expression" dxfId="5" priority="1" stopIfTrue="1">
      <formula>ISBLANK(C35)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G37"/>
  <sheetViews>
    <sheetView showGridLines="0" workbookViewId="0">
      <selection activeCell="A114" sqref="A114"/>
    </sheetView>
  </sheetViews>
  <sheetFormatPr baseColWidth="10" defaultColWidth="9.140625" defaultRowHeight="12.75" x14ac:dyDescent="0.2"/>
  <cols>
    <col min="1" max="1" width="1.42578125" customWidth="1"/>
    <col min="2" max="2" width="17.28515625" customWidth="1"/>
    <col min="3" max="7" width="16.7109375" customWidth="1"/>
  </cols>
  <sheetData>
    <row r="1" spans="1:7" ht="18" customHeight="1" x14ac:dyDescent="0.2">
      <c r="B1" s="123" t="str">
        <f>DFIE!B187</f>
        <v>Auszahlungen an die ressourcenschwachen Kantone 2019</v>
      </c>
      <c r="C1" s="165"/>
      <c r="D1" s="165"/>
      <c r="E1" s="162"/>
      <c r="F1" s="169"/>
    </row>
    <row r="2" spans="1:7" ht="12.75" customHeight="1" x14ac:dyDescent="0.2">
      <c r="A2" s="166"/>
      <c r="B2" s="52"/>
      <c r="C2" s="166"/>
      <c r="D2" s="166"/>
      <c r="E2" s="167"/>
      <c r="F2" s="168"/>
    </row>
    <row r="3" spans="1:7" ht="0.75" customHeight="1" x14ac:dyDescent="0.2">
      <c r="A3" s="166"/>
      <c r="B3" s="166"/>
      <c r="C3" s="166"/>
      <c r="D3" s="166"/>
      <c r="E3" s="166"/>
      <c r="F3" s="166"/>
      <c r="G3" s="166"/>
    </row>
    <row r="4" spans="1:7" ht="0.75" customHeight="1" x14ac:dyDescent="0.2">
      <c r="A4" s="166"/>
      <c r="B4" s="166"/>
      <c r="C4" s="166"/>
      <c r="D4" s="166"/>
      <c r="E4" s="166"/>
      <c r="F4" s="166"/>
      <c r="G4" s="166"/>
    </row>
    <row r="5" spans="1:7" ht="0.75" customHeight="1" x14ac:dyDescent="0.2">
      <c r="A5" s="166"/>
      <c r="B5" s="166"/>
      <c r="C5" s="166"/>
      <c r="D5" s="166"/>
      <c r="E5" s="166"/>
      <c r="F5" s="166"/>
      <c r="G5" s="166"/>
    </row>
    <row r="6" spans="1:7" ht="12" customHeight="1" x14ac:dyDescent="0.2">
      <c r="B6" s="37" t="str">
        <f>DFIE!B56</f>
        <v>Spalte</v>
      </c>
      <c r="C6" s="262" t="s">
        <v>30</v>
      </c>
      <c r="D6" s="38" t="s">
        <v>31</v>
      </c>
      <c r="E6" s="38" t="s">
        <v>32</v>
      </c>
      <c r="F6" s="126" t="s">
        <v>44</v>
      </c>
      <c r="G6" s="124" t="s">
        <v>43</v>
      </c>
    </row>
    <row r="7" spans="1:7" ht="45" customHeight="1" x14ac:dyDescent="0.2">
      <c r="B7" s="246"/>
      <c r="C7" s="258" t="str">
        <f>DFIE!B188</f>
        <v>Ressourcen-
index</v>
      </c>
      <c r="D7" s="77" t="str">
        <f>DFIE!B189</f>
        <v>Massgebende
Wohn-
bevölkerung</v>
      </c>
      <c r="E7" s="77" t="str">
        <f>DFIE!B190</f>
        <v>Summe der
gewichteten
Abweichungen</v>
      </c>
      <c r="F7" s="251" t="str">
        <f>DFIE!B191</f>
        <v>Auszahlung
pro Einwohner</v>
      </c>
      <c r="G7" s="250" t="str">
        <f>DFIE!B192</f>
        <v>Auszahlung</v>
      </c>
    </row>
    <row r="8" spans="1:7" x14ac:dyDescent="0.2">
      <c r="B8" s="37" t="str">
        <f>DFIE!B59</f>
        <v>Einheit</v>
      </c>
      <c r="C8" s="263" t="str">
        <f>DFIE!B63</f>
        <v>Punkte</v>
      </c>
      <c r="D8" s="43" t="str">
        <f>DFIE!B62</f>
        <v>Anzahl</v>
      </c>
      <c r="E8" s="43"/>
      <c r="F8" s="129" t="str">
        <f>DFIE!$B$60</f>
        <v>CHF</v>
      </c>
      <c r="G8" s="128" t="str">
        <f>DFIE!$B$60</f>
        <v>CHF</v>
      </c>
    </row>
    <row r="9" spans="1:7" ht="12.75" customHeight="1" x14ac:dyDescent="0.2">
      <c r="B9" s="245" t="str">
        <f>DFIE!$B29</f>
        <v>Zürich</v>
      </c>
      <c r="C9" s="259">
        <f>EINZ!C9</f>
        <v>120.50025231564906</v>
      </c>
      <c r="D9" s="247">
        <f>RP!G9</f>
        <v>1450187.1666666667</v>
      </c>
      <c r="E9" s="247">
        <f t="shared" ref="E9:E34" si="0">IF(C9&lt;100,(100-C9)^(1+$E$37)*D9,0)</f>
        <v>0</v>
      </c>
      <c r="F9" s="207">
        <f>IF(C9&lt;100,DOT!$G$15/$E$35*(100-C9)^(1+$E$37),0)</f>
        <v>0</v>
      </c>
      <c r="G9" s="116">
        <f>F9*D9</f>
        <v>0</v>
      </c>
    </row>
    <row r="10" spans="1:7" x14ac:dyDescent="0.2">
      <c r="B10" s="254" t="str">
        <f>DFIE!$B30</f>
        <v>Bern</v>
      </c>
      <c r="C10" s="264">
        <f>EINZ!C10</f>
        <v>76.61514442348377</v>
      </c>
      <c r="D10" s="256">
        <f>RP!G10</f>
        <v>1013156.6666666666</v>
      </c>
      <c r="E10" s="256">
        <f t="shared" si="0"/>
        <v>120563276.02792533</v>
      </c>
      <c r="F10" s="257">
        <f>IF(C10&lt;100,DOT!$G$15/$E$35*(100-C10)^(1+$E$37),0)</f>
        <v>1104.0777773397642</v>
      </c>
      <c r="G10" s="131">
        <f t="shared" ref="G10:G34" si="1">F10*D10</f>
        <v>1118603760.6302977</v>
      </c>
    </row>
    <row r="11" spans="1:7" x14ac:dyDescent="0.2">
      <c r="B11" s="245" t="str">
        <f>DFIE!$B31</f>
        <v>Luzern</v>
      </c>
      <c r="C11" s="259">
        <f>EINZ!C11</f>
        <v>88.953267971567712</v>
      </c>
      <c r="D11" s="247">
        <f>RP!G11</f>
        <v>395831.66666666669</v>
      </c>
      <c r="E11" s="247">
        <f t="shared" si="0"/>
        <v>15108832.427861892</v>
      </c>
      <c r="F11" s="207">
        <f>IF(C11&lt;100,DOT!$G$15/$E$35*(100-C11)^(1+$E$37),0)</f>
        <v>354.14539919940165</v>
      </c>
      <c r="G11" s="116">
        <f t="shared" si="1"/>
        <v>140181963.60743117</v>
      </c>
    </row>
    <row r="12" spans="1:7" x14ac:dyDescent="0.2">
      <c r="B12" s="254" t="str">
        <f>DFIE!$B32</f>
        <v>Uri</v>
      </c>
      <c r="C12" s="264">
        <f>EINZ!C12</f>
        <v>70.115914841445331</v>
      </c>
      <c r="D12" s="256">
        <f>RP!G12</f>
        <v>36425</v>
      </c>
      <c r="E12" s="256">
        <f t="shared" si="0"/>
        <v>6286633.6188812107</v>
      </c>
      <c r="F12" s="257">
        <f>IF(C12&lt;100,DOT!$G$15/$E$35*(100-C12)^(1+$E$37),0)</f>
        <v>1601.3262570635918</v>
      </c>
      <c r="G12" s="131">
        <f t="shared" si="1"/>
        <v>58328308.913541332</v>
      </c>
    </row>
    <row r="13" spans="1:7" x14ac:dyDescent="0.2">
      <c r="B13" s="245" t="str">
        <f>DFIE!$B33</f>
        <v>Schwyz</v>
      </c>
      <c r="C13" s="259">
        <f>EINZ!C13</f>
        <v>172.3604125556482</v>
      </c>
      <c r="D13" s="247">
        <f>RP!G13</f>
        <v>153538.33333333334</v>
      </c>
      <c r="E13" s="247">
        <f t="shared" si="0"/>
        <v>0</v>
      </c>
      <c r="F13" s="207">
        <f>IF(C13&lt;100,DOT!$G$15/$E$35*(100-C13)^(1+$E$37),0)</f>
        <v>0</v>
      </c>
      <c r="G13" s="116">
        <f t="shared" si="1"/>
        <v>0</v>
      </c>
    </row>
    <row r="14" spans="1:7" x14ac:dyDescent="0.2">
      <c r="B14" s="254" t="str">
        <f>DFIE!$B34</f>
        <v>Obwalden</v>
      </c>
      <c r="C14" s="264">
        <f>EINZ!C14</f>
        <v>119.34175629858154</v>
      </c>
      <c r="D14" s="256">
        <f>RP!G14</f>
        <v>37045</v>
      </c>
      <c r="E14" s="256">
        <f t="shared" si="0"/>
        <v>0</v>
      </c>
      <c r="F14" s="257">
        <f>IF(C14&lt;100,DOT!$G$15/$E$35*(100-C14)^(1+$E$37),0)</f>
        <v>0</v>
      </c>
      <c r="G14" s="131">
        <f t="shared" si="1"/>
        <v>0</v>
      </c>
    </row>
    <row r="15" spans="1:7" x14ac:dyDescent="0.2">
      <c r="B15" s="245" t="str">
        <f>DFIE!$B35</f>
        <v>Nidwalden</v>
      </c>
      <c r="C15" s="259">
        <f>EINZ!C15</f>
        <v>159.48943384682772</v>
      </c>
      <c r="D15" s="247">
        <f>RP!G15</f>
        <v>42343.666666666664</v>
      </c>
      <c r="E15" s="247">
        <f t="shared" si="0"/>
        <v>0</v>
      </c>
      <c r="F15" s="207">
        <f>IF(C15&lt;100,DOT!$G$15/$E$35*(100-C15)^(1+$E$37),0)</f>
        <v>0</v>
      </c>
      <c r="G15" s="116">
        <f t="shared" si="1"/>
        <v>0</v>
      </c>
    </row>
    <row r="16" spans="1:7" x14ac:dyDescent="0.2">
      <c r="B16" s="254" t="str">
        <f>DFIE!$B36</f>
        <v>Glarus</v>
      </c>
      <c r="C16" s="264">
        <f>EINZ!C16</f>
        <v>71.191340664691396</v>
      </c>
      <c r="D16" s="256">
        <f>RP!G16</f>
        <v>40283.666666666664</v>
      </c>
      <c r="E16" s="256">
        <f t="shared" si="0"/>
        <v>6576802.8448702442</v>
      </c>
      <c r="F16" s="257">
        <f>IF(C16&lt;100,DOT!$G$15/$E$35*(100-C16)^(1+$E$37),0)</f>
        <v>1514.7712859069054</v>
      </c>
      <c r="G16" s="131">
        <f t="shared" si="1"/>
        <v>61020541.557711802</v>
      </c>
    </row>
    <row r="17" spans="2:7" x14ac:dyDescent="0.2">
      <c r="B17" s="245" t="str">
        <f>DFIE!$B37</f>
        <v>Zug</v>
      </c>
      <c r="C17" s="259">
        <f>EINZ!C17</f>
        <v>247.65633140647125</v>
      </c>
      <c r="D17" s="247">
        <f>RP!G17</f>
        <v>120816.16666666667</v>
      </c>
      <c r="E17" s="247">
        <f t="shared" si="0"/>
        <v>0</v>
      </c>
      <c r="F17" s="207">
        <f>IF(C17&lt;100,DOT!$G$15/$E$35*(100-C17)^(1+$E$37),0)</f>
        <v>0</v>
      </c>
      <c r="G17" s="116">
        <f t="shared" si="1"/>
        <v>0</v>
      </c>
    </row>
    <row r="18" spans="2:7" x14ac:dyDescent="0.2">
      <c r="B18" s="254" t="str">
        <f>DFIE!$B38</f>
        <v>Freiburg</v>
      </c>
      <c r="C18" s="264">
        <f>EINZ!C18</f>
        <v>79.913961150061226</v>
      </c>
      <c r="D18" s="256">
        <f>RP!G18</f>
        <v>302305</v>
      </c>
      <c r="E18" s="256">
        <f t="shared" si="0"/>
        <v>28566383.724934179</v>
      </c>
      <c r="F18" s="257">
        <f>IF(C18&lt;100,DOT!$G$15/$E$35*(100-C18)^(1+$E$37),0)</f>
        <v>876.74070443428161</v>
      </c>
      <c r="G18" s="131">
        <f t="shared" si="1"/>
        <v>265043098.6540055</v>
      </c>
    </row>
    <row r="19" spans="2:7" x14ac:dyDescent="0.2">
      <c r="B19" s="245" t="str">
        <f>DFIE!$B39</f>
        <v>Solothurn</v>
      </c>
      <c r="C19" s="259">
        <f>EINZ!C19</f>
        <v>72.982232175509864</v>
      </c>
      <c r="D19" s="247">
        <f>RP!G19</f>
        <v>264772.83333333331</v>
      </c>
      <c r="E19" s="247">
        <f t="shared" si="0"/>
        <v>39219147.345866404</v>
      </c>
      <c r="F19" s="207">
        <f>IF(C19&lt;100,DOT!$G$15/$E$35*(100-C19)^(1+$E$37),0)</f>
        <v>1374.3139642423691</v>
      </c>
      <c r="G19" s="116">
        <f t="shared" si="1"/>
        <v>363881002.20201743</v>
      </c>
    </row>
    <row r="20" spans="2:7" x14ac:dyDescent="0.2">
      <c r="B20" s="254" t="str">
        <f>DFIE!$B40</f>
        <v>Basel-Stadt</v>
      </c>
      <c r="C20" s="264">
        <f>EINZ!C20</f>
        <v>149.45441668678237</v>
      </c>
      <c r="D20" s="256">
        <f>RP!G20</f>
        <v>193219.83333333334</v>
      </c>
      <c r="E20" s="256">
        <f t="shared" si="0"/>
        <v>0</v>
      </c>
      <c r="F20" s="257">
        <f>IF(C20&lt;100,DOT!$G$15/$E$35*(100-C20)^(1+$E$37),0)</f>
        <v>0</v>
      </c>
      <c r="G20" s="131">
        <f t="shared" si="1"/>
        <v>0</v>
      </c>
    </row>
    <row r="21" spans="2:7" x14ac:dyDescent="0.2">
      <c r="B21" s="245" t="str">
        <f>DFIE!$B41</f>
        <v>Basel-Landschaft</v>
      </c>
      <c r="C21" s="259">
        <f>EINZ!C21</f>
        <v>96.803218732349791</v>
      </c>
      <c r="D21" s="247">
        <f>RP!G21</f>
        <v>281425</v>
      </c>
      <c r="E21" s="247">
        <f t="shared" si="0"/>
        <v>1639055.0166886745</v>
      </c>
      <c r="F21" s="207">
        <f>IF(C21&lt;100,DOT!$G$15/$E$35*(100-C21)^(1+$E$37),0)</f>
        <v>54.03710715379863</v>
      </c>
      <c r="G21" s="116">
        <f t="shared" si="1"/>
        <v>15207392.880757779</v>
      </c>
    </row>
    <row r="22" spans="2:7" x14ac:dyDescent="0.2">
      <c r="B22" s="254" t="str">
        <f>DFIE!$B42</f>
        <v>Schaffhausen</v>
      </c>
      <c r="C22" s="264">
        <f>EINZ!C22</f>
        <v>91.679373181965119</v>
      </c>
      <c r="D22" s="256">
        <f>RP!G22</f>
        <v>79925.666666666672</v>
      </c>
      <c r="E22" s="256">
        <f t="shared" si="0"/>
        <v>1985179.3192480828</v>
      </c>
      <c r="F22" s="257">
        <f>IF(C22&lt;100,DOT!$G$15/$E$35*(100-C22)^(1+$E$37),0)</f>
        <v>230.44893713949293</v>
      </c>
      <c r="G22" s="131">
        <f t="shared" si="1"/>
        <v>18418784.933498733</v>
      </c>
    </row>
    <row r="23" spans="2:7" x14ac:dyDescent="0.2">
      <c r="B23" s="245" t="str">
        <f>DFIE!$B43</f>
        <v>Appenzell A.Rh.</v>
      </c>
      <c r="C23" s="259">
        <f>EINZ!C23</f>
        <v>85.271328845800298</v>
      </c>
      <c r="D23" s="247">
        <f>RP!G23</f>
        <v>54175.5</v>
      </c>
      <c r="E23" s="247">
        <f t="shared" si="0"/>
        <v>3198439.1874645478</v>
      </c>
      <c r="F23" s="207">
        <f>IF(C23&lt;100,DOT!$G$15/$E$35*(100-C23)^(1+$E$37),0)</f>
        <v>547.76768033663382</v>
      </c>
      <c r="G23" s="116">
        <f t="shared" si="1"/>
        <v>29675587.966077305</v>
      </c>
    </row>
    <row r="24" spans="2:7" x14ac:dyDescent="0.2">
      <c r="B24" s="254" t="str">
        <f>DFIE!$B44</f>
        <v>Appenzell I.Rh.</v>
      </c>
      <c r="C24" s="264">
        <f>EINZ!C24</f>
        <v>88.847447730964575</v>
      </c>
      <c r="D24" s="256">
        <f>RP!G24</f>
        <v>15915.5</v>
      </c>
      <c r="E24" s="256">
        <f t="shared" si="0"/>
        <v>616337.05962934089</v>
      </c>
      <c r="F24" s="257">
        <f>IF(C24&lt;100,DOT!$G$15/$E$35*(100-C24)^(1+$E$37),0)</f>
        <v>359.30166509564782</v>
      </c>
      <c r="G24" s="131">
        <f t="shared" si="1"/>
        <v>5718465.6508297827</v>
      </c>
    </row>
    <row r="25" spans="2:7" x14ac:dyDescent="0.2">
      <c r="B25" s="245" t="str">
        <f>DFIE!$B45</f>
        <v>St. Gallen</v>
      </c>
      <c r="C25" s="259">
        <f>EINZ!C25</f>
        <v>78.831636511909807</v>
      </c>
      <c r="D25" s="247">
        <f>RP!G25</f>
        <v>497213</v>
      </c>
      <c r="E25" s="247">
        <f t="shared" si="0"/>
        <v>50875707.757110782</v>
      </c>
      <c r="F25" s="207">
        <f>IF(C25&lt;100,DOT!$G$15/$E$35*(100-C25)^(1+$E$37),0)</f>
        <v>949.3562710936701</v>
      </c>
      <c r="G25" s="116">
        <f t="shared" si="1"/>
        <v>472032279.61929697</v>
      </c>
    </row>
    <row r="26" spans="2:7" x14ac:dyDescent="0.2">
      <c r="B26" s="254" t="str">
        <f>DFIE!$B46</f>
        <v>Graubünden</v>
      </c>
      <c r="C26" s="264">
        <f>EINZ!C26</f>
        <v>83.310043789628381</v>
      </c>
      <c r="D26" s="256">
        <f>RP!G26</f>
        <v>203695.5</v>
      </c>
      <c r="E26" s="256">
        <f t="shared" si="0"/>
        <v>14535566.947977673</v>
      </c>
      <c r="F26" s="257">
        <f>IF(C26&lt;100,DOT!$G$15/$E$35*(100-C26)^(1+$E$37),0)</f>
        <v>662.08199195232055</v>
      </c>
      <c r="G26" s="131">
        <f t="shared" si="1"/>
        <v>134863122.3917239</v>
      </c>
    </row>
    <row r="27" spans="2:7" x14ac:dyDescent="0.2">
      <c r="B27" s="245" t="str">
        <f>DFIE!$B47</f>
        <v>Aargau</v>
      </c>
      <c r="C27" s="259">
        <f>EINZ!C27</f>
        <v>83.832540919189853</v>
      </c>
      <c r="D27" s="247">
        <f>RP!G27</f>
        <v>646230.5</v>
      </c>
      <c r="E27" s="247">
        <f t="shared" si="0"/>
        <v>43943483.542795725</v>
      </c>
      <c r="F27" s="207">
        <f>IF(C27&lt;100,DOT!$G$15/$E$35*(100-C27)^(1+$E$37),0)</f>
        <v>630.91124058440141</v>
      </c>
      <c r="G27" s="116">
        <f t="shared" si="1"/>
        <v>407714086.45847803</v>
      </c>
    </row>
    <row r="28" spans="2:7" x14ac:dyDescent="0.2">
      <c r="B28" s="254" t="str">
        <f>DFIE!$B48</f>
        <v>Thurgau</v>
      </c>
      <c r="C28" s="264">
        <f>EINZ!C28</f>
        <v>78.381676367037997</v>
      </c>
      <c r="D28" s="256">
        <f>RP!G28</f>
        <v>264242</v>
      </c>
      <c r="E28" s="256">
        <f t="shared" si="0"/>
        <v>27913843.851114132</v>
      </c>
      <c r="F28" s="257">
        <f>IF(C28&lt;100,DOT!$G$15/$E$35*(100-C28)^(1+$E$37),0)</f>
        <v>980.11950402456307</v>
      </c>
      <c r="G28" s="131">
        <f t="shared" si="1"/>
        <v>258988737.98245859</v>
      </c>
    </row>
    <row r="29" spans="2:7" x14ac:dyDescent="0.2">
      <c r="B29" s="245" t="str">
        <f>DFIE!$B49</f>
        <v>Tessin</v>
      </c>
      <c r="C29" s="259">
        <f>EINZ!C29</f>
        <v>97.147186264078996</v>
      </c>
      <c r="D29" s="247">
        <f>RP!G29</f>
        <v>350414.33333333331</v>
      </c>
      <c r="E29" s="247">
        <f t="shared" si="0"/>
        <v>1717330.9574830325</v>
      </c>
      <c r="F29" s="207">
        <f>IF(C29&lt;100,DOT!$G$15/$E$35*(100-C29)^(1+$E$37),0)</f>
        <v>45.470881257385749</v>
      </c>
      <c r="G29" s="116">
        <f t="shared" si="1"/>
        <v>15933648.541885989</v>
      </c>
    </row>
    <row r="30" spans="2:7" x14ac:dyDescent="0.2">
      <c r="B30" s="254" t="str">
        <f>DFIE!$B50</f>
        <v>Waadt</v>
      </c>
      <c r="C30" s="264">
        <f>EINZ!C30</f>
        <v>99.611867182051867</v>
      </c>
      <c r="D30" s="256">
        <f>RP!G30</f>
        <v>764900.33333333337</v>
      </c>
      <c r="E30" s="256">
        <f t="shared" si="0"/>
        <v>182149.92384489553</v>
      </c>
      <c r="F30" s="257">
        <f>IF(C30&lt;100,DOT!$G$15/$E$35*(100-C30)^(1+$E$37),0)</f>
        <v>2.2094561077874362</v>
      </c>
      <c r="G30" s="131">
        <f t="shared" si="1"/>
        <v>1690013.7133319792</v>
      </c>
    </row>
    <row r="31" spans="2:7" x14ac:dyDescent="0.2">
      <c r="B31" s="245" t="str">
        <f>DFIE!$B51</f>
        <v>Wallis</v>
      </c>
      <c r="C31" s="259">
        <f>EINZ!C31</f>
        <v>66.095679522394676</v>
      </c>
      <c r="D31" s="247">
        <f>RP!G31</f>
        <v>337516.66666666669</v>
      </c>
      <c r="E31" s="247">
        <f t="shared" si="0"/>
        <v>70537947.914054066</v>
      </c>
      <c r="F31" s="207">
        <f>IF(C31&lt;100,DOT!$G$15/$E$35*(100-C31)^(1+$E$37),0)</f>
        <v>1939.0492165859234</v>
      </c>
      <c r="G31" s="116">
        <f t="shared" si="1"/>
        <v>654461428.08469224</v>
      </c>
    </row>
    <row r="32" spans="2:7" x14ac:dyDescent="0.2">
      <c r="B32" s="254" t="str">
        <f>DFIE!$B52</f>
        <v>Neuenburg</v>
      </c>
      <c r="C32" s="264">
        <f>EINZ!C32</f>
        <v>90.547248505320923</v>
      </c>
      <c r="D32" s="256">
        <f>RP!G32</f>
        <v>178204</v>
      </c>
      <c r="E32" s="256">
        <f t="shared" si="0"/>
        <v>5370690.1868092986</v>
      </c>
      <c r="F32" s="257">
        <f>IF(C32&lt;100,DOT!$G$15/$E$35*(100-C32)^(1+$E$37),0)</f>
        <v>279.623641385116</v>
      </c>
      <c r="G32" s="131">
        <f t="shared" si="1"/>
        <v>49830051.38939321</v>
      </c>
    </row>
    <row r="33" spans="2:7" x14ac:dyDescent="0.2">
      <c r="B33" s="245" t="str">
        <f>DFIE!$B53</f>
        <v>Genf</v>
      </c>
      <c r="C33" s="259">
        <f>EINZ!C33</f>
        <v>145.32811250149109</v>
      </c>
      <c r="D33" s="247">
        <f>RP!G33</f>
        <v>477338</v>
      </c>
      <c r="E33" s="247">
        <f t="shared" si="0"/>
        <v>0</v>
      </c>
      <c r="F33" s="207">
        <f>IF(C33&lt;100,DOT!$G$15/$E$35*(100-C33)^(1+$E$37),0)</f>
        <v>0</v>
      </c>
      <c r="G33" s="116">
        <f t="shared" si="1"/>
        <v>0</v>
      </c>
    </row>
    <row r="34" spans="2:7" x14ac:dyDescent="0.2">
      <c r="B34" s="254" t="str">
        <f>DFIE!$B54</f>
        <v>Jura</v>
      </c>
      <c r="C34" s="264">
        <f>EINZ!C34</f>
        <v>65.233572767903297</v>
      </c>
      <c r="D34" s="256">
        <f>RP!G34</f>
        <v>72394.833333333328</v>
      </c>
      <c r="E34" s="256">
        <f t="shared" si="0"/>
        <v>15716977.724196147</v>
      </c>
      <c r="F34" s="257">
        <f>IF(C34&lt;100,DOT!$G$15/$E$35*(100-C34)^(1+$E$37),0)</f>
        <v>2014.2932604777693</v>
      </c>
      <c r="G34" s="131">
        <f t="shared" si="1"/>
        <v>145824424.87674469</v>
      </c>
    </row>
    <row r="35" spans="2:7" x14ac:dyDescent="0.2">
      <c r="B35" s="139" t="str">
        <f>DFIE!$B55</f>
        <v>Schweiz</v>
      </c>
      <c r="C35" s="260">
        <f>EINZ!C35</f>
        <v>100</v>
      </c>
      <c r="D35" s="119">
        <f>SUM(D9:D34)</f>
        <v>8273515.833333333</v>
      </c>
      <c r="E35" s="119">
        <f>SUM(E9:E34)</f>
        <v>454553785.37875563</v>
      </c>
      <c r="F35" s="118"/>
      <c r="G35" s="117">
        <f>SUM(G9:G34)</f>
        <v>4217416700.0541744</v>
      </c>
    </row>
    <row r="36" spans="2:7" ht="7.5" customHeight="1" x14ac:dyDescent="0.2"/>
    <row r="37" spans="2:7" ht="15" customHeight="1" x14ac:dyDescent="0.2">
      <c r="C37" s="378" t="str">
        <f>DFIE!B193</f>
        <v>Progressionsmass p</v>
      </c>
      <c r="D37" s="379"/>
      <c r="E37" s="261">
        <v>0.51617052731200896</v>
      </c>
    </row>
  </sheetData>
  <mergeCells count="1">
    <mergeCell ref="C37:D37"/>
  </mergeCells>
  <conditionalFormatting sqref="E37">
    <cfRule type="expression" dxfId="4" priority="1" stopIfTrue="1">
      <formula>ISBLANK(E37)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J38"/>
  <sheetViews>
    <sheetView showGridLines="0" zoomScaleNormal="100" workbookViewId="0">
      <selection activeCell="A114" sqref="A114"/>
    </sheetView>
  </sheetViews>
  <sheetFormatPr baseColWidth="10" defaultColWidth="9.140625" defaultRowHeight="12.75" x14ac:dyDescent="0.2"/>
  <cols>
    <col min="1" max="1" width="1.42578125" customWidth="1"/>
    <col min="2" max="2" width="16.7109375" customWidth="1"/>
    <col min="3" max="3" width="15.28515625" customWidth="1"/>
    <col min="4" max="4" width="17.42578125" customWidth="1"/>
    <col min="5" max="5" width="16.7109375" customWidth="1"/>
    <col min="6" max="6" width="19.140625" customWidth="1"/>
    <col min="7" max="7" width="15.140625" customWidth="1"/>
    <col min="8" max="8" width="18.5703125" customWidth="1"/>
    <col min="9" max="9" width="15.7109375" customWidth="1"/>
    <col min="10" max="10" width="13.42578125" customWidth="1"/>
  </cols>
  <sheetData>
    <row r="1" spans="1:10" ht="18" customHeight="1" x14ac:dyDescent="0.2">
      <c r="B1" s="123" t="str">
        <f>DFIE!B194</f>
        <v>Standardisierter Steuerertrag (SSE) 2019</v>
      </c>
      <c r="C1" s="165"/>
      <c r="D1" s="165"/>
      <c r="E1" s="162"/>
      <c r="F1" s="169"/>
      <c r="G1" s="52"/>
      <c r="H1" s="52"/>
      <c r="I1" s="52"/>
      <c r="J1" s="52"/>
    </row>
    <row r="2" spans="1:10" ht="12.75" customHeight="1" x14ac:dyDescent="0.2">
      <c r="A2" s="166"/>
      <c r="B2" s="52"/>
      <c r="C2" s="166"/>
      <c r="D2" s="166"/>
      <c r="E2" s="167"/>
      <c r="F2" s="168"/>
    </row>
    <row r="3" spans="1:10" ht="0.75" customHeight="1" x14ac:dyDescent="0.2">
      <c r="A3" s="166"/>
      <c r="B3" s="52"/>
      <c r="C3" s="166"/>
      <c r="D3" s="166"/>
      <c r="E3" s="166"/>
      <c r="F3" s="166"/>
      <c r="G3" s="167"/>
      <c r="H3" s="167"/>
      <c r="I3" s="167"/>
      <c r="J3" s="168"/>
    </row>
    <row r="4" spans="1:10" ht="0.75" customHeight="1" x14ac:dyDescent="0.2">
      <c r="A4" s="166"/>
      <c r="B4" s="52"/>
      <c r="C4" s="166"/>
      <c r="D4" s="166"/>
      <c r="E4" s="166"/>
      <c r="F4" s="166"/>
      <c r="G4" s="167"/>
      <c r="H4" s="167"/>
      <c r="I4" s="167"/>
      <c r="J4" s="168"/>
    </row>
    <row r="5" spans="1:10" ht="12" customHeight="1" x14ac:dyDescent="0.2">
      <c r="B5" s="37" t="str">
        <f>DFIE!B56</f>
        <v>Spalte</v>
      </c>
      <c r="C5" s="83" t="s">
        <v>30</v>
      </c>
      <c r="D5" s="38" t="s">
        <v>31</v>
      </c>
      <c r="E5" s="38" t="s">
        <v>32</v>
      </c>
      <c r="F5" s="38" t="s">
        <v>44</v>
      </c>
      <c r="G5" s="38" t="s">
        <v>43</v>
      </c>
      <c r="H5" s="38" t="s">
        <v>33</v>
      </c>
      <c r="I5" s="124" t="s">
        <v>34</v>
      </c>
      <c r="J5" s="3"/>
    </row>
    <row r="6" spans="1:10" ht="12" customHeight="1" x14ac:dyDescent="0.2">
      <c r="B6" s="37" t="str">
        <f>DFIE!B57</f>
        <v>Formel</v>
      </c>
      <c r="C6" s="85"/>
      <c r="D6" s="142"/>
      <c r="E6" s="142"/>
      <c r="F6" s="142" t="s">
        <v>92</v>
      </c>
      <c r="G6" s="142"/>
      <c r="H6" s="142" t="s">
        <v>93</v>
      </c>
      <c r="I6" s="127" t="str">
        <f>DFIE!B202</f>
        <v>H / F[Schweiz]</v>
      </c>
      <c r="J6" s="283"/>
    </row>
    <row r="7" spans="1:10" ht="63.75" customHeight="1" x14ac:dyDescent="0.2">
      <c r="B7" s="246"/>
      <c r="C7" s="77" t="str">
        <f>DFIE!B195</f>
        <v>Ressourcen-
index</v>
      </c>
      <c r="D7" s="77" t="str">
        <f>DFIE!B196</f>
        <v>Standardisierter
Steuerertrag
(SSE)</v>
      </c>
      <c r="E7" s="77" t="str">
        <f>DFIE!B197</f>
        <v>Massgebende
Wohn-
bevölkerung</v>
      </c>
      <c r="F7" s="77" t="str">
        <f>DFIE!B198</f>
        <v>Standardisierter
Steuerertrag pro
Einwohner vor
Ausgleich</v>
      </c>
      <c r="G7" s="77" t="str">
        <f>DFIE!B199</f>
        <v>Ressourcen-
ausgleich pro
Einwohner</v>
      </c>
      <c r="H7" s="77" t="str">
        <f>DFIE!B200</f>
        <v>Standardisierter
Steuerertrag pro
Einwohner nach
Ausgleich</v>
      </c>
      <c r="I7" s="269" t="str">
        <f>DFIE!B201</f>
        <v>Index SSE
nach
Ausgleich</v>
      </c>
      <c r="J7" s="284"/>
    </row>
    <row r="8" spans="1:10" ht="12.75" customHeight="1" x14ac:dyDescent="0.2">
      <c r="B8" s="37" t="str">
        <f>DFIE!B59</f>
        <v>Einheit</v>
      </c>
      <c r="C8" s="200" t="str">
        <f>DFIE!B63</f>
        <v>Punkte</v>
      </c>
      <c r="D8" s="43" t="str">
        <f>DFIE!$B$60</f>
        <v>CHF</v>
      </c>
      <c r="E8" s="43" t="str">
        <f>DFIE!B62</f>
        <v>Anzahl</v>
      </c>
      <c r="F8" s="43" t="str">
        <f>DFIE!$B$60</f>
        <v>CHF</v>
      </c>
      <c r="G8" s="286" t="str">
        <f>DFIE!$B$60</f>
        <v>CHF</v>
      </c>
      <c r="H8" s="286" t="str">
        <f>DFIE!$B$60</f>
        <v>CHF</v>
      </c>
      <c r="I8" s="201" t="str">
        <f>DFIE!B63</f>
        <v>Punkte</v>
      </c>
      <c r="J8" s="270"/>
    </row>
    <row r="9" spans="1:10" x14ac:dyDescent="0.2">
      <c r="B9" s="267" t="str">
        <f>DFIE!$B29</f>
        <v>Zürich</v>
      </c>
      <c r="C9" s="151">
        <f>RP!I9</f>
        <v>120.50025231564906</v>
      </c>
      <c r="D9" s="73">
        <f>RP!H9/RP!$H$35*SST!$J$11*E9</f>
        <v>15350506182.815237</v>
      </c>
      <c r="E9" s="196">
        <f>RP!G9</f>
        <v>1450187.1666666667</v>
      </c>
      <c r="F9" s="73">
        <f t="shared" ref="F9:F35" si="0">D9/E9</f>
        <v>10585.189647002049</v>
      </c>
      <c r="G9" s="73">
        <f>IF(C9&gt;100,-EINZ!G9,AUSZ!G9)/E9</f>
        <v>-377.11170538991018</v>
      </c>
      <c r="H9" s="73">
        <f t="shared" ref="H9:H34" si="1">F9+G9</f>
        <v>10208.077941612139</v>
      </c>
      <c r="I9" s="178">
        <f t="shared" ref="I9:I34" si="2">ROUND(H9/F$35*100,1)</f>
        <v>116.2</v>
      </c>
      <c r="J9" s="285"/>
    </row>
    <row r="10" spans="1:10" x14ac:dyDescent="0.2">
      <c r="B10" s="268" t="str">
        <f>DFIE!$B30</f>
        <v>Bern</v>
      </c>
      <c r="C10" s="274">
        <f>RP!I10</f>
        <v>76.61514442348377</v>
      </c>
      <c r="D10" s="272">
        <f>RP!H10/RP!$H$35*SST!$J$11*E10</f>
        <v>6818705256.2029619</v>
      </c>
      <c r="E10" s="271">
        <f>RP!G10</f>
        <v>1013156.6666666666</v>
      </c>
      <c r="F10" s="272">
        <f t="shared" si="0"/>
        <v>6730.1588002542831</v>
      </c>
      <c r="G10" s="272">
        <f>IF(C10&gt;100,-EINZ!G10,AUSZ!G10)/E10</f>
        <v>1104.0777773397642</v>
      </c>
      <c r="H10" s="272">
        <f t="shared" si="1"/>
        <v>7834.236577594047</v>
      </c>
      <c r="I10" s="275">
        <f t="shared" si="2"/>
        <v>89.2</v>
      </c>
      <c r="J10" s="285"/>
    </row>
    <row r="11" spans="1:10" x14ac:dyDescent="0.2">
      <c r="B11" s="267" t="str">
        <f>DFIE!$B31</f>
        <v>Luzern</v>
      </c>
      <c r="C11" s="151">
        <f>RP!I11</f>
        <v>88.953267971567712</v>
      </c>
      <c r="D11" s="73">
        <f>RP!H11/RP!$H$35*SST!$J$11*E11</f>
        <v>3093022860.6066432</v>
      </c>
      <c r="E11" s="196">
        <f>RP!G11</f>
        <v>395831.66666666669</v>
      </c>
      <c r="F11" s="73">
        <f t="shared" si="0"/>
        <v>7813.9853909447447</v>
      </c>
      <c r="G11" s="73">
        <f>IF(C11&gt;100,-EINZ!G11,AUSZ!G11)/E11</f>
        <v>354.14539919940171</v>
      </c>
      <c r="H11" s="73">
        <f t="shared" si="1"/>
        <v>8168.1307901441469</v>
      </c>
      <c r="I11" s="178">
        <f t="shared" si="2"/>
        <v>93</v>
      </c>
      <c r="J11" s="285"/>
    </row>
    <row r="12" spans="1:10" x14ac:dyDescent="0.2">
      <c r="B12" s="287" t="str">
        <f>DFIE!$B32</f>
        <v>Uri</v>
      </c>
      <c r="C12" s="156">
        <f>RP!I12</f>
        <v>70.115914841445331</v>
      </c>
      <c r="D12" s="155">
        <f>RP!H12/RP!$H$35*SST!$J$11*E12</f>
        <v>224350402.18205887</v>
      </c>
      <c r="E12" s="203">
        <f>RP!G12</f>
        <v>36425</v>
      </c>
      <c r="F12" s="155">
        <f t="shared" si="0"/>
        <v>6159.2423385602988</v>
      </c>
      <c r="G12" s="155">
        <f>IF(C12&gt;100,-EINZ!G12,AUSZ!G12)/E12</f>
        <v>1601.3262570635918</v>
      </c>
      <c r="H12" s="155">
        <f t="shared" si="1"/>
        <v>7760.5685956238904</v>
      </c>
      <c r="I12" s="183">
        <f t="shared" si="2"/>
        <v>88.3</v>
      </c>
      <c r="J12" s="285"/>
    </row>
    <row r="13" spans="1:10" x14ac:dyDescent="0.2">
      <c r="B13" s="267" t="str">
        <f>DFIE!$B33</f>
        <v>Schwyz</v>
      </c>
      <c r="C13" s="151">
        <f>RP!I13</f>
        <v>172.3604125556482</v>
      </c>
      <c r="D13" s="73">
        <f>RP!H13/RP!$H$35*SST!$J$11*E13</f>
        <v>2324689928.1539106</v>
      </c>
      <c r="E13" s="196">
        <f>RP!G13</f>
        <v>153538.33333333334</v>
      </c>
      <c r="F13" s="73">
        <f t="shared" si="0"/>
        <v>15140.778707731472</v>
      </c>
      <c r="G13" s="73">
        <f>IF(C13&gt;100,-EINZ!G13,AUSZ!G13)/E13</f>
        <v>-1331.1035474791418</v>
      </c>
      <c r="H13" s="73">
        <f t="shared" si="1"/>
        <v>13809.675160252329</v>
      </c>
      <c r="I13" s="178">
        <f t="shared" si="2"/>
        <v>157.19999999999999</v>
      </c>
      <c r="J13" s="285"/>
    </row>
    <row r="14" spans="1:10" x14ac:dyDescent="0.2">
      <c r="B14" s="287" t="str">
        <f>DFIE!$B34</f>
        <v>Obwalden</v>
      </c>
      <c r="C14" s="156">
        <f>RP!I14</f>
        <v>119.34175629858154</v>
      </c>
      <c r="D14" s="155">
        <f>RP!H14/RP!$H$35*SST!$J$11*E14</f>
        <v>388358407.06251264</v>
      </c>
      <c r="E14" s="203">
        <f>RP!G14</f>
        <v>37045</v>
      </c>
      <c r="F14" s="155">
        <f t="shared" si="0"/>
        <v>10483.423054731074</v>
      </c>
      <c r="G14" s="155">
        <f>IF(C14&gt;100,-EINZ!G14,AUSZ!G14)/E14</f>
        <v>-355.80063067936857</v>
      </c>
      <c r="H14" s="155">
        <f t="shared" si="1"/>
        <v>10127.622424051706</v>
      </c>
      <c r="I14" s="183">
        <f t="shared" si="2"/>
        <v>115.3</v>
      </c>
      <c r="J14" s="285"/>
    </row>
    <row r="15" spans="1:10" x14ac:dyDescent="0.2">
      <c r="B15" s="267" t="str">
        <f>DFIE!$B35</f>
        <v>Nidwalden</v>
      </c>
      <c r="C15" s="151">
        <f>RP!I15</f>
        <v>159.48943384682772</v>
      </c>
      <c r="D15" s="73">
        <f>RP!H15/RP!$H$35*SST!$J$11*E15</f>
        <v>593240873.45583773</v>
      </c>
      <c r="E15" s="196">
        <f>RP!G15</f>
        <v>42343.666666666664</v>
      </c>
      <c r="F15" s="73">
        <f t="shared" si="0"/>
        <v>14010.144140938144</v>
      </c>
      <c r="G15" s="73">
        <f>IF(C15&gt;100,-EINZ!G15,AUSZ!G15)/E15</f>
        <v>-1094.3358893944987</v>
      </c>
      <c r="H15" s="73">
        <f t="shared" si="1"/>
        <v>12915.808251543645</v>
      </c>
      <c r="I15" s="178">
        <f t="shared" si="2"/>
        <v>147</v>
      </c>
      <c r="J15" s="285"/>
    </row>
    <row r="16" spans="1:10" x14ac:dyDescent="0.2">
      <c r="B16" s="287" t="str">
        <f>DFIE!$B36</f>
        <v>Glarus</v>
      </c>
      <c r="C16" s="156">
        <f>RP!I16</f>
        <v>71.191340664691396</v>
      </c>
      <c r="D16" s="155">
        <f>RP!H16/RP!$H$35*SST!$J$11*E16</f>
        <v>251922439.02342337</v>
      </c>
      <c r="E16" s="203">
        <f>RP!G16</f>
        <v>40283.666666666664</v>
      </c>
      <c r="F16" s="155">
        <f t="shared" si="0"/>
        <v>6253.7117365207587</v>
      </c>
      <c r="G16" s="155">
        <f>IF(C16&gt;100,-EINZ!G16,AUSZ!G16)/E16</f>
        <v>1514.7712859069054</v>
      </c>
      <c r="H16" s="155">
        <f t="shared" si="1"/>
        <v>7768.4830224276639</v>
      </c>
      <c r="I16" s="183">
        <f t="shared" si="2"/>
        <v>88.4</v>
      </c>
      <c r="J16" s="285"/>
    </row>
    <row r="17" spans="2:10" x14ac:dyDescent="0.2">
      <c r="B17" s="267" t="str">
        <f>DFIE!$B37</f>
        <v>Zug</v>
      </c>
      <c r="C17" s="151">
        <f>RP!I17</f>
        <v>247.65633140647125</v>
      </c>
      <c r="D17" s="73">
        <f>RP!H17/RP!$H$35*SST!$J$11*E17</f>
        <v>2628361968.2999935</v>
      </c>
      <c r="E17" s="196">
        <f>RP!G17</f>
        <v>120816.16666666667</v>
      </c>
      <c r="F17" s="73">
        <f t="shared" si="0"/>
        <v>21755.051834674388</v>
      </c>
      <c r="G17" s="73">
        <f>IF(C17&gt;100,-EINZ!G17,AUSZ!G17)/E17</f>
        <v>-2716.2071027684883</v>
      </c>
      <c r="H17" s="73">
        <f t="shared" si="1"/>
        <v>19038.844731905901</v>
      </c>
      <c r="I17" s="178">
        <f t="shared" si="2"/>
        <v>216.7</v>
      </c>
      <c r="J17" s="285"/>
    </row>
    <row r="18" spans="2:10" x14ac:dyDescent="0.2">
      <c r="B18" s="287" t="str">
        <f>DFIE!$B38</f>
        <v>Freiburg</v>
      </c>
      <c r="C18" s="156">
        <f>RP!I18</f>
        <v>79.913961150061226</v>
      </c>
      <c r="D18" s="155">
        <f>RP!H18/RP!$H$35*SST!$J$11*E18</f>
        <v>2122162693.2031322</v>
      </c>
      <c r="E18" s="203">
        <f>RP!G18</f>
        <v>302305</v>
      </c>
      <c r="F18" s="155">
        <f t="shared" si="0"/>
        <v>7019.939111834512</v>
      </c>
      <c r="G18" s="155">
        <f>IF(C18&gt;100,-EINZ!G18,AUSZ!G18)/E18</f>
        <v>876.74070443428161</v>
      </c>
      <c r="H18" s="155">
        <f t="shared" si="1"/>
        <v>7896.6798162687937</v>
      </c>
      <c r="I18" s="183">
        <f t="shared" si="2"/>
        <v>89.9</v>
      </c>
      <c r="J18" s="285"/>
    </row>
    <row r="19" spans="2:10" x14ac:dyDescent="0.2">
      <c r="B19" s="267" t="str">
        <f>DFIE!$B39</f>
        <v>Solothurn</v>
      </c>
      <c r="C19" s="151">
        <f>RP!I19</f>
        <v>72.982232175509864</v>
      </c>
      <c r="D19" s="73">
        <f>RP!H19/RP!$H$35*SST!$J$11*E19</f>
        <v>1697466656.4269819</v>
      </c>
      <c r="E19" s="196">
        <f>RP!G19</f>
        <v>264772.83333333331</v>
      </c>
      <c r="F19" s="73">
        <f t="shared" si="0"/>
        <v>6411.0302973944908</v>
      </c>
      <c r="G19" s="73">
        <f>IF(C19&gt;100,-EINZ!G19,AUSZ!G19)/E19</f>
        <v>1374.3139642423691</v>
      </c>
      <c r="H19" s="73">
        <f t="shared" si="1"/>
        <v>7785.3442616368602</v>
      </c>
      <c r="I19" s="178">
        <f t="shared" si="2"/>
        <v>88.6</v>
      </c>
      <c r="J19" s="285"/>
    </row>
    <row r="20" spans="2:10" x14ac:dyDescent="0.2">
      <c r="B20" s="287" t="str">
        <f>DFIE!$B40</f>
        <v>Basel-Stadt</v>
      </c>
      <c r="C20" s="156">
        <f>RP!I20</f>
        <v>149.45441668678237</v>
      </c>
      <c r="D20" s="155">
        <f>RP!H20/RP!$H$35*SST!$J$11*E20</f>
        <v>2536711887.5456128</v>
      </c>
      <c r="E20" s="203">
        <f>RP!G20</f>
        <v>193219.83333333334</v>
      </c>
      <c r="F20" s="155">
        <f t="shared" si="0"/>
        <v>13128.630968071493</v>
      </c>
      <c r="G20" s="155">
        <f>IF(C20&gt;100,-EINZ!G20,AUSZ!G20)/E20</f>
        <v>-909.73706706913049</v>
      </c>
      <c r="H20" s="155">
        <f t="shared" si="1"/>
        <v>12218.893901002362</v>
      </c>
      <c r="I20" s="183">
        <f t="shared" si="2"/>
        <v>139.1</v>
      </c>
      <c r="J20" s="285"/>
    </row>
    <row r="21" spans="2:10" x14ac:dyDescent="0.2">
      <c r="B21" s="267" t="str">
        <f>DFIE!$B41</f>
        <v>Basel-Landschaft</v>
      </c>
      <c r="C21" s="151">
        <f>RP!I21</f>
        <v>96.803218732349791</v>
      </c>
      <c r="D21" s="73">
        <f>RP!H21/RP!$H$35*SST!$J$11*E21</f>
        <v>2393112745.5048437</v>
      </c>
      <c r="E21" s="196">
        <f>RP!G21</f>
        <v>281425</v>
      </c>
      <c r="F21" s="73">
        <f t="shared" si="0"/>
        <v>8503.5542169488981</v>
      </c>
      <c r="G21" s="73">
        <f>IF(C21&gt;100,-EINZ!G21,AUSZ!G21)/E21</f>
        <v>54.03710715379863</v>
      </c>
      <c r="H21" s="73">
        <f t="shared" si="1"/>
        <v>8557.5913241026974</v>
      </c>
      <c r="I21" s="178">
        <f t="shared" si="2"/>
        <v>97.4</v>
      </c>
      <c r="J21" s="285"/>
    </row>
    <row r="22" spans="2:10" x14ac:dyDescent="0.2">
      <c r="B22" s="287" t="str">
        <f>DFIE!$B42</f>
        <v>Schaffhausen</v>
      </c>
      <c r="C22" s="156">
        <f>RP!I22</f>
        <v>91.679373181965119</v>
      </c>
      <c r="D22" s="155">
        <f>RP!H22/RP!$H$35*SST!$J$11*E22</f>
        <v>643677887.41846633</v>
      </c>
      <c r="E22" s="203">
        <f>RP!G22</f>
        <v>79925.666666666672</v>
      </c>
      <c r="F22" s="155">
        <f t="shared" si="0"/>
        <v>8053.456596151419</v>
      </c>
      <c r="G22" s="155">
        <f>IF(C22&gt;100,-EINZ!G22,AUSZ!G22)/E22</f>
        <v>230.44893713949293</v>
      </c>
      <c r="H22" s="155">
        <f t="shared" si="1"/>
        <v>8283.905533290912</v>
      </c>
      <c r="I22" s="183">
        <f t="shared" si="2"/>
        <v>94.3</v>
      </c>
      <c r="J22" s="285"/>
    </row>
    <row r="23" spans="2:10" x14ac:dyDescent="0.2">
      <c r="B23" s="63" t="str">
        <f>DFIE!$B43</f>
        <v>Appenzell A.Rh.</v>
      </c>
      <c r="C23" s="151">
        <f>RP!I23</f>
        <v>85.271328845800298</v>
      </c>
      <c r="D23" s="73">
        <f>RP!H23/RP!$H$35*SST!$J$11*E23</f>
        <v>405804301.55157703</v>
      </c>
      <c r="E23" s="196">
        <f>RP!G23</f>
        <v>54175.5</v>
      </c>
      <c r="F23" s="73">
        <f t="shared" si="0"/>
        <v>7490.5501850758556</v>
      </c>
      <c r="G23" s="73">
        <f>IF(C23&gt;100,-EINZ!G23,AUSZ!G23)/E23</f>
        <v>547.76768033663382</v>
      </c>
      <c r="H23" s="73">
        <f t="shared" si="1"/>
        <v>8038.3178654124895</v>
      </c>
      <c r="I23" s="178">
        <f t="shared" si="2"/>
        <v>91.5</v>
      </c>
      <c r="J23" s="285"/>
    </row>
    <row r="24" spans="2:10" x14ac:dyDescent="0.2">
      <c r="B24" s="45" t="str">
        <f>DFIE!$B44</f>
        <v>Appenzell I.Rh.</v>
      </c>
      <c r="C24" s="156">
        <f>RP!I24</f>
        <v>88.847447730964575</v>
      </c>
      <c r="D24" s="155">
        <f>RP!H24/RP!$H$35*SST!$J$11*E24</f>
        <v>124215539.6849547</v>
      </c>
      <c r="E24" s="203">
        <f>RP!G24</f>
        <v>15915.5</v>
      </c>
      <c r="F24" s="155">
        <f t="shared" si="0"/>
        <v>7804.6897480415128</v>
      </c>
      <c r="G24" s="155">
        <f>IF(C24&gt;100,-EINZ!G24,AUSZ!G24)/E24</f>
        <v>359.30166509564782</v>
      </c>
      <c r="H24" s="155">
        <f t="shared" si="1"/>
        <v>8163.9914131371606</v>
      </c>
      <c r="I24" s="183">
        <f t="shared" si="2"/>
        <v>92.9</v>
      </c>
      <c r="J24" s="285"/>
    </row>
    <row r="25" spans="2:10" x14ac:dyDescent="0.2">
      <c r="B25" s="267" t="str">
        <f>DFIE!$B45</f>
        <v>St. Gallen</v>
      </c>
      <c r="C25" s="151">
        <f>RP!I25</f>
        <v>78.831636511909807</v>
      </c>
      <c r="D25" s="73">
        <f>RP!H25/RP!$H$35*SST!$J$11*E25</f>
        <v>3443132253.0551009</v>
      </c>
      <c r="E25" s="196">
        <f>RP!G25</f>
        <v>497213</v>
      </c>
      <c r="F25" s="73">
        <f t="shared" si="0"/>
        <v>6924.8636963536774</v>
      </c>
      <c r="G25" s="73">
        <f>IF(C25&gt;100,-EINZ!G25,AUSZ!G25)/E25</f>
        <v>949.3562710936701</v>
      </c>
      <c r="H25" s="73">
        <f t="shared" si="1"/>
        <v>7874.2199674473477</v>
      </c>
      <c r="I25" s="178">
        <f t="shared" si="2"/>
        <v>89.6</v>
      </c>
      <c r="J25" s="285"/>
    </row>
    <row r="26" spans="2:10" x14ac:dyDescent="0.2">
      <c r="B26" s="287" t="str">
        <f>DFIE!$B46</f>
        <v>Graubünden</v>
      </c>
      <c r="C26" s="156">
        <f>RP!I26</f>
        <v>83.310043789628381</v>
      </c>
      <c r="D26" s="155">
        <f>RP!H26/RP!$H$35*SST!$J$11*E26</f>
        <v>1490697367.6993272</v>
      </c>
      <c r="E26" s="203">
        <f>RP!G26</f>
        <v>203695.5</v>
      </c>
      <c r="F26" s="155">
        <f t="shared" si="0"/>
        <v>7318.2636224134912</v>
      </c>
      <c r="G26" s="155">
        <f>IF(C26&gt;100,-EINZ!G26,AUSZ!G26)/E26</f>
        <v>662.08199195232055</v>
      </c>
      <c r="H26" s="155">
        <f t="shared" si="1"/>
        <v>7980.3456143658113</v>
      </c>
      <c r="I26" s="183">
        <f t="shared" si="2"/>
        <v>90.8</v>
      </c>
      <c r="J26" s="285"/>
    </row>
    <row r="27" spans="2:10" x14ac:dyDescent="0.2">
      <c r="B27" s="267" t="str">
        <f>DFIE!$B47</f>
        <v>Aargau</v>
      </c>
      <c r="C27" s="151">
        <f>RP!I27</f>
        <v>83.832540919189853</v>
      </c>
      <c r="D27" s="73">
        <f>RP!H27/RP!$H$35*SST!$J$11*E27</f>
        <v>4758945904.3172932</v>
      </c>
      <c r="E27" s="196">
        <f>RP!G27</f>
        <v>646230.5</v>
      </c>
      <c r="F27" s="73">
        <f t="shared" si="0"/>
        <v>7364.1617105928817</v>
      </c>
      <c r="G27" s="73">
        <f>IF(C27&gt;100,-EINZ!G27,AUSZ!G27)/E27</f>
        <v>630.91124058440141</v>
      </c>
      <c r="H27" s="73">
        <f t="shared" si="1"/>
        <v>7995.0729511772834</v>
      </c>
      <c r="I27" s="178">
        <f t="shared" si="2"/>
        <v>91</v>
      </c>
      <c r="J27" s="285"/>
    </row>
    <row r="28" spans="2:10" x14ac:dyDescent="0.2">
      <c r="B28" s="287" t="str">
        <f>DFIE!$B48</f>
        <v>Thurgau</v>
      </c>
      <c r="C28" s="156">
        <f>RP!I28</f>
        <v>78.381676367037997</v>
      </c>
      <c r="D28" s="155">
        <f>RP!H28/RP!$H$35*SST!$J$11*E28</f>
        <v>1819395358.6190357</v>
      </c>
      <c r="E28" s="203">
        <f>RP!G28</f>
        <v>264242</v>
      </c>
      <c r="F28" s="155">
        <f t="shared" si="0"/>
        <v>6885.3375262790769</v>
      </c>
      <c r="G28" s="155">
        <f>IF(C28&gt;100,-EINZ!G28,AUSZ!G28)/E28</f>
        <v>980.11950402456307</v>
      </c>
      <c r="H28" s="155">
        <f t="shared" si="1"/>
        <v>7865.4570303036398</v>
      </c>
      <c r="I28" s="183">
        <f t="shared" si="2"/>
        <v>89.5</v>
      </c>
      <c r="J28" s="285"/>
    </row>
    <row r="29" spans="2:10" x14ac:dyDescent="0.2">
      <c r="B29" s="267" t="str">
        <f>DFIE!$B49</f>
        <v>Tessin</v>
      </c>
      <c r="C29" s="151">
        <f>RP!I29</f>
        <v>97.147186264078996</v>
      </c>
      <c r="D29" s="73">
        <f>RP!H29/RP!$H$35*SST!$J$11*E29</f>
        <v>2990355186.0019097</v>
      </c>
      <c r="E29" s="196">
        <f>RP!G29</f>
        <v>350414.33333333331</v>
      </c>
      <c r="F29" s="73">
        <f t="shared" si="0"/>
        <v>8533.7696022762866</v>
      </c>
      <c r="G29" s="73">
        <f>IF(C29&gt;100,-EINZ!G29,AUSZ!G29)/E29</f>
        <v>45.470881257385749</v>
      </c>
      <c r="H29" s="73">
        <f t="shared" si="1"/>
        <v>8579.2404835336729</v>
      </c>
      <c r="I29" s="178">
        <f t="shared" si="2"/>
        <v>97.7</v>
      </c>
      <c r="J29" s="285"/>
    </row>
    <row r="30" spans="2:10" x14ac:dyDescent="0.2">
      <c r="B30" s="287" t="str">
        <f>DFIE!$B50</f>
        <v>Waadt</v>
      </c>
      <c r="C30" s="156">
        <f>RP!I30</f>
        <v>99.611867182051867</v>
      </c>
      <c r="D30" s="155">
        <f>RP!H30/RP!$H$35*SST!$J$11*E30</f>
        <v>6693089279.1468067</v>
      </c>
      <c r="E30" s="203">
        <f>RP!G30</f>
        <v>764900.33333333337</v>
      </c>
      <c r="F30" s="155">
        <f t="shared" si="0"/>
        <v>8750.2763268244616</v>
      </c>
      <c r="G30" s="155">
        <f>IF(C30&gt;100,-EINZ!G30,AUSZ!G30)/E30</f>
        <v>2.2094561077874362</v>
      </c>
      <c r="H30" s="155">
        <f t="shared" si="1"/>
        <v>8752.4857829322482</v>
      </c>
      <c r="I30" s="183">
        <f t="shared" si="2"/>
        <v>99.6</v>
      </c>
      <c r="J30" s="285"/>
    </row>
    <row r="31" spans="2:10" x14ac:dyDescent="0.2">
      <c r="B31" s="267" t="str">
        <f>DFIE!$B51</f>
        <v>Wallis</v>
      </c>
      <c r="C31" s="151">
        <f>RP!I31</f>
        <v>66.095679522394676</v>
      </c>
      <c r="D31" s="73">
        <f>RP!H31/RP!$H$35*SST!$J$11*E31</f>
        <v>1959652122.5085909</v>
      </c>
      <c r="E31" s="196">
        <f>RP!G31</f>
        <v>337516.66666666669</v>
      </c>
      <c r="F31" s="73">
        <f t="shared" si="0"/>
        <v>5806.0899387939089</v>
      </c>
      <c r="G31" s="73">
        <f>IF(C31&gt;100,-EINZ!G31,AUSZ!G31)/E31</f>
        <v>1939.0492165859232</v>
      </c>
      <c r="H31" s="73">
        <f t="shared" si="1"/>
        <v>7745.1391553798321</v>
      </c>
      <c r="I31" s="178">
        <f t="shared" si="2"/>
        <v>88.2</v>
      </c>
      <c r="J31" s="285"/>
    </row>
    <row r="32" spans="2:10" x14ac:dyDescent="0.2">
      <c r="B32" s="287" t="str">
        <f>DFIE!$B52</f>
        <v>Neuenburg</v>
      </c>
      <c r="C32" s="156">
        <f>RP!I32</f>
        <v>90.547248505320923</v>
      </c>
      <c r="D32" s="155">
        <f>RP!H32/RP!$H$35*SST!$J$11*E32</f>
        <v>1417435785.0814126</v>
      </c>
      <c r="E32" s="203">
        <f>RP!G32</f>
        <v>178204</v>
      </c>
      <c r="F32" s="155">
        <f t="shared" si="0"/>
        <v>7954.0065603544954</v>
      </c>
      <c r="G32" s="155">
        <f>IF(C32&gt;100,-EINZ!G32,AUSZ!G32)/E32</f>
        <v>279.623641385116</v>
      </c>
      <c r="H32" s="155">
        <f t="shared" si="1"/>
        <v>8233.6302017396119</v>
      </c>
      <c r="I32" s="183">
        <f t="shared" si="2"/>
        <v>93.7</v>
      </c>
      <c r="J32" s="285"/>
    </row>
    <row r="33" spans="2:10" x14ac:dyDescent="0.2">
      <c r="B33" s="267" t="str">
        <f>DFIE!$B53</f>
        <v>Genf</v>
      </c>
      <c r="C33" s="151">
        <f>RP!I33</f>
        <v>145.32811250149109</v>
      </c>
      <c r="D33" s="73">
        <f>RP!H33/RP!$H$35*SST!$J$11*E33</f>
        <v>6093773800.0884342</v>
      </c>
      <c r="E33" s="196">
        <f>RP!G33</f>
        <v>477338</v>
      </c>
      <c r="F33" s="73">
        <f t="shared" si="0"/>
        <v>12766.161085202591</v>
      </c>
      <c r="G33" s="73">
        <f>IF(C33&gt;100,-EINZ!G33,AUSZ!G33)/E33</f>
        <v>-833.83177652376139</v>
      </c>
      <c r="H33" s="73">
        <f t="shared" si="1"/>
        <v>11932.329308678831</v>
      </c>
      <c r="I33" s="178">
        <f t="shared" si="2"/>
        <v>135.80000000000001</v>
      </c>
      <c r="J33" s="285"/>
    </row>
    <row r="34" spans="2:10" x14ac:dyDescent="0.2">
      <c r="B34" s="287" t="str">
        <f>DFIE!$B54</f>
        <v>Jura</v>
      </c>
      <c r="C34" s="156">
        <f>RP!I34</f>
        <v>65.233572767903297</v>
      </c>
      <c r="D34" s="155">
        <f>RP!H34/RP!$H$35*SST!$J$11*E34</f>
        <v>414848405.0159865</v>
      </c>
      <c r="E34" s="203">
        <f>RP!G34</f>
        <v>72394.833333333328</v>
      </c>
      <c r="F34" s="155">
        <f t="shared" si="0"/>
        <v>5730.3592800036813</v>
      </c>
      <c r="G34" s="155">
        <f>IF(C34&gt;100,-EINZ!G34,AUSZ!G34)/E34</f>
        <v>2014.2932604777693</v>
      </c>
      <c r="H34" s="155">
        <f t="shared" si="1"/>
        <v>7744.6525404814511</v>
      </c>
      <c r="I34" s="183">
        <f t="shared" si="2"/>
        <v>88.2</v>
      </c>
      <c r="J34" s="285"/>
    </row>
    <row r="35" spans="2:10" ht="12.75" customHeight="1" x14ac:dyDescent="0.2">
      <c r="B35" s="139" t="str">
        <f>DFIE!$B55</f>
        <v>Schweiz</v>
      </c>
      <c r="C35" s="249">
        <f>RP!I35</f>
        <v>100</v>
      </c>
      <c r="D35" s="119">
        <f>SUM(D9:D34)</f>
        <v>72677635490.672043</v>
      </c>
      <c r="E35" s="67">
        <f>SUM(E9:E34)</f>
        <v>8273515.833333333</v>
      </c>
      <c r="F35" s="119">
        <f t="shared" si="0"/>
        <v>8784.3713549032764</v>
      </c>
      <c r="G35" s="119"/>
      <c r="H35" s="119"/>
      <c r="I35" s="276"/>
      <c r="J35" s="138"/>
    </row>
    <row r="36" spans="2:10" ht="7.5" customHeight="1" x14ac:dyDescent="0.2">
      <c r="B36" s="135"/>
      <c r="C36" s="135"/>
      <c r="D36" s="279"/>
      <c r="E36" s="280"/>
      <c r="F36" s="279"/>
      <c r="G36" s="279"/>
      <c r="H36" s="279"/>
      <c r="I36" s="135"/>
      <c r="J36" s="138"/>
    </row>
    <row r="37" spans="2:10" ht="15" customHeight="1" x14ac:dyDescent="0.2">
      <c r="B37" s="229" t="str">
        <f>DFIE!B203</f>
        <v>Minimum</v>
      </c>
      <c r="C37" s="278">
        <f>MIN(C9:C34)</f>
        <v>65.233572767903297</v>
      </c>
      <c r="D37" s="281"/>
      <c r="E37" s="282"/>
      <c r="F37" s="281"/>
      <c r="G37" s="281"/>
      <c r="H37" s="281"/>
      <c r="I37" s="277">
        <f>MIN(I9:I34)</f>
        <v>88.2</v>
      </c>
    </row>
    <row r="38" spans="2:10" ht="14.25" customHeight="1" x14ac:dyDescent="0.2">
      <c r="B38" s="34"/>
      <c r="C38" s="34"/>
      <c r="D38" s="34"/>
      <c r="E38" s="273"/>
      <c r="I38" s="34"/>
    </row>
  </sheetData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J17"/>
  <sheetViews>
    <sheetView showGridLines="0" zoomScaleNormal="100" workbookViewId="0">
      <selection activeCell="A114" sqref="A114"/>
    </sheetView>
  </sheetViews>
  <sheetFormatPr baseColWidth="10" defaultColWidth="9.140625" defaultRowHeight="12.75" x14ac:dyDescent="0.2"/>
  <cols>
    <col min="1" max="1" width="1.42578125" customWidth="1"/>
    <col min="2" max="3" width="15.28515625" customWidth="1"/>
    <col min="4" max="4" width="18.28515625" customWidth="1"/>
    <col min="5" max="6" width="12.5703125" customWidth="1"/>
    <col min="7" max="10" width="15.7109375" customWidth="1"/>
  </cols>
  <sheetData>
    <row r="1" spans="1:10" ht="18" customHeight="1" x14ac:dyDescent="0.2">
      <c r="B1" s="123" t="str">
        <f>DFIE!B204</f>
        <v>Standardisierter Steuersatz (SST) 2019</v>
      </c>
      <c r="C1" s="165"/>
      <c r="D1" s="165"/>
      <c r="E1" s="162"/>
      <c r="F1" s="169"/>
      <c r="G1" s="52"/>
      <c r="H1" s="52"/>
      <c r="I1" s="52"/>
      <c r="J1" s="52"/>
    </row>
    <row r="2" spans="1:10" ht="12.75" customHeight="1" x14ac:dyDescent="0.2">
      <c r="A2" s="166"/>
      <c r="B2" s="52"/>
      <c r="C2" s="166"/>
      <c r="D2" s="166"/>
      <c r="E2" s="167"/>
      <c r="F2" s="168"/>
    </row>
    <row r="3" spans="1:10" ht="15" customHeight="1" x14ac:dyDescent="0.2">
      <c r="B3" s="265"/>
      <c r="C3" s="266"/>
      <c r="D3" s="292"/>
      <c r="E3" s="87" t="str">
        <f>DFIE!B59</f>
        <v>Einheit</v>
      </c>
      <c r="F3" s="87" t="str">
        <f>DFIE!B57</f>
        <v>Formel</v>
      </c>
      <c r="G3" s="293">
        <f>DFIE!$G$2-6</f>
        <v>2013</v>
      </c>
      <c r="H3" s="294">
        <f>DFIE!$G$2-5</f>
        <v>2014</v>
      </c>
      <c r="I3" s="295">
        <f>DFIE!$G$2-4</f>
        <v>2015</v>
      </c>
      <c r="J3" s="296" t="str">
        <f>G3 &amp; " - " &amp; I3</f>
        <v>2013 - 2015</v>
      </c>
    </row>
    <row r="4" spans="1:10" ht="15" customHeight="1" x14ac:dyDescent="0.2">
      <c r="B4" s="265" t="str">
        <f>DFIE!B205</f>
        <v>A   Steuereinnahmen der Kantone und Gemeinden</v>
      </c>
      <c r="C4" s="266"/>
      <c r="D4" s="292"/>
      <c r="E4" s="298" t="str">
        <f>DFIE!$B$61</f>
        <v>CHF 1'000</v>
      </c>
      <c r="F4" s="87"/>
      <c r="G4" s="289">
        <v>68422927.154280007</v>
      </c>
      <c r="H4" s="290">
        <v>70295154.079659998</v>
      </c>
      <c r="I4" s="291">
        <v>71920181.670259997</v>
      </c>
      <c r="J4" s="299"/>
    </row>
    <row r="5" spans="1:10" ht="15" customHeight="1" x14ac:dyDescent="0.2">
      <c r="B5" s="265" t="str">
        <f>DFIE!B206</f>
        <v>B   Debitorenverluste auf Steuereinnahmen</v>
      </c>
      <c r="C5" s="266"/>
      <c r="D5" s="292"/>
      <c r="E5" s="298" t="str">
        <f>DFIE!$B$61</f>
        <v>CHF 1'000</v>
      </c>
      <c r="F5" s="87"/>
      <c r="G5" s="210">
        <v>762701.30509000004</v>
      </c>
      <c r="H5" s="288">
        <v>716637.35835999995</v>
      </c>
      <c r="I5" s="211">
        <v>723002.49794999999</v>
      </c>
      <c r="J5" s="299"/>
    </row>
    <row r="6" spans="1:10" ht="15" customHeight="1" x14ac:dyDescent="0.2">
      <c r="B6" s="265" t="str">
        <f>DFIE!B207</f>
        <v>C   Einnahmen direkte Bundessteuer (DBSt)</v>
      </c>
      <c r="C6" s="266"/>
      <c r="D6" s="292"/>
      <c r="E6" s="298" t="str">
        <f>DFIE!$B$61</f>
        <v>CHF 1'000</v>
      </c>
      <c r="F6" s="87"/>
      <c r="G6" s="289">
        <v>18352718.26952</v>
      </c>
      <c r="H6" s="290">
        <v>17975083.870680001</v>
      </c>
      <c r="I6" s="291">
        <v>20125049.208129998</v>
      </c>
      <c r="J6" s="299"/>
    </row>
    <row r="7" spans="1:10" ht="15" customHeight="1" x14ac:dyDescent="0.2">
      <c r="B7" s="265" t="str">
        <f>DFIE!B208</f>
        <v>D   17 % Kantonsanteil an DBSt</v>
      </c>
      <c r="C7" s="266"/>
      <c r="D7" s="292"/>
      <c r="E7" s="298" t="str">
        <f>DFIE!$B$61</f>
        <v>CHF 1'000</v>
      </c>
      <c r="F7" s="87" t="s">
        <v>695</v>
      </c>
      <c r="G7" s="300">
        <f>IF(DFIE!$G$2=2008,"",0.17*G6)</f>
        <v>3119962.1058184002</v>
      </c>
      <c r="H7" s="301">
        <f>0.17*H6</f>
        <v>3055764.2580156005</v>
      </c>
      <c r="I7" s="302">
        <f>0.17*I6</f>
        <v>3421258.3653821</v>
      </c>
      <c r="J7" s="303"/>
    </row>
    <row r="8" spans="1:10" ht="15.75" customHeight="1" x14ac:dyDescent="0.2">
      <c r="B8" s="304" t="str">
        <f>DFIE!B209</f>
        <v>E   Standardisierte Steuererträge (SSE)</v>
      </c>
      <c r="C8" s="305"/>
      <c r="D8" s="306"/>
      <c r="E8" s="307" t="str">
        <f>DFIE!$B$61</f>
        <v>CHF 1'000</v>
      </c>
      <c r="F8" s="308" t="s">
        <v>87</v>
      </c>
      <c r="G8" s="309">
        <f>IF(DFIE!$G$2=2008,"",G4-G5+G7)</f>
        <v>70780187.955008417</v>
      </c>
      <c r="H8" s="310">
        <f t="shared" ref="H8:I8" si="0">H4-H5+H7</f>
        <v>72634280.979315609</v>
      </c>
      <c r="I8" s="311">
        <f t="shared" si="0"/>
        <v>74618437.5376921</v>
      </c>
      <c r="J8" s="311">
        <f>IF(DFIE!$G$2=2008,AVERAGE(H8:I8),AVERAGE(G8:I8))</f>
        <v>72677635.490672037</v>
      </c>
    </row>
    <row r="9" spans="1:10" ht="15.75" customHeight="1" x14ac:dyDescent="0.2">
      <c r="B9" s="266"/>
      <c r="C9" s="266"/>
      <c r="D9" s="266"/>
      <c r="E9" s="200"/>
      <c r="F9" s="312"/>
      <c r="G9" s="67"/>
      <c r="H9" s="67"/>
      <c r="I9" s="67"/>
      <c r="J9" s="67"/>
    </row>
    <row r="10" spans="1:10" ht="15" customHeight="1" x14ac:dyDescent="0.2">
      <c r="B10" s="265" t="str">
        <f>DFIE!B210</f>
        <v>F   Massgebende Wohnbevölkerung</v>
      </c>
      <c r="C10" s="266"/>
      <c r="D10" s="292"/>
      <c r="E10" s="298" t="str">
        <f>DFIE!B62</f>
        <v>Anzahl</v>
      </c>
      <c r="F10" s="87"/>
      <c r="G10" s="301"/>
      <c r="H10" s="301"/>
      <c r="I10" s="301"/>
      <c r="J10" s="302">
        <f>BEV!F35</f>
        <v>8273515.833333333</v>
      </c>
    </row>
    <row r="11" spans="1:10" ht="15.75" customHeight="1" x14ac:dyDescent="0.2">
      <c r="B11" s="304" t="str">
        <f>DFIE!B211</f>
        <v>G   Standardisierte Steuererträge pro Kopf</v>
      </c>
      <c r="C11" s="305"/>
      <c r="D11" s="306"/>
      <c r="E11" s="307" t="str">
        <f>DFIE!$B$60</f>
        <v>CHF</v>
      </c>
      <c r="F11" s="308" t="s">
        <v>88</v>
      </c>
      <c r="G11" s="313"/>
      <c r="H11" s="313"/>
      <c r="I11" s="313"/>
      <c r="J11" s="311">
        <f>J8/J10*1000</f>
        <v>8784.3713549032764</v>
      </c>
    </row>
    <row r="12" spans="1:10" ht="15" customHeight="1" x14ac:dyDescent="0.2">
      <c r="B12" s="265" t="str">
        <f>DFIE!B212</f>
        <v>H   Ressourcenpotenzial pro Kopf</v>
      </c>
      <c r="C12" s="266"/>
      <c r="D12" s="292"/>
      <c r="E12" s="298" t="str">
        <f>DFIE!$B$60</f>
        <v>CHF</v>
      </c>
      <c r="F12" s="87"/>
      <c r="G12" s="301"/>
      <c r="H12" s="301"/>
      <c r="I12" s="301"/>
      <c r="J12" s="302">
        <f>RP!H35</f>
        <v>33662.381880522633</v>
      </c>
    </row>
    <row r="13" spans="1:10" ht="15.75" customHeight="1" x14ac:dyDescent="0.2">
      <c r="B13" s="314" t="str">
        <f>DFIE!B213</f>
        <v xml:space="preserve"> I   Standardisierter Steuersatz (SST)</v>
      </c>
      <c r="C13" s="238"/>
      <c r="D13" s="315"/>
      <c r="E13" s="316" t="str">
        <f>DFIE!B64</f>
        <v>Prozent</v>
      </c>
      <c r="F13" s="317" t="s">
        <v>89</v>
      </c>
      <c r="G13" s="318"/>
      <c r="H13" s="318"/>
      <c r="I13" s="318"/>
      <c r="J13" s="319">
        <f>J11/J12</f>
        <v>0.26095513342108434</v>
      </c>
    </row>
    <row r="17" spans="1:2" x14ac:dyDescent="0.2">
      <c r="A17" s="52"/>
      <c r="B17" s="297"/>
    </row>
  </sheetData>
  <conditionalFormatting sqref="J12">
    <cfRule type="expression" dxfId="3" priority="4" stopIfTrue="1">
      <formula>ISBLANK(#REF!)</formula>
    </cfRule>
  </conditionalFormatting>
  <conditionalFormatting sqref="G3:I3">
    <cfRule type="expression" dxfId="2" priority="3" stopIfTrue="1">
      <formula>ISBLANK(G3)</formula>
    </cfRule>
  </conditionalFormatting>
  <conditionalFormatting sqref="G4:I4">
    <cfRule type="expression" dxfId="1" priority="2">
      <formula>ISBLANK(G4)</formula>
    </cfRule>
  </conditionalFormatting>
  <conditionalFormatting sqref="G5:I6">
    <cfRule type="expression" dxfId="0" priority="1">
      <formula>ISBLANK(G5)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J213"/>
  <sheetViews>
    <sheetView workbookViewId="0">
      <pane ySplit="9" topLeftCell="A10" activePane="bottomLeft" state="frozen"/>
      <selection activeCell="D35" sqref="D35:F35"/>
      <selection pane="bottomLeft" activeCell="I1" sqref="I1"/>
    </sheetView>
  </sheetViews>
  <sheetFormatPr baseColWidth="10" defaultColWidth="9.140625" defaultRowHeight="12.75" x14ac:dyDescent="0.2"/>
  <cols>
    <col min="1" max="1" width="2.7109375" customWidth="1"/>
    <col min="2" max="2" width="57.5703125" customWidth="1"/>
    <col min="3" max="3" width="6.7109375" customWidth="1"/>
    <col min="4" max="7" width="18.7109375" customWidth="1"/>
  </cols>
  <sheetData>
    <row r="1" spans="1:10" ht="12.75" customHeight="1" x14ac:dyDescent="0.2">
      <c r="B1" s="34" t="s">
        <v>158</v>
      </c>
      <c r="D1" s="321" t="s">
        <v>159</v>
      </c>
      <c r="G1" s="321" t="s">
        <v>55</v>
      </c>
    </row>
    <row r="2" spans="1:10" ht="12.75" customHeight="1" x14ac:dyDescent="0.2">
      <c r="B2" s="34" t="s">
        <v>160</v>
      </c>
      <c r="D2" s="322" t="s">
        <v>161</v>
      </c>
      <c r="E2" s="320"/>
      <c r="G2" s="331">
        <f>INTRO!D44</f>
        <v>2019</v>
      </c>
    </row>
    <row r="3" spans="1:10" ht="12.75" customHeight="1" x14ac:dyDescent="0.2">
      <c r="B3" s="34"/>
      <c r="D3" s="323" t="s">
        <v>162</v>
      </c>
      <c r="E3" s="320"/>
    </row>
    <row r="4" spans="1:10" ht="12" customHeight="1" x14ac:dyDescent="0.2">
      <c r="A4" s="13"/>
      <c r="B4" s="324" t="s">
        <v>163</v>
      </c>
      <c r="C4" s="320"/>
      <c r="D4" s="323" t="s">
        <v>164</v>
      </c>
      <c r="E4" s="320"/>
      <c r="F4" s="13"/>
      <c r="H4" s="13"/>
      <c r="J4" s="13"/>
    </row>
    <row r="5" spans="1:10" ht="12" customHeight="1" x14ac:dyDescent="0.2">
      <c r="B5" s="324" t="s">
        <v>165</v>
      </c>
      <c r="D5" s="326" t="s">
        <v>166</v>
      </c>
      <c r="E5" s="320"/>
    </row>
    <row r="6" spans="1:10" ht="12.75" customHeight="1" x14ac:dyDescent="0.2">
      <c r="B6" s="34"/>
      <c r="D6" s="327">
        <v>1</v>
      </c>
      <c r="E6" s="320"/>
    </row>
    <row r="7" spans="1:10" x14ac:dyDescent="0.2">
      <c r="B7" s="325"/>
      <c r="D7" s="328"/>
      <c r="E7" s="328"/>
    </row>
    <row r="8" spans="1:10" x14ac:dyDescent="0.2">
      <c r="B8" s="329">
        <f>ROW()</f>
        <v>8</v>
      </c>
      <c r="C8" s="320" t="s">
        <v>167</v>
      </c>
      <c r="D8" s="327">
        <v>1</v>
      </c>
      <c r="E8" s="327">
        <v>2</v>
      </c>
      <c r="F8" s="327">
        <v>3</v>
      </c>
      <c r="G8" s="327">
        <v>4</v>
      </c>
      <c r="H8" s="13" t="s">
        <v>167</v>
      </c>
    </row>
    <row r="9" spans="1:10" x14ac:dyDescent="0.2">
      <c r="A9" s="325"/>
      <c r="B9" s="330" t="str">
        <f>HLOOKUP($D$6,D8:G9,2,FALSE)</f>
        <v>Deutsch</v>
      </c>
      <c r="C9" s="320" t="s">
        <v>167</v>
      </c>
      <c r="D9" s="321" t="s">
        <v>161</v>
      </c>
      <c r="E9" s="321" t="s">
        <v>162</v>
      </c>
      <c r="F9" s="321" t="s">
        <v>164</v>
      </c>
      <c r="G9" s="321" t="s">
        <v>166</v>
      </c>
      <c r="H9" s="13" t="s">
        <v>167</v>
      </c>
    </row>
    <row r="10" spans="1:10" x14ac:dyDescent="0.2">
      <c r="B10" s="333" t="str">
        <f t="shared" ref="B10:B41" si="0">HLOOKUP($B$9,$D$9:$G$213,ROW()-$B$8,FALSE)</f>
        <v>Eidgenössisches Finanzdepartement EFD</v>
      </c>
      <c r="C10" s="320" t="s">
        <v>167</v>
      </c>
      <c r="D10" s="13" t="s">
        <v>168</v>
      </c>
      <c r="E10" s="13" t="s">
        <v>169</v>
      </c>
      <c r="F10" s="13" t="s">
        <v>395</v>
      </c>
      <c r="G10" s="13" t="s">
        <v>328</v>
      </c>
      <c r="H10" s="13" t="s">
        <v>167</v>
      </c>
    </row>
    <row r="11" spans="1:10" x14ac:dyDescent="0.2">
      <c r="B11" s="332" t="str">
        <f t="shared" si="0"/>
        <v>Eidgenössische Finanzverwaltung EFV</v>
      </c>
      <c r="C11" s="320" t="s">
        <v>167</v>
      </c>
      <c r="D11" s="13" t="s">
        <v>170</v>
      </c>
      <c r="E11" s="13" t="s">
        <v>171</v>
      </c>
      <c r="F11" s="13" t="s">
        <v>396</v>
      </c>
      <c r="G11" s="13" t="s">
        <v>331</v>
      </c>
      <c r="H11" s="13" t="s">
        <v>167</v>
      </c>
    </row>
    <row r="12" spans="1:10" x14ac:dyDescent="0.2">
      <c r="B12" s="332" t="str">
        <f t="shared" si="0"/>
        <v>Finanzausgleich zwischen Bund und Kantonen</v>
      </c>
      <c r="C12" s="320" t="s">
        <v>167</v>
      </c>
      <c r="D12" s="13" t="s">
        <v>172</v>
      </c>
      <c r="E12" s="13" t="s">
        <v>173</v>
      </c>
      <c r="F12" s="13" t="s">
        <v>397</v>
      </c>
      <c r="G12" s="13" t="s">
        <v>332</v>
      </c>
      <c r="H12" s="13" t="s">
        <v>167</v>
      </c>
    </row>
    <row r="13" spans="1:10" x14ac:dyDescent="0.2">
      <c r="B13" s="334" t="str">
        <f t="shared" si="0"/>
        <v>Ressourcenausgleich 2019</v>
      </c>
      <c r="C13" s="320" t="s">
        <v>167</v>
      </c>
      <c r="D13" s="13" t="str">
        <f>"Ressourcenausgleich " &amp; $G$2</f>
        <v>Ressourcenausgleich 2019</v>
      </c>
      <c r="E13" s="13" t="str">
        <f>"Péréquation des ressources " &amp; $G$2</f>
        <v>Péréquation des ressources 2019</v>
      </c>
      <c r="F13" s="13" t="str">
        <f>"Perequazione delle risorse " &amp; $G$2</f>
        <v>Perequazione delle risorse 2019</v>
      </c>
      <c r="G13" s="13" t="str">
        <f>"Resource equalization " &amp; $G$2</f>
        <v>Resource equalization 2019</v>
      </c>
      <c r="H13" s="13" t="s">
        <v>167</v>
      </c>
    </row>
    <row r="14" spans="1:10" x14ac:dyDescent="0.2">
      <c r="B14" s="332" t="str">
        <f t="shared" si="0"/>
        <v>Übersicht über die Zahlungen im Ressourcenausgleich</v>
      </c>
      <c r="C14" s="320" t="s">
        <v>167</v>
      </c>
      <c r="D14" s="13" t="s">
        <v>237</v>
      </c>
      <c r="E14" s="13" t="s">
        <v>371</v>
      </c>
      <c r="F14" s="13" t="s">
        <v>398</v>
      </c>
      <c r="G14" s="13" t="s">
        <v>333</v>
      </c>
      <c r="H14" s="13" t="s">
        <v>167</v>
      </c>
    </row>
    <row r="15" spans="1:10" x14ac:dyDescent="0.2">
      <c r="B15" s="332" t="str">
        <f t="shared" si="0"/>
        <v>Einkommen natürlicher Personen</v>
      </c>
      <c r="C15" s="320" t="s">
        <v>167</v>
      </c>
      <c r="D15" s="13" t="s">
        <v>216</v>
      </c>
      <c r="E15" s="13" t="s">
        <v>230</v>
      </c>
      <c r="F15" s="13" t="s">
        <v>399</v>
      </c>
      <c r="G15" s="13" t="s">
        <v>334</v>
      </c>
      <c r="H15" s="13" t="s">
        <v>167</v>
      </c>
    </row>
    <row r="16" spans="1:10" x14ac:dyDescent="0.2">
      <c r="B16" s="332" t="str">
        <f t="shared" si="0"/>
        <v>Quellenbesteuerte Einkommen natürlicher Personen</v>
      </c>
      <c r="C16" s="320" t="s">
        <v>167</v>
      </c>
      <c r="D16" s="13" t="s">
        <v>217</v>
      </c>
      <c r="E16" s="13" t="s">
        <v>372</v>
      </c>
      <c r="F16" s="13" t="s">
        <v>400</v>
      </c>
      <c r="G16" s="13" t="s">
        <v>335</v>
      </c>
      <c r="H16" s="13" t="s">
        <v>167</v>
      </c>
    </row>
    <row r="17" spans="2:8" x14ac:dyDescent="0.2">
      <c r="B17" s="332" t="str">
        <f t="shared" si="0"/>
        <v>Vermögen natürlicher Personen</v>
      </c>
      <c r="C17" s="320" t="s">
        <v>167</v>
      </c>
      <c r="D17" s="13" t="s">
        <v>218</v>
      </c>
      <c r="E17" s="13" t="s">
        <v>231</v>
      </c>
      <c r="F17" s="13" t="s">
        <v>401</v>
      </c>
      <c r="G17" s="13" t="s">
        <v>244</v>
      </c>
      <c r="H17" s="13" t="s">
        <v>167</v>
      </c>
    </row>
    <row r="18" spans="2:8" x14ac:dyDescent="0.2">
      <c r="B18" s="332" t="str">
        <f>HLOOKUP($B$9,$D$9:$G$213,ROW()-$B$8,FALSE)</f>
        <v>Gewinne juristischer Personen</v>
      </c>
      <c r="C18" s="320" t="s">
        <v>167</v>
      </c>
      <c r="D18" s="13" t="s">
        <v>219</v>
      </c>
      <c r="E18" s="13" t="s">
        <v>232</v>
      </c>
      <c r="F18" s="13" t="s">
        <v>402</v>
      </c>
      <c r="G18" s="13" t="s">
        <v>245</v>
      </c>
      <c r="H18" s="13" t="s">
        <v>167</v>
      </c>
    </row>
    <row r="19" spans="2:8" x14ac:dyDescent="0.2">
      <c r="B19" s="332" t="str">
        <f t="shared" si="0"/>
        <v>Steuerrepartitionen</v>
      </c>
      <c r="C19" s="320" t="s">
        <v>167</v>
      </c>
      <c r="D19" s="13" t="s">
        <v>220</v>
      </c>
      <c r="E19" s="13" t="s">
        <v>233</v>
      </c>
      <c r="F19" s="13" t="s">
        <v>403</v>
      </c>
      <c r="G19" s="13" t="s">
        <v>336</v>
      </c>
      <c r="H19" s="13" t="s">
        <v>167</v>
      </c>
    </row>
    <row r="20" spans="2:8" x14ac:dyDescent="0.2">
      <c r="B20" s="332" t="str">
        <f t="shared" si="0"/>
        <v>Aggregierte Steuerbemessungsgrundlage</v>
      </c>
      <c r="C20" s="320" t="s">
        <v>167</v>
      </c>
      <c r="D20" s="13" t="s">
        <v>239</v>
      </c>
      <c r="E20" s="13" t="s">
        <v>240</v>
      </c>
      <c r="F20" s="13" t="s">
        <v>404</v>
      </c>
      <c r="G20" s="13" t="s">
        <v>337</v>
      </c>
      <c r="H20" s="13" t="s">
        <v>167</v>
      </c>
    </row>
    <row r="21" spans="2:8" x14ac:dyDescent="0.2">
      <c r="B21" s="332" t="str">
        <f t="shared" si="0"/>
        <v>Massgebende Wohnbevölkerung</v>
      </c>
      <c r="C21" s="320" t="s">
        <v>167</v>
      </c>
      <c r="D21" s="13" t="s">
        <v>0</v>
      </c>
      <c r="E21" s="13" t="s">
        <v>373</v>
      </c>
      <c r="F21" s="13" t="s">
        <v>405</v>
      </c>
      <c r="G21" s="13" t="s">
        <v>305</v>
      </c>
      <c r="H21" s="13" t="s">
        <v>167</v>
      </c>
    </row>
    <row r="22" spans="2:8" x14ac:dyDescent="0.2">
      <c r="B22" s="332" t="str">
        <f t="shared" si="0"/>
        <v>Berechnung Ressourcenpotenzial und -index</v>
      </c>
      <c r="C22" s="320" t="s">
        <v>167</v>
      </c>
      <c r="D22" s="13" t="s">
        <v>221</v>
      </c>
      <c r="E22" s="13" t="s">
        <v>241</v>
      </c>
      <c r="F22" s="13" t="s">
        <v>406</v>
      </c>
      <c r="G22" s="13" t="s">
        <v>338</v>
      </c>
      <c r="H22" s="13" t="s">
        <v>167</v>
      </c>
    </row>
    <row r="23" spans="2:8" x14ac:dyDescent="0.2">
      <c r="B23" s="332" t="str">
        <f t="shared" si="0"/>
        <v>Wachstumsraten der Ressourcenpotenziale</v>
      </c>
      <c r="C23" s="320" t="s">
        <v>167</v>
      </c>
      <c r="D23" s="13" t="s">
        <v>222</v>
      </c>
      <c r="E23" s="13" t="s">
        <v>374</v>
      </c>
      <c r="F23" s="13" t="s">
        <v>407</v>
      </c>
      <c r="G23" s="13" t="s">
        <v>339</v>
      </c>
      <c r="H23" s="13" t="s">
        <v>167</v>
      </c>
    </row>
    <row r="24" spans="2:8" x14ac:dyDescent="0.2">
      <c r="B24" s="332" t="str">
        <f t="shared" si="0"/>
        <v>Fortschreibung der Dotationen im Ressourcenausgleich</v>
      </c>
      <c r="C24" s="320" t="s">
        <v>167</v>
      </c>
      <c r="D24" s="13" t="s">
        <v>223</v>
      </c>
      <c r="E24" s="13" t="s">
        <v>375</v>
      </c>
      <c r="F24" s="13" t="s">
        <v>408</v>
      </c>
      <c r="G24" s="13" t="s">
        <v>246</v>
      </c>
      <c r="H24" s="13" t="s">
        <v>167</v>
      </c>
    </row>
    <row r="25" spans="2:8" x14ac:dyDescent="0.2">
      <c r="B25" s="332" t="str">
        <f t="shared" si="0"/>
        <v>Einzahlungen der ressourcenstarken Kantone</v>
      </c>
      <c r="C25" s="320" t="s">
        <v>167</v>
      </c>
      <c r="D25" s="13" t="s">
        <v>224</v>
      </c>
      <c r="E25" s="13" t="s">
        <v>234</v>
      </c>
      <c r="F25" s="13" t="s">
        <v>409</v>
      </c>
      <c r="G25" s="13" t="s">
        <v>340</v>
      </c>
      <c r="H25" s="13" t="s">
        <v>167</v>
      </c>
    </row>
    <row r="26" spans="2:8" x14ac:dyDescent="0.2">
      <c r="B26" s="332" t="str">
        <f t="shared" si="0"/>
        <v>Auszahlungen an die ressourcenschwachen Kantone</v>
      </c>
      <c r="C26" s="320" t="s">
        <v>167</v>
      </c>
      <c r="D26" s="13" t="s">
        <v>225</v>
      </c>
      <c r="E26" s="13" t="s">
        <v>235</v>
      </c>
      <c r="F26" s="13" t="s">
        <v>410</v>
      </c>
      <c r="G26" s="13" t="s">
        <v>341</v>
      </c>
      <c r="H26" s="13" t="s">
        <v>167</v>
      </c>
    </row>
    <row r="27" spans="2:8" x14ac:dyDescent="0.2">
      <c r="B27" s="332" t="str">
        <f t="shared" si="0"/>
        <v>Standardisierter Steuerertrag</v>
      </c>
      <c r="C27" s="320" t="s">
        <v>167</v>
      </c>
      <c r="D27" s="13" t="s">
        <v>242</v>
      </c>
      <c r="E27" s="13" t="s">
        <v>376</v>
      </c>
      <c r="F27" s="13" t="s">
        <v>411</v>
      </c>
      <c r="G27" s="13" t="s">
        <v>247</v>
      </c>
      <c r="H27" s="13" t="s">
        <v>167</v>
      </c>
    </row>
    <row r="28" spans="2:8" x14ac:dyDescent="0.2">
      <c r="B28" s="334" t="str">
        <f t="shared" si="0"/>
        <v>Standardisierter Steuersatz</v>
      </c>
      <c r="C28" s="320" t="s">
        <v>167</v>
      </c>
      <c r="D28" s="13" t="s">
        <v>243</v>
      </c>
      <c r="E28" s="13" t="s">
        <v>236</v>
      </c>
      <c r="F28" s="13" t="s">
        <v>412</v>
      </c>
      <c r="G28" s="13" t="s">
        <v>248</v>
      </c>
      <c r="H28" s="13" t="s">
        <v>167</v>
      </c>
    </row>
    <row r="29" spans="2:8" x14ac:dyDescent="0.2">
      <c r="B29" s="332" t="str">
        <f t="shared" si="0"/>
        <v>Zürich</v>
      </c>
      <c r="C29" s="320" t="s">
        <v>167</v>
      </c>
      <c r="D29" s="13" t="s">
        <v>2</v>
      </c>
      <c r="E29" s="13" t="s">
        <v>175</v>
      </c>
      <c r="F29" s="13" t="s">
        <v>413</v>
      </c>
      <c r="G29" s="13" t="s">
        <v>175</v>
      </c>
      <c r="H29" s="13" t="s">
        <v>167</v>
      </c>
    </row>
    <row r="30" spans="2:8" x14ac:dyDescent="0.2">
      <c r="B30" s="332" t="str">
        <f t="shared" si="0"/>
        <v>Bern</v>
      </c>
      <c r="C30" s="320" t="s">
        <v>167</v>
      </c>
      <c r="D30" s="13" t="s">
        <v>3</v>
      </c>
      <c r="E30" s="13" t="s">
        <v>176</v>
      </c>
      <c r="F30" s="13" t="s">
        <v>414</v>
      </c>
      <c r="G30" s="13" t="s">
        <v>3</v>
      </c>
      <c r="H30" s="13" t="s">
        <v>167</v>
      </c>
    </row>
    <row r="31" spans="2:8" x14ac:dyDescent="0.2">
      <c r="B31" s="332" t="str">
        <f t="shared" si="0"/>
        <v>Luzern</v>
      </c>
      <c r="C31" s="320" t="s">
        <v>167</v>
      </c>
      <c r="D31" s="13" t="s">
        <v>4</v>
      </c>
      <c r="E31" s="13" t="s">
        <v>177</v>
      </c>
      <c r="F31" s="13" t="s">
        <v>415</v>
      </c>
      <c r="G31" s="13" t="s">
        <v>4</v>
      </c>
      <c r="H31" s="13" t="s">
        <v>167</v>
      </c>
    </row>
    <row r="32" spans="2:8" x14ac:dyDescent="0.2">
      <c r="B32" s="332" t="str">
        <f t="shared" si="0"/>
        <v>Uri</v>
      </c>
      <c r="C32" s="320" t="s">
        <v>167</v>
      </c>
      <c r="D32" s="13" t="s">
        <v>5</v>
      </c>
      <c r="E32" s="13" t="s">
        <v>5</v>
      </c>
      <c r="F32" s="13" t="s">
        <v>5</v>
      </c>
      <c r="G32" s="13" t="s">
        <v>5</v>
      </c>
      <c r="H32" s="13" t="s">
        <v>167</v>
      </c>
    </row>
    <row r="33" spans="2:8" x14ac:dyDescent="0.2">
      <c r="B33" s="332" t="str">
        <f t="shared" si="0"/>
        <v>Schwyz</v>
      </c>
      <c r="C33" s="320" t="s">
        <v>167</v>
      </c>
      <c r="D33" s="13" t="s">
        <v>6</v>
      </c>
      <c r="E33" s="13" t="s">
        <v>6</v>
      </c>
      <c r="F33" s="13" t="s">
        <v>416</v>
      </c>
      <c r="G33" s="13" t="s">
        <v>6</v>
      </c>
      <c r="H33" s="13" t="s">
        <v>167</v>
      </c>
    </row>
    <row r="34" spans="2:8" x14ac:dyDescent="0.2">
      <c r="B34" s="332" t="str">
        <f t="shared" si="0"/>
        <v>Obwalden</v>
      </c>
      <c r="C34" s="320" t="s">
        <v>167</v>
      </c>
      <c r="D34" s="13" t="s">
        <v>7</v>
      </c>
      <c r="E34" s="13" t="s">
        <v>178</v>
      </c>
      <c r="F34" s="13" t="s">
        <v>417</v>
      </c>
      <c r="G34" s="13" t="s">
        <v>7</v>
      </c>
      <c r="H34" s="13" t="s">
        <v>167</v>
      </c>
    </row>
    <row r="35" spans="2:8" x14ac:dyDescent="0.2">
      <c r="B35" s="332" t="str">
        <f t="shared" si="0"/>
        <v>Nidwalden</v>
      </c>
      <c r="C35" s="320" t="s">
        <v>167</v>
      </c>
      <c r="D35" s="13" t="s">
        <v>8</v>
      </c>
      <c r="E35" s="13" t="s">
        <v>179</v>
      </c>
      <c r="F35" s="13" t="s">
        <v>418</v>
      </c>
      <c r="G35" s="13" t="s">
        <v>8</v>
      </c>
      <c r="H35" s="13" t="s">
        <v>167</v>
      </c>
    </row>
    <row r="36" spans="2:8" x14ac:dyDescent="0.2">
      <c r="B36" s="332" t="str">
        <f t="shared" si="0"/>
        <v>Glarus</v>
      </c>
      <c r="C36" s="320" t="s">
        <v>167</v>
      </c>
      <c r="D36" s="13" t="s">
        <v>9</v>
      </c>
      <c r="E36" s="13" t="s">
        <v>180</v>
      </c>
      <c r="F36" s="13" t="s">
        <v>419</v>
      </c>
      <c r="G36" s="13" t="s">
        <v>9</v>
      </c>
      <c r="H36" s="13" t="s">
        <v>167</v>
      </c>
    </row>
    <row r="37" spans="2:8" x14ac:dyDescent="0.2">
      <c r="B37" s="332" t="str">
        <f t="shared" si="0"/>
        <v>Zug</v>
      </c>
      <c r="C37" s="320" t="s">
        <v>167</v>
      </c>
      <c r="D37" s="13" t="s">
        <v>10</v>
      </c>
      <c r="E37" s="13" t="s">
        <v>181</v>
      </c>
      <c r="F37" s="13" t="s">
        <v>420</v>
      </c>
      <c r="G37" s="13" t="s">
        <v>10</v>
      </c>
      <c r="H37" s="13" t="s">
        <v>167</v>
      </c>
    </row>
    <row r="38" spans="2:8" x14ac:dyDescent="0.2">
      <c r="B38" s="332" t="str">
        <f t="shared" si="0"/>
        <v>Freiburg</v>
      </c>
      <c r="C38" s="320" t="s">
        <v>167</v>
      </c>
      <c r="D38" s="13" t="s">
        <v>11</v>
      </c>
      <c r="E38" s="13" t="s">
        <v>182</v>
      </c>
      <c r="F38" s="13" t="s">
        <v>421</v>
      </c>
      <c r="G38" s="13" t="s">
        <v>182</v>
      </c>
      <c r="H38" s="13" t="s">
        <v>167</v>
      </c>
    </row>
    <row r="39" spans="2:8" x14ac:dyDescent="0.2">
      <c r="B39" s="332" t="str">
        <f t="shared" si="0"/>
        <v>Solothurn</v>
      </c>
      <c r="C39" s="320" t="s">
        <v>167</v>
      </c>
      <c r="D39" s="13" t="s">
        <v>12</v>
      </c>
      <c r="E39" s="13" t="s">
        <v>183</v>
      </c>
      <c r="F39" s="13" t="s">
        <v>422</v>
      </c>
      <c r="G39" s="13" t="s">
        <v>12</v>
      </c>
      <c r="H39" s="13" t="s">
        <v>167</v>
      </c>
    </row>
    <row r="40" spans="2:8" x14ac:dyDescent="0.2">
      <c r="B40" s="332" t="str">
        <f t="shared" si="0"/>
        <v>Basel-Stadt</v>
      </c>
      <c r="C40" s="320" t="s">
        <v>167</v>
      </c>
      <c r="D40" s="13" t="s">
        <v>13</v>
      </c>
      <c r="E40" s="13" t="s">
        <v>184</v>
      </c>
      <c r="F40" s="13" t="s">
        <v>423</v>
      </c>
      <c r="G40" s="13" t="s">
        <v>342</v>
      </c>
      <c r="H40" s="13" t="s">
        <v>167</v>
      </c>
    </row>
    <row r="41" spans="2:8" x14ac:dyDescent="0.2">
      <c r="B41" s="332" t="str">
        <f t="shared" si="0"/>
        <v>Basel-Landschaft</v>
      </c>
      <c r="C41" s="320" t="s">
        <v>167</v>
      </c>
      <c r="D41" s="13" t="s">
        <v>14</v>
      </c>
      <c r="E41" s="13" t="s">
        <v>185</v>
      </c>
      <c r="F41" s="13" t="s">
        <v>424</v>
      </c>
      <c r="G41" s="13" t="s">
        <v>343</v>
      </c>
      <c r="H41" s="13" t="s">
        <v>167</v>
      </c>
    </row>
    <row r="42" spans="2:8" x14ac:dyDescent="0.2">
      <c r="B42" s="332" t="str">
        <f t="shared" ref="B42:B73" si="1">HLOOKUP($B$9,$D$9:$G$213,ROW()-$B$8,FALSE)</f>
        <v>Schaffhausen</v>
      </c>
      <c r="C42" s="320" t="s">
        <v>167</v>
      </c>
      <c r="D42" s="13" t="s">
        <v>15</v>
      </c>
      <c r="E42" s="13" t="s">
        <v>186</v>
      </c>
      <c r="F42" s="13" t="s">
        <v>425</v>
      </c>
      <c r="G42" s="13" t="s">
        <v>15</v>
      </c>
      <c r="H42" s="13" t="s">
        <v>167</v>
      </c>
    </row>
    <row r="43" spans="2:8" x14ac:dyDescent="0.2">
      <c r="B43" s="332" t="str">
        <f t="shared" si="1"/>
        <v>Appenzell A.Rh.</v>
      </c>
      <c r="C43" s="320" t="s">
        <v>167</v>
      </c>
      <c r="D43" s="13" t="s">
        <v>16</v>
      </c>
      <c r="E43" s="13" t="s">
        <v>187</v>
      </c>
      <c r="F43" s="13" t="s">
        <v>426</v>
      </c>
      <c r="G43" s="13" t="s">
        <v>16</v>
      </c>
      <c r="H43" s="13" t="s">
        <v>167</v>
      </c>
    </row>
    <row r="44" spans="2:8" x14ac:dyDescent="0.2">
      <c r="B44" s="332" t="str">
        <f t="shared" si="1"/>
        <v>Appenzell I.Rh.</v>
      </c>
      <c r="C44" s="320" t="s">
        <v>167</v>
      </c>
      <c r="D44" s="13" t="s">
        <v>17</v>
      </c>
      <c r="E44" s="13" t="s">
        <v>188</v>
      </c>
      <c r="F44" s="13" t="s">
        <v>427</v>
      </c>
      <c r="G44" s="13" t="s">
        <v>17</v>
      </c>
      <c r="H44" s="13" t="s">
        <v>167</v>
      </c>
    </row>
    <row r="45" spans="2:8" x14ac:dyDescent="0.2">
      <c r="B45" s="332" t="str">
        <f t="shared" si="1"/>
        <v>St. Gallen</v>
      </c>
      <c r="C45" s="320" t="s">
        <v>167</v>
      </c>
      <c r="D45" s="13" t="s">
        <v>18</v>
      </c>
      <c r="E45" s="13" t="s">
        <v>189</v>
      </c>
      <c r="F45" s="13" t="s">
        <v>428</v>
      </c>
      <c r="G45" s="13" t="s">
        <v>18</v>
      </c>
      <c r="H45" s="13" t="s">
        <v>167</v>
      </c>
    </row>
    <row r="46" spans="2:8" x14ac:dyDescent="0.2">
      <c r="B46" s="332" t="str">
        <f t="shared" si="1"/>
        <v>Graubünden</v>
      </c>
      <c r="C46" s="320" t="s">
        <v>167</v>
      </c>
      <c r="D46" s="13" t="s">
        <v>19</v>
      </c>
      <c r="E46" s="13" t="s">
        <v>190</v>
      </c>
      <c r="F46" s="13" t="s">
        <v>429</v>
      </c>
      <c r="G46" s="13" t="s">
        <v>19</v>
      </c>
      <c r="H46" s="13" t="s">
        <v>167</v>
      </c>
    </row>
    <row r="47" spans="2:8" x14ac:dyDescent="0.2">
      <c r="B47" s="332" t="str">
        <f t="shared" si="1"/>
        <v>Aargau</v>
      </c>
      <c r="C47" s="320" t="s">
        <v>167</v>
      </c>
      <c r="D47" s="13" t="s">
        <v>20</v>
      </c>
      <c r="E47" s="13" t="s">
        <v>191</v>
      </c>
      <c r="F47" s="13" t="s">
        <v>430</v>
      </c>
      <c r="G47" s="13" t="s">
        <v>20</v>
      </c>
      <c r="H47" s="13" t="s">
        <v>167</v>
      </c>
    </row>
    <row r="48" spans="2:8" x14ac:dyDescent="0.2">
      <c r="B48" s="332" t="str">
        <f t="shared" si="1"/>
        <v>Thurgau</v>
      </c>
      <c r="C48" s="320" t="s">
        <v>167</v>
      </c>
      <c r="D48" s="13" t="s">
        <v>21</v>
      </c>
      <c r="E48" s="13" t="s">
        <v>192</v>
      </c>
      <c r="F48" s="13" t="s">
        <v>431</v>
      </c>
      <c r="G48" s="13" t="s">
        <v>21</v>
      </c>
      <c r="H48" s="13" t="s">
        <v>167</v>
      </c>
    </row>
    <row r="49" spans="2:8" x14ac:dyDescent="0.2">
      <c r="B49" s="332" t="str">
        <f t="shared" si="1"/>
        <v>Tessin</v>
      </c>
      <c r="C49" s="320" t="s">
        <v>167</v>
      </c>
      <c r="D49" s="13" t="s">
        <v>22</v>
      </c>
      <c r="E49" s="13" t="s">
        <v>22</v>
      </c>
      <c r="F49" s="13" t="s">
        <v>249</v>
      </c>
      <c r="G49" s="13" t="s">
        <v>249</v>
      </c>
      <c r="H49" s="13" t="s">
        <v>167</v>
      </c>
    </row>
    <row r="50" spans="2:8" x14ac:dyDescent="0.2">
      <c r="B50" s="332" t="str">
        <f t="shared" si="1"/>
        <v>Waadt</v>
      </c>
      <c r="C50" s="320" t="s">
        <v>167</v>
      </c>
      <c r="D50" s="13" t="s">
        <v>23</v>
      </c>
      <c r="E50" s="13" t="s">
        <v>193</v>
      </c>
      <c r="F50" s="13" t="s">
        <v>193</v>
      </c>
      <c r="G50" s="13" t="s">
        <v>193</v>
      </c>
      <c r="H50" s="13" t="s">
        <v>167</v>
      </c>
    </row>
    <row r="51" spans="2:8" x14ac:dyDescent="0.2">
      <c r="B51" s="332" t="str">
        <f t="shared" si="1"/>
        <v>Wallis</v>
      </c>
      <c r="C51" s="320" t="s">
        <v>167</v>
      </c>
      <c r="D51" s="13" t="s">
        <v>24</v>
      </c>
      <c r="E51" s="13" t="s">
        <v>194</v>
      </c>
      <c r="F51" s="13" t="s">
        <v>432</v>
      </c>
      <c r="G51" s="13" t="s">
        <v>194</v>
      </c>
      <c r="H51" s="13" t="s">
        <v>167</v>
      </c>
    </row>
    <row r="52" spans="2:8" x14ac:dyDescent="0.2">
      <c r="B52" s="332" t="str">
        <f t="shared" si="1"/>
        <v>Neuenburg</v>
      </c>
      <c r="C52" s="320" t="s">
        <v>167</v>
      </c>
      <c r="D52" s="13" t="s">
        <v>25</v>
      </c>
      <c r="E52" s="13" t="s">
        <v>195</v>
      </c>
      <c r="F52" s="13" t="s">
        <v>195</v>
      </c>
      <c r="G52" s="13" t="s">
        <v>195</v>
      </c>
      <c r="H52" s="13" t="s">
        <v>167</v>
      </c>
    </row>
    <row r="53" spans="2:8" x14ac:dyDescent="0.2">
      <c r="B53" s="332" t="str">
        <f t="shared" si="1"/>
        <v>Genf</v>
      </c>
      <c r="C53" s="320" t="s">
        <v>167</v>
      </c>
      <c r="D53" s="13" t="s">
        <v>26</v>
      </c>
      <c r="E53" s="13" t="s">
        <v>196</v>
      </c>
      <c r="F53" s="13" t="s">
        <v>433</v>
      </c>
      <c r="G53" s="13" t="s">
        <v>250</v>
      </c>
      <c r="H53" s="13" t="s">
        <v>167</v>
      </c>
    </row>
    <row r="54" spans="2:8" x14ac:dyDescent="0.2">
      <c r="B54" s="332" t="str">
        <f t="shared" si="1"/>
        <v>Jura</v>
      </c>
      <c r="C54" s="320" t="s">
        <v>167</v>
      </c>
      <c r="D54" s="13" t="s">
        <v>27</v>
      </c>
      <c r="E54" s="13" t="s">
        <v>27</v>
      </c>
      <c r="F54" s="13" t="s">
        <v>434</v>
      </c>
      <c r="G54" s="13" t="s">
        <v>27</v>
      </c>
      <c r="H54" s="13" t="s">
        <v>167</v>
      </c>
    </row>
    <row r="55" spans="2:8" x14ac:dyDescent="0.2">
      <c r="B55" s="334" t="str">
        <f t="shared" si="1"/>
        <v>Schweiz</v>
      </c>
      <c r="C55" s="320" t="s">
        <v>167</v>
      </c>
      <c r="D55" s="13" t="s">
        <v>41</v>
      </c>
      <c r="E55" s="13" t="s">
        <v>174</v>
      </c>
      <c r="F55" s="13" t="s">
        <v>435</v>
      </c>
      <c r="G55" s="13" t="s">
        <v>251</v>
      </c>
      <c r="H55" s="13" t="s">
        <v>167</v>
      </c>
    </row>
    <row r="56" spans="2:8" x14ac:dyDescent="0.2">
      <c r="B56" s="332" t="str">
        <f t="shared" si="1"/>
        <v>Spalte</v>
      </c>
      <c r="C56" s="320" t="s">
        <v>167</v>
      </c>
      <c r="D56" s="13" t="s">
        <v>29</v>
      </c>
      <c r="E56" s="13" t="s">
        <v>260</v>
      </c>
      <c r="F56" s="13" t="s">
        <v>436</v>
      </c>
      <c r="G56" s="13" t="s">
        <v>252</v>
      </c>
      <c r="H56" s="13" t="s">
        <v>167</v>
      </c>
    </row>
    <row r="57" spans="2:8" x14ac:dyDescent="0.2">
      <c r="B57" s="332" t="str">
        <f t="shared" si="1"/>
        <v>Formel</v>
      </c>
      <c r="C57" s="320" t="s">
        <v>167</v>
      </c>
      <c r="D57" s="13" t="s">
        <v>36</v>
      </c>
      <c r="E57" s="13" t="s">
        <v>261</v>
      </c>
      <c r="F57" s="13" t="s">
        <v>253</v>
      </c>
      <c r="G57" s="13" t="s">
        <v>253</v>
      </c>
      <c r="H57" s="13" t="s">
        <v>167</v>
      </c>
    </row>
    <row r="58" spans="2:8" x14ac:dyDescent="0.2">
      <c r="B58" s="332" t="str">
        <f t="shared" si="1"/>
        <v>Kategorie</v>
      </c>
      <c r="C58" s="320" t="s">
        <v>167</v>
      </c>
      <c r="D58" s="13" t="s">
        <v>56</v>
      </c>
      <c r="E58" s="13" t="s">
        <v>262</v>
      </c>
      <c r="F58" s="13" t="s">
        <v>437</v>
      </c>
      <c r="G58" s="13" t="s">
        <v>254</v>
      </c>
      <c r="H58" s="13" t="s">
        <v>167</v>
      </c>
    </row>
    <row r="59" spans="2:8" x14ac:dyDescent="0.2">
      <c r="B59" s="332" t="str">
        <f t="shared" si="1"/>
        <v>Einheit</v>
      </c>
      <c r="C59" s="320" t="s">
        <v>167</v>
      </c>
      <c r="D59" s="13" t="s">
        <v>1</v>
      </c>
      <c r="E59" s="13" t="s">
        <v>263</v>
      </c>
      <c r="F59" s="13" t="s">
        <v>438</v>
      </c>
      <c r="G59" s="13" t="s">
        <v>255</v>
      </c>
      <c r="H59" s="13" t="s">
        <v>167</v>
      </c>
    </row>
    <row r="60" spans="2:8" x14ac:dyDescent="0.2">
      <c r="B60" s="332" t="str">
        <f t="shared" si="1"/>
        <v>CHF</v>
      </c>
      <c r="C60" s="320"/>
      <c r="D60" s="13" t="s">
        <v>38</v>
      </c>
      <c r="E60" s="13" t="s">
        <v>38</v>
      </c>
      <c r="F60" s="13" t="s">
        <v>38</v>
      </c>
      <c r="G60" s="13" t="s">
        <v>38</v>
      </c>
      <c r="H60" s="13" t="s">
        <v>167</v>
      </c>
    </row>
    <row r="61" spans="2:8" x14ac:dyDescent="0.2">
      <c r="B61" s="332" t="str">
        <f t="shared" si="1"/>
        <v>CHF 1'000</v>
      </c>
      <c r="C61" s="320"/>
      <c r="D61" s="13" t="s">
        <v>37</v>
      </c>
      <c r="E61" s="13" t="s">
        <v>37</v>
      </c>
      <c r="F61" s="13" t="s">
        <v>439</v>
      </c>
      <c r="G61" s="13" t="s">
        <v>256</v>
      </c>
      <c r="H61" s="13" t="s">
        <v>167</v>
      </c>
    </row>
    <row r="62" spans="2:8" x14ac:dyDescent="0.2">
      <c r="B62" s="332" t="str">
        <f t="shared" si="1"/>
        <v>Anzahl</v>
      </c>
      <c r="C62" s="320" t="s">
        <v>167</v>
      </c>
      <c r="D62" s="13" t="s">
        <v>109</v>
      </c>
      <c r="E62" s="13" t="s">
        <v>264</v>
      </c>
      <c r="F62" s="13" t="s">
        <v>440</v>
      </c>
      <c r="G62" s="13" t="s">
        <v>344</v>
      </c>
      <c r="H62" s="13" t="s">
        <v>167</v>
      </c>
    </row>
    <row r="63" spans="2:8" x14ac:dyDescent="0.2">
      <c r="B63" s="332" t="str">
        <f t="shared" si="1"/>
        <v>Punkte</v>
      </c>
      <c r="C63" s="320" t="s">
        <v>167</v>
      </c>
      <c r="D63" s="13" t="s">
        <v>68</v>
      </c>
      <c r="E63" s="13" t="s">
        <v>257</v>
      </c>
      <c r="F63" s="13" t="s">
        <v>441</v>
      </c>
      <c r="G63" s="13" t="s">
        <v>257</v>
      </c>
      <c r="H63" s="13" t="s">
        <v>167</v>
      </c>
    </row>
    <row r="64" spans="2:8" x14ac:dyDescent="0.2">
      <c r="B64" s="334" t="str">
        <f t="shared" si="1"/>
        <v>Prozent</v>
      </c>
      <c r="C64" s="320" t="s">
        <v>167</v>
      </c>
      <c r="D64" s="13" t="s">
        <v>69</v>
      </c>
      <c r="E64" s="13" t="s">
        <v>504</v>
      </c>
      <c r="F64" s="13" t="s">
        <v>442</v>
      </c>
      <c r="G64" s="13" t="s">
        <v>345</v>
      </c>
      <c r="H64" s="13" t="s">
        <v>167</v>
      </c>
    </row>
    <row r="65" spans="2:8" x14ac:dyDescent="0.2">
      <c r="B65" s="332" t="str">
        <f t="shared" si="1"/>
        <v>Total</v>
      </c>
      <c r="C65" s="320" t="s">
        <v>167</v>
      </c>
      <c r="D65" s="13" t="s">
        <v>28</v>
      </c>
      <c r="E65" s="13" t="s">
        <v>28</v>
      </c>
      <c r="F65" s="13" t="s">
        <v>443</v>
      </c>
      <c r="G65" s="13" t="s">
        <v>28</v>
      </c>
      <c r="H65" s="13" t="s">
        <v>167</v>
      </c>
    </row>
    <row r="66" spans="2:8" x14ac:dyDescent="0.2">
      <c r="B66" s="332" t="str">
        <f t="shared" si="1"/>
        <v>Referenzjahr</v>
      </c>
      <c r="C66" s="320"/>
      <c r="D66" s="13" t="s">
        <v>55</v>
      </c>
      <c r="E66" s="13" t="s">
        <v>265</v>
      </c>
      <c r="F66" s="13" t="s">
        <v>498</v>
      </c>
      <c r="G66" s="13" t="s">
        <v>258</v>
      </c>
      <c r="H66" s="13" t="s">
        <v>167</v>
      </c>
    </row>
    <row r="67" spans="2:8" x14ac:dyDescent="0.2">
      <c r="B67" s="332" t="str">
        <f t="shared" si="1"/>
        <v>Berechnungsdatum</v>
      </c>
      <c r="C67" s="320"/>
      <c r="D67" s="13" t="s">
        <v>73</v>
      </c>
      <c r="E67" s="13" t="s">
        <v>377</v>
      </c>
      <c r="F67" s="13" t="s">
        <v>499</v>
      </c>
      <c r="G67" s="13" t="s">
        <v>346</v>
      </c>
      <c r="H67" s="13" t="s">
        <v>167</v>
      </c>
    </row>
    <row r="68" spans="2:8" x14ac:dyDescent="0.2">
      <c r="B68" s="332" t="str">
        <f t="shared" si="1"/>
        <v>Berechnungs-ID</v>
      </c>
      <c r="C68" s="320"/>
      <c r="D68" s="13" t="s">
        <v>74</v>
      </c>
      <c r="E68" s="13" t="s">
        <v>378</v>
      </c>
      <c r="F68" s="13" t="s">
        <v>500</v>
      </c>
      <c r="G68" s="13" t="s">
        <v>347</v>
      </c>
      <c r="H68" s="13" t="s">
        <v>167</v>
      </c>
    </row>
    <row r="69" spans="2:8" x14ac:dyDescent="0.2">
      <c r="B69" s="332" t="str">
        <f t="shared" si="1"/>
        <v>Bemessungsjahr</v>
      </c>
      <c r="C69" s="320"/>
      <c r="D69" s="13" t="s">
        <v>116</v>
      </c>
      <c r="E69" s="13" t="s">
        <v>266</v>
      </c>
      <c r="F69" s="13" t="s">
        <v>444</v>
      </c>
      <c r="G69" s="13" t="s">
        <v>259</v>
      </c>
      <c r="H69" s="13" t="s">
        <v>167</v>
      </c>
    </row>
    <row r="70" spans="2:8" x14ac:dyDescent="0.2">
      <c r="B70" s="332" t="str">
        <f t="shared" si="1"/>
        <v>Bemessungsjahr 2013</v>
      </c>
      <c r="C70" s="320" t="s">
        <v>167</v>
      </c>
      <c r="D70" s="13" t="str">
        <f>D$69 &amp; " " &amp; $G$2-6</f>
        <v>Bemessungsjahr 2013</v>
      </c>
      <c r="E70" s="13" t="str">
        <f t="shared" ref="E70:G70" si="2">E$69 &amp; " " &amp; $G$2-6</f>
        <v>Année de calcul 2013</v>
      </c>
      <c r="F70" s="13" t="str">
        <f t="shared" si="2"/>
        <v>Anno di calcolo 2013</v>
      </c>
      <c r="G70" s="13" t="str">
        <f t="shared" si="2"/>
        <v>Assessment year 2013</v>
      </c>
      <c r="H70" s="13" t="s">
        <v>167</v>
      </c>
    </row>
    <row r="71" spans="2:8" x14ac:dyDescent="0.2">
      <c r="B71" s="332" t="str">
        <f t="shared" si="1"/>
        <v>Bemessungsjahr 2014</v>
      </c>
      <c r="C71" s="320" t="s">
        <v>167</v>
      </c>
      <c r="D71" s="13" t="str">
        <f>D$69 &amp; " " &amp; $G$2-5</f>
        <v>Bemessungsjahr 2014</v>
      </c>
      <c r="E71" s="13" t="str">
        <f t="shared" ref="E71:G71" si="3">E$69 &amp; " " &amp; $G$2-5</f>
        <v>Année de calcul 2014</v>
      </c>
      <c r="F71" s="13" t="str">
        <f>F$69 &amp; " " &amp; $G$2-5</f>
        <v>Anno di calcolo 2014</v>
      </c>
      <c r="G71" s="13" t="str">
        <f t="shared" si="3"/>
        <v>Assessment year 2014</v>
      </c>
      <c r="H71" s="13" t="s">
        <v>167</v>
      </c>
    </row>
    <row r="72" spans="2:8" x14ac:dyDescent="0.2">
      <c r="B72" s="334" t="str">
        <f t="shared" si="1"/>
        <v>Bemessungsjahr 2015</v>
      </c>
      <c r="C72" s="320"/>
      <c r="D72" s="13" t="str">
        <f>D$69 &amp; " " &amp; $G$2-4</f>
        <v>Bemessungsjahr 2015</v>
      </c>
      <c r="E72" s="13" t="str">
        <f t="shared" ref="E72:G72" si="4">E$69 &amp; " " &amp; $G$2-4</f>
        <v>Année de calcul 2015</v>
      </c>
      <c r="F72" s="13" t="str">
        <f>F$69 &amp; " " &amp; $G$2-4</f>
        <v>Anno di calcolo 2015</v>
      </c>
      <c r="G72" s="13" t="str">
        <f t="shared" si="4"/>
        <v>Assessment year 2015</v>
      </c>
      <c r="H72" s="13" t="s">
        <v>167</v>
      </c>
    </row>
    <row r="73" spans="2:8" x14ac:dyDescent="0.2">
      <c r="B73" s="335" t="str">
        <f t="shared" si="1"/>
        <v>Zahlungen im</v>
      </c>
      <c r="C73" s="320" t="s">
        <v>167</v>
      </c>
      <c r="D73" s="325" t="s">
        <v>107</v>
      </c>
      <c r="E73" s="325" t="s">
        <v>379</v>
      </c>
      <c r="F73" s="325" t="s">
        <v>445</v>
      </c>
      <c r="G73" s="325" t="s">
        <v>348</v>
      </c>
      <c r="H73" s="13" t="s">
        <v>167</v>
      </c>
    </row>
    <row r="74" spans="2:8" x14ac:dyDescent="0.2">
      <c r="B74" s="335" t="str">
        <f t="shared" ref="B74:B105" si="5">HLOOKUP($B$9,$D$9:$G$213,ROW()-$B$8,FALSE)</f>
        <v>Ressourcenausgleich 2019</v>
      </c>
      <c r="C74" s="320" t="s">
        <v>167</v>
      </c>
      <c r="D74" s="325" t="str">
        <f>"Ressourcenausgleich " &amp; $G$2</f>
        <v>Ressourcenausgleich 2019</v>
      </c>
      <c r="E74" s="325" t="str">
        <f>"péréquation des ressources " &amp; $G$2</f>
        <v>péréquation des ressources 2019</v>
      </c>
      <c r="F74" s="325" t="str">
        <f>"Perequazione delle risorse " &amp; $G$2</f>
        <v>Perequazione delle risorse 2019</v>
      </c>
      <c r="G74" s="325" t="str">
        <f>"Resource equalization " &amp; $G$2</f>
        <v>Resource equalization 2019</v>
      </c>
      <c r="H74" s="13" t="s">
        <v>167</v>
      </c>
    </row>
    <row r="75" spans="2:8" x14ac:dyDescent="0.2">
      <c r="B75" s="332" t="str">
        <f t="shared" si="5"/>
        <v>(+) Einzahlungen; (-) Auszahlungen in CHF</v>
      </c>
      <c r="C75" s="320" t="s">
        <v>167</v>
      </c>
      <c r="D75" s="13" t="s">
        <v>148</v>
      </c>
      <c r="E75" s="13" t="s">
        <v>502</v>
      </c>
      <c r="F75" s="13" t="s">
        <v>446</v>
      </c>
      <c r="G75" s="13" t="s">
        <v>349</v>
      </c>
      <c r="H75" s="13" t="s">
        <v>167</v>
      </c>
    </row>
    <row r="76" spans="2:8" x14ac:dyDescent="0.2">
      <c r="B76" s="332" t="str">
        <f t="shared" si="5"/>
        <v>Ressourcen-
index</v>
      </c>
      <c r="C76" s="320" t="s">
        <v>167</v>
      </c>
      <c r="D76" s="13" t="s">
        <v>130</v>
      </c>
      <c r="E76" s="13" t="s">
        <v>569</v>
      </c>
      <c r="F76" s="13" t="s">
        <v>588</v>
      </c>
      <c r="G76" s="13" t="s">
        <v>591</v>
      </c>
      <c r="H76" s="13" t="s">
        <v>167</v>
      </c>
    </row>
    <row r="77" spans="2:8" x14ac:dyDescent="0.2">
      <c r="B77" s="332" t="str">
        <f t="shared" si="5"/>
        <v>Ausgleichszahlungen</v>
      </c>
      <c r="C77" s="320" t="s">
        <v>167</v>
      </c>
      <c r="D77" s="13" t="s">
        <v>71</v>
      </c>
      <c r="E77" s="13" t="s">
        <v>267</v>
      </c>
      <c r="F77" s="13" t="s">
        <v>447</v>
      </c>
      <c r="G77" s="13" t="s">
        <v>350</v>
      </c>
      <c r="H77" s="13" t="s">
        <v>167</v>
      </c>
    </row>
    <row r="78" spans="2:8" x14ac:dyDescent="0.2">
      <c r="B78" s="332" t="str">
        <f t="shared" si="5"/>
        <v>Pro Einwohner</v>
      </c>
      <c r="C78" s="320" t="s">
        <v>167</v>
      </c>
      <c r="D78" s="13" t="s">
        <v>72</v>
      </c>
      <c r="E78" s="13" t="s">
        <v>268</v>
      </c>
      <c r="F78" s="13" t="s">
        <v>448</v>
      </c>
      <c r="G78" s="13" t="s">
        <v>351</v>
      </c>
      <c r="H78" s="13" t="s">
        <v>167</v>
      </c>
    </row>
    <row r="79" spans="2:8" x14ac:dyDescent="0.2">
      <c r="B79" s="334" t="str">
        <f t="shared" si="5"/>
        <v>Die Berechnung des Ressourcenausgleichs wird im technischen Bericht detailliert beschrieben:
www.efv.admin.ch → Themen  → Finanzausgleich  → Dokumentation</v>
      </c>
      <c r="C79" s="320" t="s">
        <v>167</v>
      </c>
      <c r="D79" s="13" t="s">
        <v>147</v>
      </c>
      <c r="E79" s="13" t="s">
        <v>587</v>
      </c>
      <c r="F79" s="13" t="s">
        <v>592</v>
      </c>
      <c r="G79" s="13" t="s">
        <v>593</v>
      </c>
      <c r="H79" s="13" t="s">
        <v>167</v>
      </c>
    </row>
    <row r="80" spans="2:8" x14ac:dyDescent="0.2">
      <c r="B80" s="335" t="str">
        <f t="shared" si="5"/>
        <v>Einkommen natürlicher Personen 2019</v>
      </c>
      <c r="C80" s="320" t="s">
        <v>167</v>
      </c>
      <c r="D80" s="325" t="str">
        <f>"Einkommen natürlicher Personen " &amp; $G$2</f>
        <v>Einkommen natürlicher Personen 2019</v>
      </c>
      <c r="E80" s="325" t="str">
        <f>"Revenu des personnes physiques " &amp; $G$2</f>
        <v>Revenu des personnes physiques 2019</v>
      </c>
      <c r="F80" s="325" t="str">
        <f>"Reddito delle persone fisiche " &amp; $G$2</f>
        <v>Reddito delle persone fisiche 2019</v>
      </c>
      <c r="G80" s="325" t="str">
        <f>"Income of natural persons " &amp; $G$2</f>
        <v>Income of natural persons 2019</v>
      </c>
      <c r="H80" s="13" t="s">
        <v>167</v>
      </c>
    </row>
    <row r="81" spans="2:8" x14ac:dyDescent="0.2">
      <c r="B81" s="332" t="str">
        <f t="shared" si="5"/>
        <v>Steuerpflichtige mit steuerbarem Einkommen
grösser oder gleich dem Freibetrag</v>
      </c>
      <c r="C81" s="320" t="s">
        <v>167</v>
      </c>
      <c r="D81" s="13" t="s">
        <v>684</v>
      </c>
      <c r="E81" s="13" t="s">
        <v>685</v>
      </c>
      <c r="F81" s="13" t="s">
        <v>686</v>
      </c>
      <c r="G81" s="13" t="s">
        <v>687</v>
      </c>
      <c r="H81" s="13" t="s">
        <v>167</v>
      </c>
    </row>
    <row r="82" spans="2:8" x14ac:dyDescent="0.2">
      <c r="B82" s="332" t="str">
        <f t="shared" si="5"/>
        <v>Steuerpflichtige</v>
      </c>
      <c r="C82" s="320" t="s">
        <v>167</v>
      </c>
      <c r="D82" s="13" t="s">
        <v>113</v>
      </c>
      <c r="E82" s="13" t="s">
        <v>380</v>
      </c>
      <c r="F82" s="13" t="s">
        <v>449</v>
      </c>
      <c r="G82" s="13" t="s">
        <v>632</v>
      </c>
      <c r="H82" s="13" t="s">
        <v>167</v>
      </c>
    </row>
    <row r="83" spans="2:8" x14ac:dyDescent="0.2">
      <c r="B83" s="332" t="str">
        <f t="shared" si="5"/>
        <v>Steuerbares Einkommen
der Steuerpflichtigen</v>
      </c>
      <c r="C83" s="320" t="s">
        <v>167</v>
      </c>
      <c r="D83" s="13" t="s">
        <v>505</v>
      </c>
      <c r="E83" s="13" t="s">
        <v>540</v>
      </c>
      <c r="F83" s="13" t="s">
        <v>589</v>
      </c>
      <c r="G83" s="13" t="s">
        <v>631</v>
      </c>
      <c r="H83" s="13" t="s">
        <v>167</v>
      </c>
    </row>
    <row r="84" spans="2:8" x14ac:dyDescent="0.2">
      <c r="B84" s="332" t="str">
        <f t="shared" si="5"/>
        <v>Massgebendes
Einkommen der
natürlichen
Personen</v>
      </c>
      <c r="C84" s="320" t="s">
        <v>167</v>
      </c>
      <c r="D84" s="13" t="s">
        <v>522</v>
      </c>
      <c r="E84" s="13" t="s">
        <v>541</v>
      </c>
      <c r="F84" s="13" t="s">
        <v>590</v>
      </c>
      <c r="G84" s="13" t="s">
        <v>633</v>
      </c>
      <c r="H84" s="13" t="s">
        <v>167</v>
      </c>
    </row>
    <row r="85" spans="2:8" ht="11.25" customHeight="1" x14ac:dyDescent="0.2">
      <c r="B85" s="332" t="str">
        <f t="shared" si="5"/>
        <v>Freibetrag pro
steuerpflichtige Person</v>
      </c>
      <c r="C85" s="320" t="s">
        <v>167</v>
      </c>
      <c r="D85" s="13" t="s">
        <v>688</v>
      </c>
      <c r="E85" s="13" t="s">
        <v>689</v>
      </c>
      <c r="F85" s="13" t="s">
        <v>690</v>
      </c>
      <c r="G85" s="13" t="s">
        <v>691</v>
      </c>
      <c r="H85" s="13" t="s">
        <v>167</v>
      </c>
    </row>
    <row r="86" spans="2:8" x14ac:dyDescent="0.2">
      <c r="B86" s="334" t="str">
        <f t="shared" si="5"/>
        <v>Bemessungsjahr</v>
      </c>
      <c r="C86" s="320" t="s">
        <v>167</v>
      </c>
      <c r="D86" s="13" t="s">
        <v>116</v>
      </c>
      <c r="E86" s="13" t="s">
        <v>266</v>
      </c>
      <c r="F86" s="13" t="s">
        <v>444</v>
      </c>
      <c r="G86" s="13" t="s">
        <v>259</v>
      </c>
      <c r="H86" s="13" t="s">
        <v>167</v>
      </c>
    </row>
    <row r="87" spans="2:8" x14ac:dyDescent="0.2">
      <c r="B87" s="335" t="str">
        <f t="shared" si="5"/>
        <v>Quellenbesteuerte Einkommen natürlicher Personen 2019</v>
      </c>
      <c r="C87" s="320" t="s">
        <v>167</v>
      </c>
      <c r="D87" s="325" t="str">
        <f>"Quellenbesteuerte Einkommen natürlicher Personen " &amp; $G$2</f>
        <v>Quellenbesteuerte Einkommen natürlicher Personen 2019</v>
      </c>
      <c r="E87" s="325" t="str">
        <f>"Revenu des personnes physiques pour l’imposition à la source " &amp; $G$2</f>
        <v>Revenu des personnes physiques pour l’imposition à la source 2019</v>
      </c>
      <c r="F87" s="325" t="str">
        <f>"Reddito tassato alla fonte delle persone fisiche " &amp; $G$2</f>
        <v>Reddito tassato alla fonte delle persone fisiche 2019</v>
      </c>
      <c r="G87" s="325" t="str">
        <f>"Income of natural persons taxed at source " &amp; $G$2</f>
        <v>Income of natural persons taxed at source 2019</v>
      </c>
      <c r="H87" s="13" t="s">
        <v>167</v>
      </c>
    </row>
    <row r="88" spans="2:8" x14ac:dyDescent="0.2">
      <c r="B88" s="332" t="str">
        <f t="shared" si="5"/>
        <v>Bruttoeinkommen</v>
      </c>
      <c r="C88" s="320" t="s">
        <v>167</v>
      </c>
      <c r="D88" s="13" t="s">
        <v>118</v>
      </c>
      <c r="E88" s="13" t="s">
        <v>269</v>
      </c>
      <c r="F88" s="13" t="s">
        <v>450</v>
      </c>
      <c r="G88" s="13" t="s">
        <v>352</v>
      </c>
      <c r="H88" s="13" t="s">
        <v>167</v>
      </c>
    </row>
    <row r="89" spans="2:8" x14ac:dyDescent="0.2">
      <c r="B89" s="332" t="str">
        <f t="shared" si="5"/>
        <v>Gebietsansässige
Ausländer und
ausländische
Verwaltungsräte</v>
      </c>
      <c r="C89" s="320" t="s">
        <v>167</v>
      </c>
      <c r="D89" s="13" t="s">
        <v>506</v>
      </c>
      <c r="E89" s="13" t="s">
        <v>542</v>
      </c>
      <c r="F89" s="13" t="s">
        <v>594</v>
      </c>
      <c r="G89" s="13" t="s">
        <v>634</v>
      </c>
      <c r="H89" s="13" t="s">
        <v>167</v>
      </c>
    </row>
    <row r="90" spans="2:8" x14ac:dyDescent="0.2">
      <c r="B90" s="332" t="str">
        <f t="shared" si="5"/>
        <v>Vollständig
besteuerte
Grenzgänger</v>
      </c>
      <c r="C90" s="320" t="s">
        <v>167</v>
      </c>
      <c r="D90" s="13" t="s">
        <v>507</v>
      </c>
      <c r="E90" s="13" t="s">
        <v>543</v>
      </c>
      <c r="F90" s="13" t="s">
        <v>595</v>
      </c>
      <c r="G90" s="13" t="s">
        <v>635</v>
      </c>
      <c r="H90" s="13" t="s">
        <v>167</v>
      </c>
    </row>
    <row r="91" spans="2:8" x14ac:dyDescent="0.2">
      <c r="B91" s="332" t="str">
        <f t="shared" si="5"/>
        <v>Begrenzt
besteuerte
Grenzgänger
aus Österreich</v>
      </c>
      <c r="C91" s="320" t="s">
        <v>167</v>
      </c>
      <c r="D91" s="13" t="s">
        <v>508</v>
      </c>
      <c r="E91" s="13" t="s">
        <v>544</v>
      </c>
      <c r="F91" s="13" t="s">
        <v>596</v>
      </c>
      <c r="G91" s="13" t="s">
        <v>636</v>
      </c>
      <c r="H91" s="13" t="s">
        <v>167</v>
      </c>
    </row>
    <row r="92" spans="2:8" x14ac:dyDescent="0.2">
      <c r="B92" s="332" t="str">
        <f t="shared" si="5"/>
        <v>Begrenzt
besteuerte
Grenzgänger
aus Deutschland</v>
      </c>
      <c r="C92" s="320" t="s">
        <v>167</v>
      </c>
      <c r="D92" s="13" t="s">
        <v>509</v>
      </c>
      <c r="E92" s="13" t="s">
        <v>545</v>
      </c>
      <c r="F92" s="13" t="s">
        <v>598</v>
      </c>
      <c r="G92" s="13" t="s">
        <v>637</v>
      </c>
      <c r="H92" s="13" t="s">
        <v>167</v>
      </c>
    </row>
    <row r="93" spans="2:8" x14ac:dyDescent="0.2">
      <c r="B93" s="332" t="str">
        <f t="shared" si="5"/>
        <v>Begrenzt besteuerte
Grenzgänger aus
Frankreich mit
Besteuerung durch
den Kanton Genf</v>
      </c>
      <c r="C93" s="320" t="s">
        <v>167</v>
      </c>
      <c r="D93" s="13" t="s">
        <v>510</v>
      </c>
      <c r="E93" s="13" t="s">
        <v>548</v>
      </c>
      <c r="F93" s="13" t="s">
        <v>597</v>
      </c>
      <c r="G93" s="13" t="s">
        <v>639</v>
      </c>
      <c r="H93" s="13" t="s">
        <v>167</v>
      </c>
    </row>
    <row r="94" spans="2:8" x14ac:dyDescent="0.2">
      <c r="B94" s="332" t="str">
        <f t="shared" si="5"/>
        <v>Begrenzt besteuerte
Grenzgänger aus
Frankreich mit
Besteuerung durch
Frankreich</v>
      </c>
      <c r="C94" s="320" t="s">
        <v>167</v>
      </c>
      <c r="D94" s="13" t="s">
        <v>511</v>
      </c>
      <c r="E94" s="13" t="s">
        <v>546</v>
      </c>
      <c r="F94" s="13" t="s">
        <v>599</v>
      </c>
      <c r="G94" s="13" t="s">
        <v>638</v>
      </c>
      <c r="H94" s="13" t="s">
        <v>167</v>
      </c>
    </row>
    <row r="95" spans="2:8" x14ac:dyDescent="0.2">
      <c r="B95" s="332" t="str">
        <f t="shared" si="5"/>
        <v>Begrenzt
besteuerte
Grenzgänger
aus Italien</v>
      </c>
      <c r="C95" s="320" t="s">
        <v>167</v>
      </c>
      <c r="D95" s="13" t="s">
        <v>512</v>
      </c>
      <c r="E95" s="13" t="s">
        <v>547</v>
      </c>
      <c r="F95" s="13" t="s">
        <v>600</v>
      </c>
      <c r="G95" s="13" t="s">
        <v>640</v>
      </c>
      <c r="H95" s="13" t="s">
        <v>167</v>
      </c>
    </row>
    <row r="96" spans="2:8" x14ac:dyDescent="0.2">
      <c r="B96" s="332" t="str">
        <f t="shared" si="5"/>
        <v>Standardisierter Steuersatz 2018 (SSTV)</v>
      </c>
      <c r="C96" s="320" t="s">
        <v>167</v>
      </c>
      <c r="D96" s="13" t="str">
        <f>"Standardisierter Steuersatz "&amp;$G$2-1&amp;" (SSTV)"</f>
        <v>Standardisierter Steuersatz 2018 (SSTV)</v>
      </c>
      <c r="E96" s="13" t="str">
        <f>"Taux fiscal standardisé " &amp; $G$2-1 &amp; " (TFSap)"</f>
        <v>Taux fiscal standardisé 2018 (TFSap)</v>
      </c>
      <c r="F96" s="13" t="str">
        <f>"Aliquota d'imposta standardizzata " &amp; $G$2-1 &amp; " (AIS ap)"</f>
        <v>Aliquota d'imposta standardizzata 2018 (AIS ap)</v>
      </c>
      <c r="G96" s="13" t="str">
        <f>"Standardized tax rate " &amp; $G$2-1 &amp; " (STRateP)"</f>
        <v>Standardized tax rate 2018 (STRateP)</v>
      </c>
      <c r="H96" s="13" t="s">
        <v>167</v>
      </c>
    </row>
    <row r="97" spans="2:8" x14ac:dyDescent="0.2">
      <c r="B97" s="332" t="str">
        <f t="shared" si="5"/>
        <v>Faktor Delta</v>
      </c>
      <c r="C97" s="320" t="s">
        <v>167</v>
      </c>
      <c r="D97" s="13" t="s">
        <v>79</v>
      </c>
      <c r="E97" s="13" t="s">
        <v>270</v>
      </c>
      <c r="F97" s="13" t="s">
        <v>451</v>
      </c>
      <c r="G97" s="13" t="s">
        <v>296</v>
      </c>
      <c r="H97" s="13" t="s">
        <v>167</v>
      </c>
    </row>
    <row r="98" spans="2:8" x14ac:dyDescent="0.2">
      <c r="B98" s="332" t="str">
        <f t="shared" si="5"/>
        <v>Berechnung Gamma 2013</v>
      </c>
      <c r="C98" s="320" t="s">
        <v>167</v>
      </c>
      <c r="D98" s="13" t="str">
        <f>"Berechnung Gamma " &amp; $G$2-6</f>
        <v>Berechnung Gamma 2013</v>
      </c>
      <c r="E98" s="13" t="str">
        <f>"Calcul Gamma " &amp; G$2-6</f>
        <v>Calcul Gamma 2013</v>
      </c>
      <c r="F98" s="13" t="str">
        <f>"Calcolo gamma " &amp; G$2-6</f>
        <v>Calcolo gamma 2013</v>
      </c>
      <c r="G98" s="13" t="str">
        <f>"Gamma calculation " &amp; $G$2-6</f>
        <v>Gamma calculation 2013</v>
      </c>
      <c r="H98" s="13" t="s">
        <v>167</v>
      </c>
    </row>
    <row r="99" spans="2:8" x14ac:dyDescent="0.2">
      <c r="B99" s="332" t="str">
        <f t="shared" si="5"/>
        <v>Berechnung Gamma 2014</v>
      </c>
      <c r="C99" s="320" t="s">
        <v>167</v>
      </c>
      <c r="D99" s="13" t="str">
        <f>"Berechnung Gamma " &amp; $G$2-5</f>
        <v>Berechnung Gamma 2014</v>
      </c>
      <c r="E99" s="13" t="str">
        <f>"Calcul Gamma " &amp; G$2-5</f>
        <v>Calcul Gamma 2014</v>
      </c>
      <c r="F99" s="13" t="str">
        <f>"Calcolo gamma " &amp; G$2-5</f>
        <v>Calcolo gamma 2014</v>
      </c>
      <c r="G99" s="13" t="str">
        <f>"Gamma calculation " &amp; $G$2-5</f>
        <v>Gamma calculation 2014</v>
      </c>
      <c r="H99" s="13" t="s">
        <v>167</v>
      </c>
    </row>
    <row r="100" spans="2:8" x14ac:dyDescent="0.2">
      <c r="B100" s="332" t="str">
        <f t="shared" si="5"/>
        <v>Berechnung Gamma 2015</v>
      </c>
      <c r="C100" s="320" t="s">
        <v>167</v>
      </c>
      <c r="D100" s="13" t="str">
        <f>"Berechnung Gamma " &amp; $G$2-4</f>
        <v>Berechnung Gamma 2015</v>
      </c>
      <c r="E100" s="13" t="str">
        <f>"Calcul Gamma " &amp; G$2-4</f>
        <v>Calcul Gamma 2015</v>
      </c>
      <c r="F100" s="13" t="str">
        <f>"Calcolo gamma " &amp; G$2-4</f>
        <v>Calcolo gamma 2015</v>
      </c>
      <c r="G100" s="13" t="str">
        <f>"Gamma calculation " &amp; $G$2-4</f>
        <v>Gamma calculation 2015</v>
      </c>
      <c r="H100" s="13" t="s">
        <v>167</v>
      </c>
    </row>
    <row r="101" spans="2:8" x14ac:dyDescent="0.2">
      <c r="B101" s="332" t="str">
        <f t="shared" si="5"/>
        <v>in CHF 1'000</v>
      </c>
      <c r="C101" s="320" t="s">
        <v>167</v>
      </c>
      <c r="D101" s="13" t="s">
        <v>39</v>
      </c>
      <c r="E101" s="13" t="s">
        <v>501</v>
      </c>
      <c r="F101" s="13" t="s">
        <v>452</v>
      </c>
      <c r="G101" s="13" t="s">
        <v>353</v>
      </c>
      <c r="H101" s="13" t="s">
        <v>167</v>
      </c>
    </row>
    <row r="102" spans="2:8" x14ac:dyDescent="0.2">
      <c r="B102" s="332" t="str">
        <f t="shared" si="5"/>
        <v>A    Primäreinkommen der privaten Haushalte</v>
      </c>
      <c r="C102" s="320" t="s">
        <v>167</v>
      </c>
      <c r="D102" s="13" t="s">
        <v>94</v>
      </c>
      <c r="E102" s="13" t="s">
        <v>271</v>
      </c>
      <c r="F102" s="13" t="s">
        <v>453</v>
      </c>
      <c r="G102" s="13" t="s">
        <v>297</v>
      </c>
      <c r="H102" s="13" t="s">
        <v>167</v>
      </c>
    </row>
    <row r="103" spans="2:8" x14ac:dyDescent="0.2">
      <c r="B103" s="332" t="str">
        <f t="shared" si="5"/>
        <v>B    Massgebendes Einkommen</v>
      </c>
      <c r="C103" s="320" t="s">
        <v>167</v>
      </c>
      <c r="D103" s="13" t="s">
        <v>95</v>
      </c>
      <c r="E103" s="13" t="s">
        <v>272</v>
      </c>
      <c r="F103" s="13" t="s">
        <v>454</v>
      </c>
      <c r="G103" s="13" t="s">
        <v>298</v>
      </c>
      <c r="H103" s="13" t="s">
        <v>167</v>
      </c>
    </row>
    <row r="104" spans="2:8" x14ac:dyDescent="0.2">
      <c r="B104" s="332" t="str">
        <f t="shared" si="5"/>
        <v>C    Gamma (B / A)</v>
      </c>
      <c r="C104" s="320" t="s">
        <v>167</v>
      </c>
      <c r="D104" s="13" t="s">
        <v>226</v>
      </c>
      <c r="E104" s="13" t="s">
        <v>226</v>
      </c>
      <c r="F104" s="13" t="s">
        <v>226</v>
      </c>
      <c r="G104" s="13" t="s">
        <v>226</v>
      </c>
      <c r="H104" s="13" t="s">
        <v>167</v>
      </c>
    </row>
    <row r="105" spans="2:8" x14ac:dyDescent="0.2">
      <c r="B105" s="332" t="str">
        <f t="shared" si="5"/>
        <v>Formel für Gewicht</v>
      </c>
      <c r="C105" s="320" t="s">
        <v>167</v>
      </c>
      <c r="D105" s="13" t="s">
        <v>106</v>
      </c>
      <c r="E105" s="13" t="s">
        <v>273</v>
      </c>
      <c r="F105" s="13" t="s">
        <v>455</v>
      </c>
      <c r="G105" s="13" t="s">
        <v>354</v>
      </c>
      <c r="H105" s="13" t="s">
        <v>167</v>
      </c>
    </row>
    <row r="106" spans="2:8" x14ac:dyDescent="0.2">
      <c r="B106" s="332" t="str">
        <f t="shared" ref="B106:B141" si="6">HLOOKUP($B$9,$D$9:$G$213,ROW()-$B$8,FALSE)</f>
        <v>Gewicht (ω)</v>
      </c>
      <c r="C106" s="320" t="s">
        <v>167</v>
      </c>
      <c r="D106" s="13" t="s">
        <v>119</v>
      </c>
      <c r="E106" s="13" t="s">
        <v>274</v>
      </c>
      <c r="F106" s="13" t="s">
        <v>458</v>
      </c>
      <c r="G106" s="13" t="s">
        <v>357</v>
      </c>
      <c r="H106" s="13" t="s">
        <v>167</v>
      </c>
    </row>
    <row r="107" spans="2:8" x14ac:dyDescent="0.2">
      <c r="B107" s="332" t="str">
        <f t="shared" si="6"/>
        <v>0.045 / SSTV</v>
      </c>
      <c r="C107" s="320" t="s">
        <v>167</v>
      </c>
      <c r="D107" s="13" t="s">
        <v>325</v>
      </c>
      <c r="E107" s="13" t="s">
        <v>381</v>
      </c>
      <c r="F107" s="13" t="s">
        <v>456</v>
      </c>
      <c r="G107" s="13" t="s">
        <v>355</v>
      </c>
      <c r="H107" s="13" t="s">
        <v>167</v>
      </c>
    </row>
    <row r="108" spans="2:8" x14ac:dyDescent="0.2">
      <c r="B108" s="332" t="str">
        <f t="shared" si="6"/>
        <v>γ - 0.035 / SSTV</v>
      </c>
      <c r="C108" s="320" t="s">
        <v>167</v>
      </c>
      <c r="D108" s="13" t="s">
        <v>326</v>
      </c>
      <c r="E108" s="13" t="s">
        <v>382</v>
      </c>
      <c r="F108" s="13" t="s">
        <v>457</v>
      </c>
      <c r="G108" s="13" t="s">
        <v>356</v>
      </c>
      <c r="H108" s="13" t="s">
        <v>167</v>
      </c>
    </row>
    <row r="109" spans="2:8" ht="11.25" customHeight="1" x14ac:dyDescent="0.2">
      <c r="B109" s="332" t="str">
        <f t="shared" si="6"/>
        <v>Grenzgänger
Total</v>
      </c>
      <c r="C109" s="320" t="s">
        <v>167</v>
      </c>
      <c r="D109" s="13" t="s">
        <v>229</v>
      </c>
      <c r="E109" s="13" t="s">
        <v>678</v>
      </c>
      <c r="F109" s="13" t="s">
        <v>601</v>
      </c>
      <c r="G109" s="13" t="s">
        <v>641</v>
      </c>
      <c r="H109" s="13" t="s">
        <v>167</v>
      </c>
    </row>
    <row r="110" spans="2:8" x14ac:dyDescent="0.2">
      <c r="B110" s="332" t="str">
        <f t="shared" si="6"/>
        <v>Ergebnis auf
der Basis der
Bruttolöhne
(Grenzgänger)</v>
      </c>
      <c r="C110" s="320" t="s">
        <v>167</v>
      </c>
      <c r="D110" s="13" t="s">
        <v>513</v>
      </c>
      <c r="E110" s="13" t="s">
        <v>549</v>
      </c>
      <c r="F110" s="13" t="s">
        <v>602</v>
      </c>
      <c r="G110" s="13" t="s">
        <v>642</v>
      </c>
      <c r="H110" s="13" t="s">
        <v>167</v>
      </c>
    </row>
    <row r="111" spans="2:8" ht="11.25" customHeight="1" x14ac:dyDescent="0.2">
      <c r="B111" s="332" t="str">
        <f t="shared" si="6"/>
        <v>Ergebnis auf
der Basis
geschätzter
Daten</v>
      </c>
      <c r="C111" s="320"/>
      <c r="D111" s="13" t="s">
        <v>514</v>
      </c>
      <c r="E111" s="13" t="s">
        <v>551</v>
      </c>
      <c r="F111" s="13" t="s">
        <v>643</v>
      </c>
      <c r="G111" s="13" t="s">
        <v>644</v>
      </c>
      <c r="H111" s="13" t="s">
        <v>167</v>
      </c>
    </row>
    <row r="112" spans="2:8" x14ac:dyDescent="0.2">
      <c r="B112" s="332" t="str">
        <f t="shared" si="6"/>
        <v>Massgebende
quellenbesteuerte
Einkommen</v>
      </c>
      <c r="C112" s="320" t="s">
        <v>167</v>
      </c>
      <c r="D112" s="13" t="s">
        <v>515</v>
      </c>
      <c r="E112" s="13" t="s">
        <v>550</v>
      </c>
      <c r="F112" s="13" t="s">
        <v>603</v>
      </c>
      <c r="G112" s="13" t="s">
        <v>645</v>
      </c>
      <c r="H112" s="13" t="s">
        <v>167</v>
      </c>
    </row>
    <row r="113" spans="2:8" x14ac:dyDescent="0.2">
      <c r="B113" s="332" t="str">
        <f t="shared" si="6"/>
        <v>Massgebende quellenbesteuerte Einkommen</v>
      </c>
      <c r="C113" s="320" t="s">
        <v>167</v>
      </c>
      <c r="D113" s="13" t="s">
        <v>552</v>
      </c>
      <c r="E113" s="13" t="s">
        <v>275</v>
      </c>
      <c r="F113" s="13" t="s">
        <v>459</v>
      </c>
      <c r="G113" s="13" t="s">
        <v>299</v>
      </c>
      <c r="H113" s="13" t="s">
        <v>167</v>
      </c>
    </row>
    <row r="114" spans="2:8" x14ac:dyDescent="0.2">
      <c r="B114" s="332" t="str">
        <f t="shared" si="6"/>
        <v>(Q + Y) oder Z</v>
      </c>
      <c r="C114" s="320"/>
      <c r="D114" s="13" t="s">
        <v>330</v>
      </c>
      <c r="E114" s="13" t="s">
        <v>671</v>
      </c>
      <c r="F114" s="13" t="s">
        <v>673</v>
      </c>
      <c r="G114" s="13" t="s">
        <v>672</v>
      </c>
    </row>
    <row r="115" spans="2:8" x14ac:dyDescent="0.2">
      <c r="B115" s="336" t="str">
        <f t="shared" si="6"/>
        <v>Vermögen natürlicher Personen 2019</v>
      </c>
      <c r="C115" s="320" t="s">
        <v>167</v>
      </c>
      <c r="D115" s="325" t="str">
        <f>"Vermögen natürlicher Personen " &amp; $G$2</f>
        <v>Vermögen natürlicher Personen 2019</v>
      </c>
      <c r="E115" s="325" t="str">
        <f>"Fortune des personnes physiques " &amp; $G$2</f>
        <v>Fortune des personnes physiques 2019</v>
      </c>
      <c r="F115" s="325" t="str">
        <f>"Sostanza delle persone fisiche " &amp; $G$2</f>
        <v>Sostanza delle persone fisiche 2019</v>
      </c>
      <c r="G115" s="325" t="str">
        <f>"Wealth " &amp; $G$2</f>
        <v>Wealth 2019</v>
      </c>
      <c r="H115" s="13" t="s">
        <v>167</v>
      </c>
    </row>
    <row r="116" spans="2:8" x14ac:dyDescent="0.2">
      <c r="B116" s="332" t="str">
        <f t="shared" si="6"/>
        <v>Reinvermögen</v>
      </c>
      <c r="C116" s="320" t="s">
        <v>167</v>
      </c>
      <c r="D116" s="13" t="s">
        <v>46</v>
      </c>
      <c r="E116" s="13" t="s">
        <v>276</v>
      </c>
      <c r="F116" s="13" t="s">
        <v>460</v>
      </c>
      <c r="G116" s="13" t="s">
        <v>300</v>
      </c>
      <c r="H116" s="13" t="s">
        <v>167</v>
      </c>
    </row>
    <row r="117" spans="2:8" x14ac:dyDescent="0.2">
      <c r="B117" s="332" t="str">
        <f t="shared" si="6"/>
        <v>Massgebendes
Vermögen</v>
      </c>
      <c r="C117" s="320" t="s">
        <v>167</v>
      </c>
      <c r="D117" s="13" t="s">
        <v>516</v>
      </c>
      <c r="E117" s="13" t="s">
        <v>553</v>
      </c>
      <c r="F117" s="13" t="s">
        <v>554</v>
      </c>
      <c r="G117" s="13" t="s">
        <v>555</v>
      </c>
      <c r="H117" s="13" t="s">
        <v>167</v>
      </c>
    </row>
    <row r="118" spans="2:8" x14ac:dyDescent="0.2">
      <c r="B118" s="332" t="str">
        <f t="shared" si="6"/>
        <v>Alpha</v>
      </c>
      <c r="C118" s="320"/>
      <c r="D118" s="13" t="s">
        <v>692</v>
      </c>
      <c r="E118" s="13" t="s">
        <v>693</v>
      </c>
      <c r="F118" s="13" t="s">
        <v>694</v>
      </c>
      <c r="G118" s="13" t="s">
        <v>693</v>
      </c>
      <c r="H118" s="13"/>
    </row>
    <row r="119" spans="2:8" x14ac:dyDescent="0.2">
      <c r="B119" s="334" t="str">
        <f t="shared" si="6"/>
        <v>Faktor Alpha</v>
      </c>
      <c r="C119" s="320" t="s">
        <v>167</v>
      </c>
      <c r="D119" s="13" t="s">
        <v>45</v>
      </c>
      <c r="E119" s="13" t="s">
        <v>277</v>
      </c>
      <c r="F119" s="13" t="s">
        <v>461</v>
      </c>
      <c r="G119" s="13" t="s">
        <v>301</v>
      </c>
      <c r="H119" s="13" t="s">
        <v>167</v>
      </c>
    </row>
    <row r="120" spans="2:8" x14ac:dyDescent="0.2">
      <c r="B120" s="335" t="str">
        <f t="shared" si="6"/>
        <v>Gewinne juristischer Personen 2019</v>
      </c>
      <c r="C120" s="320" t="s">
        <v>167</v>
      </c>
      <c r="D120" s="325" t="str">
        <f>"Gewinne juristischer Personen " &amp; $G$2</f>
        <v>Gewinne juristischer Personen 2019</v>
      </c>
      <c r="E120" s="325" t="str">
        <f>"Bénéfice des personnes morales " &amp; $G$2</f>
        <v>Bénéfice des personnes morales 2019</v>
      </c>
      <c r="F120" s="325" t="str">
        <f>"Utili delle persone giuridiche " &amp; $G$2</f>
        <v>Utili delle persone giuridiche 2019</v>
      </c>
      <c r="G120" s="325" t="str">
        <f>"Profit of legal entities " &amp; $G$2</f>
        <v>Profit of legal entities 2019</v>
      </c>
      <c r="H120" s="13" t="s">
        <v>167</v>
      </c>
    </row>
    <row r="121" spans="2:8" x14ac:dyDescent="0.2">
      <c r="B121" s="332" t="str">
        <f t="shared" si="6"/>
        <v>Massgebender Gewinn
ordentlich besteuerter
Unternehmen</v>
      </c>
      <c r="C121" s="320" t="s">
        <v>167</v>
      </c>
      <c r="D121" s="13" t="s">
        <v>517</v>
      </c>
      <c r="E121" s="13" t="s">
        <v>556</v>
      </c>
      <c r="F121" s="13" t="s">
        <v>604</v>
      </c>
      <c r="G121" s="13" t="s">
        <v>646</v>
      </c>
      <c r="H121" s="13" t="s">
        <v>167</v>
      </c>
    </row>
    <row r="122" spans="2:8" x14ac:dyDescent="0.2">
      <c r="B122" s="332" t="str">
        <f t="shared" si="6"/>
        <v>Massgebender Gewinn
von Gesellschaften mit
besonderem Steuerstatus</v>
      </c>
      <c r="C122" s="320" t="s">
        <v>167</v>
      </c>
      <c r="D122" s="13" t="s">
        <v>518</v>
      </c>
      <c r="E122" s="13" t="s">
        <v>557</v>
      </c>
      <c r="F122" s="13" t="s">
        <v>605</v>
      </c>
      <c r="G122" s="13" t="s">
        <v>648</v>
      </c>
      <c r="H122" s="13" t="s">
        <v>167</v>
      </c>
    </row>
    <row r="123" spans="2:8" x14ac:dyDescent="0.2">
      <c r="B123" s="332" t="str">
        <f t="shared" si="6"/>
        <v>Massgebender Gewinn
der juristischen Personen</v>
      </c>
      <c r="C123" s="320" t="s">
        <v>167</v>
      </c>
      <c r="D123" s="13" t="s">
        <v>142</v>
      </c>
      <c r="E123" s="13" t="s">
        <v>558</v>
      </c>
      <c r="F123" s="13" t="s">
        <v>606</v>
      </c>
      <c r="G123" s="13" t="s">
        <v>647</v>
      </c>
      <c r="H123" s="13" t="s">
        <v>167</v>
      </c>
    </row>
    <row r="124" spans="2:8" x14ac:dyDescent="0.2">
      <c r="B124" s="332" t="str">
        <f t="shared" si="6"/>
        <v>Beta-Faktoren</v>
      </c>
      <c r="C124" s="320" t="s">
        <v>167</v>
      </c>
      <c r="D124" s="13" t="s">
        <v>96</v>
      </c>
      <c r="E124" s="13" t="s">
        <v>278</v>
      </c>
      <c r="F124" s="13" t="s">
        <v>462</v>
      </c>
      <c r="G124" s="13" t="s">
        <v>302</v>
      </c>
      <c r="H124" s="13" t="s">
        <v>167</v>
      </c>
    </row>
    <row r="125" spans="2:8" x14ac:dyDescent="0.2">
      <c r="B125" s="332" t="str">
        <f t="shared" si="6"/>
        <v>Holdinggesellschaften</v>
      </c>
      <c r="C125" s="320" t="s">
        <v>167</v>
      </c>
      <c r="D125" s="13" t="s">
        <v>97</v>
      </c>
      <c r="E125" s="13" t="s">
        <v>279</v>
      </c>
      <c r="F125" s="13" t="s">
        <v>463</v>
      </c>
      <c r="G125" s="13" t="s">
        <v>358</v>
      </c>
      <c r="H125" s="13" t="s">
        <v>167</v>
      </c>
    </row>
    <row r="126" spans="2:8" x14ac:dyDescent="0.2">
      <c r="B126" s="332" t="str">
        <f t="shared" si="6"/>
        <v>Domizilgesellschaften</v>
      </c>
      <c r="C126" s="320" t="s">
        <v>167</v>
      </c>
      <c r="D126" s="13" t="s">
        <v>98</v>
      </c>
      <c r="E126" s="13" t="s">
        <v>280</v>
      </c>
      <c r="F126" s="13" t="s">
        <v>464</v>
      </c>
      <c r="G126" s="13" t="s">
        <v>359</v>
      </c>
      <c r="H126" s="13" t="s">
        <v>167</v>
      </c>
    </row>
    <row r="127" spans="2:8" x14ac:dyDescent="0.2">
      <c r="B127" s="334" t="str">
        <f t="shared" si="6"/>
        <v>Gemischte Gesellschaften</v>
      </c>
      <c r="C127" s="320" t="s">
        <v>167</v>
      </c>
      <c r="D127" s="13" t="s">
        <v>99</v>
      </c>
      <c r="E127" s="13" t="s">
        <v>281</v>
      </c>
      <c r="F127" s="13" t="s">
        <v>465</v>
      </c>
      <c r="G127" s="13" t="s">
        <v>360</v>
      </c>
      <c r="H127" s="13" t="s">
        <v>167</v>
      </c>
    </row>
    <row r="128" spans="2:8" x14ac:dyDescent="0.2">
      <c r="B128" s="335" t="str">
        <f t="shared" si="6"/>
        <v>Steuerrepartitionen 2019</v>
      </c>
      <c r="C128" s="320" t="s">
        <v>167</v>
      </c>
      <c r="D128" s="325" t="str">
        <f>"Steuerrepartitionen " &amp; $G$2</f>
        <v>Steuerrepartitionen 2019</v>
      </c>
      <c r="E128" s="325" t="str">
        <f>"Répartitions fiscales " &amp; $G$2</f>
        <v>Répartitions fiscales 2019</v>
      </c>
      <c r="F128" s="325" t="str">
        <f>"Riparti fiscali " &amp; $G$2</f>
        <v>Riparti fiscali 2019</v>
      </c>
      <c r="G128" s="325" t="str">
        <f>"Tax repartitions " &amp; $G$2</f>
        <v>Tax repartitions 2019</v>
      </c>
      <c r="H128" s="13" t="s">
        <v>167</v>
      </c>
    </row>
    <row r="129" spans="2:8" x14ac:dyDescent="0.2">
      <c r="B129" s="332" t="str">
        <f t="shared" si="6"/>
        <v>Zu Gunsten
anderer
Kantone</v>
      </c>
      <c r="C129" s="320" t="s">
        <v>167</v>
      </c>
      <c r="D129" s="13" t="s">
        <v>50</v>
      </c>
      <c r="E129" s="13" t="s">
        <v>559</v>
      </c>
      <c r="F129" s="13" t="s">
        <v>607</v>
      </c>
      <c r="G129" s="13" t="s">
        <v>537</v>
      </c>
      <c r="H129" s="13" t="s">
        <v>167</v>
      </c>
    </row>
    <row r="130" spans="2:8" x14ac:dyDescent="0.2">
      <c r="B130" s="332" t="str">
        <f t="shared" si="6"/>
        <v>Erhalten von
anderen
Kantonen</v>
      </c>
      <c r="C130" s="320" t="s">
        <v>167</v>
      </c>
      <c r="D130" s="13" t="s">
        <v>49</v>
      </c>
      <c r="E130" s="13" t="s">
        <v>560</v>
      </c>
      <c r="F130" s="13" t="s">
        <v>608</v>
      </c>
      <c r="G130" s="13" t="s">
        <v>538</v>
      </c>
      <c r="H130" s="13" t="s">
        <v>167</v>
      </c>
    </row>
    <row r="131" spans="2:8" x14ac:dyDescent="0.2">
      <c r="B131" s="332" t="str">
        <f t="shared" si="6"/>
        <v>Saldo</v>
      </c>
      <c r="C131" s="320" t="s">
        <v>167</v>
      </c>
      <c r="D131" s="13" t="s">
        <v>48</v>
      </c>
      <c r="E131" s="13" t="s">
        <v>282</v>
      </c>
      <c r="F131" s="13" t="s">
        <v>466</v>
      </c>
      <c r="G131" s="13" t="s">
        <v>303</v>
      </c>
      <c r="H131" s="13" t="s">
        <v>167</v>
      </c>
    </row>
    <row r="132" spans="2:8" x14ac:dyDescent="0.2">
      <c r="B132" s="332" t="str">
        <f t="shared" si="6"/>
        <v>Ablieferungen DBSt
an die ESTV</v>
      </c>
      <c r="C132" s="320" t="s">
        <v>167</v>
      </c>
      <c r="D132" s="13" t="s">
        <v>519</v>
      </c>
      <c r="E132" s="13" t="s">
        <v>561</v>
      </c>
      <c r="F132" s="13" t="s">
        <v>609</v>
      </c>
      <c r="G132" s="13" t="s">
        <v>649</v>
      </c>
      <c r="H132" s="13" t="s">
        <v>167</v>
      </c>
    </row>
    <row r="133" spans="2:8" ht="11.25" customHeight="1" x14ac:dyDescent="0.2">
      <c r="B133" s="332" t="str">
        <f t="shared" si="6"/>
        <v>Massgebende Steuerbemessungs-grundlage DBSt</v>
      </c>
      <c r="C133" s="320" t="s">
        <v>167</v>
      </c>
      <c r="D133" s="13" t="s">
        <v>47</v>
      </c>
      <c r="E133" s="13" t="s">
        <v>562</v>
      </c>
      <c r="F133" s="13" t="s">
        <v>679</v>
      </c>
      <c r="G133" s="13" t="s">
        <v>539</v>
      </c>
      <c r="H133" s="13" t="s">
        <v>167</v>
      </c>
    </row>
    <row r="134" spans="2:8" x14ac:dyDescent="0.2">
      <c r="B134" s="332" t="str">
        <f t="shared" si="6"/>
        <v>Gewichtungs-
faktor</v>
      </c>
      <c r="C134" s="320" t="s">
        <v>167</v>
      </c>
      <c r="D134" s="13" t="s">
        <v>520</v>
      </c>
      <c r="E134" s="13" t="s">
        <v>563</v>
      </c>
      <c r="F134" s="13" t="s">
        <v>610</v>
      </c>
      <c r="G134" s="13" t="s">
        <v>650</v>
      </c>
      <c r="H134" s="13" t="s">
        <v>167</v>
      </c>
    </row>
    <row r="135" spans="2:8" x14ac:dyDescent="0.2">
      <c r="B135" s="334" t="str">
        <f t="shared" si="6"/>
        <v>Massgebende
Steuerrepartitionen</v>
      </c>
      <c r="C135" s="320" t="s">
        <v>167</v>
      </c>
      <c r="D135" s="13" t="s">
        <v>521</v>
      </c>
      <c r="E135" s="13" t="s">
        <v>564</v>
      </c>
      <c r="F135" s="13" t="s">
        <v>611</v>
      </c>
      <c r="G135" s="13" t="s">
        <v>651</v>
      </c>
      <c r="H135" s="13" t="s">
        <v>167</v>
      </c>
    </row>
    <row r="136" spans="2:8" x14ac:dyDescent="0.2">
      <c r="B136" s="335" t="str">
        <f t="shared" si="6"/>
        <v>Aggregierte Steuerbemessungsgrundlage (ASG) 2019</v>
      </c>
      <c r="C136" s="320" t="s">
        <v>167</v>
      </c>
      <c r="D136" s="325" t="str">
        <f>"Aggregierte Steuerbemessungsgrundlage (ASG) " &amp; $G$2</f>
        <v>Aggregierte Steuerbemessungsgrundlage (ASG) 2019</v>
      </c>
      <c r="E136" s="325" t="str">
        <f>"Assiette fiscale agrégée (AFA) " &amp; $G$2</f>
        <v>Assiette fiscale agrégée (AFA) 2019</v>
      </c>
      <c r="F136" s="325" t="str">
        <f>"Base imponibile aggregata (BIA) " &amp; $G$2</f>
        <v>Base imponibile aggregata (BIA) 2019</v>
      </c>
      <c r="G136" s="325" t="str">
        <f>"Aggregated tax base (ATB) " &amp; $G$2</f>
        <v>Aggregated tax base (ATB) 2019</v>
      </c>
      <c r="H136" s="13" t="s">
        <v>167</v>
      </c>
    </row>
    <row r="137" spans="2:8" x14ac:dyDescent="0.2">
      <c r="B137" s="332" t="str">
        <f t="shared" si="6"/>
        <v>Massgebendes
Einkommen der
natürlichen
Personen</v>
      </c>
      <c r="C137" s="320" t="s">
        <v>167</v>
      </c>
      <c r="D137" s="13" t="s">
        <v>522</v>
      </c>
      <c r="E137" s="13" t="s">
        <v>541</v>
      </c>
      <c r="F137" s="13" t="s">
        <v>612</v>
      </c>
      <c r="G137" s="13" t="s">
        <v>652</v>
      </c>
      <c r="H137" s="13" t="s">
        <v>167</v>
      </c>
    </row>
    <row r="138" spans="2:8" x14ac:dyDescent="0.2">
      <c r="B138" s="332" t="str">
        <f t="shared" si="6"/>
        <v>Massgebendes
quellenbesteuertes
Einkommen</v>
      </c>
      <c r="C138" s="320" t="s">
        <v>167</v>
      </c>
      <c r="D138" s="13" t="s">
        <v>523</v>
      </c>
      <c r="E138" s="13" t="s">
        <v>550</v>
      </c>
      <c r="F138" s="13" t="s">
        <v>603</v>
      </c>
      <c r="G138" s="13" t="s">
        <v>645</v>
      </c>
      <c r="H138" s="13" t="s">
        <v>167</v>
      </c>
    </row>
    <row r="139" spans="2:8" x14ac:dyDescent="0.2">
      <c r="B139" s="332" t="str">
        <f t="shared" si="6"/>
        <v>Massgebendes
Vermögen</v>
      </c>
      <c r="C139" s="320" t="s">
        <v>167</v>
      </c>
      <c r="D139" s="13" t="s">
        <v>516</v>
      </c>
      <c r="E139" s="13" t="s">
        <v>553</v>
      </c>
      <c r="F139" s="13" t="s">
        <v>554</v>
      </c>
      <c r="G139" s="13" t="s">
        <v>555</v>
      </c>
      <c r="H139" s="13" t="s">
        <v>167</v>
      </c>
    </row>
    <row r="140" spans="2:8" x14ac:dyDescent="0.2">
      <c r="B140" s="332" t="str">
        <f t="shared" si="6"/>
        <v>Massgebender
Gewinn der
juristischen
Personen</v>
      </c>
      <c r="C140" s="320" t="s">
        <v>167</v>
      </c>
      <c r="D140" s="13" t="s">
        <v>524</v>
      </c>
      <c r="E140" s="13" t="s">
        <v>565</v>
      </c>
      <c r="F140" s="13" t="s">
        <v>613</v>
      </c>
      <c r="G140" s="13" t="s">
        <v>653</v>
      </c>
      <c r="H140" s="13" t="s">
        <v>167</v>
      </c>
    </row>
    <row r="141" spans="2:8" x14ac:dyDescent="0.2">
      <c r="B141" s="332" t="str">
        <f t="shared" si="6"/>
        <v>Massgebende
Steuer-
repartitionen</v>
      </c>
      <c r="C141" s="320" t="s">
        <v>167</v>
      </c>
      <c r="D141" s="13" t="s">
        <v>525</v>
      </c>
      <c r="E141" s="13" t="s">
        <v>564</v>
      </c>
      <c r="F141" s="13" t="s">
        <v>611</v>
      </c>
      <c r="G141" s="13" t="s">
        <v>651</v>
      </c>
      <c r="H141" s="13" t="s">
        <v>167</v>
      </c>
    </row>
    <row r="142" spans="2:8" x14ac:dyDescent="0.2">
      <c r="B142" s="334" t="str">
        <f t="shared" ref="B142:B173" si="7">HLOOKUP($B$9,$D$9:$G$213,ROW()-$B$8,FALSE)</f>
        <v>ASG Total</v>
      </c>
      <c r="C142" s="320" t="s">
        <v>167</v>
      </c>
      <c r="D142" s="13" t="s">
        <v>54</v>
      </c>
      <c r="E142" s="13" t="s">
        <v>283</v>
      </c>
      <c r="F142" s="13" t="s">
        <v>467</v>
      </c>
      <c r="G142" s="13" t="s">
        <v>304</v>
      </c>
      <c r="H142" s="13" t="s">
        <v>167</v>
      </c>
    </row>
    <row r="143" spans="2:8" x14ac:dyDescent="0.2">
      <c r="B143" s="335" t="str">
        <f t="shared" si="7"/>
        <v>Massgebende Wohnbevölkerung 2019</v>
      </c>
      <c r="C143" s="320" t="s">
        <v>167</v>
      </c>
      <c r="D143" s="325" t="str">
        <f>"Massgebende Wohnbevölkerung " &amp; $G$2</f>
        <v>Massgebende Wohnbevölkerung 2019</v>
      </c>
      <c r="E143" s="325" t="str">
        <f>"Population résidante déterminante " &amp; $G$2</f>
        <v>Population résidante déterminante 2019</v>
      </c>
      <c r="F143" s="325" t="str">
        <f>"Popolazione residente determinante " &amp; $G$2</f>
        <v>Popolazione residente determinante 2019</v>
      </c>
      <c r="G143" s="325" t="str">
        <f>"Relevant resident population " &amp; $G$2</f>
        <v>Relevant resident population 2019</v>
      </c>
      <c r="H143" s="13" t="s">
        <v>167</v>
      </c>
    </row>
    <row r="144" spans="2:8" ht="12" customHeight="1" x14ac:dyDescent="0.2">
      <c r="B144" s="332" t="str">
        <f t="shared" si="7"/>
        <v>Mittlere ständige und nichtständige Wohnbevölkerung</v>
      </c>
      <c r="C144" s="320" t="s">
        <v>167</v>
      </c>
      <c r="D144" s="13" t="s">
        <v>115</v>
      </c>
      <c r="E144" s="13" t="s">
        <v>586</v>
      </c>
      <c r="F144" s="13" t="s">
        <v>614</v>
      </c>
      <c r="G144" s="13" t="s">
        <v>361</v>
      </c>
      <c r="H144" s="13" t="s">
        <v>167</v>
      </c>
    </row>
    <row r="145" spans="2:8" x14ac:dyDescent="0.2">
      <c r="B145" s="334" t="str">
        <f t="shared" si="7"/>
        <v>Massgebende
Wohnbevölkerung</v>
      </c>
      <c r="C145" s="320" t="s">
        <v>167</v>
      </c>
      <c r="D145" s="13" t="s">
        <v>526</v>
      </c>
      <c r="E145" s="13" t="s">
        <v>566</v>
      </c>
      <c r="F145" s="13" t="s">
        <v>615</v>
      </c>
      <c r="G145" s="13" t="s">
        <v>654</v>
      </c>
      <c r="H145" s="13" t="s">
        <v>167</v>
      </c>
    </row>
    <row r="146" spans="2:8" x14ac:dyDescent="0.2">
      <c r="B146" s="335" t="str">
        <f t="shared" si="7"/>
        <v>Berechnung Ressourcenpotenzial und -index 2019</v>
      </c>
      <c r="C146" s="320" t="s">
        <v>167</v>
      </c>
      <c r="D146" s="325" t="str">
        <f>"Berechnung Ressourcenpotenzial und -index " &amp; $G$2</f>
        <v>Berechnung Ressourcenpotenzial und -index 2019</v>
      </c>
      <c r="E146" s="325" t="str">
        <f>"Calcul du potentiel de ressources et de l'indice des ressources " &amp; $G$2</f>
        <v>Calcul du potentiel de ressources et de l'indice des ressources 2019</v>
      </c>
      <c r="F146" s="325" t="str">
        <f>"Calcolo del potenziale e dell'indice delle risorse " &amp; $G$2</f>
        <v>Calcolo del potenziale e dell'indice delle risorse 2019</v>
      </c>
      <c r="G146" s="325" t="str">
        <f>"Resource potential and resource index " &amp; $G$2</f>
        <v>Resource potential and resource index 2019</v>
      </c>
      <c r="H146" s="13" t="s">
        <v>167</v>
      </c>
    </row>
    <row r="147" spans="2:8" x14ac:dyDescent="0.2">
      <c r="B147" s="332" t="str">
        <f t="shared" si="7"/>
        <v>ASG 2013</v>
      </c>
      <c r="C147" s="320" t="s">
        <v>167</v>
      </c>
      <c r="D147" s="13" t="str">
        <f>"ASG "&amp;$G$2-6</f>
        <v>ASG 2013</v>
      </c>
      <c r="E147" s="13" t="str">
        <f>"AFA "&amp;$G$2-6</f>
        <v>AFA 2013</v>
      </c>
      <c r="F147" s="13" t="str">
        <f>"BIA "&amp;$G$2-6</f>
        <v>BIA 2013</v>
      </c>
      <c r="G147" s="13" t="str">
        <f>"ATB "&amp;$G$2-6</f>
        <v>ATB 2013</v>
      </c>
      <c r="H147" s="13" t="s">
        <v>167</v>
      </c>
    </row>
    <row r="148" spans="2:8" x14ac:dyDescent="0.2">
      <c r="B148" s="332" t="str">
        <f t="shared" si="7"/>
        <v>ASG 2014</v>
      </c>
      <c r="C148" s="320" t="s">
        <v>167</v>
      </c>
      <c r="D148" s="13" t="str">
        <f>"ASG "&amp;$G$2-5</f>
        <v>ASG 2014</v>
      </c>
      <c r="E148" s="13" t="str">
        <f>"AFA "&amp;$G$2-5</f>
        <v>AFA 2014</v>
      </c>
      <c r="F148" s="13" t="str">
        <f>"BIA "&amp;$G$2-5</f>
        <v>BIA 2014</v>
      </c>
      <c r="G148" s="13" t="str">
        <f>"ATB "&amp;$G$2-5</f>
        <v>ATB 2014</v>
      </c>
      <c r="H148" s="13" t="s">
        <v>167</v>
      </c>
    </row>
    <row r="149" spans="2:8" x14ac:dyDescent="0.2">
      <c r="B149" s="332" t="str">
        <f t="shared" si="7"/>
        <v>ASG 2015</v>
      </c>
      <c r="C149" s="320" t="s">
        <v>167</v>
      </c>
      <c r="D149" s="13" t="str">
        <f>"ASG "&amp;$G$2-4</f>
        <v>ASG 2015</v>
      </c>
      <c r="E149" s="13" t="str">
        <f>"AFA "&amp;$G$2-4</f>
        <v>AFA 2015</v>
      </c>
      <c r="F149" s="13" t="str">
        <f>"BIA "&amp;$G$2-4</f>
        <v>BIA 2015</v>
      </c>
      <c r="G149" s="13" t="str">
        <f>"ATB "&amp;$G$2-4</f>
        <v>ATB 2015</v>
      </c>
      <c r="H149" s="13" t="s">
        <v>167</v>
      </c>
    </row>
    <row r="150" spans="2:8" x14ac:dyDescent="0.2">
      <c r="B150" s="332" t="str">
        <f t="shared" si="7"/>
        <v>Ressourcen-
potenzial</v>
      </c>
      <c r="C150" s="320" t="s">
        <v>167</v>
      </c>
      <c r="D150" s="13" t="s">
        <v>227</v>
      </c>
      <c r="E150" s="13" t="s">
        <v>567</v>
      </c>
      <c r="F150" s="13" t="s">
        <v>616</v>
      </c>
      <c r="G150" s="13" t="s">
        <v>655</v>
      </c>
      <c r="H150" s="13" t="s">
        <v>167</v>
      </c>
    </row>
    <row r="151" spans="2:8" x14ac:dyDescent="0.2">
      <c r="B151" s="332" t="str">
        <f t="shared" si="7"/>
        <v>Massgebende
Wohnbevölkerung</v>
      </c>
      <c r="C151" s="320" t="s">
        <v>167</v>
      </c>
      <c r="D151" s="13" t="s">
        <v>526</v>
      </c>
      <c r="E151" s="13" t="s">
        <v>566</v>
      </c>
      <c r="F151" s="13" t="s">
        <v>615</v>
      </c>
      <c r="G151" s="13" t="s">
        <v>654</v>
      </c>
      <c r="H151" s="13" t="s">
        <v>167</v>
      </c>
    </row>
    <row r="152" spans="2:8" x14ac:dyDescent="0.2">
      <c r="B152" s="332" t="str">
        <f t="shared" si="7"/>
        <v>Ressourcen-
potenzial pro
Einwohner</v>
      </c>
      <c r="C152" s="320" t="s">
        <v>167</v>
      </c>
      <c r="D152" s="13" t="s">
        <v>527</v>
      </c>
      <c r="E152" s="13" t="s">
        <v>568</v>
      </c>
      <c r="F152" s="13" t="s">
        <v>617</v>
      </c>
      <c r="G152" s="13" t="s">
        <v>656</v>
      </c>
      <c r="H152" s="13" t="s">
        <v>167</v>
      </c>
    </row>
    <row r="153" spans="2:8" x14ac:dyDescent="0.2">
      <c r="B153" s="332" t="str">
        <f t="shared" si="7"/>
        <v>Ressourcen-
index</v>
      </c>
      <c r="C153" s="320" t="s">
        <v>167</v>
      </c>
      <c r="D153" s="13" t="s">
        <v>130</v>
      </c>
      <c r="E153" s="13" t="s">
        <v>569</v>
      </c>
      <c r="F153" s="13" t="s">
        <v>618</v>
      </c>
      <c r="G153" s="13" t="s">
        <v>591</v>
      </c>
      <c r="H153" s="13" t="s">
        <v>167</v>
      </c>
    </row>
    <row r="154" spans="2:8" x14ac:dyDescent="0.2">
      <c r="B154" s="334" t="str">
        <f t="shared" si="7"/>
        <v>H / H[Schweiz] * 100</v>
      </c>
      <c r="C154" s="320" t="s">
        <v>167</v>
      </c>
      <c r="D154" s="13" t="s">
        <v>108</v>
      </c>
      <c r="E154" s="13" t="s">
        <v>284</v>
      </c>
      <c r="F154" s="13" t="s">
        <v>468</v>
      </c>
      <c r="G154" s="13" t="s">
        <v>306</v>
      </c>
      <c r="H154" s="13" t="s">
        <v>167</v>
      </c>
    </row>
    <row r="155" spans="2:8" x14ac:dyDescent="0.2">
      <c r="B155" s="335" t="str">
        <f t="shared" si="7"/>
        <v>Wachstumsraten der Ressourcenpotenziale 2019</v>
      </c>
      <c r="C155" s="320" t="s">
        <v>167</v>
      </c>
      <c r="D155" s="325" t="str">
        <f>"Wachstumsraten der Ressourcenpotenziale " &amp; $G$2</f>
        <v>Wachstumsraten der Ressourcenpotenziale 2019</v>
      </c>
      <c r="E155" s="325" t="str">
        <f>"Taux de croissance du potentiel de ressources " &amp; $G$2</f>
        <v>Taux de croissance du potentiel de ressources 2019</v>
      </c>
      <c r="F155" s="325" t="str">
        <f>"Tassi di crescita dei potenziali di risorse " &amp; $G$2</f>
        <v>Tassi di crescita dei potenziali di risorse 2019</v>
      </c>
      <c r="G155" s="325" t="str">
        <f>"Resource potential growth " &amp; $G$2</f>
        <v>Resource potential growth 2019</v>
      </c>
      <c r="H155" s="13" t="s">
        <v>167</v>
      </c>
    </row>
    <row r="156" spans="2:8" x14ac:dyDescent="0.2">
      <c r="B156" s="332" t="str">
        <f t="shared" si="7"/>
        <v>Ressourcen-index 2019</v>
      </c>
      <c r="C156" s="320" t="s">
        <v>167</v>
      </c>
      <c r="D156" s="13" t="str">
        <f>"Ressourcen-index "&amp;$G$2</f>
        <v>Ressourcen-index 2019</v>
      </c>
      <c r="E156" s="13" t="str">
        <f>"Indice des ressources " &amp; $G$2</f>
        <v>Indice des ressources 2019</v>
      </c>
      <c r="F156" s="13" t="str">
        <f>"Indice delle risorse " &amp; $G$2</f>
        <v>Indice delle risorse 2019</v>
      </c>
      <c r="G156" s="13" t="str">
        <f>"Resource index " &amp; $G$2</f>
        <v>Resource index 2019</v>
      </c>
      <c r="H156" s="13" t="s">
        <v>167</v>
      </c>
    </row>
    <row r="157" spans="2:8" x14ac:dyDescent="0.2">
      <c r="B157" s="332" t="str">
        <f t="shared" si="7"/>
        <v>Ressourcenpotenzial aller Kantone</v>
      </c>
      <c r="C157" s="320" t="s">
        <v>167</v>
      </c>
      <c r="D157" s="13" t="s">
        <v>66</v>
      </c>
      <c r="E157" s="13" t="s">
        <v>571</v>
      </c>
      <c r="F157" s="13" t="s">
        <v>469</v>
      </c>
      <c r="G157" s="13" t="s">
        <v>362</v>
      </c>
      <c r="H157" s="13" t="s">
        <v>167</v>
      </c>
    </row>
    <row r="158" spans="2:8" x14ac:dyDescent="0.2">
      <c r="B158" s="332" t="str">
        <f t="shared" si="7"/>
        <v>Ressourcenpotenzial
der ressourcenstarken Kantone</v>
      </c>
      <c r="C158" s="320" t="s">
        <v>167</v>
      </c>
      <c r="D158" s="13" t="s">
        <v>114</v>
      </c>
      <c r="E158" s="13" t="s">
        <v>570</v>
      </c>
      <c r="F158" s="13" t="s">
        <v>619</v>
      </c>
      <c r="G158" s="13" t="s">
        <v>657</v>
      </c>
      <c r="H158" s="13" t="s">
        <v>167</v>
      </c>
    </row>
    <row r="159" spans="2:8" x14ac:dyDescent="0.2">
      <c r="B159" s="332" t="str">
        <f t="shared" si="7"/>
        <v>Veränderung</v>
      </c>
      <c r="C159" s="320" t="s">
        <v>167</v>
      </c>
      <c r="D159" s="13" t="s">
        <v>67</v>
      </c>
      <c r="E159" s="13" t="s">
        <v>327</v>
      </c>
      <c r="F159" s="13" t="s">
        <v>470</v>
      </c>
      <c r="G159" s="13" t="s">
        <v>307</v>
      </c>
      <c r="H159" s="13" t="s">
        <v>167</v>
      </c>
    </row>
    <row r="160" spans="2:8" x14ac:dyDescent="0.2">
      <c r="B160" s="332" t="str">
        <f t="shared" si="7"/>
        <v>Wachstumsrate VRA</v>
      </c>
      <c r="C160" s="320" t="s">
        <v>167</v>
      </c>
      <c r="D160" s="13" t="s">
        <v>149</v>
      </c>
      <c r="E160" s="13" t="s">
        <v>383</v>
      </c>
      <c r="F160" s="13" t="s">
        <v>471</v>
      </c>
      <c r="G160" s="13" t="s">
        <v>308</v>
      </c>
      <c r="H160" s="13" t="s">
        <v>167</v>
      </c>
    </row>
    <row r="161" spans="2:8" x14ac:dyDescent="0.2">
      <c r="B161" s="334" t="str">
        <f t="shared" si="7"/>
        <v>Wachstumsrate HRA</v>
      </c>
      <c r="C161" s="320" t="s">
        <v>167</v>
      </c>
      <c r="D161" s="13" t="s">
        <v>150</v>
      </c>
      <c r="E161" s="13" t="s">
        <v>384</v>
      </c>
      <c r="F161" s="13" t="s">
        <v>472</v>
      </c>
      <c r="G161" s="13" t="s">
        <v>309</v>
      </c>
      <c r="H161" s="13" t="s">
        <v>167</v>
      </c>
    </row>
    <row r="162" spans="2:8" x14ac:dyDescent="0.2">
      <c r="B162" s="335" t="str">
        <f t="shared" si="7"/>
        <v>Fortschreibung der Dotationen im Ressourcenausgleich 2019</v>
      </c>
      <c r="C162" s="320" t="s">
        <v>167</v>
      </c>
      <c r="D162" s="325" t="str">
        <f>"Fortschreibung der Dotationen im Ressourcenausgleich " &amp; $G$2</f>
        <v>Fortschreibung der Dotationen im Ressourcenausgleich 2019</v>
      </c>
      <c r="E162" s="325" t="str">
        <f>"Actualisation des dotations de la péréquation des ressources " &amp; $G$2</f>
        <v>Actualisation des dotations de la péréquation des ressources 2019</v>
      </c>
      <c r="F162" s="325" t="str">
        <f>"Aggiornamento delle dotazioni nella perequazione delle risorse " &amp; $G$2</f>
        <v>Aggiornamento delle dotazioni nella perequazione delle risorse 2019</v>
      </c>
      <c r="G162" s="325" t="str">
        <f>"Extrapolation of resource equalization endowments " &amp; $G$2</f>
        <v>Extrapolation of resource equalization endowments 2019</v>
      </c>
      <c r="H162" s="13" t="s">
        <v>167</v>
      </c>
    </row>
    <row r="163" spans="2:8" x14ac:dyDescent="0.2">
      <c r="B163" s="332" t="str">
        <f t="shared" si="7"/>
        <v>in CHF</v>
      </c>
      <c r="C163" s="320" t="s">
        <v>167</v>
      </c>
      <c r="D163" s="13" t="s">
        <v>40</v>
      </c>
      <c r="E163" s="13" t="s">
        <v>503</v>
      </c>
      <c r="F163" s="13" t="s">
        <v>40</v>
      </c>
      <c r="G163" s="13" t="s">
        <v>40</v>
      </c>
      <c r="H163" s="13" t="s">
        <v>167</v>
      </c>
    </row>
    <row r="164" spans="2:8" x14ac:dyDescent="0.2">
      <c r="B164" s="332" t="str">
        <f t="shared" si="7"/>
        <v>Vertikaler
Ressourcenausgleich
(VRA)</v>
      </c>
      <c r="C164" s="320" t="s">
        <v>167</v>
      </c>
      <c r="D164" s="13" t="s">
        <v>528</v>
      </c>
      <c r="E164" s="13" t="s">
        <v>572</v>
      </c>
      <c r="F164" s="13" t="s">
        <v>620</v>
      </c>
      <c r="G164" s="13" t="s">
        <v>658</v>
      </c>
      <c r="H164" s="13" t="s">
        <v>167</v>
      </c>
    </row>
    <row r="165" spans="2:8" ht="11.25" customHeight="1" x14ac:dyDescent="0.2">
      <c r="B165" s="332" t="str">
        <f t="shared" si="7"/>
        <v>Horizontaler
Ressourcenausgleich
(HRA)</v>
      </c>
      <c r="C165" s="320" t="s">
        <v>167</v>
      </c>
      <c r="D165" s="13" t="s">
        <v>681</v>
      </c>
      <c r="E165" s="13" t="s">
        <v>573</v>
      </c>
      <c r="F165" s="13" t="s">
        <v>621</v>
      </c>
      <c r="G165" s="13" t="s">
        <v>659</v>
      </c>
      <c r="H165" s="13" t="s">
        <v>167</v>
      </c>
    </row>
    <row r="166" spans="2:8" x14ac:dyDescent="0.2">
      <c r="B166" s="332" t="str">
        <f t="shared" si="7"/>
        <v>Ausgleich
Total</v>
      </c>
      <c r="C166" s="320" t="s">
        <v>167</v>
      </c>
      <c r="D166" s="13" t="s">
        <v>529</v>
      </c>
      <c r="E166" s="13" t="s">
        <v>574</v>
      </c>
      <c r="F166" s="13" t="s">
        <v>622</v>
      </c>
      <c r="G166" s="13" t="s">
        <v>660</v>
      </c>
      <c r="H166" s="13" t="s">
        <v>167</v>
      </c>
    </row>
    <row r="167" spans="2:8" x14ac:dyDescent="0.2">
      <c r="B167" s="332" t="str">
        <f t="shared" si="7"/>
        <v>Dotation 2018</v>
      </c>
      <c r="C167" s="320" t="s">
        <v>167</v>
      </c>
      <c r="D167" s="13" t="str">
        <f>"Dotation " &amp; $G$2-1</f>
        <v>Dotation 2018</v>
      </c>
      <c r="E167" s="13" t="str">
        <f>"Dotation " &amp; $G$2-1</f>
        <v>Dotation 2018</v>
      </c>
      <c r="F167" s="13" t="str">
        <f>"Dotazione " &amp; $G$2-1</f>
        <v>Dotazione 2018</v>
      </c>
      <c r="G167" s="13" t="str">
        <f>"Endowment " &amp; $G$2-1</f>
        <v>Endowment 2018</v>
      </c>
      <c r="H167" s="13" t="s">
        <v>167</v>
      </c>
    </row>
    <row r="168" spans="2:8" x14ac:dyDescent="0.2">
      <c r="B168" s="332" t="str">
        <f t="shared" si="7"/>
        <v>Wachstumsrate</v>
      </c>
      <c r="C168" s="320" t="s">
        <v>167</v>
      </c>
      <c r="D168" s="13" t="s">
        <v>151</v>
      </c>
      <c r="E168" s="13" t="s">
        <v>285</v>
      </c>
      <c r="F168" s="13" t="s">
        <v>473</v>
      </c>
      <c r="G168" s="13" t="s">
        <v>310</v>
      </c>
      <c r="H168" s="13" t="s">
        <v>167</v>
      </c>
    </row>
    <row r="169" spans="2:8" x14ac:dyDescent="0.2">
      <c r="B169" s="332" t="str">
        <f t="shared" si="7"/>
        <v>+ Wachstum</v>
      </c>
      <c r="C169" s="320" t="s">
        <v>167</v>
      </c>
      <c r="D169" s="13" t="s">
        <v>156</v>
      </c>
      <c r="E169" s="13" t="s">
        <v>286</v>
      </c>
      <c r="F169" s="13" t="s">
        <v>474</v>
      </c>
      <c r="G169" s="13" t="s">
        <v>311</v>
      </c>
      <c r="H169" s="13" t="s">
        <v>167</v>
      </c>
    </row>
    <row r="170" spans="2:8" x14ac:dyDescent="0.2">
      <c r="B170" s="332" t="str">
        <f t="shared" si="7"/>
        <v>= Dotation nach Fortschreibung</v>
      </c>
      <c r="C170" s="320" t="s">
        <v>167</v>
      </c>
      <c r="D170" s="13" t="s">
        <v>152</v>
      </c>
      <c r="E170" s="13" t="s">
        <v>385</v>
      </c>
      <c r="F170" s="13" t="s">
        <v>475</v>
      </c>
      <c r="G170" s="13" t="s">
        <v>312</v>
      </c>
      <c r="H170" s="13" t="s">
        <v>167</v>
      </c>
    </row>
    <row r="171" spans="2:8" x14ac:dyDescent="0.2">
      <c r="B171" s="332" t="str">
        <f t="shared" si="7"/>
        <v>+ Anpassung Dotation</v>
      </c>
      <c r="C171" s="320" t="s">
        <v>167</v>
      </c>
      <c r="D171" s="13" t="s">
        <v>153</v>
      </c>
      <c r="E171" s="13" t="s">
        <v>287</v>
      </c>
      <c r="F171" s="13" t="s">
        <v>476</v>
      </c>
      <c r="G171" s="13" t="s">
        <v>313</v>
      </c>
      <c r="H171" s="13" t="s">
        <v>167</v>
      </c>
    </row>
    <row r="172" spans="2:8" x14ac:dyDescent="0.2">
      <c r="B172" s="332" t="str">
        <f t="shared" si="7"/>
        <v>= Provisorische Dotation</v>
      </c>
      <c r="C172" s="320" t="s">
        <v>167</v>
      </c>
      <c r="D172" s="13" t="s">
        <v>154</v>
      </c>
      <c r="E172" s="13" t="s">
        <v>288</v>
      </c>
      <c r="F172" s="13" t="s">
        <v>477</v>
      </c>
      <c r="G172" s="13" t="s">
        <v>363</v>
      </c>
      <c r="H172" s="13" t="s">
        <v>167</v>
      </c>
    </row>
    <row r="173" spans="2:8" x14ac:dyDescent="0.2">
      <c r="B173" s="332" t="str">
        <f t="shared" si="7"/>
        <v>Obere Grenze HRA (80% des VRA)</v>
      </c>
      <c r="C173" s="320" t="s">
        <v>167</v>
      </c>
      <c r="D173" s="13" t="s">
        <v>131</v>
      </c>
      <c r="E173" s="13" t="s">
        <v>386</v>
      </c>
      <c r="F173" s="13" t="s">
        <v>478</v>
      </c>
      <c r="G173" s="13" t="s">
        <v>314</v>
      </c>
      <c r="H173" s="13" t="s">
        <v>167</v>
      </c>
    </row>
    <row r="174" spans="2:8" x14ac:dyDescent="0.2">
      <c r="B174" s="332" t="str">
        <f t="shared" ref="B174:B206" si="8">HLOOKUP($B$9,$D$9:$G$213,ROW()-$B$8,FALSE)</f>
        <v>Untere Grenze HRA (2/3 des VRA)</v>
      </c>
      <c r="C174" s="320" t="s">
        <v>167</v>
      </c>
      <c r="D174" s="13" t="s">
        <v>132</v>
      </c>
      <c r="E174" s="13" t="s">
        <v>387</v>
      </c>
      <c r="F174" s="13" t="s">
        <v>479</v>
      </c>
      <c r="G174" s="13" t="s">
        <v>315</v>
      </c>
      <c r="H174" s="13" t="s">
        <v>167</v>
      </c>
    </row>
    <row r="175" spans="2:8" x14ac:dyDescent="0.2">
      <c r="B175" s="332" t="str">
        <f t="shared" si="8"/>
        <v>+ Korrektur aufgrund Bandbreite</v>
      </c>
      <c r="C175" s="320" t="s">
        <v>167</v>
      </c>
      <c r="D175" s="13" t="s">
        <v>155</v>
      </c>
      <c r="E175" s="13" t="s">
        <v>388</v>
      </c>
      <c r="F175" s="13" t="s">
        <v>480</v>
      </c>
      <c r="G175" s="13" t="s">
        <v>364</v>
      </c>
      <c r="H175" s="13" t="s">
        <v>167</v>
      </c>
    </row>
    <row r="176" spans="2:8" x14ac:dyDescent="0.2">
      <c r="B176" s="332" t="str">
        <f t="shared" si="8"/>
        <v>0.8 * F[VRA]</v>
      </c>
      <c r="C176" s="320" t="s">
        <v>167</v>
      </c>
      <c r="D176" s="13" t="s">
        <v>140</v>
      </c>
      <c r="E176" s="13" t="s">
        <v>389</v>
      </c>
      <c r="F176" s="13" t="s">
        <v>481</v>
      </c>
      <c r="G176" s="13" t="s">
        <v>316</v>
      </c>
      <c r="H176" s="13" t="s">
        <v>167</v>
      </c>
    </row>
    <row r="177" spans="2:8" x14ac:dyDescent="0.2">
      <c r="B177" s="332" t="str">
        <f t="shared" si="8"/>
        <v>2 * F[VRA] / 3</v>
      </c>
      <c r="C177" s="320" t="s">
        <v>167</v>
      </c>
      <c r="D177" s="13" t="s">
        <v>141</v>
      </c>
      <c r="E177" s="13" t="s">
        <v>390</v>
      </c>
      <c r="F177" s="13" t="s">
        <v>482</v>
      </c>
      <c r="G177" s="13" t="s">
        <v>317</v>
      </c>
      <c r="H177" s="13" t="s">
        <v>167</v>
      </c>
    </row>
    <row r="178" spans="2:8" x14ac:dyDescent="0.2">
      <c r="B178" s="332" t="str">
        <f t="shared" si="8"/>
        <v>Dotation 2019</v>
      </c>
      <c r="C178" s="320" t="s">
        <v>167</v>
      </c>
      <c r="D178" s="13" t="str">
        <f>"Dotation " &amp; $G$2</f>
        <v>Dotation 2019</v>
      </c>
      <c r="E178" s="13" t="str">
        <f>"Dotation " &amp; $G$2</f>
        <v>Dotation 2019</v>
      </c>
      <c r="F178" s="13" t="str">
        <f>"Dotazione " &amp; $G$2</f>
        <v>Dotazione 2019</v>
      </c>
      <c r="G178" s="13" t="str">
        <f>"Endowment " &amp; $G$2</f>
        <v>Endowment 2019</v>
      </c>
      <c r="H178" s="13" t="s">
        <v>167</v>
      </c>
    </row>
    <row r="179" spans="2:8" x14ac:dyDescent="0.2">
      <c r="B179" s="334" t="str">
        <f t="shared" si="8"/>
        <v>HRA in % des VRA</v>
      </c>
      <c r="C179" s="320" t="s">
        <v>167</v>
      </c>
      <c r="D179" s="13" t="s">
        <v>677</v>
      </c>
      <c r="E179" s="13" t="s">
        <v>675</v>
      </c>
      <c r="F179" s="13" t="s">
        <v>676</v>
      </c>
      <c r="G179" s="13" t="s">
        <v>674</v>
      </c>
      <c r="H179" s="13" t="s">
        <v>167</v>
      </c>
    </row>
    <row r="180" spans="2:8" x14ac:dyDescent="0.2">
      <c r="B180" s="335" t="str">
        <f t="shared" si="8"/>
        <v>Einzahlungen der ressourcenstarken Kantone 2019</v>
      </c>
      <c r="C180" s="320" t="s">
        <v>167</v>
      </c>
      <c r="D180" s="325" t="str">
        <f>"Einzahlungen der ressourcenstarken Kantone " &amp; $G$2</f>
        <v>Einzahlungen der ressourcenstarken Kantone 2019</v>
      </c>
      <c r="E180" s="325" t="str">
        <f>"Montants versés par les cantons à fort potentiel de ressources " &amp; $G$2</f>
        <v>Montants versés par les cantons à fort potentiel de ressources 2019</v>
      </c>
      <c r="F180" s="325" t="str">
        <f>"Contributi dei Cantoni finanziariamente forti " &amp; $G$2</f>
        <v>Contributi dei Cantoni finanziariamente forti 2019</v>
      </c>
      <c r="G180" s="325" t="str">
        <f>"Inpayments of financially strong cantons " &amp; $G$2</f>
        <v>Inpayments of financially strong cantons 2019</v>
      </c>
      <c r="H180" s="13" t="s">
        <v>167</v>
      </c>
    </row>
    <row r="181" spans="2:8" x14ac:dyDescent="0.2">
      <c r="B181" s="332" t="str">
        <f t="shared" si="8"/>
        <v>Ressourcen-
index</v>
      </c>
      <c r="C181" s="320" t="s">
        <v>167</v>
      </c>
      <c r="D181" s="13" t="s">
        <v>130</v>
      </c>
      <c r="E181" s="13" t="s">
        <v>569</v>
      </c>
      <c r="F181" s="13" t="s">
        <v>618</v>
      </c>
      <c r="G181" s="13" t="s">
        <v>591</v>
      </c>
      <c r="H181" s="13" t="s">
        <v>167</v>
      </c>
    </row>
    <row r="182" spans="2:8" x14ac:dyDescent="0.2">
      <c r="B182" s="332" t="str">
        <f t="shared" si="8"/>
        <v>Massgebende
Wohn-
bevölkerung</v>
      </c>
      <c r="C182" s="320" t="s">
        <v>167</v>
      </c>
      <c r="D182" s="13" t="s">
        <v>530</v>
      </c>
      <c r="E182" s="13" t="s">
        <v>566</v>
      </c>
      <c r="F182" s="13" t="s">
        <v>615</v>
      </c>
      <c r="G182" s="13" t="s">
        <v>661</v>
      </c>
      <c r="H182" s="13" t="s">
        <v>167</v>
      </c>
    </row>
    <row r="183" spans="2:8" x14ac:dyDescent="0.2">
      <c r="B183" s="332" t="str">
        <f t="shared" si="8"/>
        <v>Summe der
gewichteten
Abweichungen</v>
      </c>
      <c r="C183" s="320" t="s">
        <v>167</v>
      </c>
      <c r="D183" s="13" t="s">
        <v>531</v>
      </c>
      <c r="E183" s="13" t="s">
        <v>575</v>
      </c>
      <c r="F183" s="13" t="s">
        <v>623</v>
      </c>
      <c r="G183" s="13" t="s">
        <v>662</v>
      </c>
      <c r="H183" s="13" t="s">
        <v>167</v>
      </c>
    </row>
    <row r="184" spans="2:8" x14ac:dyDescent="0.2">
      <c r="B184" s="332" t="str">
        <f t="shared" si="8"/>
        <v>Einzahlung
pro Einwohner</v>
      </c>
      <c r="C184" s="320" t="s">
        <v>167</v>
      </c>
      <c r="D184" s="13" t="s">
        <v>532</v>
      </c>
      <c r="E184" s="13" t="s">
        <v>576</v>
      </c>
      <c r="F184" s="13" t="s">
        <v>624</v>
      </c>
      <c r="G184" s="13" t="s">
        <v>663</v>
      </c>
      <c r="H184" s="13" t="s">
        <v>167</v>
      </c>
    </row>
    <row r="185" spans="2:8" x14ac:dyDescent="0.2">
      <c r="B185" s="332" t="str">
        <f t="shared" si="8"/>
        <v>Einzahlung</v>
      </c>
      <c r="C185" s="320" t="s">
        <v>167</v>
      </c>
      <c r="D185" s="13" t="s">
        <v>145</v>
      </c>
      <c r="E185" s="13" t="s">
        <v>577</v>
      </c>
      <c r="F185" s="13" t="s">
        <v>483</v>
      </c>
      <c r="G185" s="13" t="s">
        <v>365</v>
      </c>
      <c r="H185" s="13" t="s">
        <v>167</v>
      </c>
    </row>
    <row r="186" spans="2:8" x14ac:dyDescent="0.2">
      <c r="B186" s="334" t="str">
        <f t="shared" si="8"/>
        <v>Dotation/E[Schweiz]*E</v>
      </c>
      <c r="C186" s="320" t="s">
        <v>167</v>
      </c>
      <c r="D186" s="13" t="s">
        <v>110</v>
      </c>
      <c r="E186" s="13" t="s">
        <v>289</v>
      </c>
      <c r="F186" s="13" t="s">
        <v>484</v>
      </c>
      <c r="G186" s="13" t="s">
        <v>664</v>
      </c>
      <c r="H186" s="13" t="s">
        <v>167</v>
      </c>
    </row>
    <row r="187" spans="2:8" x14ac:dyDescent="0.2">
      <c r="B187" s="335" t="str">
        <f t="shared" si="8"/>
        <v>Auszahlungen an die ressourcenschwachen Kantone 2019</v>
      </c>
      <c r="C187" s="320" t="s">
        <v>167</v>
      </c>
      <c r="D187" s="325" t="str">
        <f>"Auszahlungen an die ressourcenschwachen Kantone " &amp; $G$2</f>
        <v>Auszahlungen an die ressourcenschwachen Kantone 2019</v>
      </c>
      <c r="E187" s="325" t="str">
        <f>"Montants reçus par les cantons à faible potentiel de ressources " &amp; $G$2</f>
        <v>Montants reçus par les cantons à faible potentiel de ressources 2019</v>
      </c>
      <c r="F187" s="325" t="str">
        <f>"Versamenti ai Cantoni finanziariamente deboli " &amp; $G$2</f>
        <v>Versamenti ai Cantoni finanziariamente deboli 2019</v>
      </c>
      <c r="G187" s="325" t="str">
        <f>"Outpayments to financially weak cantons " &amp; $G$2</f>
        <v>Outpayments to financially weak cantons 2019</v>
      </c>
      <c r="H187" s="13" t="s">
        <v>167</v>
      </c>
    </row>
    <row r="188" spans="2:8" x14ac:dyDescent="0.2">
      <c r="B188" s="332" t="str">
        <f t="shared" si="8"/>
        <v>Ressourcen-
index</v>
      </c>
      <c r="C188" s="320" t="s">
        <v>167</v>
      </c>
      <c r="D188" s="13" t="s">
        <v>130</v>
      </c>
      <c r="E188" s="13" t="s">
        <v>569</v>
      </c>
      <c r="F188" s="13" t="s">
        <v>618</v>
      </c>
      <c r="G188" s="13" t="s">
        <v>591</v>
      </c>
      <c r="H188" s="13" t="s">
        <v>167</v>
      </c>
    </row>
    <row r="189" spans="2:8" x14ac:dyDescent="0.2">
      <c r="B189" s="332" t="str">
        <f t="shared" si="8"/>
        <v>Massgebende
Wohn-
bevölkerung</v>
      </c>
      <c r="C189" s="320" t="s">
        <v>167</v>
      </c>
      <c r="D189" s="13" t="s">
        <v>530</v>
      </c>
      <c r="E189" s="13" t="s">
        <v>566</v>
      </c>
      <c r="F189" s="13" t="s">
        <v>615</v>
      </c>
      <c r="G189" s="13" t="s">
        <v>661</v>
      </c>
      <c r="H189" s="13" t="s">
        <v>167</v>
      </c>
    </row>
    <row r="190" spans="2:8" x14ac:dyDescent="0.2">
      <c r="B190" s="332" t="str">
        <f t="shared" si="8"/>
        <v>Summe der
gewichteten
Abweichungen</v>
      </c>
      <c r="C190" s="320" t="s">
        <v>167</v>
      </c>
      <c r="D190" s="13" t="s">
        <v>531</v>
      </c>
      <c r="E190" s="13" t="s">
        <v>575</v>
      </c>
      <c r="F190" s="13" t="s">
        <v>623</v>
      </c>
      <c r="G190" s="13" t="s">
        <v>662</v>
      </c>
      <c r="H190" s="13" t="s">
        <v>167</v>
      </c>
    </row>
    <row r="191" spans="2:8" x14ac:dyDescent="0.2">
      <c r="B191" s="332" t="str">
        <f t="shared" si="8"/>
        <v>Auszahlung
pro Einwohner</v>
      </c>
      <c r="C191" s="320" t="s">
        <v>167</v>
      </c>
      <c r="D191" s="13" t="s">
        <v>144</v>
      </c>
      <c r="E191" s="13" t="s">
        <v>578</v>
      </c>
      <c r="F191" s="13" t="s">
        <v>625</v>
      </c>
      <c r="G191" s="13" t="s">
        <v>665</v>
      </c>
      <c r="H191" s="13" t="s">
        <v>167</v>
      </c>
    </row>
    <row r="192" spans="2:8" x14ac:dyDescent="0.2">
      <c r="B192" s="332" t="str">
        <f t="shared" si="8"/>
        <v>Auszahlung</v>
      </c>
      <c r="C192" s="320" t="s">
        <v>167</v>
      </c>
      <c r="D192" s="13" t="s">
        <v>143</v>
      </c>
      <c r="E192" s="13" t="s">
        <v>579</v>
      </c>
      <c r="F192" s="13" t="s">
        <v>485</v>
      </c>
      <c r="G192" s="13" t="s">
        <v>366</v>
      </c>
      <c r="H192" s="13" t="s">
        <v>167</v>
      </c>
    </row>
    <row r="193" spans="2:8" x14ac:dyDescent="0.2">
      <c r="B193" s="334" t="str">
        <f t="shared" si="8"/>
        <v>Progressionsmass p</v>
      </c>
      <c r="C193" s="320" t="s">
        <v>167</v>
      </c>
      <c r="D193" s="13" t="s">
        <v>157</v>
      </c>
      <c r="E193" s="13" t="s">
        <v>580</v>
      </c>
      <c r="F193" s="13" t="s">
        <v>486</v>
      </c>
      <c r="G193" s="13" t="s">
        <v>367</v>
      </c>
      <c r="H193" s="13" t="s">
        <v>167</v>
      </c>
    </row>
    <row r="194" spans="2:8" x14ac:dyDescent="0.2">
      <c r="B194" s="335" t="str">
        <f t="shared" si="8"/>
        <v>Standardisierter Steuerertrag (SSE) 2019</v>
      </c>
      <c r="C194" s="320" t="s">
        <v>167</v>
      </c>
      <c r="D194" s="325" t="str">
        <f>"Standardisierter Steuerertrag (SSE) " &amp; $G$2</f>
        <v>Standardisierter Steuerertrag (SSE) 2019</v>
      </c>
      <c r="E194" s="325" t="str">
        <f>"Recettes fiscales standardisées (RFS) " &amp; $G$2</f>
        <v>Recettes fiscales standardisées (RFS) 2019</v>
      </c>
      <c r="F194" s="325" t="str">
        <f>"Gettito fiscale standardizzato (GFS) " &amp; $G$2</f>
        <v>Gettito fiscale standardizzato (GFS) 2019</v>
      </c>
      <c r="G194" s="325" t="str">
        <f>"Standardized tax revenue (STR) " &amp; $G$2</f>
        <v>Standardized tax revenue (STR) 2019</v>
      </c>
      <c r="H194" s="13" t="s">
        <v>167</v>
      </c>
    </row>
    <row r="195" spans="2:8" x14ac:dyDescent="0.2">
      <c r="B195" s="332" t="str">
        <f t="shared" si="8"/>
        <v>Ressourcen-
index</v>
      </c>
      <c r="C195" s="320" t="s">
        <v>167</v>
      </c>
      <c r="D195" s="13" t="s">
        <v>130</v>
      </c>
      <c r="E195" s="13" t="s">
        <v>569</v>
      </c>
      <c r="F195" s="13" t="s">
        <v>618</v>
      </c>
      <c r="G195" s="13" t="s">
        <v>591</v>
      </c>
      <c r="H195" s="13" t="s">
        <v>167</v>
      </c>
    </row>
    <row r="196" spans="2:8" x14ac:dyDescent="0.2">
      <c r="B196" s="332" t="str">
        <f t="shared" si="8"/>
        <v>Standardisierter
Steuerertrag
(SSE)</v>
      </c>
      <c r="C196" s="320" t="s">
        <v>167</v>
      </c>
      <c r="D196" s="13" t="s">
        <v>533</v>
      </c>
      <c r="E196" s="13" t="s">
        <v>581</v>
      </c>
      <c r="F196" s="13" t="s">
        <v>626</v>
      </c>
      <c r="G196" s="13" t="s">
        <v>666</v>
      </c>
      <c r="H196" s="13" t="s">
        <v>167</v>
      </c>
    </row>
    <row r="197" spans="2:8" x14ac:dyDescent="0.2">
      <c r="B197" s="332" t="str">
        <f t="shared" si="8"/>
        <v>Massgebende
Wohn-
bevölkerung</v>
      </c>
      <c r="C197" s="320" t="s">
        <v>167</v>
      </c>
      <c r="D197" s="13" t="s">
        <v>530</v>
      </c>
      <c r="E197" s="13" t="s">
        <v>566</v>
      </c>
      <c r="F197" s="13" t="s">
        <v>615</v>
      </c>
      <c r="G197" s="13" t="s">
        <v>661</v>
      </c>
      <c r="H197" s="13" t="s">
        <v>167</v>
      </c>
    </row>
    <row r="198" spans="2:8" x14ac:dyDescent="0.2">
      <c r="B198" s="332" t="str">
        <f t="shared" si="8"/>
        <v>Standardisierter
Steuerertrag pro
Einwohner vor
Ausgleich</v>
      </c>
      <c r="C198" s="320" t="s">
        <v>167</v>
      </c>
      <c r="D198" s="13" t="s">
        <v>534</v>
      </c>
      <c r="E198" s="13" t="s">
        <v>582</v>
      </c>
      <c r="F198" s="13" t="s">
        <v>627</v>
      </c>
      <c r="G198" s="13" t="s">
        <v>667</v>
      </c>
      <c r="H198" s="13" t="s">
        <v>167</v>
      </c>
    </row>
    <row r="199" spans="2:8" x14ac:dyDescent="0.2">
      <c r="B199" s="332" t="str">
        <f t="shared" si="8"/>
        <v>Ressourcen-
ausgleich pro
Einwohner</v>
      </c>
      <c r="C199" s="320" t="s">
        <v>167</v>
      </c>
      <c r="D199" s="13" t="s">
        <v>535</v>
      </c>
      <c r="E199" s="13" t="s">
        <v>583</v>
      </c>
      <c r="F199" s="13" t="s">
        <v>628</v>
      </c>
      <c r="G199" s="13" t="s">
        <v>668</v>
      </c>
      <c r="H199" s="13" t="s">
        <v>167</v>
      </c>
    </row>
    <row r="200" spans="2:8" x14ac:dyDescent="0.2">
      <c r="B200" s="332" t="str">
        <f t="shared" si="8"/>
        <v>Standardisierter
Steuerertrag pro
Einwohner nach
Ausgleich</v>
      </c>
      <c r="C200" s="320" t="s">
        <v>167</v>
      </c>
      <c r="D200" s="13" t="s">
        <v>536</v>
      </c>
      <c r="E200" s="13" t="s">
        <v>584</v>
      </c>
      <c r="F200" s="13" t="s">
        <v>629</v>
      </c>
      <c r="G200" s="13" t="s">
        <v>669</v>
      </c>
      <c r="H200" s="13" t="s">
        <v>167</v>
      </c>
    </row>
    <row r="201" spans="2:8" x14ac:dyDescent="0.2">
      <c r="B201" s="332" t="str">
        <f t="shared" si="8"/>
        <v>Index SSE
nach
Ausgleich</v>
      </c>
      <c r="C201" s="320" t="s">
        <v>167</v>
      </c>
      <c r="D201" s="13" t="s">
        <v>111</v>
      </c>
      <c r="E201" s="13" t="s">
        <v>585</v>
      </c>
      <c r="F201" s="13" t="s">
        <v>630</v>
      </c>
      <c r="G201" s="13" t="s">
        <v>670</v>
      </c>
      <c r="H201" s="13" t="s">
        <v>167</v>
      </c>
    </row>
    <row r="202" spans="2:8" x14ac:dyDescent="0.2">
      <c r="B202" s="332" t="str">
        <f t="shared" si="8"/>
        <v>H / F[Schweiz]</v>
      </c>
      <c r="C202" s="320" t="s">
        <v>167</v>
      </c>
      <c r="D202" s="13" t="s">
        <v>112</v>
      </c>
      <c r="E202" s="13" t="s">
        <v>290</v>
      </c>
      <c r="F202" s="13" t="s">
        <v>487</v>
      </c>
      <c r="G202" s="13" t="s">
        <v>318</v>
      </c>
      <c r="H202" s="13" t="s">
        <v>167</v>
      </c>
    </row>
    <row r="203" spans="2:8" x14ac:dyDescent="0.2">
      <c r="B203" s="334" t="str">
        <f t="shared" si="8"/>
        <v>Minimum</v>
      </c>
      <c r="C203" s="320" t="s">
        <v>167</v>
      </c>
      <c r="D203" s="13" t="s">
        <v>42</v>
      </c>
      <c r="E203" s="13" t="s">
        <v>42</v>
      </c>
      <c r="F203" s="13" t="s">
        <v>488</v>
      </c>
      <c r="G203" s="13" t="s">
        <v>42</v>
      </c>
      <c r="H203" s="13" t="s">
        <v>167</v>
      </c>
    </row>
    <row r="204" spans="2:8" x14ac:dyDescent="0.2">
      <c r="B204" s="336" t="str">
        <f t="shared" si="8"/>
        <v>Standardisierter Steuersatz (SST) 2019</v>
      </c>
      <c r="C204" s="320" t="s">
        <v>167</v>
      </c>
      <c r="D204" s="325" t="str">
        <f>"Standardisierter Steuersatz (SST) " &amp; $G$2</f>
        <v>Standardisierter Steuersatz (SST) 2019</v>
      </c>
      <c r="E204" s="325" t="str">
        <f>"Taux fiscal standardisé (TFS) " &amp; $G$2</f>
        <v>Taux fiscal standardisé (TFS) 2019</v>
      </c>
      <c r="F204" s="325" t="str">
        <f>"Aliquota d'imposta standardizzata (AIS) " &amp; $G$2</f>
        <v>Aliquota d'imposta standardizzata (AIS) 2019</v>
      </c>
      <c r="G204" s="325" t="str">
        <f>"Standardized tax rate (STRate) " &amp; $G$2</f>
        <v>Standardized tax rate (STRate) 2019</v>
      </c>
      <c r="H204" s="13" t="s">
        <v>167</v>
      </c>
    </row>
    <row r="205" spans="2:8" x14ac:dyDescent="0.2">
      <c r="B205" s="332" t="str">
        <f t="shared" si="8"/>
        <v>A   Steuereinnahmen der Kantone und Gemeinden</v>
      </c>
      <c r="C205" s="320" t="s">
        <v>167</v>
      </c>
      <c r="D205" s="13" t="s">
        <v>228</v>
      </c>
      <c r="E205" s="13" t="s">
        <v>291</v>
      </c>
      <c r="F205" s="13" t="s">
        <v>489</v>
      </c>
      <c r="G205" s="13" t="s">
        <v>319</v>
      </c>
      <c r="H205" s="13" t="s">
        <v>167</v>
      </c>
    </row>
    <row r="206" spans="2:8" x14ac:dyDescent="0.2">
      <c r="B206" s="332" t="str">
        <f t="shared" si="8"/>
        <v>B   Debitorenverluste auf Steuereinnahmen</v>
      </c>
      <c r="C206" s="320" t="s">
        <v>167</v>
      </c>
      <c r="D206" s="13" t="s">
        <v>81</v>
      </c>
      <c r="E206" s="13" t="s">
        <v>391</v>
      </c>
      <c r="F206" s="13" t="s">
        <v>490</v>
      </c>
      <c r="G206" s="13" t="s">
        <v>368</v>
      </c>
      <c r="H206" s="13" t="s">
        <v>167</v>
      </c>
    </row>
    <row r="207" spans="2:8" x14ac:dyDescent="0.2">
      <c r="B207" s="332" t="str">
        <f t="shared" ref="B207:B213" si="9">HLOOKUP($B$9,$D$9:$G$213,ROW()-$B$8,FALSE)</f>
        <v>C   Einnahmen direkte Bundessteuer (DBSt)</v>
      </c>
      <c r="C207" s="320" t="s">
        <v>167</v>
      </c>
      <c r="D207" s="13" t="s">
        <v>82</v>
      </c>
      <c r="E207" s="13" t="s">
        <v>292</v>
      </c>
      <c r="F207" s="13" t="s">
        <v>491</v>
      </c>
      <c r="G207" s="13" t="s">
        <v>320</v>
      </c>
      <c r="H207" s="13" t="s">
        <v>167</v>
      </c>
    </row>
    <row r="208" spans="2:8" x14ac:dyDescent="0.2">
      <c r="B208" s="332" t="str">
        <f t="shared" si="9"/>
        <v>D   17 % Kantonsanteil an DBSt</v>
      </c>
      <c r="C208" s="320" t="s">
        <v>167</v>
      </c>
      <c r="D208" s="13" t="s">
        <v>83</v>
      </c>
      <c r="E208" s="13" t="s">
        <v>392</v>
      </c>
      <c r="F208" s="13" t="s">
        <v>492</v>
      </c>
      <c r="G208" s="13" t="s">
        <v>321</v>
      </c>
      <c r="H208" s="13" t="s">
        <v>167</v>
      </c>
    </row>
    <row r="209" spans="2:8" x14ac:dyDescent="0.2">
      <c r="B209" s="332" t="str">
        <f t="shared" si="9"/>
        <v>E   Standardisierte Steuererträge (SSE)</v>
      </c>
      <c r="C209" s="320" t="s">
        <v>167</v>
      </c>
      <c r="D209" s="13" t="s">
        <v>146</v>
      </c>
      <c r="E209" s="13" t="s">
        <v>293</v>
      </c>
      <c r="F209" s="13" t="s">
        <v>493</v>
      </c>
      <c r="G209" s="13" t="s">
        <v>369</v>
      </c>
      <c r="H209" s="13" t="s">
        <v>167</v>
      </c>
    </row>
    <row r="210" spans="2:8" x14ac:dyDescent="0.2">
      <c r="B210" s="332" t="str">
        <f t="shared" si="9"/>
        <v>F   Massgebende Wohnbevölkerung</v>
      </c>
      <c r="C210" s="320" t="s">
        <v>167</v>
      </c>
      <c r="D210" s="13" t="s">
        <v>84</v>
      </c>
      <c r="E210" s="13" t="s">
        <v>393</v>
      </c>
      <c r="F210" s="13" t="s">
        <v>494</v>
      </c>
      <c r="G210" s="13" t="s">
        <v>370</v>
      </c>
      <c r="H210" s="13" t="s">
        <v>167</v>
      </c>
    </row>
    <row r="211" spans="2:8" x14ac:dyDescent="0.2">
      <c r="B211" s="332" t="str">
        <f t="shared" si="9"/>
        <v>G   Standardisierte Steuererträge pro Kopf</v>
      </c>
      <c r="C211" s="320" t="s">
        <v>167</v>
      </c>
      <c r="D211" s="13" t="s">
        <v>85</v>
      </c>
      <c r="E211" s="13" t="s">
        <v>394</v>
      </c>
      <c r="F211" s="13" t="s">
        <v>495</v>
      </c>
      <c r="G211" s="13" t="s">
        <v>322</v>
      </c>
      <c r="H211" s="13" t="s">
        <v>167</v>
      </c>
    </row>
    <row r="212" spans="2:8" x14ac:dyDescent="0.2">
      <c r="B212" s="332" t="str">
        <f t="shared" si="9"/>
        <v>H   Ressourcenpotenzial pro Kopf</v>
      </c>
      <c r="C212" s="320" t="s">
        <v>167</v>
      </c>
      <c r="D212" s="13" t="s">
        <v>86</v>
      </c>
      <c r="E212" s="13" t="s">
        <v>294</v>
      </c>
      <c r="F212" s="13" t="s">
        <v>496</v>
      </c>
      <c r="G212" s="13" t="s">
        <v>323</v>
      </c>
      <c r="H212" s="13" t="s">
        <v>167</v>
      </c>
    </row>
    <row r="213" spans="2:8" x14ac:dyDescent="0.2">
      <c r="B213" s="334" t="str">
        <f t="shared" si="9"/>
        <v xml:space="preserve"> I   Standardisierter Steuersatz (SST)</v>
      </c>
      <c r="C213" s="320" t="s">
        <v>167</v>
      </c>
      <c r="D213" s="13" t="s">
        <v>238</v>
      </c>
      <c r="E213" s="13" t="s">
        <v>295</v>
      </c>
      <c r="F213" s="13" t="s">
        <v>497</v>
      </c>
      <c r="G213" s="13" t="s">
        <v>324</v>
      </c>
      <c r="H213" s="13" t="s">
        <v>167</v>
      </c>
    </row>
  </sheetData>
  <pageMargins left="0.39370078740157483" right="0.39370078740157483" top="0.78740157480314965" bottom="0.78740157480314965" header="0.31496062992125984" footer="0.31496062992125984"/>
  <pageSetup paperSize="9" orientation="landscape"/>
  <headerFooter scaleWithDoc="0" alignWithMargins="0">
    <oddHeader>&amp;L&amp;F&amp;R&amp;A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37"/>
  <sheetViews>
    <sheetView showGridLines="0" zoomScaleNormal="100" workbookViewId="0">
      <selection activeCell="A114" sqref="A114"/>
    </sheetView>
  </sheetViews>
  <sheetFormatPr baseColWidth="10" defaultColWidth="9.140625" defaultRowHeight="12.75" x14ac:dyDescent="0.2"/>
  <cols>
    <col min="1" max="1" width="3.5703125" customWidth="1"/>
    <col min="2" max="2" width="16.7109375" customWidth="1"/>
    <col min="3" max="5" width="17.7109375" customWidth="1"/>
    <col min="6" max="6" width="3.5703125" customWidth="1"/>
    <col min="7" max="7" width="11.42578125" customWidth="1"/>
  </cols>
  <sheetData>
    <row r="1" spans="1:6" ht="48" customHeight="1" x14ac:dyDescent="0.2"/>
    <row r="2" spans="1:6" ht="28.5" customHeight="1" x14ac:dyDescent="0.2">
      <c r="A2" s="340" t="str">
        <f>DFIE!B73</f>
        <v>Zahlungen im</v>
      </c>
      <c r="B2" s="340"/>
      <c r="C2" s="340"/>
      <c r="D2" s="340"/>
      <c r="E2" s="340"/>
      <c r="F2" s="340"/>
    </row>
    <row r="3" spans="1:6" ht="27.75" customHeight="1" x14ac:dyDescent="0.2">
      <c r="A3" s="347" t="str">
        <f>DFIE!B74</f>
        <v>Ressourcenausgleich 2019</v>
      </c>
      <c r="B3" s="347"/>
      <c r="C3" s="347"/>
      <c r="D3" s="347"/>
      <c r="E3" s="347"/>
      <c r="F3" s="347"/>
    </row>
    <row r="4" spans="1:6" ht="24" customHeight="1" x14ac:dyDescent="0.2">
      <c r="B4" s="18"/>
    </row>
    <row r="5" spans="1:6" ht="24" customHeight="1" x14ac:dyDescent="0.2">
      <c r="B5" s="18"/>
    </row>
    <row r="6" spans="1:6" x14ac:dyDescent="0.2">
      <c r="B6" s="19" t="str">
        <f>DFIE!B75</f>
        <v>(+) Einzahlungen; (-) Auszahlungen in CHF</v>
      </c>
    </row>
    <row r="7" spans="1:6" ht="16.5" customHeight="1" x14ac:dyDescent="0.2">
      <c r="B7" s="343"/>
      <c r="C7" s="345" t="str">
        <f>DFIE!B76</f>
        <v>Ressourcen-
index</v>
      </c>
      <c r="D7" s="341" t="str">
        <f>DFIE!B77</f>
        <v>Ausgleichszahlungen</v>
      </c>
      <c r="E7" s="342"/>
    </row>
    <row r="8" spans="1:6" ht="16.5" customHeight="1" x14ac:dyDescent="0.2">
      <c r="B8" s="344"/>
      <c r="C8" s="346"/>
      <c r="D8" s="14" t="str">
        <f>DFIE!B65</f>
        <v>Total</v>
      </c>
      <c r="E8" s="15" t="str">
        <f>DFIE!B78</f>
        <v>Pro Einwohner</v>
      </c>
    </row>
    <row r="9" spans="1:6" x14ac:dyDescent="0.2">
      <c r="B9" s="27" t="str">
        <f>DFIE!B29</f>
        <v>Zürich</v>
      </c>
      <c r="C9" s="16">
        <f>RP!I9</f>
        <v>120.50025231564906</v>
      </c>
      <c r="D9" s="29">
        <f>SUM(EINZ!G9,-AUSZ!G9)</f>
        <v>546882555.55622864</v>
      </c>
      <c r="E9" s="25">
        <f>-SSE!G9</f>
        <v>377.11170538991018</v>
      </c>
    </row>
    <row r="10" spans="1:6" x14ac:dyDescent="0.2">
      <c r="B10" s="20" t="str">
        <f>DFIE!B30</f>
        <v>Bern</v>
      </c>
      <c r="C10" s="21">
        <f>RP!I10</f>
        <v>76.61514442348377</v>
      </c>
      <c r="D10" s="22">
        <f>SUM(EINZ!G10,-AUSZ!G10)</f>
        <v>-1118603760.6302977</v>
      </c>
      <c r="E10" s="23">
        <f>-SSE!G10</f>
        <v>-1104.0777773397642</v>
      </c>
    </row>
    <row r="11" spans="1:6" x14ac:dyDescent="0.2">
      <c r="B11" s="27" t="str">
        <f>DFIE!B31</f>
        <v>Luzern</v>
      </c>
      <c r="C11" s="16">
        <f>RP!I11</f>
        <v>88.953267971567712</v>
      </c>
      <c r="D11" s="29">
        <f>SUM(EINZ!G11,-AUSZ!G11)</f>
        <v>-140181963.60743117</v>
      </c>
      <c r="E11" s="25">
        <f>-SSE!G11</f>
        <v>-354.14539919940171</v>
      </c>
    </row>
    <row r="12" spans="1:6" x14ac:dyDescent="0.2">
      <c r="B12" s="20" t="str">
        <f>DFIE!B32</f>
        <v>Uri</v>
      </c>
      <c r="C12" s="21">
        <f>RP!I12</f>
        <v>70.115914841445331</v>
      </c>
      <c r="D12" s="22">
        <f>SUM(EINZ!G12,-AUSZ!G12)</f>
        <v>-58328308.913541332</v>
      </c>
      <c r="E12" s="23">
        <f>-SSE!G12</f>
        <v>-1601.3262570635918</v>
      </c>
    </row>
    <row r="13" spans="1:6" x14ac:dyDescent="0.2">
      <c r="B13" s="27" t="str">
        <f>DFIE!B33</f>
        <v>Schwyz</v>
      </c>
      <c r="C13" s="16">
        <f>RP!I13</f>
        <v>172.3604125556482</v>
      </c>
      <c r="D13" s="29">
        <f>SUM(EINZ!G13,-AUSZ!G13)</f>
        <v>204375420.17403498</v>
      </c>
      <c r="E13" s="25">
        <f>-SSE!G13</f>
        <v>1331.1035474791418</v>
      </c>
    </row>
    <row r="14" spans="1:6" x14ac:dyDescent="0.2">
      <c r="B14" s="20" t="str">
        <f>DFIE!B34</f>
        <v>Obwalden</v>
      </c>
      <c r="C14" s="21">
        <f>RP!I14</f>
        <v>119.34175629858154</v>
      </c>
      <c r="D14" s="22">
        <f>SUM(EINZ!G14,-AUSZ!G14)</f>
        <v>13180634.363517208</v>
      </c>
      <c r="E14" s="23">
        <f>-SSE!G14</f>
        <v>355.80063067936857</v>
      </c>
    </row>
    <row r="15" spans="1:6" x14ac:dyDescent="0.2">
      <c r="B15" s="27" t="str">
        <f>DFIE!B35</f>
        <v>Nidwalden</v>
      </c>
      <c r="C15" s="16">
        <f>RP!I15</f>
        <v>159.48943384682772</v>
      </c>
      <c r="D15" s="29">
        <f>SUM(EINZ!G15,-AUSZ!G15)</f>
        <v>46338194.12189085</v>
      </c>
      <c r="E15" s="25">
        <f>-SSE!G15</f>
        <v>1094.3358893944987</v>
      </c>
    </row>
    <row r="16" spans="1:6" x14ac:dyDescent="0.2">
      <c r="B16" s="20" t="str">
        <f>DFIE!B36</f>
        <v>Glarus</v>
      </c>
      <c r="C16" s="21">
        <f>RP!I16</f>
        <v>71.191340664691396</v>
      </c>
      <c r="D16" s="22">
        <f>SUM(EINZ!G16,-AUSZ!G16)</f>
        <v>-61020541.557711802</v>
      </c>
      <c r="E16" s="23">
        <f>-SSE!G16</f>
        <v>-1514.7712859069054</v>
      </c>
    </row>
    <row r="17" spans="2:5" x14ac:dyDescent="0.2">
      <c r="B17" s="27" t="str">
        <f>DFIE!B37</f>
        <v>Zug</v>
      </c>
      <c r="C17" s="16">
        <f>RP!I17</f>
        <v>247.65633140647125</v>
      </c>
      <c r="D17" s="29">
        <f>SUM(EINZ!G17,-AUSZ!G17)</f>
        <v>328161730.02926147</v>
      </c>
      <c r="E17" s="25">
        <f>-SSE!G17</f>
        <v>2716.2071027684883</v>
      </c>
    </row>
    <row r="18" spans="2:5" x14ac:dyDescent="0.2">
      <c r="B18" s="20" t="str">
        <f>DFIE!B38</f>
        <v>Freiburg</v>
      </c>
      <c r="C18" s="21">
        <f>RP!I18</f>
        <v>79.913961150061226</v>
      </c>
      <c r="D18" s="22">
        <f>SUM(EINZ!G18,-AUSZ!G18)</f>
        <v>-265043098.6540055</v>
      </c>
      <c r="E18" s="23">
        <f>-SSE!G18</f>
        <v>-876.74070443428161</v>
      </c>
    </row>
    <row r="19" spans="2:5" x14ac:dyDescent="0.2">
      <c r="B19" s="27" t="str">
        <f>DFIE!B39</f>
        <v>Solothurn</v>
      </c>
      <c r="C19" s="16">
        <f>RP!I19</f>
        <v>72.982232175509864</v>
      </c>
      <c r="D19" s="29">
        <f>SUM(EINZ!G19,-AUSZ!G19)</f>
        <v>-363881002.20201743</v>
      </c>
      <c r="E19" s="25">
        <f>-SSE!G19</f>
        <v>-1374.3139642423691</v>
      </c>
    </row>
    <row r="20" spans="2:5" x14ac:dyDescent="0.2">
      <c r="B20" s="20" t="str">
        <f>DFIE!B40</f>
        <v>Basel-Stadt</v>
      </c>
      <c r="C20" s="21">
        <f>RP!I20</f>
        <v>149.45441668678237</v>
      </c>
      <c r="D20" s="22">
        <f>SUM(EINZ!G20,-AUSZ!G20)</f>
        <v>175779244.47625288</v>
      </c>
      <c r="E20" s="23">
        <f>-SSE!G20</f>
        <v>909.73706706913049</v>
      </c>
    </row>
    <row r="21" spans="2:5" x14ac:dyDescent="0.2">
      <c r="B21" s="27" t="str">
        <f>DFIE!B41</f>
        <v>Basel-Landschaft</v>
      </c>
      <c r="C21" s="16">
        <f>RP!I21</f>
        <v>96.803218732349791</v>
      </c>
      <c r="D21" s="29">
        <f>SUM(EINZ!G21,-AUSZ!G21)</f>
        <v>-15207392.880757779</v>
      </c>
      <c r="E21" s="25">
        <f>-SSE!G21</f>
        <v>-54.03710715379863</v>
      </c>
    </row>
    <row r="22" spans="2:5" x14ac:dyDescent="0.2">
      <c r="B22" s="20" t="str">
        <f>DFIE!B42</f>
        <v>Schaffhausen</v>
      </c>
      <c r="C22" s="21">
        <f>RP!I22</f>
        <v>91.679373181965119</v>
      </c>
      <c r="D22" s="22">
        <f>SUM(EINZ!G22,-AUSZ!G22)</f>
        <v>-18418784.933498733</v>
      </c>
      <c r="E22" s="23">
        <f>-SSE!G22</f>
        <v>-230.44893713949293</v>
      </c>
    </row>
    <row r="23" spans="2:5" x14ac:dyDescent="0.2">
      <c r="B23" s="27" t="str">
        <f>DFIE!B43</f>
        <v>Appenzell A.Rh.</v>
      </c>
      <c r="C23" s="16">
        <f>RP!I23</f>
        <v>85.271328845800298</v>
      </c>
      <c r="D23" s="29">
        <f>SUM(EINZ!G23,-AUSZ!G23)</f>
        <v>-29675587.966077305</v>
      </c>
      <c r="E23" s="25">
        <f>-SSE!G23</f>
        <v>-547.76768033663382</v>
      </c>
    </row>
    <row r="24" spans="2:5" x14ac:dyDescent="0.2">
      <c r="B24" s="20" t="str">
        <f>DFIE!B44</f>
        <v>Appenzell I.Rh.</v>
      </c>
      <c r="C24" s="21">
        <f>RP!I24</f>
        <v>88.847447730964575</v>
      </c>
      <c r="D24" s="22">
        <f>SUM(EINZ!G24,-AUSZ!G24)</f>
        <v>-5718465.6508297827</v>
      </c>
      <c r="E24" s="23">
        <f>-SSE!G24</f>
        <v>-359.30166509564782</v>
      </c>
    </row>
    <row r="25" spans="2:5" x14ac:dyDescent="0.2">
      <c r="B25" s="27" t="str">
        <f>DFIE!B45</f>
        <v>St. Gallen</v>
      </c>
      <c r="C25" s="16">
        <f>RP!I25</f>
        <v>78.831636511909807</v>
      </c>
      <c r="D25" s="29">
        <f>SUM(EINZ!G25,-AUSZ!G25)</f>
        <v>-472032279.61929697</v>
      </c>
      <c r="E25" s="25">
        <f>-SSE!G25</f>
        <v>-949.3562710936701</v>
      </c>
    </row>
    <row r="26" spans="2:5" x14ac:dyDescent="0.2">
      <c r="B26" s="20" t="str">
        <f>DFIE!B46</f>
        <v>Graubünden</v>
      </c>
      <c r="C26" s="21">
        <f>RP!I26</f>
        <v>83.310043789628381</v>
      </c>
      <c r="D26" s="22">
        <f>SUM(EINZ!G26,-AUSZ!G26)</f>
        <v>-134863122.3917239</v>
      </c>
      <c r="E26" s="23">
        <f>-SSE!G26</f>
        <v>-662.08199195232055</v>
      </c>
    </row>
    <row r="27" spans="2:5" x14ac:dyDescent="0.2">
      <c r="B27" s="27" t="str">
        <f>DFIE!B47</f>
        <v>Aargau</v>
      </c>
      <c r="C27" s="16">
        <f>RP!I27</f>
        <v>83.832540919189853</v>
      </c>
      <c r="D27" s="29">
        <f>SUM(EINZ!G27,-AUSZ!G27)</f>
        <v>-407714086.45847803</v>
      </c>
      <c r="E27" s="25">
        <f>-SSE!G27</f>
        <v>-630.91124058440141</v>
      </c>
    </row>
    <row r="28" spans="2:5" x14ac:dyDescent="0.2">
      <c r="B28" s="20" t="str">
        <f>DFIE!B48</f>
        <v>Thurgau</v>
      </c>
      <c r="C28" s="21">
        <f>RP!I28</f>
        <v>78.381676367037997</v>
      </c>
      <c r="D28" s="22">
        <f>SUM(EINZ!G28,-AUSZ!G28)</f>
        <v>-258988737.98245859</v>
      </c>
      <c r="E28" s="23">
        <f>-SSE!G28</f>
        <v>-980.11950402456307</v>
      </c>
    </row>
    <row r="29" spans="2:5" x14ac:dyDescent="0.2">
      <c r="B29" s="27" t="str">
        <f>DFIE!B49</f>
        <v>Tessin</v>
      </c>
      <c r="C29" s="16">
        <f>RP!I29</f>
        <v>97.147186264078996</v>
      </c>
      <c r="D29" s="29">
        <f>SUM(EINZ!G29,-AUSZ!G29)</f>
        <v>-15933648.541885989</v>
      </c>
      <c r="E29" s="25">
        <f>-SSE!G29</f>
        <v>-45.470881257385749</v>
      </c>
    </row>
    <row r="30" spans="2:5" x14ac:dyDescent="0.2">
      <c r="B30" s="20" t="str">
        <f>DFIE!B50</f>
        <v>Waadt</v>
      </c>
      <c r="C30" s="21">
        <f>RP!I30</f>
        <v>99.611867182051867</v>
      </c>
      <c r="D30" s="22">
        <f>SUM(EINZ!G30,-AUSZ!G30)</f>
        <v>-1690013.7133319792</v>
      </c>
      <c r="E30" s="23">
        <f>-SSE!G30</f>
        <v>-2.2094561077874362</v>
      </c>
    </row>
    <row r="31" spans="2:5" x14ac:dyDescent="0.2">
      <c r="B31" s="27" t="str">
        <f>DFIE!B51</f>
        <v>Wallis</v>
      </c>
      <c r="C31" s="16">
        <f>RP!I31</f>
        <v>66.095679522394676</v>
      </c>
      <c r="D31" s="29">
        <f>SUM(EINZ!G31,-AUSZ!G31)</f>
        <v>-654461428.08469224</v>
      </c>
      <c r="E31" s="25">
        <f>-SSE!G31</f>
        <v>-1939.0492165859232</v>
      </c>
    </row>
    <row r="32" spans="2:5" x14ac:dyDescent="0.2">
      <c r="B32" s="20" t="str">
        <f>DFIE!B52</f>
        <v>Neuenburg</v>
      </c>
      <c r="C32" s="21">
        <f>RP!I32</f>
        <v>90.547248505320923</v>
      </c>
      <c r="D32" s="22">
        <f>SUM(EINZ!G32,-AUSZ!G32)</f>
        <v>-49830051.38939321</v>
      </c>
      <c r="E32" s="23">
        <f>-SSE!G32</f>
        <v>-279.623641385116</v>
      </c>
    </row>
    <row r="33" spans="2:5" x14ac:dyDescent="0.2">
      <c r="B33" s="27" t="str">
        <f>DFIE!B53</f>
        <v>Genf</v>
      </c>
      <c r="C33" s="16">
        <f>RP!I33</f>
        <v>145.32811250149109</v>
      </c>
      <c r="D33" s="29">
        <f>SUM(EINZ!G33,-AUSZ!G33)</f>
        <v>398019592.54229921</v>
      </c>
      <c r="E33" s="25">
        <f>-SSE!G33</f>
        <v>833.83177652376139</v>
      </c>
    </row>
    <row r="34" spans="2:5" x14ac:dyDescent="0.2">
      <c r="B34" s="20" t="str">
        <f>DFIE!B54</f>
        <v>Jura</v>
      </c>
      <c r="C34" s="21">
        <f>RP!I34</f>
        <v>65.233572767903297</v>
      </c>
      <c r="D34" s="22">
        <f>SUM(EINZ!G34,-AUSZ!G34)</f>
        <v>-145824424.87674469</v>
      </c>
      <c r="E34" s="23">
        <f>-SSE!G34</f>
        <v>-2014.2932604777693</v>
      </c>
    </row>
    <row r="35" spans="2:5" x14ac:dyDescent="0.2">
      <c r="B35" s="28" t="str">
        <f>DFIE!B55</f>
        <v>Schweiz</v>
      </c>
      <c r="C35" s="17">
        <f>RP!I35</f>
        <v>100</v>
      </c>
      <c r="D35" s="30">
        <f>SUM(D9:D34)</f>
        <v>-2504679328.790689</v>
      </c>
      <c r="E35" s="26"/>
    </row>
    <row r="36" spans="2:5" ht="92.25" customHeight="1" x14ac:dyDescent="0.2">
      <c r="B36" s="339" t="str">
        <f>DFIE!B79</f>
        <v>Die Berechnung des Ressourcenausgleichs wird im technischen Bericht detailliert beschrieben:
www.efv.admin.ch → Themen  → Finanzausgleich  → Dokumentation</v>
      </c>
      <c r="C36" s="339"/>
      <c r="D36" s="339"/>
      <c r="E36" s="339"/>
    </row>
    <row r="37" spans="2:5" ht="21.75" customHeight="1" x14ac:dyDescent="0.2"/>
  </sheetData>
  <mergeCells count="6">
    <mergeCell ref="B36:E36"/>
    <mergeCell ref="A2:F2"/>
    <mergeCell ref="D7:E7"/>
    <mergeCell ref="B7:B8"/>
    <mergeCell ref="C7:C8"/>
    <mergeCell ref="A3:F3"/>
  </mergeCells>
  <conditionalFormatting sqref="D9:D34">
    <cfRule type="expression" dxfId="63" priority="2">
      <formula>$F$23="Nicht optimiert!"</formula>
    </cfRule>
  </conditionalFormatting>
  <conditionalFormatting sqref="B9:C34 E9:E34">
    <cfRule type="expression" dxfId="62" priority="35">
      <formula>SIGN(#REF!-100)&lt;&gt;SIGN($G9-100)</formula>
    </cfRule>
  </conditionalFormatting>
  <pageMargins left="0.78740157480314965" right="0.78740157480314965" top="0.98425196850393704" bottom="0.78740157480314965" header="0.51181102362204722" footer="0.51181102362204722"/>
  <pageSetup paperSize="9" scale="95" orientation="portrait"/>
  <headerFooter scaleWithDoc="0" alignWithMargins="0">
    <oddHeader>&amp;L&amp;F&amp;R&amp;A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93"/>
  <sheetViews>
    <sheetView showGridLines="0" zoomScaleNormal="100" workbookViewId="0">
      <pane ySplit="8" topLeftCell="A9" activePane="bottomLeft" state="frozen"/>
      <selection activeCell="A114" sqref="A114"/>
      <selection pane="bottomLeft" activeCell="A114" sqref="A114"/>
    </sheetView>
  </sheetViews>
  <sheetFormatPr baseColWidth="10" defaultColWidth="9.140625" defaultRowHeight="12.75" x14ac:dyDescent="0.2"/>
  <cols>
    <col min="1" max="1" width="4.42578125" customWidth="1"/>
    <col min="2" max="2" width="17.140625" customWidth="1"/>
    <col min="3" max="5" width="23.7109375" customWidth="1"/>
    <col min="6" max="6" width="1.42578125" customWidth="1"/>
    <col min="7" max="7" width="4" customWidth="1"/>
    <col min="8" max="8" width="13.140625" customWidth="1"/>
    <col min="9" max="9" width="10" customWidth="1"/>
  </cols>
  <sheetData>
    <row r="1" spans="1:9" ht="18" customHeight="1" x14ac:dyDescent="0.25">
      <c r="B1" s="6" t="str">
        <f>DFIE!B80</f>
        <v>Einkommen natürlicher Personen 2019</v>
      </c>
    </row>
    <row r="2" spans="1:9" ht="12.75" customHeight="1" x14ac:dyDescent="0.2"/>
    <row r="3" spans="1:9" ht="0.75" customHeight="1" x14ac:dyDescent="0.2"/>
    <row r="4" spans="1:9" ht="12" customHeight="1" x14ac:dyDescent="0.2">
      <c r="B4" s="37" t="str">
        <f>DFIE!B56</f>
        <v>Spalte</v>
      </c>
      <c r="C4" s="38" t="s">
        <v>30</v>
      </c>
      <c r="D4" s="38" t="s">
        <v>31</v>
      </c>
      <c r="E4" s="39" t="s">
        <v>32</v>
      </c>
      <c r="H4" s="39" t="s">
        <v>33</v>
      </c>
      <c r="I4" s="39" t="s">
        <v>34</v>
      </c>
    </row>
    <row r="5" spans="1:9" ht="12" customHeight="1" x14ac:dyDescent="0.2">
      <c r="B5" s="37" t="str">
        <f>DFIE!B57</f>
        <v>Formel</v>
      </c>
      <c r="C5" s="40"/>
      <c r="D5" s="41"/>
      <c r="E5" s="42" t="s">
        <v>117</v>
      </c>
    </row>
    <row r="6" spans="1:9" ht="28.5" customHeight="1" x14ac:dyDescent="0.2">
      <c r="B6" s="61"/>
      <c r="C6" s="356" t="str">
        <f>DFIE!B81</f>
        <v>Steuerpflichtige mit steuerbarem Einkommen
grösser oder gleich dem Freibetrag</v>
      </c>
      <c r="D6" s="356"/>
      <c r="E6" s="352" t="str">
        <f>DFIE!B84</f>
        <v>Massgebendes
Einkommen der
natürlichen
Personen</v>
      </c>
      <c r="H6" s="348" t="str">
        <f>DFIE!B85</f>
        <v>Freibetrag pro
steuerpflichtige Person</v>
      </c>
      <c r="I6" s="349"/>
    </row>
    <row r="7" spans="1:9" ht="30.75" customHeight="1" x14ac:dyDescent="0.2">
      <c r="A7" s="52"/>
      <c r="B7" s="62"/>
      <c r="C7" s="60" t="str">
        <f>DFIE!B82</f>
        <v>Steuerpflichtige</v>
      </c>
      <c r="D7" s="60" t="str">
        <f>DFIE!B83</f>
        <v>Steuerbares Einkommen
der Steuerpflichtigen</v>
      </c>
      <c r="E7" s="352"/>
      <c r="F7" s="52"/>
      <c r="H7" s="350"/>
      <c r="I7" s="351"/>
    </row>
    <row r="8" spans="1:9" ht="12.75" customHeight="1" x14ac:dyDescent="0.2">
      <c r="B8" s="37" t="str">
        <f>DFIE!B59</f>
        <v>Einheit</v>
      </c>
      <c r="C8" s="43" t="str">
        <f>DFIE!B62</f>
        <v>Anzahl</v>
      </c>
      <c r="D8" s="43" t="str">
        <f>DFIE!$B$61</f>
        <v>CHF 1'000</v>
      </c>
      <c r="E8" s="44" t="str">
        <f>DFIE!$B$61</f>
        <v>CHF 1'000</v>
      </c>
      <c r="H8" s="48" t="str">
        <f>DFIE!B86</f>
        <v>Bemessungsjahr</v>
      </c>
      <c r="I8" s="49" t="str">
        <f>DFIE!$B$60</f>
        <v>CHF</v>
      </c>
    </row>
    <row r="9" spans="1:9" ht="12.75" customHeight="1" x14ac:dyDescent="0.2">
      <c r="A9" s="353" t="str">
        <f>DFIE!B70</f>
        <v>Bemessungsjahr 2013</v>
      </c>
      <c r="B9" s="63" t="str">
        <f>DFIE!B29</f>
        <v>Zürich</v>
      </c>
      <c r="C9" s="33">
        <v>612718</v>
      </c>
      <c r="D9" s="33">
        <v>54521809.899999999</v>
      </c>
      <c r="E9" s="29">
        <f t="shared" ref="E9:E34" si="0">D9-($I$9/1000*C9)</f>
        <v>35650095.5</v>
      </c>
      <c r="F9" s="54"/>
      <c r="H9" s="50">
        <f>DFIE!$G$2-6</f>
        <v>2013</v>
      </c>
      <c r="I9" s="51">
        <v>30800</v>
      </c>
    </row>
    <row r="10" spans="1:9" x14ac:dyDescent="0.2">
      <c r="A10" s="353"/>
      <c r="B10" s="45" t="str">
        <f>DFIE!B30</f>
        <v>Bern</v>
      </c>
      <c r="C10" s="46">
        <v>409094</v>
      </c>
      <c r="D10" s="46">
        <v>28791315.699999999</v>
      </c>
      <c r="E10" s="22">
        <f t="shared" si="0"/>
        <v>16191220.499999998</v>
      </c>
      <c r="F10" s="54"/>
    </row>
    <row r="11" spans="1:9" ht="12.75" customHeight="1" x14ac:dyDescent="0.2">
      <c r="A11" s="353"/>
      <c r="B11" s="63" t="str">
        <f>DFIE!B31</f>
        <v>Luzern</v>
      </c>
      <c r="C11" s="33">
        <v>159087</v>
      </c>
      <c r="D11" s="33">
        <v>11888024.1</v>
      </c>
      <c r="E11" s="29">
        <f t="shared" si="0"/>
        <v>6988144.4999999991</v>
      </c>
      <c r="F11" s="54"/>
    </row>
    <row r="12" spans="1:9" x14ac:dyDescent="0.2">
      <c r="A12" s="353"/>
      <c r="B12" s="45" t="str">
        <f>DFIE!B32</f>
        <v>Uri</v>
      </c>
      <c r="C12" s="46">
        <v>14052</v>
      </c>
      <c r="D12" s="46">
        <v>917628.5</v>
      </c>
      <c r="E12" s="22">
        <f t="shared" si="0"/>
        <v>484826.89999999997</v>
      </c>
      <c r="F12" s="54"/>
    </row>
    <row r="13" spans="1:9" x14ac:dyDescent="0.2">
      <c r="A13" s="353"/>
      <c r="B13" s="63" t="str">
        <f>DFIE!B33</f>
        <v>Schwyz</v>
      </c>
      <c r="C13" s="33">
        <v>64394</v>
      </c>
      <c r="D13" s="33">
        <v>7347250.5</v>
      </c>
      <c r="E13" s="29">
        <f t="shared" si="0"/>
        <v>5363915.3</v>
      </c>
      <c r="F13" s="54"/>
    </row>
    <row r="14" spans="1:9" x14ac:dyDescent="0.2">
      <c r="A14" s="353"/>
      <c r="B14" s="45" t="str">
        <f>DFIE!B34</f>
        <v>Obwalden</v>
      </c>
      <c r="C14" s="46">
        <v>14944</v>
      </c>
      <c r="D14" s="46">
        <v>1324360.5</v>
      </c>
      <c r="E14" s="22">
        <f t="shared" si="0"/>
        <v>864085.3</v>
      </c>
      <c r="F14" s="54"/>
    </row>
    <row r="15" spans="1:9" x14ac:dyDescent="0.2">
      <c r="A15" s="353"/>
      <c r="B15" s="63" t="str">
        <f>DFIE!B35</f>
        <v>Nidwalden</v>
      </c>
      <c r="C15" s="33">
        <v>18473</v>
      </c>
      <c r="D15" s="33">
        <v>1808300.8</v>
      </c>
      <c r="E15" s="29">
        <f t="shared" si="0"/>
        <v>1239332.3999999999</v>
      </c>
      <c r="F15" s="54"/>
    </row>
    <row r="16" spans="1:9" x14ac:dyDescent="0.2">
      <c r="A16" s="353"/>
      <c r="B16" s="45" t="str">
        <f>DFIE!B36</f>
        <v>Glarus</v>
      </c>
      <c r="C16" s="46">
        <v>15642</v>
      </c>
      <c r="D16" s="46">
        <v>1093102.8</v>
      </c>
      <c r="E16" s="22">
        <f t="shared" si="0"/>
        <v>611329.19999999995</v>
      </c>
      <c r="F16" s="54"/>
    </row>
    <row r="17" spans="1:6" x14ac:dyDescent="0.2">
      <c r="A17" s="353"/>
      <c r="B17" s="63" t="str">
        <f>DFIE!B37</f>
        <v>Zug</v>
      </c>
      <c r="C17" s="33">
        <v>52007</v>
      </c>
      <c r="D17" s="33">
        <v>6294396.4000000004</v>
      </c>
      <c r="E17" s="29">
        <f t="shared" si="0"/>
        <v>4692580.8000000007</v>
      </c>
      <c r="F17" s="54"/>
    </row>
    <row r="18" spans="1:6" x14ac:dyDescent="0.2">
      <c r="A18" s="353"/>
      <c r="B18" s="45" t="str">
        <f>DFIE!B38</f>
        <v>Freiburg</v>
      </c>
      <c r="C18" s="46">
        <v>111817</v>
      </c>
      <c r="D18" s="46">
        <v>8324093.7000000002</v>
      </c>
      <c r="E18" s="22">
        <f t="shared" si="0"/>
        <v>4880130.0999999996</v>
      </c>
      <c r="F18" s="54"/>
    </row>
    <row r="19" spans="1:6" x14ac:dyDescent="0.2">
      <c r="A19" s="353"/>
      <c r="B19" s="63" t="str">
        <f>DFIE!B39</f>
        <v>Solothurn</v>
      </c>
      <c r="C19" s="33">
        <v>111896</v>
      </c>
      <c r="D19" s="33">
        <v>8019180.9000000004</v>
      </c>
      <c r="E19" s="29">
        <f t="shared" si="0"/>
        <v>4572784.0999999996</v>
      </c>
      <c r="F19" s="54"/>
    </row>
    <row r="20" spans="1:6" x14ac:dyDescent="0.2">
      <c r="A20" s="353"/>
      <c r="B20" s="45" t="str">
        <f>DFIE!B40</f>
        <v>Basel-Stadt</v>
      </c>
      <c r="C20" s="46">
        <v>79716</v>
      </c>
      <c r="D20" s="46">
        <v>7193303.2999999998</v>
      </c>
      <c r="E20" s="22">
        <f t="shared" si="0"/>
        <v>4738050.5</v>
      </c>
      <c r="F20" s="54"/>
    </row>
    <row r="21" spans="1:6" x14ac:dyDescent="0.2">
      <c r="A21" s="353"/>
      <c r="B21" s="63" t="str">
        <f>DFIE!B41</f>
        <v>Basel-Landschaft</v>
      </c>
      <c r="C21" s="33">
        <v>121039</v>
      </c>
      <c r="D21" s="33">
        <v>10241932.699999999</v>
      </c>
      <c r="E21" s="29">
        <f t="shared" si="0"/>
        <v>6513931.4999999991</v>
      </c>
      <c r="F21" s="54"/>
    </row>
    <row r="22" spans="1:6" x14ac:dyDescent="0.2">
      <c r="A22" s="353"/>
      <c r="B22" s="45" t="str">
        <f>DFIE!B42</f>
        <v>Schaffhausen</v>
      </c>
      <c r="C22" s="46">
        <v>32006</v>
      </c>
      <c r="D22" s="46">
        <v>2297350.7999999998</v>
      </c>
      <c r="E22" s="22">
        <f t="shared" si="0"/>
        <v>1311565.9999999998</v>
      </c>
      <c r="F22" s="54"/>
    </row>
    <row r="23" spans="1:6" x14ac:dyDescent="0.2">
      <c r="A23" s="353"/>
      <c r="B23" s="63" t="str">
        <f>DFIE!B43</f>
        <v>Appenzell A.Rh.</v>
      </c>
      <c r="C23" s="33">
        <v>21455</v>
      </c>
      <c r="D23" s="33">
        <v>1599307.3</v>
      </c>
      <c r="E23" s="29">
        <f t="shared" si="0"/>
        <v>938493.3</v>
      </c>
      <c r="F23" s="54"/>
    </row>
    <row r="24" spans="1:6" x14ac:dyDescent="0.2">
      <c r="A24" s="353"/>
      <c r="B24" s="45" t="str">
        <f>DFIE!B44</f>
        <v>Appenzell I.Rh.</v>
      </c>
      <c r="C24" s="46">
        <v>6192</v>
      </c>
      <c r="D24" s="46">
        <v>473938.3</v>
      </c>
      <c r="E24" s="22">
        <f t="shared" si="0"/>
        <v>283224.69999999995</v>
      </c>
      <c r="F24" s="54"/>
    </row>
    <row r="25" spans="1:6" x14ac:dyDescent="0.2">
      <c r="A25" s="353"/>
      <c r="B25" s="63" t="str">
        <f>DFIE!B45</f>
        <v>St. Gallen</v>
      </c>
      <c r="C25" s="33">
        <v>194037</v>
      </c>
      <c r="D25" s="33">
        <v>13657768.199999999</v>
      </c>
      <c r="E25" s="29">
        <f t="shared" si="0"/>
        <v>7681428.5999999987</v>
      </c>
      <c r="F25" s="54"/>
    </row>
    <row r="26" spans="1:6" x14ac:dyDescent="0.2">
      <c r="A26" s="353"/>
      <c r="B26" s="45" t="str">
        <f>DFIE!B46</f>
        <v>Graubünden</v>
      </c>
      <c r="C26" s="46">
        <v>78243</v>
      </c>
      <c r="D26" s="46">
        <v>5757830.5999999996</v>
      </c>
      <c r="E26" s="22">
        <f t="shared" si="0"/>
        <v>3347946.1999999997</v>
      </c>
      <c r="F26" s="54"/>
    </row>
    <row r="27" spans="1:6" x14ac:dyDescent="0.2">
      <c r="A27" s="353"/>
      <c r="B27" s="63" t="str">
        <f>DFIE!B47</f>
        <v>Aargau</v>
      </c>
      <c r="C27" s="33">
        <v>271870</v>
      </c>
      <c r="D27" s="33">
        <v>20432410.699999999</v>
      </c>
      <c r="E27" s="29">
        <f t="shared" si="0"/>
        <v>12058814.699999999</v>
      </c>
      <c r="F27" s="54"/>
    </row>
    <row r="28" spans="1:6" x14ac:dyDescent="0.2">
      <c r="A28" s="353"/>
      <c r="B28" s="45" t="str">
        <f>DFIE!B48</f>
        <v>Thurgau</v>
      </c>
      <c r="C28" s="46">
        <v>105703</v>
      </c>
      <c r="D28" s="46">
        <v>7749787</v>
      </c>
      <c r="E28" s="22">
        <f t="shared" si="0"/>
        <v>4494134.5999999996</v>
      </c>
      <c r="F28" s="54"/>
    </row>
    <row r="29" spans="1:6" x14ac:dyDescent="0.2">
      <c r="A29" s="353"/>
      <c r="B29" s="63" t="str">
        <f>DFIE!B49</f>
        <v>Tessin</v>
      </c>
      <c r="C29" s="33">
        <v>130124</v>
      </c>
      <c r="D29" s="33">
        <v>10519253.9</v>
      </c>
      <c r="E29" s="29">
        <f t="shared" si="0"/>
        <v>6511434.7000000002</v>
      </c>
      <c r="F29" s="54"/>
    </row>
    <row r="30" spans="1:6" x14ac:dyDescent="0.2">
      <c r="A30" s="353"/>
      <c r="B30" s="45" t="str">
        <f>DFIE!B50</f>
        <v>Waadt</v>
      </c>
      <c r="C30" s="46">
        <v>275971</v>
      </c>
      <c r="D30" s="46">
        <v>24658271.399999999</v>
      </c>
      <c r="E30" s="22">
        <f t="shared" si="0"/>
        <v>16158364.599999998</v>
      </c>
      <c r="F30" s="54"/>
    </row>
    <row r="31" spans="1:6" x14ac:dyDescent="0.2">
      <c r="A31" s="353"/>
      <c r="B31" s="63" t="str">
        <f>DFIE!B51</f>
        <v>Wallis</v>
      </c>
      <c r="C31" s="33">
        <v>124211</v>
      </c>
      <c r="D31" s="33">
        <v>8724595.5</v>
      </c>
      <c r="E31" s="29">
        <f t="shared" si="0"/>
        <v>4898896.6999999993</v>
      </c>
      <c r="F31" s="54"/>
    </row>
    <row r="32" spans="1:6" x14ac:dyDescent="0.2">
      <c r="A32" s="353"/>
      <c r="B32" s="45" t="str">
        <f>DFIE!B52</f>
        <v>Neuenburg</v>
      </c>
      <c r="C32" s="46">
        <v>66191</v>
      </c>
      <c r="D32" s="46">
        <v>4817442.9000000004</v>
      </c>
      <c r="E32" s="22">
        <f t="shared" si="0"/>
        <v>2778760.1000000006</v>
      </c>
      <c r="F32" s="54"/>
    </row>
    <row r="33" spans="1:9" x14ac:dyDescent="0.2">
      <c r="A33" s="353"/>
      <c r="B33" s="63" t="str">
        <f>DFIE!B53</f>
        <v>Genf</v>
      </c>
      <c r="C33" s="33">
        <v>161094</v>
      </c>
      <c r="D33" s="33">
        <v>16990497.5</v>
      </c>
      <c r="E33" s="29">
        <f t="shared" si="0"/>
        <v>12028802.300000001</v>
      </c>
      <c r="F33" s="54"/>
    </row>
    <row r="34" spans="1:9" x14ac:dyDescent="0.2">
      <c r="A34" s="353"/>
      <c r="B34" s="45" t="str">
        <f>DFIE!B54</f>
        <v>Jura</v>
      </c>
      <c r="C34" s="46">
        <v>26815</v>
      </c>
      <c r="D34" s="46">
        <v>1750694.7</v>
      </c>
      <c r="E34" s="22">
        <f t="shared" si="0"/>
        <v>924792.7</v>
      </c>
      <c r="F34" s="54"/>
    </row>
    <row r="35" spans="1:9" x14ac:dyDescent="0.2">
      <c r="A35" s="353"/>
      <c r="B35" s="28" t="str">
        <f>DFIE!B55</f>
        <v>Schweiz</v>
      </c>
      <c r="C35" s="32">
        <f>SUM(C9:C34)</f>
        <v>3278791</v>
      </c>
      <c r="D35" s="32">
        <f>SUM(D9:D34)</f>
        <v>267193848.59999999</v>
      </c>
      <c r="E35" s="30">
        <f>SUM(E9:E34)</f>
        <v>166207085.79999995</v>
      </c>
      <c r="F35" s="55"/>
      <c r="H35" s="52"/>
      <c r="I35" s="52"/>
    </row>
    <row r="36" spans="1:9" ht="15" customHeight="1" x14ac:dyDescent="0.25">
      <c r="A36" s="35"/>
      <c r="C36" s="47"/>
      <c r="D36" s="47"/>
      <c r="E36" s="47"/>
      <c r="H36" s="52"/>
      <c r="I36" s="52"/>
    </row>
    <row r="37" spans="1:9" ht="12.75" customHeight="1" x14ac:dyDescent="0.2">
      <c r="A37" s="354" t="str">
        <f>DFIE!B71</f>
        <v>Bemessungsjahr 2014</v>
      </c>
      <c r="B37" s="64" t="str">
        <f>DFIE!B29</f>
        <v>Zürich</v>
      </c>
      <c r="C37" s="65">
        <v>617323</v>
      </c>
      <c r="D37" s="65">
        <v>55934613.799999997</v>
      </c>
      <c r="E37" s="31">
        <f t="shared" ref="E37:E62" si="1">D37-($I$37/1000*C37)</f>
        <v>36921065.399999991</v>
      </c>
      <c r="F37" s="56"/>
      <c r="H37" s="50">
        <f>DFIE!$G$2-5</f>
        <v>2014</v>
      </c>
      <c r="I37" s="51">
        <v>30800</v>
      </c>
    </row>
    <row r="38" spans="1:9" x14ac:dyDescent="0.2">
      <c r="A38" s="354"/>
      <c r="B38" s="45" t="str">
        <f>DFIE!B30</f>
        <v>Bern</v>
      </c>
      <c r="C38" s="46">
        <v>413275</v>
      </c>
      <c r="D38" s="46">
        <v>29272701.600000001</v>
      </c>
      <c r="E38" s="22">
        <f t="shared" si="1"/>
        <v>16543831.600000001</v>
      </c>
      <c r="F38" s="56"/>
    </row>
    <row r="39" spans="1:9" x14ac:dyDescent="0.2">
      <c r="A39" s="354"/>
      <c r="B39" s="63" t="str">
        <f>DFIE!B31</f>
        <v>Luzern</v>
      </c>
      <c r="C39" s="33">
        <v>162401</v>
      </c>
      <c r="D39" s="33">
        <v>12026348</v>
      </c>
      <c r="E39" s="29">
        <f t="shared" si="1"/>
        <v>7024397.2000000002</v>
      </c>
      <c r="F39" s="56"/>
    </row>
    <row r="40" spans="1:9" x14ac:dyDescent="0.2">
      <c r="A40" s="354"/>
      <c r="B40" s="45" t="str">
        <f>DFIE!B32</f>
        <v>Uri</v>
      </c>
      <c r="C40" s="46">
        <v>14352</v>
      </c>
      <c r="D40" s="46">
        <v>956339.6</v>
      </c>
      <c r="E40" s="22">
        <f t="shared" si="1"/>
        <v>514297.99999999994</v>
      </c>
      <c r="F40" s="56"/>
    </row>
    <row r="41" spans="1:9" x14ac:dyDescent="0.2">
      <c r="A41" s="354"/>
      <c r="B41" s="63" t="str">
        <f>DFIE!B33</f>
        <v>Schwyz</v>
      </c>
      <c r="C41" s="33">
        <v>65661</v>
      </c>
      <c r="D41" s="33">
        <v>8456738</v>
      </c>
      <c r="E41" s="29">
        <f t="shared" si="1"/>
        <v>6434379.2000000002</v>
      </c>
      <c r="F41" s="56"/>
    </row>
    <row r="42" spans="1:9" x14ac:dyDescent="0.2">
      <c r="A42" s="354"/>
      <c r="B42" s="45" t="str">
        <f>DFIE!B34</f>
        <v>Obwalden</v>
      </c>
      <c r="C42" s="46">
        <v>15209</v>
      </c>
      <c r="D42" s="46">
        <v>1191924.8999999999</v>
      </c>
      <c r="E42" s="22">
        <f t="shared" si="1"/>
        <v>723487.7</v>
      </c>
      <c r="F42" s="56"/>
    </row>
    <row r="43" spans="1:9" x14ac:dyDescent="0.2">
      <c r="A43" s="354"/>
      <c r="B43" s="63" t="str">
        <f>DFIE!B35</f>
        <v>Nidwalden</v>
      </c>
      <c r="C43" s="33">
        <v>18816</v>
      </c>
      <c r="D43" s="33">
        <v>2046267.1</v>
      </c>
      <c r="E43" s="29">
        <f t="shared" si="1"/>
        <v>1466734.3</v>
      </c>
      <c r="F43" s="56"/>
    </row>
    <row r="44" spans="1:9" x14ac:dyDescent="0.2">
      <c r="A44" s="354"/>
      <c r="B44" s="45" t="str">
        <f>DFIE!B36</f>
        <v>Glarus</v>
      </c>
      <c r="C44" s="46">
        <v>15809</v>
      </c>
      <c r="D44" s="46">
        <v>1089244.5</v>
      </c>
      <c r="E44" s="22">
        <f t="shared" si="1"/>
        <v>602327.30000000005</v>
      </c>
      <c r="F44" s="56"/>
    </row>
    <row r="45" spans="1:9" x14ac:dyDescent="0.2">
      <c r="A45" s="354"/>
      <c r="B45" s="63" t="str">
        <f>DFIE!B37</f>
        <v>Zug</v>
      </c>
      <c r="C45" s="33">
        <v>52975</v>
      </c>
      <c r="D45" s="33">
        <v>6355895</v>
      </c>
      <c r="E45" s="29">
        <f t="shared" si="1"/>
        <v>4724265</v>
      </c>
      <c r="F45" s="56"/>
    </row>
    <row r="46" spans="1:9" x14ac:dyDescent="0.2">
      <c r="A46" s="354"/>
      <c r="B46" s="45" t="str">
        <f>DFIE!B38</f>
        <v>Freiburg</v>
      </c>
      <c r="C46" s="46">
        <v>115084</v>
      </c>
      <c r="D46" s="46">
        <v>8465069.3000000007</v>
      </c>
      <c r="E46" s="22">
        <f t="shared" si="1"/>
        <v>4920482.1000000006</v>
      </c>
      <c r="F46" s="56"/>
    </row>
    <row r="47" spans="1:9" x14ac:dyDescent="0.2">
      <c r="A47" s="354"/>
      <c r="B47" s="63" t="str">
        <f>DFIE!B39</f>
        <v>Solothurn</v>
      </c>
      <c r="C47" s="33">
        <v>113664</v>
      </c>
      <c r="D47" s="33">
        <v>8232110.7000000002</v>
      </c>
      <c r="E47" s="29">
        <f t="shared" si="1"/>
        <v>4731259.5</v>
      </c>
      <c r="F47" s="56"/>
    </row>
    <row r="48" spans="1:9" x14ac:dyDescent="0.2">
      <c r="A48" s="354"/>
      <c r="B48" s="45" t="str">
        <f>DFIE!B40</f>
        <v>Basel-Stadt</v>
      </c>
      <c r="C48" s="46">
        <v>80226</v>
      </c>
      <c r="D48" s="46">
        <v>7378839.7000000002</v>
      </c>
      <c r="E48" s="22">
        <f t="shared" si="1"/>
        <v>4907878.9000000004</v>
      </c>
      <c r="F48" s="56"/>
    </row>
    <row r="49" spans="1:9" x14ac:dyDescent="0.2">
      <c r="A49" s="354"/>
      <c r="B49" s="63" t="str">
        <f>DFIE!B41</f>
        <v>Basel-Landschaft</v>
      </c>
      <c r="C49" s="33">
        <v>122690</v>
      </c>
      <c r="D49" s="33">
        <v>10531200.1</v>
      </c>
      <c r="E49" s="29">
        <f t="shared" si="1"/>
        <v>6752348.0999999996</v>
      </c>
      <c r="F49" s="56"/>
    </row>
    <row r="50" spans="1:9" x14ac:dyDescent="0.2">
      <c r="A50" s="354"/>
      <c r="B50" s="45" t="str">
        <f>DFIE!B42</f>
        <v>Schaffhausen</v>
      </c>
      <c r="C50" s="46">
        <v>32495</v>
      </c>
      <c r="D50" s="46">
        <v>2343687.5</v>
      </c>
      <c r="E50" s="22">
        <f t="shared" si="1"/>
        <v>1342841.5</v>
      </c>
      <c r="F50" s="56"/>
    </row>
    <row r="51" spans="1:9" x14ac:dyDescent="0.2">
      <c r="A51" s="354"/>
      <c r="B51" s="63" t="str">
        <f>DFIE!B43</f>
        <v>Appenzell A.Rh.</v>
      </c>
      <c r="C51" s="33">
        <v>21719</v>
      </c>
      <c r="D51" s="33">
        <v>1621512.4</v>
      </c>
      <c r="E51" s="29">
        <f t="shared" si="1"/>
        <v>952567.19999999984</v>
      </c>
      <c r="F51" s="56"/>
    </row>
    <row r="52" spans="1:9" x14ac:dyDescent="0.2">
      <c r="A52" s="354"/>
      <c r="B52" s="45" t="str">
        <f>DFIE!B44</f>
        <v>Appenzell I.Rh.</v>
      </c>
      <c r="C52" s="46">
        <v>6301</v>
      </c>
      <c r="D52" s="46">
        <v>488950.4</v>
      </c>
      <c r="E52" s="22">
        <f t="shared" si="1"/>
        <v>294879.59999999998</v>
      </c>
      <c r="F52" s="56"/>
    </row>
    <row r="53" spans="1:9" x14ac:dyDescent="0.2">
      <c r="A53" s="354"/>
      <c r="B53" s="63" t="str">
        <f>DFIE!B45</f>
        <v>St. Gallen</v>
      </c>
      <c r="C53" s="33">
        <v>197092</v>
      </c>
      <c r="D53" s="33">
        <v>13954554.9</v>
      </c>
      <c r="E53" s="29">
        <f t="shared" si="1"/>
        <v>7884121.2999999998</v>
      </c>
      <c r="F53" s="56"/>
    </row>
    <row r="54" spans="1:9" x14ac:dyDescent="0.2">
      <c r="A54" s="354"/>
      <c r="B54" s="45" t="str">
        <f>DFIE!B46</f>
        <v>Graubünden</v>
      </c>
      <c r="C54" s="46">
        <v>79082</v>
      </c>
      <c r="D54" s="46">
        <v>5840235.2000000002</v>
      </c>
      <c r="E54" s="22">
        <f t="shared" si="1"/>
        <v>3404509.6</v>
      </c>
      <c r="F54" s="56"/>
    </row>
    <row r="55" spans="1:9" x14ac:dyDescent="0.2">
      <c r="A55" s="354"/>
      <c r="B55" s="63" t="str">
        <f>DFIE!B47</f>
        <v>Aargau</v>
      </c>
      <c r="C55" s="33">
        <v>276506</v>
      </c>
      <c r="D55" s="33">
        <v>20810149.399999999</v>
      </c>
      <c r="E55" s="29">
        <f t="shared" si="1"/>
        <v>12293764.599999998</v>
      </c>
      <c r="F55" s="56"/>
    </row>
    <row r="56" spans="1:9" x14ac:dyDescent="0.2">
      <c r="A56" s="354"/>
      <c r="B56" s="45" t="str">
        <f>DFIE!B48</f>
        <v>Thurgau</v>
      </c>
      <c r="C56" s="46">
        <v>107885</v>
      </c>
      <c r="D56" s="46">
        <v>7886200.0999999996</v>
      </c>
      <c r="E56" s="22">
        <f t="shared" si="1"/>
        <v>4563342.0999999996</v>
      </c>
      <c r="F56" s="56"/>
    </row>
    <row r="57" spans="1:9" x14ac:dyDescent="0.2">
      <c r="A57" s="354"/>
      <c r="B57" s="63" t="str">
        <f>DFIE!B49</f>
        <v>Tessin</v>
      </c>
      <c r="C57" s="33">
        <v>130744</v>
      </c>
      <c r="D57" s="33">
        <v>10721029.300000001</v>
      </c>
      <c r="E57" s="29">
        <f t="shared" si="1"/>
        <v>6694114.1000000006</v>
      </c>
      <c r="F57" s="56"/>
    </row>
    <row r="58" spans="1:9" x14ac:dyDescent="0.2">
      <c r="A58" s="354"/>
      <c r="B58" s="45" t="str">
        <f>DFIE!B50</f>
        <v>Waadt</v>
      </c>
      <c r="C58" s="46">
        <v>281383</v>
      </c>
      <c r="D58" s="46">
        <v>25196243.699999999</v>
      </c>
      <c r="E58" s="22">
        <f t="shared" si="1"/>
        <v>16529647.299999999</v>
      </c>
      <c r="F58" s="56"/>
    </row>
    <row r="59" spans="1:9" x14ac:dyDescent="0.2">
      <c r="A59" s="354"/>
      <c r="B59" s="63" t="str">
        <f>DFIE!B51</f>
        <v>Wallis</v>
      </c>
      <c r="C59" s="33">
        <v>126655</v>
      </c>
      <c r="D59" s="33">
        <v>8800788.6999999993</v>
      </c>
      <c r="E59" s="29">
        <f t="shared" si="1"/>
        <v>4899814.6999999993</v>
      </c>
      <c r="F59" s="56"/>
    </row>
    <row r="60" spans="1:9" x14ac:dyDescent="0.2">
      <c r="A60" s="354"/>
      <c r="B60" s="45" t="str">
        <f>DFIE!B52</f>
        <v>Neuenburg</v>
      </c>
      <c r="C60" s="46">
        <v>66481</v>
      </c>
      <c r="D60" s="46">
        <v>4891834.5999999996</v>
      </c>
      <c r="E60" s="22">
        <f t="shared" si="1"/>
        <v>2844219.8</v>
      </c>
      <c r="F60" s="56"/>
    </row>
    <row r="61" spans="1:9" x14ac:dyDescent="0.2">
      <c r="A61" s="354"/>
      <c r="B61" s="63" t="str">
        <f>DFIE!B53</f>
        <v>Genf</v>
      </c>
      <c r="C61" s="33">
        <v>167524</v>
      </c>
      <c r="D61" s="33">
        <v>19681162.399999999</v>
      </c>
      <c r="E61" s="29">
        <f t="shared" si="1"/>
        <v>14521423.199999999</v>
      </c>
      <c r="F61" s="56"/>
    </row>
    <row r="62" spans="1:9" x14ac:dyDescent="0.2">
      <c r="A62" s="354"/>
      <c r="B62" s="45" t="str">
        <f>DFIE!B54</f>
        <v>Jura</v>
      </c>
      <c r="C62" s="46">
        <v>27307</v>
      </c>
      <c r="D62" s="46">
        <v>1803255.8</v>
      </c>
      <c r="E62" s="22">
        <f t="shared" si="1"/>
        <v>962200.20000000007</v>
      </c>
      <c r="F62" s="56"/>
    </row>
    <row r="63" spans="1:9" x14ac:dyDescent="0.2">
      <c r="A63" s="354"/>
      <c r="B63" s="28" t="str">
        <f>DFIE!B55</f>
        <v>Schweiz</v>
      </c>
      <c r="C63" s="32">
        <f>SUM(C37:C62)</f>
        <v>3328659</v>
      </c>
      <c r="D63" s="32">
        <f>SUM(D37:D62)</f>
        <v>275976896.69999999</v>
      </c>
      <c r="E63" s="30">
        <f>SUM(E37:E62)</f>
        <v>173454199.49999994</v>
      </c>
      <c r="F63" s="57"/>
      <c r="H63" s="52"/>
      <c r="I63" s="52"/>
    </row>
    <row r="64" spans="1:9" ht="14.25" customHeight="1" x14ac:dyDescent="0.2">
      <c r="A64" s="36"/>
    </row>
    <row r="65" spans="1:9" x14ac:dyDescent="0.2">
      <c r="A65" s="355" t="str">
        <f>DFIE!B72</f>
        <v>Bemessungsjahr 2015</v>
      </c>
      <c r="B65" s="64" t="str">
        <f>DFIE!B29</f>
        <v>Zürich</v>
      </c>
      <c r="C65" s="65">
        <v>628774</v>
      </c>
      <c r="D65" s="65">
        <v>57603167.799999997</v>
      </c>
      <c r="E65" s="31">
        <f t="shared" ref="E65:E90" si="2">D65-($I$65/1000*C65)</f>
        <v>38236928.599999994</v>
      </c>
      <c r="F65" s="58"/>
      <c r="H65" s="50">
        <f>DFIE!$G$2-4</f>
        <v>2015</v>
      </c>
      <c r="I65" s="51">
        <v>30800</v>
      </c>
    </row>
    <row r="66" spans="1:9" x14ac:dyDescent="0.2">
      <c r="A66" s="355"/>
      <c r="B66" s="45" t="str">
        <f>DFIE!B30</f>
        <v>Bern</v>
      </c>
      <c r="C66" s="46">
        <v>420221</v>
      </c>
      <c r="D66" s="46">
        <v>30039696</v>
      </c>
      <c r="E66" s="22">
        <f t="shared" si="2"/>
        <v>17096889.199999999</v>
      </c>
      <c r="F66" s="58"/>
    </row>
    <row r="67" spans="1:9" x14ac:dyDescent="0.2">
      <c r="A67" s="355"/>
      <c r="B67" s="63" t="str">
        <f>DFIE!B31</f>
        <v>Luzern</v>
      </c>
      <c r="C67" s="33">
        <v>164416</v>
      </c>
      <c r="D67" s="33">
        <v>12328818.800000001</v>
      </c>
      <c r="E67" s="29">
        <f t="shared" si="2"/>
        <v>7264806.0000000009</v>
      </c>
      <c r="F67" s="58"/>
    </row>
    <row r="68" spans="1:9" x14ac:dyDescent="0.2">
      <c r="A68" s="355"/>
      <c r="B68" s="45" t="str">
        <f>DFIE!B32</f>
        <v>Uri</v>
      </c>
      <c r="C68" s="46">
        <v>14498</v>
      </c>
      <c r="D68" s="46">
        <v>972121.5</v>
      </c>
      <c r="E68" s="22">
        <f t="shared" si="2"/>
        <v>525583.1</v>
      </c>
      <c r="F68" s="58"/>
    </row>
    <row r="69" spans="1:9" x14ac:dyDescent="0.2">
      <c r="A69" s="355"/>
      <c r="B69" s="63" t="str">
        <f>DFIE!B33</f>
        <v>Schwyz</v>
      </c>
      <c r="C69" s="33">
        <v>66270</v>
      </c>
      <c r="D69" s="33">
        <v>7492379.2999999998</v>
      </c>
      <c r="E69" s="29">
        <f t="shared" si="2"/>
        <v>5451263.2999999998</v>
      </c>
      <c r="F69" s="58"/>
    </row>
    <row r="70" spans="1:9" x14ac:dyDescent="0.2">
      <c r="A70" s="355"/>
      <c r="B70" s="45" t="str">
        <f>DFIE!B34</f>
        <v>Obwalden</v>
      </c>
      <c r="C70" s="46">
        <v>15356</v>
      </c>
      <c r="D70" s="46">
        <v>1832887</v>
      </c>
      <c r="E70" s="22">
        <f t="shared" si="2"/>
        <v>1359922.2</v>
      </c>
      <c r="F70" s="58"/>
    </row>
    <row r="71" spans="1:9" x14ac:dyDescent="0.2">
      <c r="A71" s="355"/>
      <c r="B71" s="63" t="str">
        <f>DFIE!B35</f>
        <v>Nidwalden</v>
      </c>
      <c r="C71" s="33">
        <v>18935</v>
      </c>
      <c r="D71" s="33">
        <v>1789615.5</v>
      </c>
      <c r="E71" s="29">
        <f t="shared" si="2"/>
        <v>1206417.5</v>
      </c>
      <c r="F71" s="58"/>
    </row>
    <row r="72" spans="1:9" x14ac:dyDescent="0.2">
      <c r="A72" s="355"/>
      <c r="B72" s="45" t="str">
        <f>DFIE!B36</f>
        <v>Glarus</v>
      </c>
      <c r="C72" s="46">
        <v>15899</v>
      </c>
      <c r="D72" s="46">
        <v>1093998.7</v>
      </c>
      <c r="E72" s="22">
        <f t="shared" si="2"/>
        <v>604309.5</v>
      </c>
      <c r="F72" s="58"/>
    </row>
    <row r="73" spans="1:9" x14ac:dyDescent="0.2">
      <c r="A73" s="355"/>
      <c r="B73" s="63" t="str">
        <f>DFIE!B37</f>
        <v>Zug</v>
      </c>
      <c r="C73" s="33">
        <v>53996</v>
      </c>
      <c r="D73" s="33">
        <v>6629977.4000000004</v>
      </c>
      <c r="E73" s="29">
        <f t="shared" si="2"/>
        <v>4966900.6000000006</v>
      </c>
      <c r="F73" s="58"/>
    </row>
    <row r="74" spans="1:9" x14ac:dyDescent="0.2">
      <c r="A74" s="355"/>
      <c r="B74" s="45" t="str">
        <f>DFIE!B38</f>
        <v>Freiburg</v>
      </c>
      <c r="C74" s="46">
        <v>117188</v>
      </c>
      <c r="D74" s="46">
        <v>8765662.5</v>
      </c>
      <c r="E74" s="22">
        <f t="shared" si="2"/>
        <v>5156272.0999999996</v>
      </c>
      <c r="F74" s="58"/>
    </row>
    <row r="75" spans="1:9" x14ac:dyDescent="0.2">
      <c r="A75" s="355"/>
      <c r="B75" s="63" t="str">
        <f>DFIE!B39</f>
        <v>Solothurn</v>
      </c>
      <c r="C75" s="33">
        <v>114704</v>
      </c>
      <c r="D75" s="33">
        <v>8342007.7000000002</v>
      </c>
      <c r="E75" s="29">
        <f t="shared" si="2"/>
        <v>4809124.5</v>
      </c>
      <c r="F75" s="58"/>
    </row>
    <row r="76" spans="1:9" x14ac:dyDescent="0.2">
      <c r="A76" s="355"/>
      <c r="B76" s="45" t="str">
        <f>DFIE!B40</f>
        <v>Basel-Stadt</v>
      </c>
      <c r="C76" s="46">
        <v>80174</v>
      </c>
      <c r="D76" s="46">
        <v>7452195.0999999996</v>
      </c>
      <c r="E76" s="22">
        <f t="shared" si="2"/>
        <v>4982835.8999999994</v>
      </c>
      <c r="F76" s="58"/>
    </row>
    <row r="77" spans="1:9" x14ac:dyDescent="0.2">
      <c r="A77" s="355"/>
      <c r="B77" s="63" t="str">
        <f>DFIE!B41</f>
        <v>Basel-Landschaft</v>
      </c>
      <c r="C77" s="33">
        <v>123422</v>
      </c>
      <c r="D77" s="33">
        <v>10684402.300000001</v>
      </c>
      <c r="E77" s="29">
        <f t="shared" si="2"/>
        <v>6883004.7000000011</v>
      </c>
      <c r="F77" s="58"/>
    </row>
    <row r="78" spans="1:9" x14ac:dyDescent="0.2">
      <c r="A78" s="355"/>
      <c r="B78" s="45" t="str">
        <f>DFIE!B42</f>
        <v>Schaffhausen</v>
      </c>
      <c r="C78" s="46">
        <v>32786</v>
      </c>
      <c r="D78" s="46">
        <v>2378685.5</v>
      </c>
      <c r="E78" s="22">
        <f t="shared" si="2"/>
        <v>1368876.7</v>
      </c>
      <c r="F78" s="58"/>
    </row>
    <row r="79" spans="1:9" x14ac:dyDescent="0.2">
      <c r="A79" s="355"/>
      <c r="B79" s="63" t="str">
        <f>DFIE!B43</f>
        <v>Appenzell A.Rh.</v>
      </c>
      <c r="C79" s="33">
        <v>21830</v>
      </c>
      <c r="D79" s="33">
        <v>1652071.1</v>
      </c>
      <c r="E79" s="29">
        <f t="shared" si="2"/>
        <v>979707.10000000009</v>
      </c>
      <c r="F79" s="58"/>
    </row>
    <row r="80" spans="1:9" x14ac:dyDescent="0.2">
      <c r="A80" s="355"/>
      <c r="B80" s="45" t="str">
        <f>DFIE!B44</f>
        <v>Appenzell I.Rh.</v>
      </c>
      <c r="C80" s="46">
        <v>6417</v>
      </c>
      <c r="D80" s="46">
        <v>526097</v>
      </c>
      <c r="E80" s="22">
        <f t="shared" si="2"/>
        <v>328453.40000000002</v>
      </c>
      <c r="F80" s="58"/>
    </row>
    <row r="81" spans="1:9" x14ac:dyDescent="0.2">
      <c r="A81" s="355"/>
      <c r="B81" s="63" t="str">
        <f>DFIE!B45</f>
        <v>St. Gallen</v>
      </c>
      <c r="C81" s="33">
        <v>201084</v>
      </c>
      <c r="D81" s="33">
        <v>14308751.4</v>
      </c>
      <c r="E81" s="29">
        <f t="shared" si="2"/>
        <v>8115364.2000000002</v>
      </c>
      <c r="F81" s="58"/>
    </row>
    <row r="82" spans="1:9" x14ac:dyDescent="0.2">
      <c r="A82" s="355"/>
      <c r="B82" s="45" t="str">
        <f>DFIE!B46</f>
        <v>Graubünden</v>
      </c>
      <c r="C82" s="46">
        <v>79264</v>
      </c>
      <c r="D82" s="46">
        <v>5888931.5</v>
      </c>
      <c r="E82" s="22">
        <f t="shared" si="2"/>
        <v>3447600.3</v>
      </c>
      <c r="F82" s="58"/>
    </row>
    <row r="83" spans="1:9" x14ac:dyDescent="0.2">
      <c r="A83" s="355"/>
      <c r="B83" s="63" t="str">
        <f>DFIE!B47</f>
        <v>Aargau</v>
      </c>
      <c r="C83" s="33">
        <v>279443</v>
      </c>
      <c r="D83" s="33">
        <v>21195492.5</v>
      </c>
      <c r="E83" s="29">
        <f t="shared" si="2"/>
        <v>12588648.1</v>
      </c>
      <c r="F83" s="58"/>
    </row>
    <row r="84" spans="1:9" x14ac:dyDescent="0.2">
      <c r="A84" s="355"/>
      <c r="B84" s="45" t="str">
        <f>DFIE!B48</f>
        <v>Thurgau</v>
      </c>
      <c r="C84" s="46">
        <v>109284</v>
      </c>
      <c r="D84" s="46">
        <v>8117380.7000000002</v>
      </c>
      <c r="E84" s="22">
        <f t="shared" si="2"/>
        <v>4751433.5</v>
      </c>
      <c r="F84" s="58"/>
    </row>
    <row r="85" spans="1:9" x14ac:dyDescent="0.2">
      <c r="A85" s="355"/>
      <c r="B85" s="63" t="str">
        <f>DFIE!B49</f>
        <v>Tessin</v>
      </c>
      <c r="C85" s="33">
        <v>131353</v>
      </c>
      <c r="D85" s="33">
        <v>10840230.9</v>
      </c>
      <c r="E85" s="29">
        <f t="shared" si="2"/>
        <v>6794558.5</v>
      </c>
      <c r="F85" s="58"/>
    </row>
    <row r="86" spans="1:9" x14ac:dyDescent="0.2">
      <c r="A86" s="355"/>
      <c r="B86" s="45" t="str">
        <f>DFIE!B50</f>
        <v>Waadt</v>
      </c>
      <c r="C86" s="46">
        <v>286588</v>
      </c>
      <c r="D86" s="46">
        <v>25822531.600000001</v>
      </c>
      <c r="E86" s="22">
        <f t="shared" si="2"/>
        <v>16995621.200000003</v>
      </c>
      <c r="F86" s="58"/>
    </row>
    <row r="87" spans="1:9" x14ac:dyDescent="0.2">
      <c r="A87" s="355"/>
      <c r="B87" s="63" t="str">
        <f>DFIE!B51</f>
        <v>Wallis</v>
      </c>
      <c r="C87" s="33">
        <v>128594</v>
      </c>
      <c r="D87" s="33">
        <v>8946555.1999999993</v>
      </c>
      <c r="E87" s="29">
        <f t="shared" si="2"/>
        <v>4985859.9999999991</v>
      </c>
      <c r="F87" s="58"/>
    </row>
    <row r="88" spans="1:9" x14ac:dyDescent="0.2">
      <c r="A88" s="355"/>
      <c r="B88" s="45" t="str">
        <f>DFIE!B52</f>
        <v>Neuenburg</v>
      </c>
      <c r="C88" s="46">
        <v>66700</v>
      </c>
      <c r="D88" s="46">
        <v>4964056.5</v>
      </c>
      <c r="E88" s="22">
        <f t="shared" si="2"/>
        <v>2909696.5</v>
      </c>
      <c r="F88" s="58"/>
    </row>
    <row r="89" spans="1:9" x14ac:dyDescent="0.2">
      <c r="A89" s="355"/>
      <c r="B89" s="63" t="str">
        <f>DFIE!B53</f>
        <v>Genf</v>
      </c>
      <c r="C89" s="33">
        <v>168564</v>
      </c>
      <c r="D89" s="33">
        <v>18370565.300000001</v>
      </c>
      <c r="E89" s="29">
        <f t="shared" si="2"/>
        <v>13178794.100000001</v>
      </c>
      <c r="F89" s="58"/>
    </row>
    <row r="90" spans="1:9" x14ac:dyDescent="0.2">
      <c r="A90" s="355"/>
      <c r="B90" s="45" t="str">
        <f>DFIE!B54</f>
        <v>Jura</v>
      </c>
      <c r="C90" s="46">
        <v>27493</v>
      </c>
      <c r="D90" s="46">
        <v>1836447.3</v>
      </c>
      <c r="E90" s="22">
        <f t="shared" si="2"/>
        <v>989662.9</v>
      </c>
      <c r="F90" s="58"/>
    </row>
    <row r="91" spans="1:9" x14ac:dyDescent="0.2">
      <c r="A91" s="355"/>
      <c r="B91" s="28" t="str">
        <f>DFIE!B55</f>
        <v>Schweiz</v>
      </c>
      <c r="C91" s="32">
        <f>SUM(C65:C90)</f>
        <v>3373253</v>
      </c>
      <c r="D91" s="32">
        <f>SUM(D65:D90)</f>
        <v>279874726.09999996</v>
      </c>
      <c r="E91" s="30">
        <f>SUM(E65:E90)</f>
        <v>175978533.69999999</v>
      </c>
      <c r="F91" s="59"/>
      <c r="H91" s="52"/>
      <c r="I91" s="52"/>
    </row>
    <row r="93" spans="1:9" x14ac:dyDescent="0.2">
      <c r="H93" s="34"/>
      <c r="I93" s="34"/>
    </row>
  </sheetData>
  <mergeCells count="6">
    <mergeCell ref="H6:I7"/>
    <mergeCell ref="E6:E7"/>
    <mergeCell ref="A9:A35"/>
    <mergeCell ref="A37:A63"/>
    <mergeCell ref="A65:A91"/>
    <mergeCell ref="C6:D6"/>
  </mergeCells>
  <conditionalFormatting sqref="C9:D34 C37:D62 C65:D90 I9">
    <cfRule type="expression" dxfId="61" priority="10" stopIfTrue="1">
      <formula>ISBLANK(C9)</formula>
    </cfRule>
  </conditionalFormatting>
  <conditionalFormatting sqref="I37">
    <cfRule type="expression" dxfId="60" priority="2" stopIfTrue="1">
      <formula>ISBLANK(I37)</formula>
    </cfRule>
  </conditionalFormatting>
  <conditionalFormatting sqref="I65">
    <cfRule type="expression" dxfId="59" priority="1" stopIfTrue="1">
      <formula>ISBLANK(I65)</formula>
    </cfRule>
  </conditionalFormatting>
  <pageMargins left="0.78740157480314965" right="0.78740157480314965" top="0.98425196850393704" bottom="0.78740157480314965" header="0.51181102362204722" footer="0.51181102362204722"/>
  <pageSetup paperSize="9" scale="95" fitToHeight="3" orientation="landscape"/>
  <headerFooter scaleWithDoc="0" alignWithMargins="0">
    <oddHeader>&amp;L&amp;F&amp;R&amp;A</oddHeader>
    <oddFooter>&amp;C&amp;P / &amp;N</oddFooter>
  </headerFooter>
  <rowBreaks count="2" manualBreakCount="2">
    <brk id="36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B91"/>
  <sheetViews>
    <sheetView showGridLines="0" zoomScaleNormal="100" zoomScaleSheetLayoutView="70" workbookViewId="0">
      <pane xSplit="2" ySplit="8" topLeftCell="C9" activePane="bottomRight" state="frozen"/>
      <selection activeCell="A114" sqref="A114"/>
      <selection pane="topRight" activeCell="A114" sqref="A114"/>
      <selection pane="bottomLeft" activeCell="A114" sqref="A114"/>
      <selection pane="bottomRight" activeCell="A114" sqref="A114"/>
    </sheetView>
  </sheetViews>
  <sheetFormatPr baseColWidth="10" defaultColWidth="9.140625" defaultRowHeight="12.75" x14ac:dyDescent="0.2"/>
  <cols>
    <col min="1" max="1" width="4.42578125" customWidth="1"/>
    <col min="2" max="2" width="17.140625" customWidth="1"/>
    <col min="3" max="10" width="17.7109375" customWidth="1"/>
    <col min="11" max="11" width="1.42578125" customWidth="1"/>
    <col min="12" max="12" width="11.140625" customWidth="1"/>
    <col min="13" max="13" width="34.7109375" customWidth="1"/>
    <col min="14" max="14" width="16.5703125" customWidth="1"/>
    <col min="15" max="15" width="1.42578125" customWidth="1"/>
    <col min="16" max="16" width="17.28515625" customWidth="1"/>
    <col min="17" max="27" width="18.7109375" customWidth="1"/>
    <col min="28" max="28" width="4.42578125" customWidth="1"/>
  </cols>
  <sheetData>
    <row r="1" spans="1:28" ht="18" customHeight="1" x14ac:dyDescent="0.25">
      <c r="B1" s="6" t="str">
        <f>DFIE!B87</f>
        <v>Quellenbesteuerte Einkommen natürlicher Personen 2019</v>
      </c>
      <c r="P1" s="6" t="str">
        <f>B1</f>
        <v>Quellenbesteuerte Einkommen natürlicher Personen 2019</v>
      </c>
    </row>
    <row r="2" spans="1:28" ht="12.75" customHeight="1" x14ac:dyDescent="0.2">
      <c r="A2" s="34"/>
    </row>
    <row r="3" spans="1:28" ht="12.75" customHeight="1" x14ac:dyDescent="0.2">
      <c r="C3" s="359" t="str">
        <f>DFIE!B88</f>
        <v>Bruttoeinkommen</v>
      </c>
      <c r="D3" s="360"/>
      <c r="E3" s="360"/>
      <c r="F3" s="360"/>
      <c r="G3" s="360"/>
      <c r="H3" s="360"/>
      <c r="I3" s="360"/>
      <c r="J3" s="361"/>
      <c r="Q3" s="359" t="str">
        <f>DFIE!B113</f>
        <v>Massgebende quellenbesteuerte Einkommen</v>
      </c>
      <c r="R3" s="362"/>
      <c r="S3" s="362"/>
      <c r="T3" s="362"/>
      <c r="U3" s="362"/>
      <c r="V3" s="362"/>
      <c r="W3" s="362"/>
      <c r="X3" s="362"/>
      <c r="Y3" s="362"/>
      <c r="Z3" s="362"/>
      <c r="AA3" s="363"/>
    </row>
    <row r="4" spans="1:28" ht="12" customHeight="1" x14ac:dyDescent="0.2">
      <c r="A4" s="13"/>
      <c r="B4" s="107" t="str">
        <f>DFIE!$B$56</f>
        <v>Spalte</v>
      </c>
      <c r="C4" s="83" t="s">
        <v>30</v>
      </c>
      <c r="D4" s="83" t="s">
        <v>31</v>
      </c>
      <c r="E4" s="83" t="s">
        <v>32</v>
      </c>
      <c r="F4" s="83" t="s">
        <v>44</v>
      </c>
      <c r="G4" s="83" t="s">
        <v>43</v>
      </c>
      <c r="H4" s="83" t="s">
        <v>33</v>
      </c>
      <c r="I4" s="83" t="s">
        <v>105</v>
      </c>
      <c r="J4" s="84" t="s">
        <v>35</v>
      </c>
      <c r="K4" s="92"/>
      <c r="L4" s="92"/>
      <c r="M4" s="92"/>
      <c r="N4" s="92"/>
      <c r="O4" s="92"/>
      <c r="P4" s="107" t="str">
        <f>DFIE!$B$56</f>
        <v>Spalte</v>
      </c>
      <c r="Q4" s="83" t="s">
        <v>75</v>
      </c>
      <c r="R4" s="83" t="s">
        <v>53</v>
      </c>
      <c r="S4" s="83" t="s">
        <v>52</v>
      </c>
      <c r="T4" s="83" t="s">
        <v>51</v>
      </c>
      <c r="U4" s="83" t="s">
        <v>62</v>
      </c>
      <c r="V4" s="83" t="s">
        <v>76</v>
      </c>
      <c r="W4" s="83" t="s">
        <v>77</v>
      </c>
      <c r="X4" s="83" t="s">
        <v>78</v>
      </c>
      <c r="Y4" s="83" t="s">
        <v>63</v>
      </c>
      <c r="Z4" s="84" t="s">
        <v>127</v>
      </c>
      <c r="AA4" s="84" t="s">
        <v>329</v>
      </c>
      <c r="AB4" s="13"/>
    </row>
    <row r="5" spans="1:28" ht="12" customHeight="1" x14ac:dyDescent="0.2">
      <c r="A5" s="52"/>
      <c r="B5" s="107" t="str">
        <f>DFIE!$B$57</f>
        <v>Formel</v>
      </c>
      <c r="C5" s="109"/>
      <c r="D5" s="109"/>
      <c r="E5" s="109"/>
      <c r="F5" s="109"/>
      <c r="G5" s="109"/>
      <c r="H5" s="109"/>
      <c r="I5" s="109"/>
      <c r="J5" s="68"/>
      <c r="K5" s="93"/>
      <c r="L5" s="93"/>
      <c r="M5" s="93"/>
      <c r="N5" s="93"/>
      <c r="O5" s="93"/>
      <c r="P5" s="107" t="str">
        <f>DFIE!$B$57</f>
        <v>Formel</v>
      </c>
      <c r="Q5" s="78" t="s">
        <v>120</v>
      </c>
      <c r="R5" s="78" t="s">
        <v>121</v>
      </c>
      <c r="S5" s="78" t="s">
        <v>122</v>
      </c>
      <c r="T5" s="78" t="s">
        <v>123</v>
      </c>
      <c r="U5" s="78" t="s">
        <v>124</v>
      </c>
      <c r="V5" s="78" t="s">
        <v>125</v>
      </c>
      <c r="W5" s="78" t="s">
        <v>126</v>
      </c>
      <c r="X5" s="78" t="s">
        <v>128</v>
      </c>
      <c r="Y5" s="78" t="s">
        <v>129</v>
      </c>
      <c r="Z5" s="80"/>
      <c r="AA5" s="79" t="str">
        <f>DFIE!$B$114</f>
        <v>(Q + Y) oder Z</v>
      </c>
      <c r="AB5" s="52"/>
    </row>
    <row r="6" spans="1:28" ht="12" customHeight="1" x14ac:dyDescent="0.2">
      <c r="A6" s="13"/>
      <c r="B6" s="107" t="str">
        <f>DFIE!$B$58</f>
        <v>Kategorie</v>
      </c>
      <c r="C6" s="85">
        <v>0</v>
      </c>
      <c r="D6" s="85">
        <v>1</v>
      </c>
      <c r="E6" s="85" t="s">
        <v>57</v>
      </c>
      <c r="F6" s="85" t="s">
        <v>58</v>
      </c>
      <c r="G6" s="85" t="s">
        <v>59</v>
      </c>
      <c r="H6" s="85" t="s">
        <v>60</v>
      </c>
      <c r="I6" s="85" t="s">
        <v>61</v>
      </c>
      <c r="J6" s="86"/>
      <c r="K6" s="92"/>
      <c r="L6" s="92"/>
      <c r="M6" s="92"/>
      <c r="N6" s="92"/>
      <c r="O6" s="92"/>
      <c r="P6" s="107" t="str">
        <f>DFIE!$B$58</f>
        <v>Kategorie</v>
      </c>
      <c r="Q6" s="78">
        <v>0</v>
      </c>
      <c r="R6" s="78">
        <v>1</v>
      </c>
      <c r="S6" s="78" t="s">
        <v>57</v>
      </c>
      <c r="T6" s="78" t="s">
        <v>58</v>
      </c>
      <c r="U6" s="78" t="s">
        <v>59</v>
      </c>
      <c r="V6" s="78" t="s">
        <v>60</v>
      </c>
      <c r="W6" s="78" t="s">
        <v>61</v>
      </c>
      <c r="X6" s="78"/>
      <c r="Y6" s="78"/>
      <c r="Z6" s="364" t="str">
        <f>DFIE!B111</f>
        <v>Ergebnis auf
der Basis
geschätzter
Daten</v>
      </c>
      <c r="AA6" s="357" t="str">
        <f>DFIE!B112</f>
        <v>Massgebende
quellenbesteuerte
Einkommen</v>
      </c>
      <c r="AB6" s="13"/>
    </row>
    <row r="7" spans="1:28" ht="81" customHeight="1" x14ac:dyDescent="0.2">
      <c r="A7" s="52"/>
      <c r="B7" s="89"/>
      <c r="C7" s="76" t="str">
        <f>DFIE!B89</f>
        <v>Gebietsansässige
Ausländer und
ausländische
Verwaltungsräte</v>
      </c>
      <c r="D7" s="76" t="str">
        <f>DFIE!B90</f>
        <v>Vollständig
besteuerte
Grenzgänger</v>
      </c>
      <c r="E7" s="76" t="str">
        <f>DFIE!B91</f>
        <v>Begrenzt
besteuerte
Grenzgänger
aus Österreich</v>
      </c>
      <c r="F7" s="76" t="str">
        <f>DFIE!B92</f>
        <v>Begrenzt
besteuerte
Grenzgänger
aus Deutschland</v>
      </c>
      <c r="G7" s="76" t="str">
        <f>DFIE!B93</f>
        <v>Begrenzt besteuerte
Grenzgänger aus
Frankreich mit
Besteuerung durch
den Kanton Genf</v>
      </c>
      <c r="H7" s="76" t="str">
        <f>DFIE!B94</f>
        <v>Begrenzt besteuerte
Grenzgänger aus
Frankreich mit
Besteuerung durch
Frankreich</v>
      </c>
      <c r="I7" s="76" t="str">
        <f>DFIE!B95</f>
        <v>Begrenzt
besteuerte
Grenzgänger
aus Italien</v>
      </c>
      <c r="J7" s="88" t="str">
        <f>DFIE!B65</f>
        <v>Total</v>
      </c>
      <c r="K7" s="93"/>
      <c r="L7" s="93" t="str">
        <f>DFIE!B96</f>
        <v>Standardisierter Steuersatz 2018 (SSTV)</v>
      </c>
      <c r="M7" s="94"/>
      <c r="N7" s="95">
        <v>0.26300000000000001</v>
      </c>
      <c r="O7" s="93"/>
      <c r="P7" s="89"/>
      <c r="Q7" s="77" t="str">
        <f>DFIE!B89</f>
        <v>Gebietsansässige
Ausländer und
ausländische
Verwaltungsräte</v>
      </c>
      <c r="R7" s="77" t="str">
        <f>DFIE!B90</f>
        <v>Vollständig
besteuerte
Grenzgänger</v>
      </c>
      <c r="S7" s="77" t="str">
        <f>DFIE!B91</f>
        <v>Begrenzt
besteuerte
Grenzgänger
aus Österreich</v>
      </c>
      <c r="T7" s="77" t="str">
        <f>DFIE!B92</f>
        <v>Begrenzt
besteuerte
Grenzgänger
aus Deutschland</v>
      </c>
      <c r="U7" s="77" t="str">
        <f>DFIE!B93</f>
        <v>Begrenzt besteuerte
Grenzgänger aus
Frankreich mit
Besteuerung durch
den Kanton Genf</v>
      </c>
      <c r="V7" s="77" t="str">
        <f>DFIE!B94</f>
        <v>Begrenzt besteuerte
Grenzgänger aus
Frankreich mit
Besteuerung durch
Frankreich</v>
      </c>
      <c r="W7" s="77" t="str">
        <f>DFIE!B95</f>
        <v>Begrenzt
besteuerte
Grenzgänger
aus Italien</v>
      </c>
      <c r="X7" s="77" t="str">
        <f>DFIE!B109</f>
        <v>Grenzgänger
Total</v>
      </c>
      <c r="Y7" s="77" t="str">
        <f>DFIE!B110</f>
        <v>Ergebnis auf
der Basis der
Bruttolöhne
(Grenzgänger)</v>
      </c>
      <c r="Z7" s="365"/>
      <c r="AA7" s="358"/>
      <c r="AB7" s="52"/>
    </row>
    <row r="8" spans="1:28" ht="12.75" customHeight="1" x14ac:dyDescent="0.2">
      <c r="A8" s="18"/>
      <c r="B8" s="87" t="str">
        <f>DFIE!$B$59</f>
        <v>Einheit</v>
      </c>
      <c r="C8" s="43" t="str">
        <f>DFIE!$B$60</f>
        <v>CHF</v>
      </c>
      <c r="D8" s="43" t="str">
        <f>DFIE!$B$60</f>
        <v>CHF</v>
      </c>
      <c r="E8" s="43" t="str">
        <f>DFIE!$B$60</f>
        <v>CHF</v>
      </c>
      <c r="F8" s="43" t="str">
        <f>DFIE!$B$60</f>
        <v>CHF</v>
      </c>
      <c r="G8" s="43" t="str">
        <f>DFIE!$B$60</f>
        <v>CHF</v>
      </c>
      <c r="H8" s="43" t="str">
        <f>DFIE!$B$60</f>
        <v>CHF</v>
      </c>
      <c r="I8" s="43" t="str">
        <f>DFIE!$B$60</f>
        <v>CHF</v>
      </c>
      <c r="J8" s="44" t="str">
        <f>DFIE!$B$60</f>
        <v>CHF</v>
      </c>
      <c r="K8" s="96"/>
      <c r="L8" s="93" t="str">
        <f>DFIE!B97</f>
        <v>Faktor Delta</v>
      </c>
      <c r="M8" s="93"/>
      <c r="N8" s="95">
        <v>0.75</v>
      </c>
      <c r="O8" s="96"/>
      <c r="P8" s="87" t="str">
        <f>DFIE!$B$59</f>
        <v>Einheit</v>
      </c>
      <c r="Q8" s="43" t="str">
        <f>DFIE!$B$61</f>
        <v>CHF 1'000</v>
      </c>
      <c r="R8" s="43" t="str">
        <f>DFIE!$B$61</f>
        <v>CHF 1'000</v>
      </c>
      <c r="S8" s="43" t="str">
        <f>DFIE!$B$61</f>
        <v>CHF 1'000</v>
      </c>
      <c r="T8" s="43" t="str">
        <f>DFIE!$B$61</f>
        <v>CHF 1'000</v>
      </c>
      <c r="U8" s="43" t="str">
        <f>DFIE!$B$61</f>
        <v>CHF 1'000</v>
      </c>
      <c r="V8" s="43" t="str">
        <f>DFIE!$B$61</f>
        <v>CHF 1'000</v>
      </c>
      <c r="W8" s="43" t="str">
        <f>DFIE!$B$61</f>
        <v>CHF 1'000</v>
      </c>
      <c r="X8" s="43" t="str">
        <f>DFIE!$B$61</f>
        <v>CHF 1'000</v>
      </c>
      <c r="Y8" s="43" t="str">
        <f>DFIE!$B$61</f>
        <v>CHF 1'000</v>
      </c>
      <c r="Z8" s="44" t="s">
        <v>37</v>
      </c>
      <c r="AA8" s="44" t="str">
        <f>DFIE!$B$61</f>
        <v>CHF 1'000</v>
      </c>
      <c r="AB8" s="18"/>
    </row>
    <row r="9" spans="1:28" x14ac:dyDescent="0.2">
      <c r="A9" s="353" t="str">
        <f>DFIE!$B$70</f>
        <v>Bemessungsjahr 2013</v>
      </c>
      <c r="B9" s="63" t="str">
        <f>DFIE!$B29</f>
        <v>Zürich</v>
      </c>
      <c r="C9" s="33">
        <v>5367932719.9200001</v>
      </c>
      <c r="D9" s="33">
        <v>67006731</v>
      </c>
      <c r="E9" s="33">
        <v>0</v>
      </c>
      <c r="F9" s="33">
        <v>543781673</v>
      </c>
      <c r="G9" s="33">
        <v>0</v>
      </c>
      <c r="H9" s="33">
        <v>0</v>
      </c>
      <c r="I9" s="33">
        <v>0</v>
      </c>
      <c r="J9" s="29">
        <f t="shared" ref="J9:J35" si="0">SUM(C9:I9)</f>
        <v>5978721123.9200001</v>
      </c>
      <c r="K9" s="97"/>
      <c r="L9" s="97"/>
      <c r="M9" s="97"/>
      <c r="N9" s="97"/>
      <c r="O9" s="97"/>
      <c r="P9" s="27" t="str">
        <f>DFIE!$B29</f>
        <v>Zürich</v>
      </c>
      <c r="Q9" s="69">
        <f>IF(DFIE!$G$2=2008,"",C9*N$21/1000)</f>
        <v>1916351.98101144</v>
      </c>
      <c r="R9" s="69">
        <f>IF(DFIE!$G$2=2008,"",D9*N$22/1000)</f>
        <v>23921.402967000002</v>
      </c>
      <c r="S9" s="69">
        <f>IF(DFIE!$G$2=2008,"",E9*N$23/1000)</f>
        <v>0</v>
      </c>
      <c r="T9" s="69">
        <f>IF(DFIE!$G$2=2008,"",F9*N$24/1000)</f>
        <v>93042.49157794677</v>
      </c>
      <c r="U9" s="69">
        <f>IF(DFIE!$G$2=2008,"",G9*N$25/1000)</f>
        <v>0</v>
      </c>
      <c r="V9" s="69">
        <f>IF(DFIE!$G$2=2008,"",H9*N$26/1000)</f>
        <v>0</v>
      </c>
      <c r="W9" s="69">
        <f>IF(DFIE!$G$2=2008,"",I9*N$27/1000)</f>
        <v>0</v>
      </c>
      <c r="X9" s="69">
        <f>IF(DFIE!$G$2=2008,"",SUM(R9:W9))</f>
        <v>116963.89454494677</v>
      </c>
      <c r="Y9" s="69">
        <f>IF(DFIE!$G$2=2008,"",X9*$N$8)</f>
        <v>87722.920908710075</v>
      </c>
      <c r="Z9" s="81">
        <v>0</v>
      </c>
      <c r="AA9" s="29">
        <f>IF(DFIE!$G$2=2008,0,IF(Z9=0,Y9+Q9,Z9))</f>
        <v>2004074.90192015</v>
      </c>
      <c r="AB9" s="353" t="str">
        <f>DFIE!$B$70</f>
        <v>Bemessungsjahr 2013</v>
      </c>
    </row>
    <row r="10" spans="1:28" x14ac:dyDescent="0.2">
      <c r="A10" s="353"/>
      <c r="B10" s="45" t="str">
        <f>DFIE!$B30</f>
        <v>Bern</v>
      </c>
      <c r="C10" s="46">
        <v>1680950600.1600001</v>
      </c>
      <c r="D10" s="46">
        <v>151032838.84999999</v>
      </c>
      <c r="E10" s="46">
        <v>176386</v>
      </c>
      <c r="F10" s="46">
        <v>17746047.239999998</v>
      </c>
      <c r="G10" s="46">
        <v>0</v>
      </c>
      <c r="H10" s="46">
        <v>145903863.75999999</v>
      </c>
      <c r="I10" s="46">
        <v>0</v>
      </c>
      <c r="J10" s="22">
        <f t="shared" si="0"/>
        <v>1995809736.01</v>
      </c>
      <c r="K10" s="97"/>
      <c r="L10" s="97"/>
      <c r="M10" s="97"/>
      <c r="N10" s="97"/>
      <c r="O10" s="97"/>
      <c r="P10" s="20" t="str">
        <f>DFIE!$B30</f>
        <v>Bern</v>
      </c>
      <c r="Q10" s="90">
        <f>IF(DFIE!$G$2=2008,"",C10*N$21/1000)</f>
        <v>600099.36425712006</v>
      </c>
      <c r="R10" s="90">
        <f>IF(DFIE!$G$2=2008,"",D10*N$22/1000)</f>
        <v>53918.72346945</v>
      </c>
      <c r="S10" s="90">
        <f>IF(DFIE!$G$2=2008,"",E10*N$23/1000)</f>
        <v>55.098576749999992</v>
      </c>
      <c r="T10" s="90">
        <f>IF(DFIE!$G$2=2008,"",F10*N$24/1000)</f>
        <v>3036.3959155893531</v>
      </c>
      <c r="U10" s="90">
        <f>IF(DFIE!$G$2=2008,"",G10*N$25/1000)</f>
        <v>0</v>
      </c>
      <c r="V10" s="90">
        <f>IF(DFIE!$G$2=2008,"",H10*N$26/1000)</f>
        <v>24964.539426615967</v>
      </c>
      <c r="W10" s="90">
        <f>IF(DFIE!$G$2=2008,"",I10*N$27/1000)</f>
        <v>0</v>
      </c>
      <c r="X10" s="90">
        <f>IF(DFIE!$G$2=2008,"",SUM(R10:W10))</f>
        <v>81974.757388405327</v>
      </c>
      <c r="Y10" s="90">
        <f>IF(DFIE!$G$2=2008,"",X10*$N$8)</f>
        <v>61481.068041303995</v>
      </c>
      <c r="Z10" s="91">
        <v>0</v>
      </c>
      <c r="AA10" s="22">
        <f>IF(DFIE!$G$2=2008,0,IF(Z10=0,Y10+Q10,Z10))</f>
        <v>661580.43229842407</v>
      </c>
      <c r="AB10" s="353"/>
    </row>
    <row r="11" spans="1:28" x14ac:dyDescent="0.2">
      <c r="A11" s="353"/>
      <c r="B11" s="63" t="str">
        <f>DFIE!$B31</f>
        <v>Luzern</v>
      </c>
      <c r="C11" s="33">
        <v>702761743</v>
      </c>
      <c r="D11" s="33">
        <v>64426257.859999999</v>
      </c>
      <c r="E11" s="33">
        <v>1792582.85</v>
      </c>
      <c r="F11" s="33">
        <v>7931298</v>
      </c>
      <c r="G11" s="33">
        <v>0</v>
      </c>
      <c r="H11" s="33">
        <v>0</v>
      </c>
      <c r="I11" s="33">
        <v>0</v>
      </c>
      <c r="J11" s="29">
        <f t="shared" si="0"/>
        <v>776911881.71000004</v>
      </c>
      <c r="K11" s="98"/>
      <c r="L11" s="34" t="str">
        <f>DFIE!B98</f>
        <v>Berechnung Gamma 2013</v>
      </c>
      <c r="M11" s="34"/>
      <c r="N11" s="52"/>
      <c r="O11" s="98"/>
      <c r="P11" s="27" t="str">
        <f>DFIE!$B31</f>
        <v>Luzern</v>
      </c>
      <c r="Q11" s="69">
        <f>IF(DFIE!$G$2=2008,"",C11*N$21/1000)</f>
        <v>250885.942251</v>
      </c>
      <c r="R11" s="69">
        <f>IF(DFIE!$G$2=2008,"",D11*N$22/1000)</f>
        <v>23000.174056019998</v>
      </c>
      <c r="S11" s="69">
        <f>IF(DFIE!$G$2=2008,"",E11*N$23/1000)</f>
        <v>559.95806776874986</v>
      </c>
      <c r="T11" s="69">
        <f>IF(DFIE!$G$2=2008,"",F11*N$24/1000)</f>
        <v>1357.066197718631</v>
      </c>
      <c r="U11" s="69">
        <f>IF(DFIE!$G$2=2008,"",G11*N$25/1000)</f>
        <v>0</v>
      </c>
      <c r="V11" s="69">
        <f>IF(DFIE!$G$2=2008,"",H11*N$26/1000)</f>
        <v>0</v>
      </c>
      <c r="W11" s="69">
        <f>IF(DFIE!$G$2=2008,"",I11*N$27/1000)</f>
        <v>0</v>
      </c>
      <c r="X11" s="69">
        <f>IF(DFIE!$G$2=2008,"",SUM(R11:W11))</f>
        <v>24917.198321507378</v>
      </c>
      <c r="Y11" s="69">
        <f>IF(DFIE!$G$2=2008,"",X11*$N$8)</f>
        <v>18687.898741130535</v>
      </c>
      <c r="Z11" s="82">
        <v>0</v>
      </c>
      <c r="AA11" s="29">
        <f>IF(DFIE!$G$2=2008,0,IF(Z11=0,Y11+Q11,Z11))</f>
        <v>269573.84099213051</v>
      </c>
      <c r="AB11" s="353"/>
    </row>
    <row r="12" spans="1:28" x14ac:dyDescent="0.2">
      <c r="A12" s="353"/>
      <c r="B12" s="45" t="str">
        <f>DFIE!$B32</f>
        <v>Uri</v>
      </c>
      <c r="C12" s="46">
        <v>82499943.450000003</v>
      </c>
      <c r="D12" s="46">
        <v>751008.55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22">
        <f t="shared" si="0"/>
        <v>83250952</v>
      </c>
      <c r="K12" s="98"/>
      <c r="L12" s="52"/>
      <c r="M12" s="52"/>
      <c r="N12" s="52"/>
      <c r="O12" s="98"/>
      <c r="P12" s="20" t="str">
        <f>DFIE!$B32</f>
        <v>Uri</v>
      </c>
      <c r="Q12" s="90">
        <f>IF(DFIE!$G$2=2008,"",C12*N$21/1000)</f>
        <v>29452.479811649999</v>
      </c>
      <c r="R12" s="90">
        <f>IF(DFIE!$G$2=2008,"",D12*N$22/1000)</f>
        <v>268.11005234999999</v>
      </c>
      <c r="S12" s="90">
        <f>IF(DFIE!$G$2=2008,"",E12*N$23/1000)</f>
        <v>0</v>
      </c>
      <c r="T12" s="90">
        <f>IF(DFIE!$G$2=2008,"",F12*N$24/1000)</f>
        <v>0</v>
      </c>
      <c r="U12" s="90">
        <f>IF(DFIE!$G$2=2008,"",G12*N$25/1000)</f>
        <v>0</v>
      </c>
      <c r="V12" s="90">
        <f>IF(DFIE!$G$2=2008,"",H12*N$26/1000)</f>
        <v>0</v>
      </c>
      <c r="W12" s="90">
        <f>IF(DFIE!$G$2=2008,"",I12*N$27/1000)</f>
        <v>0</v>
      </c>
      <c r="X12" s="90">
        <f>IF(DFIE!$G$2=2008,"",SUM(R12:W12))</f>
        <v>268.11005234999999</v>
      </c>
      <c r="Y12" s="90">
        <f>IF(DFIE!$G$2=2008,"",X12*$N$8)</f>
        <v>201.08253926250001</v>
      </c>
      <c r="Z12" s="91">
        <v>0</v>
      </c>
      <c r="AA12" s="22">
        <f>IF(DFIE!$G$2=2008,0,IF(Z12=0,Y12+Q12,Z12))</f>
        <v>29653.5623509125</v>
      </c>
      <c r="AB12" s="353"/>
    </row>
    <row r="13" spans="1:28" x14ac:dyDescent="0.2">
      <c r="A13" s="353"/>
      <c r="B13" s="63" t="str">
        <f>DFIE!$B33</f>
        <v>Schwyz</v>
      </c>
      <c r="C13" s="33">
        <v>340913825.5</v>
      </c>
      <c r="D13" s="33">
        <v>64254360.789999999</v>
      </c>
      <c r="E13" s="33">
        <v>1449290.4</v>
      </c>
      <c r="F13" s="33">
        <v>3110978.66</v>
      </c>
      <c r="G13" s="33">
        <v>0</v>
      </c>
      <c r="H13" s="33">
        <v>0</v>
      </c>
      <c r="I13" s="33">
        <v>0</v>
      </c>
      <c r="J13" s="29">
        <f t="shared" si="0"/>
        <v>409728455.35000002</v>
      </c>
      <c r="K13" s="98"/>
      <c r="L13" s="99" t="str">
        <f>DFIE!$B$101</f>
        <v>in CHF 1'000</v>
      </c>
      <c r="M13" s="99"/>
      <c r="N13" s="100"/>
      <c r="O13" s="98"/>
      <c r="P13" s="27" t="str">
        <f>DFIE!$B33</f>
        <v>Schwyz</v>
      </c>
      <c r="Q13" s="69">
        <f>IF(DFIE!$G$2=2008,"",C13*N$21/1000)</f>
        <v>121706.23570349999</v>
      </c>
      <c r="R13" s="69">
        <f>IF(DFIE!$G$2=2008,"",D13*N$22/1000)</f>
        <v>22938.806802029998</v>
      </c>
      <c r="S13" s="69">
        <f>IF(DFIE!$G$2=2008,"",E13*N$23/1000)</f>
        <v>452.72208869999992</v>
      </c>
      <c r="T13" s="69">
        <f>IF(DFIE!$G$2=2008,"",F13*N$24/1000)</f>
        <v>532.29672889733843</v>
      </c>
      <c r="U13" s="69">
        <f>IF(DFIE!$G$2=2008,"",G13*N$25/1000)</f>
        <v>0</v>
      </c>
      <c r="V13" s="69">
        <f>IF(DFIE!$G$2=2008,"",H13*N$26/1000)</f>
        <v>0</v>
      </c>
      <c r="W13" s="69">
        <f>IF(DFIE!$G$2=2008,"",I13*N$27/1000)</f>
        <v>0</v>
      </c>
      <c r="X13" s="69">
        <f>IF(DFIE!$G$2=2008,"",SUM(R13:W13))</f>
        <v>23923.825619627336</v>
      </c>
      <c r="Y13" s="69">
        <f>IF(DFIE!$G$2=2008,"",X13*$N$8)</f>
        <v>17942.8692147205</v>
      </c>
      <c r="Z13" s="82">
        <v>0</v>
      </c>
      <c r="AA13" s="29">
        <f>IF(DFIE!$G$2=2008,0,IF(Z13=0,Y13+Q13,Z13))</f>
        <v>139649.10491822049</v>
      </c>
      <c r="AB13" s="353"/>
    </row>
    <row r="14" spans="1:28" x14ac:dyDescent="0.2">
      <c r="A14" s="353"/>
      <c r="B14" s="45" t="str">
        <f>DFIE!$B34</f>
        <v>Obwalden</v>
      </c>
      <c r="C14" s="46">
        <v>85576863.299999997</v>
      </c>
      <c r="D14" s="46">
        <v>6759161.3099999996</v>
      </c>
      <c r="E14" s="46">
        <v>302505.59999999998</v>
      </c>
      <c r="F14" s="46">
        <v>190020</v>
      </c>
      <c r="G14" s="46">
        <v>0</v>
      </c>
      <c r="H14" s="46">
        <v>0</v>
      </c>
      <c r="I14" s="46">
        <v>0</v>
      </c>
      <c r="J14" s="22">
        <f t="shared" si="0"/>
        <v>92828550.209999993</v>
      </c>
      <c r="K14" s="98"/>
      <c r="L14" s="52" t="str">
        <f>DFIE!$B$102</f>
        <v>A    Primäreinkommen der privaten Haushalte</v>
      </c>
      <c r="M14" s="52"/>
      <c r="N14" s="33">
        <v>465928492.27015501</v>
      </c>
      <c r="O14" s="98"/>
      <c r="P14" s="20" t="str">
        <f>DFIE!$B34</f>
        <v>Obwalden</v>
      </c>
      <c r="Q14" s="90">
        <f>IF(DFIE!$G$2=2008,"",C14*N$21/1000)</f>
        <v>30550.940198099997</v>
      </c>
      <c r="R14" s="90">
        <f>IF(DFIE!$G$2=2008,"",D14*N$22/1000)</f>
        <v>2413.0205876699997</v>
      </c>
      <c r="S14" s="90">
        <f>IF(DFIE!$G$2=2008,"",E14*N$23/1000)</f>
        <v>94.495186799999985</v>
      </c>
      <c r="T14" s="90">
        <f>IF(DFIE!$G$2=2008,"",F14*N$24/1000)</f>
        <v>32.512927756653987</v>
      </c>
      <c r="U14" s="90">
        <f>IF(DFIE!$G$2=2008,"",G14*N$25/1000)</f>
        <v>0</v>
      </c>
      <c r="V14" s="90">
        <f>IF(DFIE!$G$2=2008,"",H14*N$26/1000)</f>
        <v>0</v>
      </c>
      <c r="W14" s="90">
        <f>IF(DFIE!$G$2=2008,"",I14*N$27/1000)</f>
        <v>0</v>
      </c>
      <c r="X14" s="90">
        <f>IF(DFIE!$G$2=2008,"",SUM(R14:W14))</f>
        <v>2540.0287022266534</v>
      </c>
      <c r="Y14" s="90">
        <f>IF(DFIE!$G$2=2008,"",X14*$N$8)</f>
        <v>1905.0215266699902</v>
      </c>
      <c r="Z14" s="91">
        <v>0</v>
      </c>
      <c r="AA14" s="22">
        <f>IF(DFIE!$G$2=2008,0,IF(Z14=0,Y14+Q14,Z14))</f>
        <v>32455.961724769986</v>
      </c>
      <c r="AB14" s="353"/>
    </row>
    <row r="15" spans="1:28" x14ac:dyDescent="0.2">
      <c r="A15" s="353"/>
      <c r="B15" s="63" t="str">
        <f>DFIE!$B35</f>
        <v>Nidwalden</v>
      </c>
      <c r="C15" s="33">
        <v>90110699.140000001</v>
      </c>
      <c r="D15" s="33">
        <v>1223974.33</v>
      </c>
      <c r="E15" s="33">
        <v>3104493.2</v>
      </c>
      <c r="F15" s="33">
        <v>917572.3</v>
      </c>
      <c r="G15" s="33">
        <v>0</v>
      </c>
      <c r="H15" s="33">
        <v>0</v>
      </c>
      <c r="I15" s="33">
        <v>0</v>
      </c>
      <c r="J15" s="29">
        <f t="shared" si="0"/>
        <v>95356738.969999999</v>
      </c>
      <c r="K15" s="98"/>
      <c r="L15" s="52" t="str">
        <f>DFIE!$B$103</f>
        <v>B    Massgebendes Einkommen</v>
      </c>
      <c r="M15" s="52"/>
      <c r="N15" s="73">
        <f>IF(DFIE!$G$2=2008,"",NP!E35)</f>
        <v>166207085.79999995</v>
      </c>
      <c r="O15" s="98"/>
      <c r="P15" s="27" t="str">
        <f>DFIE!$B35</f>
        <v>Nidwalden</v>
      </c>
      <c r="Q15" s="69">
        <f>IF(DFIE!$G$2=2008,"",C15*N$21/1000)</f>
        <v>32169.519592979996</v>
      </c>
      <c r="R15" s="69">
        <f>IF(DFIE!$G$2=2008,"",D15*N$22/1000)</f>
        <v>436.95883581000004</v>
      </c>
      <c r="S15" s="69">
        <f>IF(DFIE!$G$2=2008,"",E15*N$23/1000)</f>
        <v>969.76606334999997</v>
      </c>
      <c r="T15" s="69">
        <f>IF(DFIE!$G$2=2008,"",F15*N$24/1000)</f>
        <v>156.99906273764259</v>
      </c>
      <c r="U15" s="69">
        <f>IF(DFIE!$G$2=2008,"",G15*N$25/1000)</f>
        <v>0</v>
      </c>
      <c r="V15" s="69">
        <f>IF(DFIE!$G$2=2008,"",H15*N$26/1000)</f>
        <v>0</v>
      </c>
      <c r="W15" s="69">
        <f>IF(DFIE!$G$2=2008,"",I15*N$27/1000)</f>
        <v>0</v>
      </c>
      <c r="X15" s="69">
        <f>IF(DFIE!$G$2=2008,"",SUM(R15:W15))</f>
        <v>1563.7239618976425</v>
      </c>
      <c r="Y15" s="69">
        <f>IF(DFIE!$G$2=2008,"",X15*$N$8)</f>
        <v>1172.7929714232318</v>
      </c>
      <c r="Z15" s="82">
        <v>0</v>
      </c>
      <c r="AA15" s="29">
        <f>IF(DFIE!$G$2=2008,0,IF(Z15=0,Y15+Q15,Z15))</f>
        <v>33342.312564403226</v>
      </c>
      <c r="AB15" s="353"/>
    </row>
    <row r="16" spans="1:28" x14ac:dyDescent="0.2">
      <c r="A16" s="353"/>
      <c r="B16" s="45" t="str">
        <f>DFIE!$B36</f>
        <v>Glarus</v>
      </c>
      <c r="C16" s="46">
        <v>131680473.84</v>
      </c>
      <c r="D16" s="46">
        <v>360007.9</v>
      </c>
      <c r="E16" s="46">
        <v>7346131.1699999999</v>
      </c>
      <c r="F16" s="46">
        <v>857451.2</v>
      </c>
      <c r="G16" s="46">
        <v>0</v>
      </c>
      <c r="H16" s="46">
        <v>0</v>
      </c>
      <c r="I16" s="46">
        <v>0</v>
      </c>
      <c r="J16" s="22">
        <f t="shared" si="0"/>
        <v>140244064.10999998</v>
      </c>
      <c r="K16" s="98"/>
      <c r="L16" s="52"/>
      <c r="M16" s="52"/>
      <c r="N16" s="52"/>
      <c r="O16" s="98"/>
      <c r="P16" s="20" t="str">
        <f>DFIE!$B36</f>
        <v>Glarus</v>
      </c>
      <c r="Q16" s="90">
        <f>IF(DFIE!$G$2=2008,"",C16*N$21/1000)</f>
        <v>47009.929160879998</v>
      </c>
      <c r="R16" s="90">
        <f>IF(DFIE!$G$2=2008,"",D16*N$22/1000)</f>
        <v>128.52282030000001</v>
      </c>
      <c r="S16" s="90">
        <f>IF(DFIE!$G$2=2008,"",E16*N$23/1000)</f>
        <v>2294.7477242287496</v>
      </c>
      <c r="T16" s="90">
        <f>IF(DFIE!$G$2=2008,"",F16*N$24/1000)</f>
        <v>146.71218250950568</v>
      </c>
      <c r="U16" s="90">
        <f>IF(DFIE!$G$2=2008,"",G16*N$25/1000)</f>
        <v>0</v>
      </c>
      <c r="V16" s="90">
        <f>IF(DFIE!$G$2=2008,"",H16*N$26/1000)</f>
        <v>0</v>
      </c>
      <c r="W16" s="90">
        <f>IF(DFIE!$G$2=2008,"",I16*N$27/1000)</f>
        <v>0</v>
      </c>
      <c r="X16" s="90">
        <f>IF(DFIE!$G$2=2008,"",SUM(R16:W16))</f>
        <v>2569.9827270382552</v>
      </c>
      <c r="Y16" s="90">
        <f>IF(DFIE!$G$2=2008,"",X16*$N$8)</f>
        <v>1927.4870452786913</v>
      </c>
      <c r="Z16" s="91">
        <v>0</v>
      </c>
      <c r="AA16" s="22">
        <f>IF(DFIE!$G$2=2008,0,IF(Z16=0,Y16+Q16,Z16))</f>
        <v>48937.41620615869</v>
      </c>
      <c r="AB16" s="353"/>
    </row>
    <row r="17" spans="1:28" x14ac:dyDescent="0.2">
      <c r="A17" s="353"/>
      <c r="B17" s="63" t="str">
        <f>DFIE!$B37</f>
        <v>Zug</v>
      </c>
      <c r="C17" s="33">
        <v>548036380</v>
      </c>
      <c r="D17" s="33">
        <v>70421865</v>
      </c>
      <c r="E17" s="33">
        <v>4049822</v>
      </c>
      <c r="F17" s="33">
        <v>6219131</v>
      </c>
      <c r="G17" s="33">
        <v>0</v>
      </c>
      <c r="H17" s="33">
        <v>0</v>
      </c>
      <c r="I17" s="33">
        <v>0</v>
      </c>
      <c r="J17" s="29">
        <f t="shared" si="0"/>
        <v>628727198</v>
      </c>
      <c r="K17" s="98"/>
      <c r="L17" s="34" t="str">
        <f>DFIE!$B$104</f>
        <v>C    Gamma (B / A)</v>
      </c>
      <c r="M17" s="34"/>
      <c r="N17" s="72">
        <f>IF(DFIE!$G$2=2008,"",ROUND(N15/N14,3))</f>
        <v>0.35699999999999998</v>
      </c>
      <c r="O17" s="98"/>
      <c r="P17" s="27" t="str">
        <f>DFIE!$B37</f>
        <v>Zug</v>
      </c>
      <c r="Q17" s="69">
        <f>IF(DFIE!$G$2=2008,"",C17*N$21/1000)</f>
        <v>195648.98765999998</v>
      </c>
      <c r="R17" s="69">
        <f>IF(DFIE!$G$2=2008,"",D17*N$22/1000)</f>
        <v>25140.605804999999</v>
      </c>
      <c r="S17" s="69">
        <f>IF(DFIE!$G$2=2008,"",E17*N$23/1000)</f>
        <v>1265.0631472499999</v>
      </c>
      <c r="T17" s="69">
        <f>IF(DFIE!$G$2=2008,"",F17*N$24/1000)</f>
        <v>1064.1098669201519</v>
      </c>
      <c r="U17" s="69">
        <f>IF(DFIE!$G$2=2008,"",G17*N$25/1000)</f>
        <v>0</v>
      </c>
      <c r="V17" s="69">
        <f>IF(DFIE!$G$2=2008,"",H17*N$26/1000)</f>
        <v>0</v>
      </c>
      <c r="W17" s="69">
        <f>IF(DFIE!$G$2=2008,"",I17*N$27/1000)</f>
        <v>0</v>
      </c>
      <c r="X17" s="69">
        <f>IF(DFIE!$G$2=2008,"",SUM(R17:W17))</f>
        <v>27469.778819170151</v>
      </c>
      <c r="Y17" s="69">
        <f>IF(DFIE!$G$2=2008,"",X17*$N$8)</f>
        <v>20602.334114377612</v>
      </c>
      <c r="Z17" s="82">
        <v>0</v>
      </c>
      <c r="AA17" s="29">
        <f>IF(DFIE!$G$2=2008,0,IF(Z17=0,Y17+Q17,Z17))</f>
        <v>216251.3217743776</v>
      </c>
      <c r="AB17" s="353"/>
    </row>
    <row r="18" spans="1:28" x14ac:dyDescent="0.2">
      <c r="A18" s="353"/>
      <c r="B18" s="45" t="str">
        <f>DFIE!$B38</f>
        <v>Freiburg</v>
      </c>
      <c r="C18" s="46">
        <v>666558678</v>
      </c>
      <c r="D18" s="46">
        <v>0</v>
      </c>
      <c r="E18" s="46">
        <v>2496028</v>
      </c>
      <c r="F18" s="46">
        <v>0</v>
      </c>
      <c r="G18" s="46">
        <v>0</v>
      </c>
      <c r="H18" s="46">
        <v>0</v>
      </c>
      <c r="I18" s="46">
        <v>0</v>
      </c>
      <c r="J18" s="22">
        <f t="shared" si="0"/>
        <v>669054706</v>
      </c>
      <c r="K18" s="54"/>
      <c r="L18" s="54"/>
      <c r="M18" s="54"/>
      <c r="N18" s="54"/>
      <c r="O18" s="54"/>
      <c r="P18" s="20" t="str">
        <f>DFIE!$B38</f>
        <v>Freiburg</v>
      </c>
      <c r="Q18" s="90">
        <f>IF(DFIE!$G$2=2008,"",C18*N$21/1000)</f>
        <v>237961.448046</v>
      </c>
      <c r="R18" s="90">
        <f>IF(DFIE!$G$2=2008,"",D18*N$22/1000)</f>
        <v>0</v>
      </c>
      <c r="S18" s="90">
        <f>IF(DFIE!$G$2=2008,"",E18*N$23/1000)</f>
        <v>779.6967464999999</v>
      </c>
      <c r="T18" s="90">
        <f>IF(DFIE!$G$2=2008,"",F18*N$24/1000)</f>
        <v>0</v>
      </c>
      <c r="U18" s="90">
        <f>IF(DFIE!$G$2=2008,"",G18*N$25/1000)</f>
        <v>0</v>
      </c>
      <c r="V18" s="90">
        <f>IF(DFIE!$G$2=2008,"",H18*N$26/1000)</f>
        <v>0</v>
      </c>
      <c r="W18" s="90">
        <f>IF(DFIE!$G$2=2008,"",I18*N$27/1000)</f>
        <v>0</v>
      </c>
      <c r="X18" s="90">
        <f>IF(DFIE!$G$2=2008,"",SUM(R18:W18))</f>
        <v>779.6967464999999</v>
      </c>
      <c r="Y18" s="90">
        <f>IF(DFIE!$G$2=2008,"",X18*$N$8)</f>
        <v>584.77255987499996</v>
      </c>
      <c r="Z18" s="91">
        <v>0</v>
      </c>
      <c r="AA18" s="22">
        <f>IF(DFIE!$G$2=2008,0,IF(Z18=0,Y18+Q18,Z18))</f>
        <v>238546.22060587502</v>
      </c>
      <c r="AB18" s="353"/>
    </row>
    <row r="19" spans="1:28" x14ac:dyDescent="0.2">
      <c r="A19" s="353"/>
      <c r="B19" s="63" t="str">
        <f>DFIE!$B39</f>
        <v>Solothurn</v>
      </c>
      <c r="C19" s="33">
        <v>387293408</v>
      </c>
      <c r="D19" s="33">
        <v>24061872</v>
      </c>
      <c r="E19" s="33">
        <v>936924</v>
      </c>
      <c r="F19" s="33">
        <v>40503064</v>
      </c>
      <c r="G19" s="33">
        <v>0</v>
      </c>
      <c r="H19" s="33">
        <v>84784530</v>
      </c>
      <c r="I19" s="33">
        <v>0</v>
      </c>
      <c r="J19" s="29">
        <f t="shared" si="0"/>
        <v>537579798</v>
      </c>
      <c r="K19" s="54"/>
      <c r="L19" s="54"/>
      <c r="M19" s="54"/>
      <c r="N19" s="54"/>
      <c r="O19" s="54"/>
      <c r="P19" s="27" t="str">
        <f>DFIE!$B39</f>
        <v>Solothurn</v>
      </c>
      <c r="Q19" s="69">
        <f>IF(DFIE!$G$2=2008,"",C19*N$21/1000)</f>
        <v>138263.74665599997</v>
      </c>
      <c r="R19" s="69">
        <f>IF(DFIE!$G$2=2008,"",D19*N$22/1000)</f>
        <v>8590.088303999999</v>
      </c>
      <c r="S19" s="69">
        <f>IF(DFIE!$G$2=2008,"",E19*N$23/1000)</f>
        <v>292.67163449999998</v>
      </c>
      <c r="T19" s="69">
        <f>IF(DFIE!$G$2=2008,"",F19*N$24/1000)</f>
        <v>6930.1820532319389</v>
      </c>
      <c r="U19" s="69">
        <f>IF(DFIE!$G$2=2008,"",G19*N$25/1000)</f>
        <v>0</v>
      </c>
      <c r="V19" s="69">
        <f>IF(DFIE!$G$2=2008,"",H19*N$26/1000)</f>
        <v>14506.858745247147</v>
      </c>
      <c r="W19" s="69">
        <f>IF(DFIE!$G$2=2008,"",I19*N$27/1000)</f>
        <v>0</v>
      </c>
      <c r="X19" s="69">
        <f>IF(DFIE!$G$2=2008,"",SUM(R19:W19))</f>
        <v>30319.800736979087</v>
      </c>
      <c r="Y19" s="69">
        <f>IF(DFIE!$G$2=2008,"",X19*$N$8)</f>
        <v>22739.850552734315</v>
      </c>
      <c r="Z19" s="82">
        <v>0</v>
      </c>
      <c r="AA19" s="29">
        <f>IF(DFIE!$G$2=2008,0,IF(Z19=0,Y19+Q19,Z19))</f>
        <v>161003.59720873428</v>
      </c>
      <c r="AB19" s="353"/>
    </row>
    <row r="20" spans="1:28" x14ac:dyDescent="0.2">
      <c r="A20" s="353"/>
      <c r="B20" s="45" t="str">
        <f>DFIE!$B40</f>
        <v>Basel-Stadt</v>
      </c>
      <c r="C20" s="46">
        <v>820128519.75</v>
      </c>
      <c r="D20" s="46">
        <v>193970162.66</v>
      </c>
      <c r="E20" s="46">
        <v>839714.16</v>
      </c>
      <c r="F20" s="46">
        <v>1449801899.52</v>
      </c>
      <c r="G20" s="46">
        <v>0</v>
      </c>
      <c r="H20" s="46">
        <v>1658165554</v>
      </c>
      <c r="I20" s="46">
        <v>0</v>
      </c>
      <c r="J20" s="22">
        <f t="shared" si="0"/>
        <v>4122905850.0900002</v>
      </c>
      <c r="K20" s="54"/>
      <c r="L20" s="34" t="str">
        <f>DFIE!$B$58</f>
        <v>Kategorie</v>
      </c>
      <c r="M20" s="34" t="str">
        <f>DFIE!$B$105</f>
        <v>Formel für Gewicht</v>
      </c>
      <c r="N20" s="74" t="str">
        <f>DFIE!$B$106</f>
        <v>Gewicht (ω)</v>
      </c>
      <c r="O20" s="54"/>
      <c r="P20" s="20" t="str">
        <f>DFIE!$B40</f>
        <v>Basel-Stadt</v>
      </c>
      <c r="Q20" s="90">
        <f>IF(DFIE!$G$2=2008,"",C20*N$21/1000)</f>
        <v>292785.88155074994</v>
      </c>
      <c r="R20" s="90">
        <f>IF(DFIE!$G$2=2008,"",D20*N$22/1000)</f>
        <v>69247.348069619999</v>
      </c>
      <c r="S20" s="90">
        <f>IF(DFIE!$G$2=2008,"",E20*N$23/1000)</f>
        <v>262.30571072999999</v>
      </c>
      <c r="T20" s="90">
        <f>IF(DFIE!$G$2=2008,"",F20*N$24/1000)</f>
        <v>248064.9637961977</v>
      </c>
      <c r="U20" s="90">
        <f>IF(DFIE!$G$2=2008,"",G20*N$25/1000)</f>
        <v>0</v>
      </c>
      <c r="V20" s="90">
        <f>IF(DFIE!$G$2=2008,"",H20*N$26/1000)</f>
        <v>283716.53965779464</v>
      </c>
      <c r="W20" s="90">
        <f>IF(DFIE!$G$2=2008,"",I20*N$27/1000)</f>
        <v>0</v>
      </c>
      <c r="X20" s="90">
        <f>IF(DFIE!$G$2=2008,"",SUM(R20:W20))</f>
        <v>601291.1572343423</v>
      </c>
      <c r="Y20" s="90">
        <f>IF(DFIE!$G$2=2008,"",X20*$N$8)</f>
        <v>450968.36792575673</v>
      </c>
      <c r="Z20" s="91">
        <v>0</v>
      </c>
      <c r="AA20" s="22">
        <f>IF(DFIE!$G$2=2008,0,IF(Z20=0,Y20+Q20,Z20))</f>
        <v>743754.24947650661</v>
      </c>
      <c r="AB20" s="353"/>
    </row>
    <row r="21" spans="1:28" x14ac:dyDescent="0.2">
      <c r="A21" s="353"/>
      <c r="B21" s="63" t="str">
        <f>DFIE!$B41</f>
        <v>Basel-Landschaft</v>
      </c>
      <c r="C21" s="33">
        <v>406098243.45999998</v>
      </c>
      <c r="D21" s="33">
        <v>100447655.81999999</v>
      </c>
      <c r="E21" s="33">
        <v>2137820.4</v>
      </c>
      <c r="F21" s="33">
        <v>680901825.47000003</v>
      </c>
      <c r="G21" s="33">
        <v>0</v>
      </c>
      <c r="H21" s="33">
        <v>975451140</v>
      </c>
      <c r="I21" s="33">
        <v>0</v>
      </c>
      <c r="J21" s="29">
        <f t="shared" si="0"/>
        <v>2165036685.1500001</v>
      </c>
      <c r="K21" s="54"/>
      <c r="L21" s="101">
        <v>0</v>
      </c>
      <c r="M21" s="101" t="s">
        <v>70</v>
      </c>
      <c r="N21" s="75">
        <f>IF(DFIE!$G$2=2008,"",N17)</f>
        <v>0.35699999999999998</v>
      </c>
      <c r="O21" s="54"/>
      <c r="P21" s="27" t="str">
        <f>DFIE!$B41</f>
        <v>Basel-Landschaft</v>
      </c>
      <c r="Q21" s="69">
        <f>IF(DFIE!$G$2=2008,"",C21*N$21/1000)</f>
        <v>144977.07291521999</v>
      </c>
      <c r="R21" s="69">
        <f>IF(DFIE!$G$2=2008,"",D21*N$22/1000)</f>
        <v>35859.813127739995</v>
      </c>
      <c r="S21" s="69">
        <f>IF(DFIE!$G$2=2008,"",E21*N$23/1000)</f>
        <v>667.8016474499999</v>
      </c>
      <c r="T21" s="69">
        <f>IF(DFIE!$G$2=2008,"",F21*N$24/1000)</f>
        <v>116504.11462414448</v>
      </c>
      <c r="U21" s="69">
        <f>IF(DFIE!$G$2=2008,"",G21*N$25/1000)</f>
        <v>0</v>
      </c>
      <c r="V21" s="69">
        <f>IF(DFIE!$G$2=2008,"",H21*N$26/1000)</f>
        <v>166902.28631178706</v>
      </c>
      <c r="W21" s="69">
        <f>IF(DFIE!$G$2=2008,"",I21*N$27/1000)</f>
        <v>0</v>
      </c>
      <c r="X21" s="69">
        <f>IF(DFIE!$G$2=2008,"",SUM(R21:W21))</f>
        <v>319934.01571112149</v>
      </c>
      <c r="Y21" s="69">
        <f>IF(DFIE!$G$2=2008,"",X21*$N$8)</f>
        <v>239950.51178334112</v>
      </c>
      <c r="Z21" s="82">
        <v>0</v>
      </c>
      <c r="AA21" s="29">
        <f>IF(DFIE!$G$2=2008,0,IF(Z21=0,Y21+Q21,Z21))</f>
        <v>384927.58469856111</v>
      </c>
      <c r="AB21" s="353"/>
    </row>
    <row r="22" spans="1:28" x14ac:dyDescent="0.2">
      <c r="A22" s="353"/>
      <c r="B22" s="45" t="str">
        <f>DFIE!$B42</f>
        <v>Schaffhausen</v>
      </c>
      <c r="C22" s="46">
        <v>300746895.16000003</v>
      </c>
      <c r="D22" s="46">
        <v>26342254.550000001</v>
      </c>
      <c r="E22" s="46">
        <v>673350.35</v>
      </c>
      <c r="F22" s="46">
        <v>368186083.19999999</v>
      </c>
      <c r="G22" s="46">
        <v>0</v>
      </c>
      <c r="H22" s="46">
        <v>0</v>
      </c>
      <c r="I22" s="46">
        <v>0</v>
      </c>
      <c r="J22" s="22">
        <f t="shared" si="0"/>
        <v>695948583.25999999</v>
      </c>
      <c r="K22" s="54"/>
      <c r="L22" s="101">
        <v>1</v>
      </c>
      <c r="M22" s="101" t="s">
        <v>70</v>
      </c>
      <c r="N22" s="75">
        <f>IF(DFIE!$G$2=2008,"",N17)</f>
        <v>0.35699999999999998</v>
      </c>
      <c r="O22" s="54"/>
      <c r="P22" s="20" t="str">
        <f>DFIE!$B42</f>
        <v>Schaffhausen</v>
      </c>
      <c r="Q22" s="90">
        <f>IF(DFIE!$G$2=2008,"",C22*N$21/1000)</f>
        <v>107366.64157212002</v>
      </c>
      <c r="R22" s="90">
        <f>IF(DFIE!$G$2=2008,"",D22*N$22/1000)</f>
        <v>9404.1848743499995</v>
      </c>
      <c r="S22" s="90">
        <f>IF(DFIE!$G$2=2008,"",E22*N$23/1000)</f>
        <v>210.33781558124997</v>
      </c>
      <c r="T22" s="90">
        <f>IF(DFIE!$G$2=2008,"",F22*N$24/1000)</f>
        <v>62997.618798479081</v>
      </c>
      <c r="U22" s="90">
        <f>IF(DFIE!$G$2=2008,"",G22*N$25/1000)</f>
        <v>0</v>
      </c>
      <c r="V22" s="90">
        <f>IF(DFIE!$G$2=2008,"",H22*N$26/1000)</f>
        <v>0</v>
      </c>
      <c r="W22" s="90">
        <f>IF(DFIE!$G$2=2008,"",I22*N$27/1000)</f>
        <v>0</v>
      </c>
      <c r="X22" s="90">
        <f>IF(DFIE!$G$2=2008,"",SUM(R22:W22))</f>
        <v>72612.141488410329</v>
      </c>
      <c r="Y22" s="90">
        <f>IF(DFIE!$G$2=2008,"",X22*$N$8)</f>
        <v>54459.106116307747</v>
      </c>
      <c r="Z22" s="91">
        <v>0</v>
      </c>
      <c r="AA22" s="22">
        <f>IF(DFIE!$G$2=2008,0,IF(Z22=0,Y22+Q22,Z22))</f>
        <v>161825.74768842777</v>
      </c>
      <c r="AB22" s="353"/>
    </row>
    <row r="23" spans="1:28" x14ac:dyDescent="0.2">
      <c r="A23" s="353"/>
      <c r="B23" s="63" t="str">
        <f>DFIE!$B43</f>
        <v>Appenzell A.Rh.</v>
      </c>
      <c r="C23" s="33">
        <v>94268431</v>
      </c>
      <c r="D23" s="33">
        <v>6357195</v>
      </c>
      <c r="E23" s="33">
        <v>13276003</v>
      </c>
      <c r="F23" s="33">
        <v>3809893</v>
      </c>
      <c r="G23" s="33">
        <v>0</v>
      </c>
      <c r="H23" s="33">
        <v>0</v>
      </c>
      <c r="I23" s="33">
        <v>0</v>
      </c>
      <c r="J23" s="29">
        <f t="shared" si="0"/>
        <v>117711522</v>
      </c>
      <c r="K23" s="54"/>
      <c r="L23" s="101" t="s">
        <v>57</v>
      </c>
      <c r="M23" s="101" t="s">
        <v>103</v>
      </c>
      <c r="N23" s="75">
        <f>IF(DFIE!$G$2=2008,"",IF(DFIE!$G$2-6&lt;2006,0.03/$N$7,0.875*N17))</f>
        <v>0.31237499999999996</v>
      </c>
      <c r="O23" s="54"/>
      <c r="P23" s="27" t="str">
        <f>DFIE!$B43</f>
        <v>Appenzell A.Rh.</v>
      </c>
      <c r="Q23" s="69">
        <f>IF(DFIE!$G$2=2008,"",C23*N$21/1000)</f>
        <v>33653.829867</v>
      </c>
      <c r="R23" s="69">
        <f>IF(DFIE!$G$2=2008,"",D23*N$22/1000)</f>
        <v>2269.518615</v>
      </c>
      <c r="S23" s="69">
        <f>IF(DFIE!$G$2=2008,"",E23*N$23/1000)</f>
        <v>4147.0914371249992</v>
      </c>
      <c r="T23" s="69">
        <f>IF(DFIE!$G$2=2008,"",F23*N$24/1000)</f>
        <v>651.88283269961971</v>
      </c>
      <c r="U23" s="69">
        <f>IF(DFIE!$G$2=2008,"",G23*N$25/1000)</f>
        <v>0</v>
      </c>
      <c r="V23" s="69">
        <f>IF(DFIE!$G$2=2008,"",H23*N$26/1000)</f>
        <v>0</v>
      </c>
      <c r="W23" s="69">
        <f>IF(DFIE!$G$2=2008,"",I23*N$27/1000)</f>
        <v>0</v>
      </c>
      <c r="X23" s="69">
        <f>IF(DFIE!$G$2=2008,"",SUM(R23:W23))</f>
        <v>7068.4928848246191</v>
      </c>
      <c r="Y23" s="69">
        <f>IF(DFIE!$G$2=2008,"",X23*$N$8)</f>
        <v>5301.3696636184641</v>
      </c>
      <c r="Z23" s="82">
        <v>0</v>
      </c>
      <c r="AA23" s="29">
        <f>IF(DFIE!$G$2=2008,0,IF(Z23=0,Y23+Q23,Z23))</f>
        <v>38955.199530618462</v>
      </c>
      <c r="AB23" s="353"/>
    </row>
    <row r="24" spans="1:28" x14ac:dyDescent="0.2">
      <c r="A24" s="353"/>
      <c r="B24" s="45" t="str">
        <f>DFIE!$B44</f>
        <v>Appenzell I.Rh.</v>
      </c>
      <c r="C24" s="46">
        <v>21126541.940000001</v>
      </c>
      <c r="D24" s="46">
        <v>1319338.6000000001</v>
      </c>
      <c r="E24" s="46">
        <v>4386330.59</v>
      </c>
      <c r="F24" s="46">
        <v>719195.75</v>
      </c>
      <c r="G24" s="46">
        <v>0</v>
      </c>
      <c r="H24" s="46">
        <v>0</v>
      </c>
      <c r="I24" s="46">
        <v>0</v>
      </c>
      <c r="J24" s="22">
        <f t="shared" si="0"/>
        <v>27551406.880000003</v>
      </c>
      <c r="K24" s="54"/>
      <c r="L24" s="101" t="s">
        <v>58</v>
      </c>
      <c r="M24" s="101" t="str">
        <f>DFIE!$B$107</f>
        <v>0.045 / SSTV</v>
      </c>
      <c r="N24" s="75">
        <f>IF(DFIE!$G$2=2008,"",0.045/ROUND($N$7,3))</f>
        <v>0.17110266159695817</v>
      </c>
      <c r="O24" s="54"/>
      <c r="P24" s="20" t="str">
        <f>DFIE!$B44</f>
        <v>Appenzell I.Rh.</v>
      </c>
      <c r="Q24" s="90">
        <f>IF(DFIE!$G$2=2008,"",C24*N$21/1000)</f>
        <v>7542.1754725800001</v>
      </c>
      <c r="R24" s="90">
        <f>IF(DFIE!$G$2=2008,"",D24*N$22/1000)</f>
        <v>471.00388020000003</v>
      </c>
      <c r="S24" s="90">
        <f>IF(DFIE!$G$2=2008,"",E24*N$23/1000)</f>
        <v>1370.1800180512496</v>
      </c>
      <c r="T24" s="90">
        <f>IF(DFIE!$G$2=2008,"",F24*N$24/1000)</f>
        <v>123.05630703422054</v>
      </c>
      <c r="U24" s="90">
        <f>IF(DFIE!$G$2=2008,"",G24*N$25/1000)</f>
        <v>0</v>
      </c>
      <c r="V24" s="90">
        <f>IF(DFIE!$G$2=2008,"",H24*N$26/1000)</f>
        <v>0</v>
      </c>
      <c r="W24" s="90">
        <f>IF(DFIE!$G$2=2008,"",I24*N$27/1000)</f>
        <v>0</v>
      </c>
      <c r="X24" s="90">
        <f>IF(DFIE!$G$2=2008,"",SUM(R24:W24))</f>
        <v>1964.24020528547</v>
      </c>
      <c r="Y24" s="90">
        <f>IF(DFIE!$G$2=2008,"",X24*$N$8)</f>
        <v>1473.1801539641024</v>
      </c>
      <c r="Z24" s="91">
        <v>0</v>
      </c>
      <c r="AA24" s="22">
        <f>IF(DFIE!$G$2=2008,0,IF(Z24=0,Y24+Q24,Z24))</f>
        <v>9015.3556265441021</v>
      </c>
      <c r="AB24" s="353"/>
    </row>
    <row r="25" spans="1:28" x14ac:dyDescent="0.2">
      <c r="A25" s="353"/>
      <c r="B25" s="63" t="str">
        <f>DFIE!$B45</f>
        <v>St. Gallen</v>
      </c>
      <c r="C25" s="33">
        <v>1052375416.47</v>
      </c>
      <c r="D25" s="33">
        <v>79176906</v>
      </c>
      <c r="E25" s="33">
        <v>496755471.77999997</v>
      </c>
      <c r="F25" s="33">
        <v>83326792</v>
      </c>
      <c r="G25" s="33">
        <v>0</v>
      </c>
      <c r="H25" s="33">
        <v>0</v>
      </c>
      <c r="I25" s="33">
        <v>0</v>
      </c>
      <c r="J25" s="29">
        <f t="shared" si="0"/>
        <v>1711634586.25</v>
      </c>
      <c r="K25" s="54"/>
      <c r="L25" s="101" t="s">
        <v>59</v>
      </c>
      <c r="M25" s="101" t="str">
        <f>DFIE!$B$108</f>
        <v>γ - 0.035 / SSTV</v>
      </c>
      <c r="N25" s="75">
        <f>IF(DFIE!$G$2=2008,"",N17-0.035/ROUND($N$7,3))</f>
        <v>0.22392015209125474</v>
      </c>
      <c r="O25" s="54"/>
      <c r="P25" s="27" t="str">
        <f>DFIE!$B45</f>
        <v>St. Gallen</v>
      </c>
      <c r="Q25" s="69">
        <f>IF(DFIE!$G$2=2008,"",C25*N$21/1000)</f>
        <v>375698.02367979003</v>
      </c>
      <c r="R25" s="69">
        <f>IF(DFIE!$G$2=2008,"",D25*N$22/1000)</f>
        <v>28266.155441999999</v>
      </c>
      <c r="S25" s="69">
        <f>IF(DFIE!$G$2=2008,"",E25*N$23/1000)</f>
        <v>155173.99049727747</v>
      </c>
      <c r="T25" s="69">
        <f>IF(DFIE!$G$2=2008,"",F25*N$24/1000)</f>
        <v>14257.435893536122</v>
      </c>
      <c r="U25" s="69">
        <f>IF(DFIE!$G$2=2008,"",G25*N$25/1000)</f>
        <v>0</v>
      </c>
      <c r="V25" s="69">
        <f>IF(DFIE!$G$2=2008,"",H25*N$26/1000)</f>
        <v>0</v>
      </c>
      <c r="W25" s="69">
        <f>IF(DFIE!$G$2=2008,"",I25*N$27/1000)</f>
        <v>0</v>
      </c>
      <c r="X25" s="69">
        <f>IF(DFIE!$G$2=2008,"",SUM(R25:W25))</f>
        <v>197697.58183281356</v>
      </c>
      <c r="Y25" s="69">
        <f>IF(DFIE!$G$2=2008,"",X25*$N$8)</f>
        <v>148273.18637461017</v>
      </c>
      <c r="Z25" s="82">
        <v>0</v>
      </c>
      <c r="AA25" s="29">
        <f>IF(DFIE!$G$2=2008,0,IF(Z25=0,Y25+Q25,Z25))</f>
        <v>523971.2100544002</v>
      </c>
      <c r="AB25" s="353"/>
    </row>
    <row r="26" spans="1:28" x14ac:dyDescent="0.2">
      <c r="A26" s="353"/>
      <c r="B26" s="45" t="str">
        <f>DFIE!$B46</f>
        <v>Graubünden</v>
      </c>
      <c r="C26" s="46">
        <v>900023976</v>
      </c>
      <c r="D26" s="46">
        <v>203944237</v>
      </c>
      <c r="E26" s="46">
        <v>23316310</v>
      </c>
      <c r="F26" s="46">
        <v>648686</v>
      </c>
      <c r="G26" s="46">
        <v>0</v>
      </c>
      <c r="H26" s="46">
        <v>0</v>
      </c>
      <c r="I26" s="46">
        <v>79396855</v>
      </c>
      <c r="J26" s="22">
        <f t="shared" si="0"/>
        <v>1207330064</v>
      </c>
      <c r="K26" s="54"/>
      <c r="L26" s="101" t="s">
        <v>60</v>
      </c>
      <c r="M26" s="101" t="str">
        <f>DFIE!$B$107</f>
        <v>0.045 / SSTV</v>
      </c>
      <c r="N26" s="75">
        <f>IF(DFIE!$G$2=2008,"",0.045/ROUND($N$7,3))</f>
        <v>0.17110266159695817</v>
      </c>
      <c r="O26" s="54"/>
      <c r="P26" s="20" t="str">
        <f>DFIE!$B46</f>
        <v>Graubünden</v>
      </c>
      <c r="Q26" s="90">
        <f>IF(DFIE!$G$2=2008,"",C26*N$21/1000)</f>
        <v>321308.55943199998</v>
      </c>
      <c r="R26" s="90">
        <f>IF(DFIE!$G$2=2008,"",D26*N$22/1000)</f>
        <v>72808.092608999999</v>
      </c>
      <c r="S26" s="90">
        <f>IF(DFIE!$G$2=2008,"",E26*N$23/1000)</f>
        <v>7283.432336249999</v>
      </c>
      <c r="T26" s="90">
        <f>IF(DFIE!$G$2=2008,"",F26*N$24/1000)</f>
        <v>110.9919011406844</v>
      </c>
      <c r="U26" s="90">
        <f>IF(DFIE!$G$2=2008,"",G26*N$25/1000)</f>
        <v>0</v>
      </c>
      <c r="V26" s="90">
        <f>IF(DFIE!$G$2=2008,"",H26*N$26/1000)</f>
        <v>0</v>
      </c>
      <c r="W26" s="90">
        <f>IF(DFIE!$G$2=2008,"",I26*N$27/1000)</f>
        <v>17006.806341</v>
      </c>
      <c r="X26" s="90">
        <f>IF(DFIE!$G$2=2008,"",SUM(R26:W26))</f>
        <v>97209.323187390692</v>
      </c>
      <c r="Y26" s="90">
        <f>IF(DFIE!$G$2=2008,"",X26*$N$8)</f>
        <v>72906.992390543019</v>
      </c>
      <c r="Z26" s="91">
        <v>0</v>
      </c>
      <c r="AA26" s="22">
        <f>IF(DFIE!$G$2=2008,0,IF(Z26=0,Y26+Q26,Z26))</f>
        <v>394215.55182254303</v>
      </c>
      <c r="AB26" s="353"/>
    </row>
    <row r="27" spans="1:28" x14ac:dyDescent="0.2">
      <c r="A27" s="353"/>
      <c r="B27" s="63" t="str">
        <f>DFIE!$B47</f>
        <v>Aargau</v>
      </c>
      <c r="C27" s="33">
        <v>1192495724.5599999</v>
      </c>
      <c r="D27" s="33">
        <v>277188697.5</v>
      </c>
      <c r="E27" s="33">
        <v>3589400.5</v>
      </c>
      <c r="F27" s="33">
        <v>889603144</v>
      </c>
      <c r="G27" s="33">
        <v>0</v>
      </c>
      <c r="H27" s="33">
        <v>0</v>
      </c>
      <c r="I27" s="33">
        <v>0</v>
      </c>
      <c r="J27" s="29">
        <f t="shared" si="0"/>
        <v>2362876966.5599999</v>
      </c>
      <c r="K27" s="54"/>
      <c r="L27" s="101" t="s">
        <v>61</v>
      </c>
      <c r="M27" s="101" t="s">
        <v>104</v>
      </c>
      <c r="N27" s="75">
        <f>IF(DFIE!$G$2=2008,"",0.6*N17)</f>
        <v>0.21419999999999997</v>
      </c>
      <c r="O27" s="54"/>
      <c r="P27" s="27" t="str">
        <f>DFIE!$B47</f>
        <v>Aargau</v>
      </c>
      <c r="Q27" s="69">
        <f>IF(DFIE!$G$2=2008,"",C27*N$21/1000)</f>
        <v>425720.97366791993</v>
      </c>
      <c r="R27" s="69">
        <f>IF(DFIE!$G$2=2008,"",D27*N$22/1000)</f>
        <v>98956.36500749999</v>
      </c>
      <c r="S27" s="69">
        <f>IF(DFIE!$G$2=2008,"",E27*N$23/1000)</f>
        <v>1121.2389811874998</v>
      </c>
      <c r="T27" s="69">
        <f>IF(DFIE!$G$2=2008,"",F27*N$24/1000)</f>
        <v>152213.46570342203</v>
      </c>
      <c r="U27" s="69">
        <f>IF(DFIE!$G$2=2008,"",G27*N$25/1000)</f>
        <v>0</v>
      </c>
      <c r="V27" s="69">
        <f>IF(DFIE!$G$2=2008,"",H27*N$26/1000)</f>
        <v>0</v>
      </c>
      <c r="W27" s="69">
        <f>IF(DFIE!$G$2=2008,"",I27*N$27/1000)</f>
        <v>0</v>
      </c>
      <c r="X27" s="69">
        <f>IF(DFIE!$G$2=2008,"",SUM(R27:W27))</f>
        <v>252291.06969210954</v>
      </c>
      <c r="Y27" s="69">
        <f>IF(DFIE!$G$2=2008,"",X27*$N$8)</f>
        <v>189218.30226908217</v>
      </c>
      <c r="Z27" s="82">
        <v>0</v>
      </c>
      <c r="AA27" s="29">
        <f>IF(DFIE!$G$2=2008,0,IF(Z27=0,Y27+Q27,Z27))</f>
        <v>614939.27593700215</v>
      </c>
      <c r="AB27" s="353"/>
    </row>
    <row r="28" spans="1:28" x14ac:dyDescent="0.2">
      <c r="A28" s="353"/>
      <c r="B28" s="45" t="str">
        <f>DFIE!$B48</f>
        <v>Thurgau</v>
      </c>
      <c r="C28" s="46">
        <v>629100286.84000003</v>
      </c>
      <c r="D28" s="46">
        <v>59071726.659999996</v>
      </c>
      <c r="E28" s="46">
        <v>16570844.300000001</v>
      </c>
      <c r="F28" s="46">
        <v>286174871.25999999</v>
      </c>
      <c r="G28" s="46">
        <v>0</v>
      </c>
      <c r="H28" s="46">
        <v>0</v>
      </c>
      <c r="I28" s="46">
        <v>0</v>
      </c>
      <c r="J28" s="22">
        <f t="shared" si="0"/>
        <v>990917729.05999994</v>
      </c>
      <c r="K28" s="54"/>
      <c r="L28" s="54"/>
      <c r="M28" s="54"/>
      <c r="N28" s="54"/>
      <c r="O28" s="54"/>
      <c r="P28" s="20" t="str">
        <f>DFIE!$B48</f>
        <v>Thurgau</v>
      </c>
      <c r="Q28" s="90">
        <f>IF(DFIE!$G$2=2008,"",C28*N$21/1000)</f>
        <v>224588.80240188001</v>
      </c>
      <c r="R28" s="90">
        <f>IF(DFIE!$G$2=2008,"",D28*N$22/1000)</f>
        <v>21088.606417619998</v>
      </c>
      <c r="S28" s="90">
        <f>IF(DFIE!$G$2=2008,"",E28*N$23/1000)</f>
        <v>5176.3174882124995</v>
      </c>
      <c r="T28" s="90">
        <f>IF(DFIE!$G$2=2008,"",F28*N$24/1000)</f>
        <v>48965.282154752851</v>
      </c>
      <c r="U28" s="90">
        <f>IF(DFIE!$G$2=2008,"",G28*N$25/1000)</f>
        <v>0</v>
      </c>
      <c r="V28" s="90">
        <f>IF(DFIE!$G$2=2008,"",H28*N$26/1000)</f>
        <v>0</v>
      </c>
      <c r="W28" s="90">
        <f>IF(DFIE!$G$2=2008,"",I28*N$27/1000)</f>
        <v>0</v>
      </c>
      <c r="X28" s="90">
        <f>IF(DFIE!$G$2=2008,"",SUM(R28:W28))</f>
        <v>75230.206060585348</v>
      </c>
      <c r="Y28" s="90">
        <f>IF(DFIE!$G$2=2008,"",X28*$N$8)</f>
        <v>56422.654545439014</v>
      </c>
      <c r="Z28" s="91">
        <v>0</v>
      </c>
      <c r="AA28" s="22">
        <f>IF(DFIE!$G$2=2008,0,IF(Z28=0,Y28+Q28,Z28))</f>
        <v>281011.45694731903</v>
      </c>
      <c r="AB28" s="353"/>
    </row>
    <row r="29" spans="1:28" x14ac:dyDescent="0.2">
      <c r="A29" s="353"/>
      <c r="B29" s="63" t="str">
        <f>DFIE!$B49</f>
        <v>Tessin</v>
      </c>
      <c r="C29" s="33">
        <v>870514591</v>
      </c>
      <c r="D29" s="33">
        <v>589389157</v>
      </c>
      <c r="E29" s="33">
        <v>5359511</v>
      </c>
      <c r="F29" s="33">
        <v>0</v>
      </c>
      <c r="G29" s="33">
        <v>0</v>
      </c>
      <c r="H29" s="33">
        <v>0</v>
      </c>
      <c r="I29" s="33">
        <v>2683641032</v>
      </c>
      <c r="J29" s="29">
        <f t="shared" si="0"/>
        <v>4148904291</v>
      </c>
      <c r="K29" s="54"/>
      <c r="L29" s="54"/>
      <c r="M29" s="54"/>
      <c r="N29" s="102"/>
      <c r="O29" s="54"/>
      <c r="P29" s="27" t="str">
        <f>DFIE!$B49</f>
        <v>Tessin</v>
      </c>
      <c r="Q29" s="69">
        <f>IF(DFIE!$G$2=2008,"",C29*N$21/1000)</f>
        <v>310773.70898699999</v>
      </c>
      <c r="R29" s="69">
        <f>IF(DFIE!$G$2=2008,"",D29*N$22/1000)</f>
        <v>210411.929049</v>
      </c>
      <c r="S29" s="69">
        <f>IF(DFIE!$G$2=2008,"",E29*N$23/1000)</f>
        <v>1674.1772486249997</v>
      </c>
      <c r="T29" s="69">
        <f>IF(DFIE!$G$2=2008,"",F29*N$24/1000)</f>
        <v>0</v>
      </c>
      <c r="U29" s="69">
        <f>IF(DFIE!$G$2=2008,"",G29*N$25/1000)</f>
        <v>0</v>
      </c>
      <c r="V29" s="69">
        <f>IF(DFIE!$G$2=2008,"",H29*N$26/1000)</f>
        <v>0</v>
      </c>
      <c r="W29" s="69">
        <f>IF(DFIE!$G$2=2008,"",I29*N$27/1000)</f>
        <v>574835.90905439993</v>
      </c>
      <c r="X29" s="69">
        <f>IF(DFIE!$G$2=2008,"",SUM(R29:W29))</f>
        <v>786922.01535202493</v>
      </c>
      <c r="Y29" s="69">
        <f>IF(DFIE!$G$2=2008,"",X29*$N$8)</f>
        <v>590191.51151401876</v>
      </c>
      <c r="Z29" s="82">
        <v>0</v>
      </c>
      <c r="AA29" s="29">
        <f>IF(DFIE!$G$2=2008,0,IF(Z29=0,Y29+Q29,Z29))</f>
        <v>900965.22050101869</v>
      </c>
      <c r="AB29" s="353"/>
    </row>
    <row r="30" spans="1:28" x14ac:dyDescent="0.2">
      <c r="A30" s="353"/>
      <c r="B30" s="45" t="str">
        <f>DFIE!$B50</f>
        <v>Waadt</v>
      </c>
      <c r="C30" s="46">
        <v>2821796250</v>
      </c>
      <c r="D30" s="46">
        <v>0</v>
      </c>
      <c r="E30" s="46">
        <v>0</v>
      </c>
      <c r="F30" s="46">
        <v>0</v>
      </c>
      <c r="G30" s="46">
        <v>0</v>
      </c>
      <c r="H30" s="46">
        <v>2081665244.73</v>
      </c>
      <c r="I30" s="46">
        <v>0</v>
      </c>
      <c r="J30" s="22">
        <f t="shared" si="0"/>
        <v>4903461494.7299995</v>
      </c>
      <c r="K30" s="54"/>
      <c r="L30" s="54"/>
      <c r="M30" s="54"/>
      <c r="N30" s="54"/>
      <c r="O30" s="54"/>
      <c r="P30" s="20" t="str">
        <f>DFIE!$B50</f>
        <v>Waadt</v>
      </c>
      <c r="Q30" s="90">
        <f>IF(DFIE!$G$2=2008,"",C30*N$21/1000)</f>
        <v>1007381.26125</v>
      </c>
      <c r="R30" s="90">
        <f>IF(DFIE!$G$2=2008,"",D30*N$22/1000)</f>
        <v>0</v>
      </c>
      <c r="S30" s="90">
        <f>IF(DFIE!$G$2=2008,"",E30*N$23/1000)</f>
        <v>0</v>
      </c>
      <c r="T30" s="90">
        <f>IF(DFIE!$G$2=2008,"",F30*N$24/1000)</f>
        <v>0</v>
      </c>
      <c r="U30" s="90">
        <f>IF(DFIE!$G$2=2008,"",G30*N$25/1000)</f>
        <v>0</v>
      </c>
      <c r="V30" s="90">
        <f>IF(DFIE!$G$2=2008,"",H30*N$26/1000)</f>
        <v>356178.46392718633</v>
      </c>
      <c r="W30" s="90">
        <f>IF(DFIE!$G$2=2008,"",I30*N$27/1000)</f>
        <v>0</v>
      </c>
      <c r="X30" s="90">
        <f>IF(DFIE!$G$2=2008,"",SUM(R30:W30))</f>
        <v>356178.46392718633</v>
      </c>
      <c r="Y30" s="90">
        <f>IF(DFIE!$G$2=2008,"",X30*$N$8)</f>
        <v>267133.84794538975</v>
      </c>
      <c r="Z30" s="91">
        <v>0</v>
      </c>
      <c r="AA30" s="22">
        <f>IF(DFIE!$G$2=2008,0,IF(Z30=0,Y30+Q30,Z30))</f>
        <v>1274515.1091953898</v>
      </c>
      <c r="AB30" s="353"/>
    </row>
    <row r="31" spans="1:28" x14ac:dyDescent="0.2">
      <c r="A31" s="353"/>
      <c r="B31" s="63" t="str">
        <f>DFIE!$B51</f>
        <v>Wallis</v>
      </c>
      <c r="C31" s="33">
        <v>1085344327.6600001</v>
      </c>
      <c r="D31" s="33">
        <v>10007565.949999999</v>
      </c>
      <c r="E31" s="33">
        <v>0</v>
      </c>
      <c r="F31" s="33">
        <v>241649.15</v>
      </c>
      <c r="G31" s="33">
        <v>0</v>
      </c>
      <c r="H31" s="33">
        <v>96846148.659999996</v>
      </c>
      <c r="I31" s="33">
        <v>62766515.170000002</v>
      </c>
      <c r="J31" s="29">
        <f t="shared" si="0"/>
        <v>1255206206.5900004</v>
      </c>
      <c r="K31" s="54"/>
      <c r="L31" s="54"/>
      <c r="M31" s="54"/>
      <c r="N31" s="54"/>
      <c r="O31" s="54"/>
      <c r="P31" s="27" t="str">
        <f>DFIE!$B51</f>
        <v>Wallis</v>
      </c>
      <c r="Q31" s="69">
        <f>IF(DFIE!$G$2=2008,"",C31*N$21/1000)</f>
        <v>387467.92497461999</v>
      </c>
      <c r="R31" s="69">
        <f>IF(DFIE!$G$2=2008,"",D31*N$22/1000)</f>
        <v>3572.7010441499997</v>
      </c>
      <c r="S31" s="69">
        <f>IF(DFIE!$G$2=2008,"",E31*N$23/1000)</f>
        <v>0</v>
      </c>
      <c r="T31" s="69">
        <f>IF(DFIE!$G$2=2008,"",F31*N$24/1000)</f>
        <v>41.346812737642587</v>
      </c>
      <c r="U31" s="69">
        <f>IF(DFIE!$G$2=2008,"",G31*N$25/1000)</f>
        <v>0</v>
      </c>
      <c r="V31" s="69">
        <f>IF(DFIE!$G$2=2008,"",H31*N$26/1000)</f>
        <v>16570.633801140684</v>
      </c>
      <c r="W31" s="69">
        <f>IF(DFIE!$G$2=2008,"",I31*N$27/1000)</f>
        <v>13444.587549414</v>
      </c>
      <c r="X31" s="69">
        <f>IF(DFIE!$G$2=2008,"",SUM(R31:W31))</f>
        <v>33629.269207442325</v>
      </c>
      <c r="Y31" s="69">
        <f>IF(DFIE!$G$2=2008,"",X31*$N$8)</f>
        <v>25221.951905581744</v>
      </c>
      <c r="Z31" s="82">
        <v>0</v>
      </c>
      <c r="AA31" s="29">
        <f>IF(DFIE!$G$2=2008,0,IF(Z31=0,Y31+Q31,Z31))</f>
        <v>412689.87688020174</v>
      </c>
      <c r="AB31" s="353"/>
    </row>
    <row r="32" spans="1:28" x14ac:dyDescent="0.2">
      <c r="A32" s="353"/>
      <c r="B32" s="45" t="str">
        <f>DFIE!$B52</f>
        <v>Neuenburg</v>
      </c>
      <c r="C32" s="46">
        <v>377962217</v>
      </c>
      <c r="D32" s="46">
        <v>36638705</v>
      </c>
      <c r="E32" s="46">
        <v>68989</v>
      </c>
      <c r="F32" s="46">
        <v>272698</v>
      </c>
      <c r="G32" s="46">
        <v>0</v>
      </c>
      <c r="H32" s="46">
        <v>951588006</v>
      </c>
      <c r="I32" s="46">
        <v>0</v>
      </c>
      <c r="J32" s="22">
        <f t="shared" si="0"/>
        <v>1366530615</v>
      </c>
      <c r="K32" s="54"/>
      <c r="L32" s="54"/>
      <c r="M32" s="54"/>
      <c r="N32" s="54"/>
      <c r="O32" s="54"/>
      <c r="P32" s="20" t="str">
        <f>DFIE!$B52</f>
        <v>Neuenburg</v>
      </c>
      <c r="Q32" s="90">
        <f>IF(DFIE!$G$2=2008,"",C32*N$21/1000)</f>
        <v>134932.51146899999</v>
      </c>
      <c r="R32" s="90">
        <f>IF(DFIE!$G$2=2008,"",D32*N$22/1000)</f>
        <v>13080.017684999999</v>
      </c>
      <c r="S32" s="90">
        <f>IF(DFIE!$G$2=2008,"",E32*N$23/1000)</f>
        <v>21.550438874999998</v>
      </c>
      <c r="T32" s="90">
        <f>IF(DFIE!$G$2=2008,"",F32*N$24/1000)</f>
        <v>46.659353612167294</v>
      </c>
      <c r="U32" s="90">
        <f>IF(DFIE!$G$2=2008,"",G32*N$25/1000)</f>
        <v>0</v>
      </c>
      <c r="V32" s="90">
        <f>IF(DFIE!$G$2=2008,"",H32*N$26/1000)</f>
        <v>162819.2405703422</v>
      </c>
      <c r="W32" s="90">
        <f>IF(DFIE!$G$2=2008,"",I32*N$27/1000)</f>
        <v>0</v>
      </c>
      <c r="X32" s="90">
        <f>IF(DFIE!$G$2=2008,"",SUM(R32:W32))</f>
        <v>175967.46804782937</v>
      </c>
      <c r="Y32" s="90">
        <f>IF(DFIE!$G$2=2008,"",X32*$N$8)</f>
        <v>131975.60103587204</v>
      </c>
      <c r="Z32" s="91">
        <v>0</v>
      </c>
      <c r="AA32" s="22">
        <f>IF(DFIE!$G$2=2008,0,IF(Z32=0,Y32+Q32,Z32))</f>
        <v>266908.11250487203</v>
      </c>
      <c r="AB32" s="353"/>
    </row>
    <row r="33" spans="1:28" x14ac:dyDescent="0.2">
      <c r="A33" s="353"/>
      <c r="B33" s="63" t="str">
        <f>DFIE!$B53</f>
        <v>Genf</v>
      </c>
      <c r="C33" s="33">
        <v>3015523060</v>
      </c>
      <c r="D33" s="33">
        <v>432310044</v>
      </c>
      <c r="E33" s="33">
        <v>2618162</v>
      </c>
      <c r="F33" s="33">
        <v>0</v>
      </c>
      <c r="G33" s="33">
        <v>8011495231</v>
      </c>
      <c r="H33" s="33">
        <v>0</v>
      </c>
      <c r="I33" s="33">
        <v>0</v>
      </c>
      <c r="J33" s="29">
        <f t="shared" si="0"/>
        <v>11461946497</v>
      </c>
      <c r="K33" s="54"/>
      <c r="L33" s="54"/>
      <c r="M33" s="54"/>
      <c r="N33" s="54"/>
      <c r="O33" s="54"/>
      <c r="P33" s="27" t="str">
        <f>DFIE!$B53</f>
        <v>Genf</v>
      </c>
      <c r="Q33" s="69">
        <f>IF(DFIE!$G$2=2008,"",C33*N$21/1000)</f>
        <v>1076541.7324199998</v>
      </c>
      <c r="R33" s="69">
        <f>IF(DFIE!$G$2=2008,"",D33*N$22/1000)</f>
        <v>154334.685708</v>
      </c>
      <c r="S33" s="69">
        <f>IF(DFIE!$G$2=2008,"",E33*N$23/1000)</f>
        <v>817.84835474999988</v>
      </c>
      <c r="T33" s="69">
        <f>IF(DFIE!$G$2=2008,"",F33*N$24/1000)</f>
        <v>0</v>
      </c>
      <c r="U33" s="69">
        <f>IF(DFIE!$G$2=2008,"",G33*N$25/1000)</f>
        <v>1793935.2306038821</v>
      </c>
      <c r="V33" s="69">
        <f>IF(DFIE!$G$2=2008,"",H33*N$26/1000)</f>
        <v>0</v>
      </c>
      <c r="W33" s="69">
        <f>IF(DFIE!$G$2=2008,"",I33*N$27/1000)</f>
        <v>0</v>
      </c>
      <c r="X33" s="69">
        <f>IF(DFIE!$G$2=2008,"",SUM(R33:W33))</f>
        <v>1949087.7646666321</v>
      </c>
      <c r="Y33" s="69">
        <f>IF(DFIE!$G$2=2008,"",X33*$N$8)</f>
        <v>1461815.8234999741</v>
      </c>
      <c r="Z33" s="82">
        <v>0</v>
      </c>
      <c r="AA33" s="29">
        <f>IF(DFIE!$G$2=2008,0,IF(Z33=0,Y33+Q33,Z33))</f>
        <v>2538357.5559199741</v>
      </c>
      <c r="AB33" s="353"/>
    </row>
    <row r="34" spans="1:28" x14ac:dyDescent="0.2">
      <c r="A34" s="353"/>
      <c r="B34" s="45" t="str">
        <f>DFIE!$B54</f>
        <v>Jura</v>
      </c>
      <c r="C34" s="46">
        <v>81254548</v>
      </c>
      <c r="D34" s="46">
        <v>12835573</v>
      </c>
      <c r="E34" s="46">
        <v>0</v>
      </c>
      <c r="F34" s="46">
        <v>590388</v>
      </c>
      <c r="G34" s="46">
        <v>0</v>
      </c>
      <c r="H34" s="46">
        <v>495199796</v>
      </c>
      <c r="I34" s="46">
        <v>0</v>
      </c>
      <c r="J34" s="22">
        <f t="shared" si="0"/>
        <v>589880305</v>
      </c>
      <c r="K34" s="54"/>
      <c r="L34" s="54"/>
      <c r="M34" s="54"/>
      <c r="N34" s="54"/>
      <c r="O34" s="54"/>
      <c r="P34" s="20" t="str">
        <f>DFIE!$B54</f>
        <v>Jura</v>
      </c>
      <c r="Q34" s="90">
        <f>IF(DFIE!$G$2=2008,"",C34*N$21/1000)</f>
        <v>29007.873636</v>
      </c>
      <c r="R34" s="90">
        <f>IF(DFIE!$G$2=2008,"",D34*N$22/1000)</f>
        <v>4582.2995609999998</v>
      </c>
      <c r="S34" s="90">
        <f>IF(DFIE!$G$2=2008,"",E34*N$23/1000)</f>
        <v>0</v>
      </c>
      <c r="T34" s="90">
        <f>IF(DFIE!$G$2=2008,"",F34*N$24/1000)</f>
        <v>101.01695817490494</v>
      </c>
      <c r="U34" s="90">
        <f>IF(DFIE!$G$2=2008,"",G34*N$25/1000)</f>
        <v>0</v>
      </c>
      <c r="V34" s="90">
        <f>IF(DFIE!$G$2=2008,"",H34*N$26/1000)</f>
        <v>84730.003117870714</v>
      </c>
      <c r="W34" s="90">
        <f>IF(DFIE!$G$2=2008,"",I34*N$27/1000)</f>
        <v>0</v>
      </c>
      <c r="X34" s="90">
        <f>IF(DFIE!$G$2=2008,"",SUM(R34:W34))</f>
        <v>89413.319637045613</v>
      </c>
      <c r="Y34" s="90">
        <f>IF(DFIE!$G$2=2008,"",X34*$N$8)</f>
        <v>67059.98972778421</v>
      </c>
      <c r="Z34" s="91">
        <v>0</v>
      </c>
      <c r="AA34" s="22">
        <f>IF(DFIE!$G$2=2008,0,IF(Z34=0,Y34+Q34,Z34))</f>
        <v>96067.863363784214</v>
      </c>
      <c r="AB34" s="353"/>
    </row>
    <row r="35" spans="1:28" x14ac:dyDescent="0.2">
      <c r="A35" s="353"/>
      <c r="B35" s="28" t="str">
        <f>DFIE!$B55</f>
        <v>Schweiz</v>
      </c>
      <c r="C35" s="67">
        <f t="shared" ref="C35:I35" si="1">SUM(C9:C34)</f>
        <v>23753074363.149998</v>
      </c>
      <c r="D35" s="67">
        <f t="shared" si="1"/>
        <v>2479297296.3299999</v>
      </c>
      <c r="E35" s="67">
        <f t="shared" si="1"/>
        <v>591246070.29999995</v>
      </c>
      <c r="F35" s="67">
        <f t="shared" si="1"/>
        <v>4385534360.75</v>
      </c>
      <c r="G35" s="67">
        <f t="shared" si="1"/>
        <v>8011495231</v>
      </c>
      <c r="H35" s="67">
        <f t="shared" si="1"/>
        <v>6489604283.1499996</v>
      </c>
      <c r="I35" s="67">
        <f t="shared" si="1"/>
        <v>2825804402.1700001</v>
      </c>
      <c r="J35" s="66">
        <f t="shared" si="0"/>
        <v>48536056006.849998</v>
      </c>
      <c r="K35" s="54"/>
      <c r="L35" s="54"/>
      <c r="M35" s="54"/>
      <c r="N35" s="54"/>
      <c r="O35" s="54"/>
      <c r="P35" s="28" t="str">
        <f>DFIE!$B55</f>
        <v>Schweiz</v>
      </c>
      <c r="Q35" s="32">
        <f>SUM(Q9:Q34)</f>
        <v>8479847.54764455</v>
      </c>
      <c r="R35" s="32">
        <f t="shared" ref="R35:Y35" si="2">SUM(R9:R34)</f>
        <v>885109.13478980982</v>
      </c>
      <c r="S35" s="32">
        <f t="shared" si="2"/>
        <v>184690.49120996243</v>
      </c>
      <c r="T35" s="32">
        <f t="shared" si="2"/>
        <v>750376.60164923954</v>
      </c>
      <c r="U35" s="32">
        <f t="shared" si="2"/>
        <v>1793935.2306038821</v>
      </c>
      <c r="V35" s="32">
        <f t="shared" si="2"/>
        <v>1110388.5655579846</v>
      </c>
      <c r="W35" s="32">
        <f t="shared" si="2"/>
        <v>605287.30294481397</v>
      </c>
      <c r="X35" s="32">
        <f t="shared" si="2"/>
        <v>5329787.3267556913</v>
      </c>
      <c r="Y35" s="32">
        <f t="shared" si="2"/>
        <v>3997340.4950667699</v>
      </c>
      <c r="Z35" s="66">
        <f>IF(DFIE!$G$2=2008,"",SUM(Z9:Z34))</f>
        <v>0</v>
      </c>
      <c r="AA35" s="30">
        <f>SUM(AA9:AA34)</f>
        <v>12477188.042711318</v>
      </c>
      <c r="AB35" s="353"/>
    </row>
    <row r="36" spans="1:28" ht="14.25" customHeight="1" x14ac:dyDescent="0.2">
      <c r="A36" s="36"/>
    </row>
    <row r="37" spans="1:28" x14ac:dyDescent="0.2">
      <c r="A37" s="354" t="str">
        <f>DFIE!$B$71</f>
        <v>Bemessungsjahr 2014</v>
      </c>
      <c r="B37" s="64" t="str">
        <f>DFIE!$B29</f>
        <v>Zürich</v>
      </c>
      <c r="C37" s="65">
        <v>5668437813.3599997</v>
      </c>
      <c r="D37" s="65">
        <v>59302747</v>
      </c>
      <c r="E37" s="65">
        <v>0</v>
      </c>
      <c r="F37" s="65">
        <v>589250790.64999998</v>
      </c>
      <c r="G37" s="65">
        <v>0</v>
      </c>
      <c r="H37" s="65">
        <v>0</v>
      </c>
      <c r="I37" s="65">
        <v>0</v>
      </c>
      <c r="J37" s="31">
        <f t="shared" ref="J37:J63" si="3">SUM(C37:I37)</f>
        <v>6316991351.0099993</v>
      </c>
      <c r="K37" s="103"/>
      <c r="L37" s="56"/>
      <c r="M37" s="56"/>
      <c r="N37" s="56"/>
      <c r="O37" s="103"/>
      <c r="P37" s="111" t="str">
        <f>DFIE!$B29</f>
        <v>Zürich</v>
      </c>
      <c r="Q37" s="110">
        <f>C37*N$49/1000</f>
        <v>2057642.9262496799</v>
      </c>
      <c r="R37" s="110">
        <f>D37*N$50/1000</f>
        <v>21526.897160999997</v>
      </c>
      <c r="S37" s="70">
        <f>E37*N$51/1000</f>
        <v>0</v>
      </c>
      <c r="T37" s="70">
        <f>F37*N$52/1000</f>
        <v>100822.37862832699</v>
      </c>
      <c r="U37" s="70">
        <f>G37*N$53/1000</f>
        <v>0</v>
      </c>
      <c r="V37" s="70">
        <f>H37*N$54/1000</f>
        <v>0</v>
      </c>
      <c r="W37" s="70">
        <f>I37*N$55/1000</f>
        <v>0</v>
      </c>
      <c r="X37" s="70">
        <f t="shared" ref="X37:X62" si="4">SUM(R37:W37)</f>
        <v>122349.27578932699</v>
      </c>
      <c r="Y37" s="70">
        <f>X37*$N$8</f>
        <v>91761.956841995241</v>
      </c>
      <c r="Z37" s="81">
        <v>0</v>
      </c>
      <c r="AA37" s="71">
        <f>IF(Z37=0,Y37+Q37,Z37)</f>
        <v>2149404.8830916751</v>
      </c>
      <c r="AB37" s="354" t="str">
        <f>DFIE!$B$71</f>
        <v>Bemessungsjahr 2014</v>
      </c>
    </row>
    <row r="38" spans="1:28" x14ac:dyDescent="0.2">
      <c r="A38" s="354"/>
      <c r="B38" s="45" t="str">
        <f>DFIE!$B30</f>
        <v>Bern</v>
      </c>
      <c r="C38" s="46">
        <v>1743849343.98</v>
      </c>
      <c r="D38" s="46">
        <v>168886240.16</v>
      </c>
      <c r="E38" s="46">
        <v>183086</v>
      </c>
      <c r="F38" s="46">
        <v>18932027.050000001</v>
      </c>
      <c r="G38" s="46">
        <v>0</v>
      </c>
      <c r="H38" s="46">
        <v>153026730.83000001</v>
      </c>
      <c r="I38" s="46">
        <v>0</v>
      </c>
      <c r="J38" s="22">
        <f t="shared" si="3"/>
        <v>2084877428.02</v>
      </c>
      <c r="K38" s="103"/>
      <c r="L38" s="56"/>
      <c r="M38" s="56"/>
      <c r="N38" s="56"/>
      <c r="O38" s="103"/>
      <c r="P38" s="20" t="str">
        <f>DFIE!$B30</f>
        <v>Bern</v>
      </c>
      <c r="Q38" s="90">
        <f t="shared" ref="Q38:Q62" si="5">C38*N$49/1000</f>
        <v>633017.31186473998</v>
      </c>
      <c r="R38" s="90">
        <f t="shared" ref="R38:R62" si="6">D38*N$50/1000</f>
        <v>61305.705178080003</v>
      </c>
      <c r="S38" s="90">
        <f t="shared" ref="S38:S62" si="7">E38*N$51/1000</f>
        <v>58.152690750000005</v>
      </c>
      <c r="T38" s="90">
        <f t="shared" ref="T38:T62" si="8">F38*N$52/1000</f>
        <v>3239.3202176806085</v>
      </c>
      <c r="U38" s="90">
        <f t="shared" ref="U38:U62" si="9">G38*N$53/1000</f>
        <v>0</v>
      </c>
      <c r="V38" s="90">
        <f t="shared" ref="V38:V62" si="10">H38*N$54/1000</f>
        <v>26183.2809404943</v>
      </c>
      <c r="W38" s="90">
        <f t="shared" ref="W38:W62" si="11">I38*N$55/1000</f>
        <v>0</v>
      </c>
      <c r="X38" s="90">
        <f t="shared" si="4"/>
        <v>90786.459027004908</v>
      </c>
      <c r="Y38" s="90">
        <f t="shared" ref="Y38:Y62" si="12">X38*$N$8</f>
        <v>68089.844270253685</v>
      </c>
      <c r="Z38" s="91">
        <v>0</v>
      </c>
      <c r="AA38" s="22">
        <f t="shared" ref="AA38:AA62" si="13">IF(Z38=0,Y38+Q38,Z38)</f>
        <v>701107.15613499365</v>
      </c>
      <c r="AB38" s="354"/>
    </row>
    <row r="39" spans="1:28" x14ac:dyDescent="0.2">
      <c r="A39" s="354"/>
      <c r="B39" s="63" t="str">
        <f>DFIE!$B31</f>
        <v>Luzern</v>
      </c>
      <c r="C39" s="33">
        <v>708205136.65999997</v>
      </c>
      <c r="D39" s="33">
        <v>63051062.390000001</v>
      </c>
      <c r="E39" s="33">
        <v>1054769.6000000001</v>
      </c>
      <c r="F39" s="33">
        <v>7747325.7300000004</v>
      </c>
      <c r="G39" s="33">
        <v>0</v>
      </c>
      <c r="H39" s="33">
        <v>0</v>
      </c>
      <c r="I39" s="33">
        <v>0</v>
      </c>
      <c r="J39" s="29">
        <f t="shared" si="3"/>
        <v>780058294.38</v>
      </c>
      <c r="K39" s="103"/>
      <c r="L39" s="34" t="str">
        <f>DFIE!B99</f>
        <v>Berechnung Gamma 2014</v>
      </c>
      <c r="M39" s="34"/>
      <c r="N39" s="52"/>
      <c r="O39" s="103"/>
      <c r="P39" s="27" t="str">
        <f>DFIE!$B31</f>
        <v>Luzern</v>
      </c>
      <c r="Q39" s="69">
        <f t="shared" si="5"/>
        <v>257078.46460757998</v>
      </c>
      <c r="R39" s="69">
        <f t="shared" si="6"/>
        <v>22887.535647569999</v>
      </c>
      <c r="S39" s="69">
        <f t="shared" si="7"/>
        <v>335.02119420000002</v>
      </c>
      <c r="T39" s="69">
        <f t="shared" si="8"/>
        <v>1325.588052661597</v>
      </c>
      <c r="U39" s="69">
        <f t="shared" si="9"/>
        <v>0</v>
      </c>
      <c r="V39" s="69">
        <f t="shared" si="10"/>
        <v>0</v>
      </c>
      <c r="W39" s="69">
        <f t="shared" si="11"/>
        <v>0</v>
      </c>
      <c r="X39" s="69">
        <f t="shared" si="4"/>
        <v>24548.144894431596</v>
      </c>
      <c r="Y39" s="69">
        <f t="shared" si="12"/>
        <v>18411.108670823698</v>
      </c>
      <c r="Z39" s="82">
        <v>0</v>
      </c>
      <c r="AA39" s="29">
        <f t="shared" si="13"/>
        <v>275489.57327840367</v>
      </c>
      <c r="AB39" s="354"/>
    </row>
    <row r="40" spans="1:28" x14ac:dyDescent="0.2">
      <c r="A40" s="354"/>
      <c r="B40" s="45" t="str">
        <f>DFIE!$B32</f>
        <v>Uri</v>
      </c>
      <c r="C40" s="46">
        <v>89293814</v>
      </c>
      <c r="D40" s="46">
        <v>930146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22">
        <f t="shared" si="3"/>
        <v>90223960</v>
      </c>
      <c r="K40" s="103"/>
      <c r="L40" s="52"/>
      <c r="M40" s="52"/>
      <c r="N40" s="52"/>
      <c r="O40" s="103"/>
      <c r="P40" s="20" t="str">
        <f>DFIE!$B32</f>
        <v>Uri</v>
      </c>
      <c r="Q40" s="90">
        <f t="shared" si="5"/>
        <v>32413.654482000002</v>
      </c>
      <c r="R40" s="90">
        <f t="shared" si="6"/>
        <v>337.64299799999998</v>
      </c>
      <c r="S40" s="90">
        <f t="shared" si="7"/>
        <v>0</v>
      </c>
      <c r="T40" s="90">
        <f t="shared" si="8"/>
        <v>0</v>
      </c>
      <c r="U40" s="90">
        <f t="shared" si="9"/>
        <v>0</v>
      </c>
      <c r="V40" s="90">
        <f t="shared" si="10"/>
        <v>0</v>
      </c>
      <c r="W40" s="90">
        <f t="shared" si="11"/>
        <v>0</v>
      </c>
      <c r="X40" s="90">
        <f t="shared" si="4"/>
        <v>337.64299799999998</v>
      </c>
      <c r="Y40" s="90">
        <f t="shared" si="12"/>
        <v>253.23224849999997</v>
      </c>
      <c r="Z40" s="91">
        <v>0</v>
      </c>
      <c r="AA40" s="22">
        <f t="shared" si="13"/>
        <v>32666.886730500002</v>
      </c>
      <c r="AB40" s="354"/>
    </row>
    <row r="41" spans="1:28" x14ac:dyDescent="0.2">
      <c r="A41" s="354"/>
      <c r="B41" s="63" t="str">
        <f>DFIE!$B33</f>
        <v>Schwyz</v>
      </c>
      <c r="C41" s="33">
        <v>349260811.99000001</v>
      </c>
      <c r="D41" s="33">
        <v>61723203.43</v>
      </c>
      <c r="E41" s="33">
        <v>1447629.95</v>
      </c>
      <c r="F41" s="33">
        <v>676269.62</v>
      </c>
      <c r="G41" s="33">
        <v>0</v>
      </c>
      <c r="H41" s="33">
        <v>0</v>
      </c>
      <c r="I41" s="33">
        <v>0</v>
      </c>
      <c r="J41" s="29">
        <f t="shared" si="3"/>
        <v>413107914.99000001</v>
      </c>
      <c r="K41" s="103"/>
      <c r="L41" s="99" t="str">
        <f>DFIE!$B$101</f>
        <v>in CHF 1'000</v>
      </c>
      <c r="M41" s="99"/>
      <c r="N41" s="100"/>
      <c r="O41" s="103"/>
      <c r="P41" s="27" t="str">
        <f>DFIE!$B33</f>
        <v>Schwyz</v>
      </c>
      <c r="Q41" s="69">
        <f t="shared" si="5"/>
        <v>126781.67475237</v>
      </c>
      <c r="R41" s="69">
        <f t="shared" si="6"/>
        <v>22405.522845089999</v>
      </c>
      <c r="S41" s="69">
        <f t="shared" si="7"/>
        <v>459.80346286874999</v>
      </c>
      <c r="T41" s="69">
        <f t="shared" si="8"/>
        <v>115.71153193916349</v>
      </c>
      <c r="U41" s="69">
        <f t="shared" si="9"/>
        <v>0</v>
      </c>
      <c r="V41" s="69">
        <f t="shared" si="10"/>
        <v>0</v>
      </c>
      <c r="W41" s="69">
        <f t="shared" si="11"/>
        <v>0</v>
      </c>
      <c r="X41" s="69">
        <f t="shared" si="4"/>
        <v>22981.037839897912</v>
      </c>
      <c r="Y41" s="69">
        <f t="shared" si="12"/>
        <v>17235.778379923435</v>
      </c>
      <c r="Z41" s="82">
        <v>0</v>
      </c>
      <c r="AA41" s="29">
        <f t="shared" si="13"/>
        <v>144017.45313229345</v>
      </c>
      <c r="AB41" s="354"/>
    </row>
    <row r="42" spans="1:28" x14ac:dyDescent="0.2">
      <c r="A42" s="354"/>
      <c r="B42" s="45" t="str">
        <f>DFIE!$B34</f>
        <v>Obwalden</v>
      </c>
      <c r="C42" s="46">
        <v>91189030.959999993</v>
      </c>
      <c r="D42" s="46">
        <v>5795927.7999999998</v>
      </c>
      <c r="E42" s="46">
        <v>410015.6</v>
      </c>
      <c r="F42" s="46">
        <v>682356.41</v>
      </c>
      <c r="G42" s="46">
        <v>0</v>
      </c>
      <c r="H42" s="46">
        <v>0</v>
      </c>
      <c r="I42" s="46">
        <v>0</v>
      </c>
      <c r="J42" s="22">
        <f t="shared" si="3"/>
        <v>98077330.769999981</v>
      </c>
      <c r="K42" s="103"/>
      <c r="L42" s="52" t="str">
        <f>DFIE!$B$102</f>
        <v>A    Primäreinkommen der privaten Haushalte</v>
      </c>
      <c r="M42" s="52"/>
      <c r="N42" s="33">
        <v>477915930.66217798</v>
      </c>
      <c r="O42" s="103"/>
      <c r="P42" s="20" t="str">
        <f>DFIE!$B34</f>
        <v>Obwalden</v>
      </c>
      <c r="Q42" s="90">
        <f t="shared" si="5"/>
        <v>33101.618238479998</v>
      </c>
      <c r="R42" s="90">
        <f t="shared" si="6"/>
        <v>2103.9217914000001</v>
      </c>
      <c r="S42" s="90">
        <f t="shared" si="7"/>
        <v>130.23120494999998</v>
      </c>
      <c r="T42" s="90">
        <f t="shared" si="8"/>
        <v>116.75299790874526</v>
      </c>
      <c r="U42" s="90">
        <f t="shared" si="9"/>
        <v>0</v>
      </c>
      <c r="V42" s="90">
        <f t="shared" si="10"/>
        <v>0</v>
      </c>
      <c r="W42" s="90">
        <f t="shared" si="11"/>
        <v>0</v>
      </c>
      <c r="X42" s="90">
        <f t="shared" si="4"/>
        <v>2350.9059942587455</v>
      </c>
      <c r="Y42" s="90">
        <f t="shared" si="12"/>
        <v>1763.1794956940591</v>
      </c>
      <c r="Z42" s="91">
        <v>0</v>
      </c>
      <c r="AA42" s="22">
        <f t="shared" si="13"/>
        <v>34864.797734174055</v>
      </c>
      <c r="AB42" s="354"/>
    </row>
    <row r="43" spans="1:28" x14ac:dyDescent="0.2">
      <c r="A43" s="354"/>
      <c r="B43" s="63" t="str">
        <f>DFIE!$B35</f>
        <v>Nidwalden</v>
      </c>
      <c r="C43" s="33">
        <v>97338320.219999999</v>
      </c>
      <c r="D43" s="33">
        <v>1605918.19</v>
      </c>
      <c r="E43" s="33">
        <v>3287812.15</v>
      </c>
      <c r="F43" s="33">
        <v>536428.85</v>
      </c>
      <c r="G43" s="33">
        <v>0</v>
      </c>
      <c r="H43" s="33">
        <v>0</v>
      </c>
      <c r="I43" s="33">
        <v>0</v>
      </c>
      <c r="J43" s="29">
        <f t="shared" si="3"/>
        <v>102768479.41</v>
      </c>
      <c r="K43" s="103"/>
      <c r="L43" s="52" t="str">
        <f>DFIE!$B$103</f>
        <v>B    Massgebendes Einkommen</v>
      </c>
      <c r="M43" s="52"/>
      <c r="N43" s="73">
        <f>NP!E63</f>
        <v>173454199.49999994</v>
      </c>
      <c r="O43" s="103"/>
      <c r="P43" s="27" t="str">
        <f>DFIE!$B35</f>
        <v>Nidwalden</v>
      </c>
      <c r="Q43" s="69">
        <f t="shared" si="5"/>
        <v>35333.810239859995</v>
      </c>
      <c r="R43" s="69">
        <f t="shared" si="6"/>
        <v>582.94830296999999</v>
      </c>
      <c r="S43" s="69">
        <f t="shared" si="7"/>
        <v>1044.29133414375</v>
      </c>
      <c r="T43" s="69">
        <f t="shared" si="8"/>
        <v>91.784403992395426</v>
      </c>
      <c r="U43" s="69">
        <f t="shared" si="9"/>
        <v>0</v>
      </c>
      <c r="V43" s="69">
        <f t="shared" si="10"/>
        <v>0</v>
      </c>
      <c r="W43" s="69">
        <f t="shared" si="11"/>
        <v>0</v>
      </c>
      <c r="X43" s="69">
        <f t="shared" si="4"/>
        <v>1719.0240411061454</v>
      </c>
      <c r="Y43" s="69">
        <f t="shared" si="12"/>
        <v>1289.268030829609</v>
      </c>
      <c r="Z43" s="82">
        <v>0</v>
      </c>
      <c r="AA43" s="29">
        <f t="shared" si="13"/>
        <v>36623.078270689606</v>
      </c>
      <c r="AB43" s="354"/>
    </row>
    <row r="44" spans="1:28" x14ac:dyDescent="0.2">
      <c r="A44" s="354"/>
      <c r="B44" s="45" t="str">
        <f>DFIE!$B36</f>
        <v>Glarus</v>
      </c>
      <c r="C44" s="46">
        <v>127028403.91</v>
      </c>
      <c r="D44" s="46">
        <v>295313.59999999998</v>
      </c>
      <c r="E44" s="46">
        <v>3639014.6</v>
      </c>
      <c r="F44" s="46">
        <v>573394.75</v>
      </c>
      <c r="G44" s="46">
        <v>0</v>
      </c>
      <c r="H44" s="46">
        <v>0</v>
      </c>
      <c r="I44" s="46">
        <v>0</v>
      </c>
      <c r="J44" s="22">
        <f t="shared" si="3"/>
        <v>131536126.85999998</v>
      </c>
      <c r="K44" s="103"/>
      <c r="L44" s="52"/>
      <c r="M44" s="52"/>
      <c r="N44" s="52"/>
      <c r="O44" s="103"/>
      <c r="P44" s="20" t="str">
        <f>DFIE!$B36</f>
        <v>Glarus</v>
      </c>
      <c r="Q44" s="90">
        <f t="shared" si="5"/>
        <v>46111.310619329997</v>
      </c>
      <c r="R44" s="90">
        <f t="shared" si="6"/>
        <v>107.1988368</v>
      </c>
      <c r="S44" s="90">
        <f t="shared" si="7"/>
        <v>1155.842012325</v>
      </c>
      <c r="T44" s="90">
        <f t="shared" si="8"/>
        <v>98.109367870722437</v>
      </c>
      <c r="U44" s="90">
        <f t="shared" si="9"/>
        <v>0</v>
      </c>
      <c r="V44" s="90">
        <f t="shared" si="10"/>
        <v>0</v>
      </c>
      <c r="W44" s="90">
        <f t="shared" si="11"/>
        <v>0</v>
      </c>
      <c r="X44" s="90">
        <f t="shared" si="4"/>
        <v>1361.1502169957225</v>
      </c>
      <c r="Y44" s="90">
        <f t="shared" si="12"/>
        <v>1020.8626627467919</v>
      </c>
      <c r="Z44" s="91">
        <v>0</v>
      </c>
      <c r="AA44" s="22">
        <f t="shared" si="13"/>
        <v>47132.173282076787</v>
      </c>
      <c r="AB44" s="354"/>
    </row>
    <row r="45" spans="1:28" x14ac:dyDescent="0.2">
      <c r="A45" s="354"/>
      <c r="B45" s="63" t="str">
        <f>DFIE!$B37</f>
        <v>Zug</v>
      </c>
      <c r="C45" s="33">
        <v>564544997</v>
      </c>
      <c r="D45" s="33">
        <v>91308613</v>
      </c>
      <c r="E45" s="33">
        <v>5307299</v>
      </c>
      <c r="F45" s="33">
        <v>7942819</v>
      </c>
      <c r="G45" s="33">
        <v>0</v>
      </c>
      <c r="H45" s="33">
        <v>0</v>
      </c>
      <c r="I45" s="33">
        <v>0</v>
      </c>
      <c r="J45" s="29">
        <f t="shared" si="3"/>
        <v>669103728</v>
      </c>
      <c r="K45" s="103"/>
      <c r="L45" s="34" t="str">
        <f>DFIE!$B$104</f>
        <v>C    Gamma (B / A)</v>
      </c>
      <c r="M45" s="34"/>
      <c r="N45" s="72">
        <f>ROUND(N43/N42,3)</f>
        <v>0.36299999999999999</v>
      </c>
      <c r="O45" s="103"/>
      <c r="P45" s="27" t="str">
        <f>DFIE!$B37</f>
        <v>Zug</v>
      </c>
      <c r="Q45" s="69">
        <f t="shared" si="5"/>
        <v>204929.83391099999</v>
      </c>
      <c r="R45" s="69">
        <f t="shared" si="6"/>
        <v>33145.026518999999</v>
      </c>
      <c r="S45" s="69">
        <f t="shared" si="7"/>
        <v>1685.730844875</v>
      </c>
      <c r="T45" s="69">
        <f t="shared" si="8"/>
        <v>1359.0374714828897</v>
      </c>
      <c r="U45" s="69">
        <f t="shared" si="9"/>
        <v>0</v>
      </c>
      <c r="V45" s="69">
        <f t="shared" si="10"/>
        <v>0</v>
      </c>
      <c r="W45" s="69">
        <f t="shared" si="11"/>
        <v>0</v>
      </c>
      <c r="X45" s="69">
        <f t="shared" si="4"/>
        <v>36189.794835357883</v>
      </c>
      <c r="Y45" s="69">
        <f t="shared" si="12"/>
        <v>27142.346126518412</v>
      </c>
      <c r="Z45" s="82">
        <v>0</v>
      </c>
      <c r="AA45" s="29">
        <f t="shared" si="13"/>
        <v>232072.18003751841</v>
      </c>
      <c r="AB45" s="354"/>
    </row>
    <row r="46" spans="1:28" x14ac:dyDescent="0.2">
      <c r="A46" s="354"/>
      <c r="B46" s="45" t="str">
        <f>DFIE!$B38</f>
        <v>Freiburg</v>
      </c>
      <c r="C46" s="46">
        <v>609268639.19999599</v>
      </c>
      <c r="D46" s="46">
        <v>84387074.450000107</v>
      </c>
      <c r="E46" s="46">
        <v>2194540.7999999998</v>
      </c>
      <c r="F46" s="46">
        <v>658991</v>
      </c>
      <c r="G46" s="46">
        <v>0</v>
      </c>
      <c r="H46" s="46">
        <v>0</v>
      </c>
      <c r="I46" s="46">
        <v>0</v>
      </c>
      <c r="J46" s="22">
        <f t="shared" si="3"/>
        <v>696509245.44999599</v>
      </c>
      <c r="K46" s="103"/>
      <c r="L46" s="56"/>
      <c r="M46" s="56"/>
      <c r="N46" s="56"/>
      <c r="O46" s="103"/>
      <c r="P46" s="20" t="str">
        <f>DFIE!$B38</f>
        <v>Freiburg</v>
      </c>
      <c r="Q46" s="90">
        <f t="shared" si="5"/>
        <v>221164.51602959854</v>
      </c>
      <c r="R46" s="90">
        <f t="shared" si="6"/>
        <v>30632.508025350038</v>
      </c>
      <c r="S46" s="90">
        <f t="shared" si="7"/>
        <v>697.04102160000002</v>
      </c>
      <c r="T46" s="90">
        <f t="shared" si="8"/>
        <v>112.75511406844106</v>
      </c>
      <c r="U46" s="90">
        <f t="shared" si="9"/>
        <v>0</v>
      </c>
      <c r="V46" s="90">
        <f t="shared" si="10"/>
        <v>0</v>
      </c>
      <c r="W46" s="90">
        <f t="shared" si="11"/>
        <v>0</v>
      </c>
      <c r="X46" s="90">
        <f t="shared" si="4"/>
        <v>31442.304161018477</v>
      </c>
      <c r="Y46" s="90">
        <f t="shared" si="12"/>
        <v>23581.728120763859</v>
      </c>
      <c r="Z46" s="91">
        <v>0</v>
      </c>
      <c r="AA46" s="22">
        <f t="shared" si="13"/>
        <v>244746.24415036238</v>
      </c>
      <c r="AB46" s="354"/>
    </row>
    <row r="47" spans="1:28" x14ac:dyDescent="0.2">
      <c r="A47" s="354"/>
      <c r="B47" s="63" t="str">
        <f>DFIE!$B39</f>
        <v>Solothurn</v>
      </c>
      <c r="C47" s="33">
        <v>370593174</v>
      </c>
      <c r="D47" s="33">
        <v>28695784</v>
      </c>
      <c r="E47" s="33">
        <v>557732</v>
      </c>
      <c r="F47" s="33">
        <v>43521526</v>
      </c>
      <c r="G47" s="33">
        <v>0</v>
      </c>
      <c r="H47" s="33">
        <v>88966406</v>
      </c>
      <c r="I47" s="33">
        <v>0</v>
      </c>
      <c r="J47" s="29">
        <f t="shared" si="3"/>
        <v>532334622</v>
      </c>
      <c r="K47" s="103"/>
      <c r="L47" s="56"/>
      <c r="M47" s="56"/>
      <c r="N47" s="56"/>
      <c r="O47" s="103"/>
      <c r="P47" s="27" t="str">
        <f>DFIE!$B39</f>
        <v>Solothurn</v>
      </c>
      <c r="Q47" s="69">
        <f t="shared" si="5"/>
        <v>134525.322162</v>
      </c>
      <c r="R47" s="69">
        <f t="shared" si="6"/>
        <v>10416.569592</v>
      </c>
      <c r="S47" s="69">
        <f t="shared" si="7"/>
        <v>177.14962649999998</v>
      </c>
      <c r="T47" s="69">
        <f t="shared" si="8"/>
        <v>7446.6489353612169</v>
      </c>
      <c r="U47" s="69">
        <f t="shared" si="9"/>
        <v>0</v>
      </c>
      <c r="V47" s="69">
        <f t="shared" si="10"/>
        <v>15222.38885931559</v>
      </c>
      <c r="W47" s="69">
        <f t="shared" si="11"/>
        <v>0</v>
      </c>
      <c r="X47" s="69">
        <f t="shared" si="4"/>
        <v>33262.757013176808</v>
      </c>
      <c r="Y47" s="69">
        <f t="shared" si="12"/>
        <v>24947.067759882608</v>
      </c>
      <c r="Z47" s="82">
        <v>0</v>
      </c>
      <c r="AA47" s="29">
        <f t="shared" si="13"/>
        <v>159472.3899218826</v>
      </c>
      <c r="AB47" s="354"/>
    </row>
    <row r="48" spans="1:28" x14ac:dyDescent="0.2">
      <c r="A48" s="354"/>
      <c r="B48" s="45" t="str">
        <f>DFIE!$B40</f>
        <v>Basel-Stadt</v>
      </c>
      <c r="C48" s="46">
        <v>794373896.62</v>
      </c>
      <c r="D48" s="46">
        <v>289767376.06</v>
      </c>
      <c r="E48" s="46">
        <v>1226617.43</v>
      </c>
      <c r="F48" s="46">
        <v>1499196519.71</v>
      </c>
      <c r="G48" s="46">
        <v>0</v>
      </c>
      <c r="H48" s="46">
        <v>1708437095.47</v>
      </c>
      <c r="I48" s="46">
        <v>0</v>
      </c>
      <c r="J48" s="22">
        <f t="shared" si="3"/>
        <v>4293001505.29</v>
      </c>
      <c r="K48" s="103"/>
      <c r="L48" s="34" t="str">
        <f>DFIE!$B$58</f>
        <v>Kategorie</v>
      </c>
      <c r="M48" s="34" t="str">
        <f>DFIE!$B$105</f>
        <v>Formel für Gewicht</v>
      </c>
      <c r="N48" s="74" t="str">
        <f>DFIE!$B$106</f>
        <v>Gewicht (ω)</v>
      </c>
      <c r="O48" s="103"/>
      <c r="P48" s="20" t="str">
        <f>DFIE!$B40</f>
        <v>Basel-Stadt</v>
      </c>
      <c r="Q48" s="90">
        <f t="shared" si="5"/>
        <v>288357.72447305999</v>
      </c>
      <c r="R48" s="90">
        <f t="shared" si="6"/>
        <v>105185.55750978</v>
      </c>
      <c r="S48" s="90">
        <f t="shared" si="7"/>
        <v>389.60436120374993</v>
      </c>
      <c r="T48" s="90">
        <f t="shared" si="8"/>
        <v>256516.51477927755</v>
      </c>
      <c r="U48" s="90">
        <f t="shared" si="9"/>
        <v>0</v>
      </c>
      <c r="V48" s="90">
        <f t="shared" si="10"/>
        <v>292318.1342058935</v>
      </c>
      <c r="W48" s="90">
        <f t="shared" si="11"/>
        <v>0</v>
      </c>
      <c r="X48" s="90">
        <f t="shared" si="4"/>
        <v>654409.81085615477</v>
      </c>
      <c r="Y48" s="90">
        <f t="shared" si="12"/>
        <v>490807.35814211611</v>
      </c>
      <c r="Z48" s="91">
        <v>0</v>
      </c>
      <c r="AA48" s="22">
        <f t="shared" si="13"/>
        <v>779165.0826151761</v>
      </c>
      <c r="AB48" s="354"/>
    </row>
    <row r="49" spans="1:28" x14ac:dyDescent="0.2">
      <c r="A49" s="354"/>
      <c r="B49" s="63" t="str">
        <f>DFIE!$B41</f>
        <v>Basel-Landschaft</v>
      </c>
      <c r="C49" s="33">
        <v>410162336</v>
      </c>
      <c r="D49" s="33">
        <v>85583752</v>
      </c>
      <c r="E49" s="33">
        <v>1642627</v>
      </c>
      <c r="F49" s="33">
        <v>749435114</v>
      </c>
      <c r="G49" s="33">
        <v>0</v>
      </c>
      <c r="H49" s="33">
        <v>1019976859</v>
      </c>
      <c r="I49" s="33">
        <v>0</v>
      </c>
      <c r="J49" s="29">
        <f t="shared" si="3"/>
        <v>2266800688</v>
      </c>
      <c r="K49" s="103"/>
      <c r="L49" s="101">
        <v>0</v>
      </c>
      <c r="M49" s="101" t="s">
        <v>70</v>
      </c>
      <c r="N49" s="75">
        <f>N45</f>
        <v>0.36299999999999999</v>
      </c>
      <c r="O49" s="103"/>
      <c r="P49" s="27" t="str">
        <f>DFIE!$B41</f>
        <v>Basel-Landschaft</v>
      </c>
      <c r="Q49" s="69">
        <f t="shared" si="5"/>
        <v>148888.927968</v>
      </c>
      <c r="R49" s="69">
        <f t="shared" si="6"/>
        <v>31066.901976000001</v>
      </c>
      <c r="S49" s="69">
        <f t="shared" si="7"/>
        <v>521.739400875</v>
      </c>
      <c r="T49" s="69">
        <f t="shared" si="8"/>
        <v>128230.34269961977</v>
      </c>
      <c r="U49" s="69">
        <f t="shared" si="9"/>
        <v>0</v>
      </c>
      <c r="V49" s="69">
        <f t="shared" si="10"/>
        <v>174520.75534220532</v>
      </c>
      <c r="W49" s="69">
        <f t="shared" si="11"/>
        <v>0</v>
      </c>
      <c r="X49" s="69">
        <f t="shared" si="4"/>
        <v>334339.7394187001</v>
      </c>
      <c r="Y49" s="69">
        <f t="shared" si="12"/>
        <v>250754.80456402508</v>
      </c>
      <c r="Z49" s="82">
        <v>0</v>
      </c>
      <c r="AA49" s="29">
        <f t="shared" si="13"/>
        <v>399643.73253202508</v>
      </c>
      <c r="AB49" s="354"/>
    </row>
    <row r="50" spans="1:28" x14ac:dyDescent="0.2">
      <c r="A50" s="354"/>
      <c r="B50" s="45" t="str">
        <f>DFIE!$B42</f>
        <v>Schaffhausen</v>
      </c>
      <c r="C50" s="46">
        <v>291948015</v>
      </c>
      <c r="D50" s="46">
        <v>32419727.600000001</v>
      </c>
      <c r="E50" s="46">
        <v>655721</v>
      </c>
      <c r="F50" s="46">
        <v>388730397</v>
      </c>
      <c r="G50" s="46">
        <v>0</v>
      </c>
      <c r="H50" s="46">
        <v>0</v>
      </c>
      <c r="I50" s="46">
        <v>0</v>
      </c>
      <c r="J50" s="22">
        <f t="shared" si="3"/>
        <v>713753860.60000002</v>
      </c>
      <c r="K50" s="103"/>
      <c r="L50" s="101">
        <v>1</v>
      </c>
      <c r="M50" s="101" t="s">
        <v>70</v>
      </c>
      <c r="N50" s="75">
        <f>N45</f>
        <v>0.36299999999999999</v>
      </c>
      <c r="O50" s="103"/>
      <c r="P50" s="20" t="str">
        <f>DFIE!$B42</f>
        <v>Schaffhausen</v>
      </c>
      <c r="Q50" s="90">
        <f t="shared" si="5"/>
        <v>105977.129445</v>
      </c>
      <c r="R50" s="90">
        <f t="shared" si="6"/>
        <v>11768.3611188</v>
      </c>
      <c r="S50" s="90">
        <f t="shared" si="7"/>
        <v>208.27338262500001</v>
      </c>
      <c r="T50" s="90">
        <f t="shared" si="8"/>
        <v>66512.8055703422</v>
      </c>
      <c r="U50" s="90">
        <f t="shared" si="9"/>
        <v>0</v>
      </c>
      <c r="V50" s="90">
        <f t="shared" si="10"/>
        <v>0</v>
      </c>
      <c r="W50" s="90">
        <f t="shared" si="11"/>
        <v>0</v>
      </c>
      <c r="X50" s="90">
        <f t="shared" si="4"/>
        <v>78489.440071767196</v>
      </c>
      <c r="Y50" s="90">
        <f t="shared" si="12"/>
        <v>58867.080053825397</v>
      </c>
      <c r="Z50" s="91">
        <v>0</v>
      </c>
      <c r="AA50" s="22">
        <f t="shared" si="13"/>
        <v>164844.2094988254</v>
      </c>
      <c r="AB50" s="354"/>
    </row>
    <row r="51" spans="1:28" x14ac:dyDescent="0.2">
      <c r="A51" s="354"/>
      <c r="B51" s="63" t="str">
        <f>DFIE!$B43</f>
        <v>Appenzell A.Rh.</v>
      </c>
      <c r="C51" s="33">
        <v>91383042.329999998</v>
      </c>
      <c r="D51" s="33">
        <v>8275263.4000000004</v>
      </c>
      <c r="E51" s="33">
        <v>14182330</v>
      </c>
      <c r="F51" s="33">
        <v>4231757</v>
      </c>
      <c r="G51" s="33">
        <v>0</v>
      </c>
      <c r="H51" s="33">
        <v>0</v>
      </c>
      <c r="I51" s="33">
        <v>0</v>
      </c>
      <c r="J51" s="29">
        <f t="shared" si="3"/>
        <v>118072392.73</v>
      </c>
      <c r="K51" s="103"/>
      <c r="L51" s="101" t="s">
        <v>57</v>
      </c>
      <c r="M51" s="101" t="s">
        <v>103</v>
      </c>
      <c r="N51" s="75">
        <f>IF(DFIE!$G$2-5&lt;2006,0.03/$N$7,0.875*N45)</f>
        <v>0.31762499999999999</v>
      </c>
      <c r="O51" s="103"/>
      <c r="P51" s="27" t="str">
        <f>DFIE!$B43</f>
        <v>Appenzell A.Rh.</v>
      </c>
      <c r="Q51" s="69">
        <f t="shared" si="5"/>
        <v>33172.044365789996</v>
      </c>
      <c r="R51" s="69">
        <f t="shared" si="6"/>
        <v>3003.9206142000003</v>
      </c>
      <c r="S51" s="69">
        <f t="shared" si="7"/>
        <v>4504.6625662500001</v>
      </c>
      <c r="T51" s="69">
        <f t="shared" si="8"/>
        <v>724.06488593155893</v>
      </c>
      <c r="U51" s="69">
        <f t="shared" si="9"/>
        <v>0</v>
      </c>
      <c r="V51" s="69">
        <f t="shared" si="10"/>
        <v>0</v>
      </c>
      <c r="W51" s="69">
        <f t="shared" si="11"/>
        <v>0</v>
      </c>
      <c r="X51" s="69">
        <f t="shared" si="4"/>
        <v>8232.6480663815601</v>
      </c>
      <c r="Y51" s="69">
        <f t="shared" si="12"/>
        <v>6174.48604978617</v>
      </c>
      <c r="Z51" s="82">
        <v>0</v>
      </c>
      <c r="AA51" s="29">
        <f t="shared" si="13"/>
        <v>39346.53041557617</v>
      </c>
      <c r="AB51" s="354"/>
    </row>
    <row r="52" spans="1:28" x14ac:dyDescent="0.2">
      <c r="A52" s="354"/>
      <c r="B52" s="45" t="str">
        <f>DFIE!$B44</f>
        <v>Appenzell I.Rh.</v>
      </c>
      <c r="C52" s="46">
        <v>20553535.210000001</v>
      </c>
      <c r="D52" s="46">
        <v>1945239.87</v>
      </c>
      <c r="E52" s="46">
        <v>5623348.9500000002</v>
      </c>
      <c r="F52" s="46">
        <v>766167.46</v>
      </c>
      <c r="G52" s="46">
        <v>0</v>
      </c>
      <c r="H52" s="46">
        <v>0</v>
      </c>
      <c r="I52" s="46">
        <v>0</v>
      </c>
      <c r="J52" s="22">
        <f t="shared" si="3"/>
        <v>28888291.490000002</v>
      </c>
      <c r="K52" s="103"/>
      <c r="L52" s="101" t="s">
        <v>58</v>
      </c>
      <c r="M52" s="101" t="str">
        <f>DFIE!$B$107</f>
        <v>0.045 / SSTV</v>
      </c>
      <c r="N52" s="75">
        <f>0.045/ROUND($N$7,3)</f>
        <v>0.17110266159695817</v>
      </c>
      <c r="O52" s="103"/>
      <c r="P52" s="20" t="str">
        <f>DFIE!$B44</f>
        <v>Appenzell I.Rh.</v>
      </c>
      <c r="Q52" s="90">
        <f t="shared" si="5"/>
        <v>7460.9332812299999</v>
      </c>
      <c r="R52" s="90">
        <f t="shared" si="6"/>
        <v>706.12207281000008</v>
      </c>
      <c r="S52" s="90">
        <f t="shared" si="7"/>
        <v>1786.1162102437499</v>
      </c>
      <c r="T52" s="90">
        <f t="shared" si="8"/>
        <v>131.09329163498097</v>
      </c>
      <c r="U52" s="90">
        <f t="shared" si="9"/>
        <v>0</v>
      </c>
      <c r="V52" s="90">
        <f t="shared" si="10"/>
        <v>0</v>
      </c>
      <c r="W52" s="90">
        <f t="shared" si="11"/>
        <v>0</v>
      </c>
      <c r="X52" s="90">
        <f t="shared" si="4"/>
        <v>2623.3315746887311</v>
      </c>
      <c r="Y52" s="90">
        <f t="shared" si="12"/>
        <v>1967.4986810165483</v>
      </c>
      <c r="Z52" s="91">
        <v>0</v>
      </c>
      <c r="AA52" s="22">
        <f t="shared" si="13"/>
        <v>9428.4319622465482</v>
      </c>
      <c r="AB52" s="354"/>
    </row>
    <row r="53" spans="1:28" x14ac:dyDescent="0.2">
      <c r="A53" s="354"/>
      <c r="B53" s="63" t="str">
        <f>DFIE!$B45</f>
        <v>St. Gallen</v>
      </c>
      <c r="C53" s="33">
        <v>1060418881.5700001</v>
      </c>
      <c r="D53" s="33">
        <v>85708788.109999999</v>
      </c>
      <c r="E53" s="33">
        <v>504135052.23000002</v>
      </c>
      <c r="F53" s="33">
        <v>86858830.25</v>
      </c>
      <c r="G53" s="33">
        <v>0</v>
      </c>
      <c r="H53" s="33">
        <v>0</v>
      </c>
      <c r="I53" s="33">
        <v>0</v>
      </c>
      <c r="J53" s="29">
        <f t="shared" si="3"/>
        <v>1737121552.1600001</v>
      </c>
      <c r="K53" s="103"/>
      <c r="L53" s="101" t="s">
        <v>59</v>
      </c>
      <c r="M53" s="101" t="str">
        <f>DFIE!$B$108</f>
        <v>γ - 0.035 / SSTV</v>
      </c>
      <c r="N53" s="75">
        <f>N45-0.035/ROUND($N$7,3)</f>
        <v>0.22992015209125474</v>
      </c>
      <c r="O53" s="103"/>
      <c r="P53" s="27" t="str">
        <f>DFIE!$B45</f>
        <v>St. Gallen</v>
      </c>
      <c r="Q53" s="69">
        <f t="shared" si="5"/>
        <v>384932.05400990997</v>
      </c>
      <c r="R53" s="69">
        <f t="shared" si="6"/>
        <v>31112.290083930002</v>
      </c>
      <c r="S53" s="69">
        <f t="shared" si="7"/>
        <v>160125.89596455375</v>
      </c>
      <c r="T53" s="69">
        <f t="shared" si="8"/>
        <v>14861.777038973383</v>
      </c>
      <c r="U53" s="69">
        <f t="shared" si="9"/>
        <v>0</v>
      </c>
      <c r="V53" s="69">
        <f t="shared" si="10"/>
        <v>0</v>
      </c>
      <c r="W53" s="69">
        <f t="shared" si="11"/>
        <v>0</v>
      </c>
      <c r="X53" s="69">
        <f t="shared" si="4"/>
        <v>206099.96308745714</v>
      </c>
      <c r="Y53" s="69">
        <f t="shared" si="12"/>
        <v>154574.97231559287</v>
      </c>
      <c r="Z53" s="82">
        <v>0</v>
      </c>
      <c r="AA53" s="29">
        <f t="shared" si="13"/>
        <v>539507.0263255029</v>
      </c>
      <c r="AB53" s="354"/>
    </row>
    <row r="54" spans="1:28" x14ac:dyDescent="0.2">
      <c r="A54" s="354"/>
      <c r="B54" s="45" t="str">
        <f>DFIE!$B46</f>
        <v>Graubünden</v>
      </c>
      <c r="C54" s="46">
        <v>912245558.73000002</v>
      </c>
      <c r="D54" s="46">
        <v>177745748.96000001</v>
      </c>
      <c r="E54" s="46">
        <v>25602606.370000001</v>
      </c>
      <c r="F54" s="46">
        <v>1082599.67</v>
      </c>
      <c r="G54" s="46">
        <v>0</v>
      </c>
      <c r="H54" s="46">
        <v>0</v>
      </c>
      <c r="I54" s="46">
        <v>91492530.5</v>
      </c>
      <c r="J54" s="22">
        <f t="shared" si="3"/>
        <v>1208169044.23</v>
      </c>
      <c r="K54" s="103"/>
      <c r="L54" s="101" t="s">
        <v>60</v>
      </c>
      <c r="M54" s="101" t="str">
        <f>DFIE!$B$107</f>
        <v>0.045 / SSTV</v>
      </c>
      <c r="N54" s="75">
        <f>0.045/ROUND($N$7,3)</f>
        <v>0.17110266159695817</v>
      </c>
      <c r="O54" s="103"/>
      <c r="P54" s="20" t="str">
        <f>DFIE!$B46</f>
        <v>Graubünden</v>
      </c>
      <c r="Q54" s="90">
        <f t="shared" si="5"/>
        <v>331145.13781898998</v>
      </c>
      <c r="R54" s="90">
        <f t="shared" si="6"/>
        <v>64521.706872479997</v>
      </c>
      <c r="S54" s="90">
        <f t="shared" si="7"/>
        <v>8132.0278482712501</v>
      </c>
      <c r="T54" s="90">
        <f t="shared" si="8"/>
        <v>185.23568498098857</v>
      </c>
      <c r="U54" s="90">
        <f t="shared" si="9"/>
        <v>0</v>
      </c>
      <c r="V54" s="90">
        <f t="shared" si="10"/>
        <v>0</v>
      </c>
      <c r="W54" s="90">
        <f t="shared" si="11"/>
        <v>19927.073142900001</v>
      </c>
      <c r="X54" s="90">
        <f t="shared" si="4"/>
        <v>92766.043548632239</v>
      </c>
      <c r="Y54" s="90">
        <f t="shared" si="12"/>
        <v>69574.532661474179</v>
      </c>
      <c r="Z54" s="91">
        <v>0</v>
      </c>
      <c r="AA54" s="22">
        <f t="shared" si="13"/>
        <v>400719.67048046418</v>
      </c>
      <c r="AB54" s="354"/>
    </row>
    <row r="55" spans="1:28" x14ac:dyDescent="0.2">
      <c r="A55" s="354"/>
      <c r="B55" s="63" t="str">
        <f>DFIE!$B47</f>
        <v>Aargau</v>
      </c>
      <c r="C55" s="33">
        <v>1251428566</v>
      </c>
      <c r="D55" s="33">
        <v>301605337</v>
      </c>
      <c r="E55" s="33">
        <v>4200509.5</v>
      </c>
      <c r="F55" s="33">
        <v>934274184</v>
      </c>
      <c r="G55" s="33">
        <v>0</v>
      </c>
      <c r="H55" s="33">
        <v>0</v>
      </c>
      <c r="I55" s="33">
        <v>0</v>
      </c>
      <c r="J55" s="29">
        <f t="shared" si="3"/>
        <v>2491508596.5</v>
      </c>
      <c r="K55" s="103"/>
      <c r="L55" s="101" t="s">
        <v>61</v>
      </c>
      <c r="M55" s="101" t="s">
        <v>104</v>
      </c>
      <c r="N55" s="75">
        <f>0.6*N45</f>
        <v>0.21779999999999999</v>
      </c>
      <c r="O55" s="103"/>
      <c r="P55" s="27" t="str">
        <f>DFIE!$B47</f>
        <v>Aargau</v>
      </c>
      <c r="Q55" s="69">
        <f t="shared" si="5"/>
        <v>454268.56945800001</v>
      </c>
      <c r="R55" s="69">
        <f t="shared" si="6"/>
        <v>109482.737331</v>
      </c>
      <c r="S55" s="69">
        <f t="shared" si="7"/>
        <v>1334.1868299374999</v>
      </c>
      <c r="T55" s="69">
        <f t="shared" si="8"/>
        <v>159856.79954372623</v>
      </c>
      <c r="U55" s="69">
        <f t="shared" si="9"/>
        <v>0</v>
      </c>
      <c r="V55" s="69">
        <f t="shared" si="10"/>
        <v>0</v>
      </c>
      <c r="W55" s="69">
        <f t="shared" si="11"/>
        <v>0</v>
      </c>
      <c r="X55" s="69">
        <f t="shared" si="4"/>
        <v>270673.72370466375</v>
      </c>
      <c r="Y55" s="69">
        <f t="shared" si="12"/>
        <v>203005.29277849779</v>
      </c>
      <c r="Z55" s="82">
        <v>0</v>
      </c>
      <c r="AA55" s="29">
        <f t="shared" si="13"/>
        <v>657273.86223649781</v>
      </c>
      <c r="AB55" s="354"/>
    </row>
    <row r="56" spans="1:28" x14ac:dyDescent="0.2">
      <c r="A56" s="354"/>
      <c r="B56" s="45" t="str">
        <f>DFIE!$B48</f>
        <v>Thurgau</v>
      </c>
      <c r="C56" s="46">
        <v>628898280.55999994</v>
      </c>
      <c r="D56" s="46">
        <v>66352596.310000002</v>
      </c>
      <c r="E56" s="46">
        <v>17569607.780000001</v>
      </c>
      <c r="F56" s="46">
        <v>300330938.26999998</v>
      </c>
      <c r="G56" s="46">
        <v>0</v>
      </c>
      <c r="H56" s="46">
        <v>0</v>
      </c>
      <c r="I56" s="46">
        <v>0</v>
      </c>
      <c r="J56" s="22">
        <f t="shared" si="3"/>
        <v>1013151422.9199998</v>
      </c>
      <c r="K56" s="103"/>
      <c r="L56" s="56"/>
      <c r="M56" s="56"/>
      <c r="N56" s="56"/>
      <c r="O56" s="103"/>
      <c r="P56" s="20" t="str">
        <f>DFIE!$B48</f>
        <v>Thurgau</v>
      </c>
      <c r="Q56" s="90">
        <f t="shared" si="5"/>
        <v>228290.07584327995</v>
      </c>
      <c r="R56" s="90">
        <f t="shared" si="6"/>
        <v>24085.99246053</v>
      </c>
      <c r="S56" s="90">
        <f t="shared" si="7"/>
        <v>5580.5466711225008</v>
      </c>
      <c r="T56" s="90">
        <f t="shared" si="8"/>
        <v>51387.422897908742</v>
      </c>
      <c r="U56" s="90">
        <f t="shared" si="9"/>
        <v>0</v>
      </c>
      <c r="V56" s="90">
        <f t="shared" si="10"/>
        <v>0</v>
      </c>
      <c r="W56" s="90">
        <f t="shared" si="11"/>
        <v>0</v>
      </c>
      <c r="X56" s="90">
        <f t="shared" si="4"/>
        <v>81053.96202956124</v>
      </c>
      <c r="Y56" s="90">
        <f t="shared" si="12"/>
        <v>60790.471522170934</v>
      </c>
      <c r="Z56" s="91">
        <v>0</v>
      </c>
      <c r="AA56" s="22">
        <f t="shared" si="13"/>
        <v>289080.54736545088</v>
      </c>
      <c r="AB56" s="354"/>
    </row>
    <row r="57" spans="1:28" x14ac:dyDescent="0.2">
      <c r="A57" s="354"/>
      <c r="B57" s="63" t="str">
        <f>DFIE!$B49</f>
        <v>Tessin</v>
      </c>
      <c r="C57" s="33">
        <v>1027133486</v>
      </c>
      <c r="D57" s="33">
        <v>639416296</v>
      </c>
      <c r="E57" s="33">
        <v>607337</v>
      </c>
      <c r="F57" s="33">
        <v>0</v>
      </c>
      <c r="G57" s="33">
        <v>0</v>
      </c>
      <c r="H57" s="33">
        <v>0</v>
      </c>
      <c r="I57" s="33">
        <v>2758064836</v>
      </c>
      <c r="J57" s="29">
        <f t="shared" si="3"/>
        <v>4425221955</v>
      </c>
      <c r="K57" s="103"/>
      <c r="L57" s="56"/>
      <c r="M57" s="56"/>
      <c r="N57" s="104"/>
      <c r="O57" s="103"/>
      <c r="P57" s="27" t="str">
        <f>DFIE!$B49</f>
        <v>Tessin</v>
      </c>
      <c r="Q57" s="69">
        <f t="shared" si="5"/>
        <v>372849.455418</v>
      </c>
      <c r="R57" s="69">
        <f t="shared" si="6"/>
        <v>232108.115448</v>
      </c>
      <c r="S57" s="69">
        <f t="shared" si="7"/>
        <v>192.90541462499999</v>
      </c>
      <c r="T57" s="69">
        <f t="shared" si="8"/>
        <v>0</v>
      </c>
      <c r="U57" s="69">
        <f t="shared" si="9"/>
        <v>0</v>
      </c>
      <c r="V57" s="69">
        <f t="shared" si="10"/>
        <v>0</v>
      </c>
      <c r="W57" s="69">
        <f t="shared" si="11"/>
        <v>600706.52128079999</v>
      </c>
      <c r="X57" s="69">
        <f t="shared" si="4"/>
        <v>833007.54214342497</v>
      </c>
      <c r="Y57" s="69">
        <f t="shared" si="12"/>
        <v>624755.65660756873</v>
      </c>
      <c r="Z57" s="82">
        <v>0</v>
      </c>
      <c r="AA57" s="29">
        <f t="shared" si="13"/>
        <v>997605.11202556873</v>
      </c>
      <c r="AB57" s="354"/>
    </row>
    <row r="58" spans="1:28" x14ac:dyDescent="0.2">
      <c r="A58" s="354"/>
      <c r="B58" s="45" t="str">
        <f>DFIE!$B50</f>
        <v>Waadt</v>
      </c>
      <c r="C58" s="46">
        <v>2999862702</v>
      </c>
      <c r="D58" s="46">
        <v>0</v>
      </c>
      <c r="E58" s="46">
        <v>0</v>
      </c>
      <c r="F58" s="46">
        <v>0</v>
      </c>
      <c r="G58" s="46">
        <v>0</v>
      </c>
      <c r="H58" s="46">
        <v>2258473033</v>
      </c>
      <c r="I58" s="46">
        <v>0</v>
      </c>
      <c r="J58" s="22">
        <f t="shared" si="3"/>
        <v>5258335735</v>
      </c>
      <c r="K58" s="103"/>
      <c r="L58" s="56"/>
      <c r="M58" s="56"/>
      <c r="N58" s="56"/>
      <c r="O58" s="103"/>
      <c r="P58" s="20" t="str">
        <f>DFIE!$B50</f>
        <v>Waadt</v>
      </c>
      <c r="Q58" s="90">
        <f t="shared" si="5"/>
        <v>1088950.1608259999</v>
      </c>
      <c r="R58" s="90">
        <f t="shared" si="6"/>
        <v>0</v>
      </c>
      <c r="S58" s="90">
        <f t="shared" si="7"/>
        <v>0</v>
      </c>
      <c r="T58" s="90">
        <f t="shared" si="8"/>
        <v>0</v>
      </c>
      <c r="U58" s="90">
        <f t="shared" si="9"/>
        <v>0</v>
      </c>
      <c r="V58" s="90">
        <f t="shared" si="10"/>
        <v>386430.74709125469</v>
      </c>
      <c r="W58" s="90">
        <f t="shared" si="11"/>
        <v>0</v>
      </c>
      <c r="X58" s="90">
        <f t="shared" si="4"/>
        <v>386430.74709125469</v>
      </c>
      <c r="Y58" s="90">
        <f t="shared" si="12"/>
        <v>289823.06031844101</v>
      </c>
      <c r="Z58" s="91">
        <v>0</v>
      </c>
      <c r="AA58" s="22">
        <f t="shared" si="13"/>
        <v>1378773.221144441</v>
      </c>
      <c r="AB58" s="354"/>
    </row>
    <row r="59" spans="1:28" x14ac:dyDescent="0.2">
      <c r="A59" s="354"/>
      <c r="B59" s="63" t="str">
        <f>DFIE!$B51</f>
        <v>Wallis</v>
      </c>
      <c r="C59" s="33">
        <v>1111406119.95</v>
      </c>
      <c r="D59" s="33">
        <v>11059277.810000001</v>
      </c>
      <c r="E59" s="33">
        <v>0</v>
      </c>
      <c r="F59" s="33">
        <v>345195.65</v>
      </c>
      <c r="G59" s="33">
        <v>0</v>
      </c>
      <c r="H59" s="33">
        <v>100384412.40000001</v>
      </c>
      <c r="I59" s="33">
        <v>66644636.57</v>
      </c>
      <c r="J59" s="29">
        <f t="shared" si="3"/>
        <v>1289839642.3800001</v>
      </c>
      <c r="K59" s="103"/>
      <c r="L59" s="56"/>
      <c r="M59" s="56"/>
      <c r="N59" s="56"/>
      <c r="O59" s="103"/>
      <c r="P59" s="27" t="str">
        <f>DFIE!$B51</f>
        <v>Wallis</v>
      </c>
      <c r="Q59" s="69">
        <f t="shared" si="5"/>
        <v>403440.42154185002</v>
      </c>
      <c r="R59" s="69">
        <f t="shared" si="6"/>
        <v>4014.51784503</v>
      </c>
      <c r="S59" s="69">
        <f t="shared" si="7"/>
        <v>0</v>
      </c>
      <c r="T59" s="69">
        <f t="shared" si="8"/>
        <v>59.063894486692014</v>
      </c>
      <c r="U59" s="69">
        <f t="shared" si="9"/>
        <v>0</v>
      </c>
      <c r="V59" s="69">
        <f t="shared" si="10"/>
        <v>17176.040144486691</v>
      </c>
      <c r="W59" s="69">
        <f t="shared" si="11"/>
        <v>14515.201844945999</v>
      </c>
      <c r="X59" s="69">
        <f t="shared" si="4"/>
        <v>35764.823728949385</v>
      </c>
      <c r="Y59" s="69">
        <f t="shared" si="12"/>
        <v>26823.617796712038</v>
      </c>
      <c r="Z59" s="82">
        <v>0</v>
      </c>
      <c r="AA59" s="29">
        <f t="shared" si="13"/>
        <v>430264.03933856206</v>
      </c>
      <c r="AB59" s="354"/>
    </row>
    <row r="60" spans="1:28" x14ac:dyDescent="0.2">
      <c r="A60" s="354"/>
      <c r="B60" s="45" t="str">
        <f>DFIE!$B52</f>
        <v>Neuenburg</v>
      </c>
      <c r="C60" s="46">
        <v>409576152</v>
      </c>
      <c r="D60" s="46">
        <v>44520028</v>
      </c>
      <c r="E60" s="46">
        <v>57867</v>
      </c>
      <c r="F60" s="46">
        <v>3584</v>
      </c>
      <c r="G60" s="46">
        <v>0</v>
      </c>
      <c r="H60" s="46">
        <v>956475310</v>
      </c>
      <c r="I60" s="46">
        <v>0</v>
      </c>
      <c r="J60" s="22">
        <f t="shared" si="3"/>
        <v>1410632941</v>
      </c>
      <c r="K60" s="103"/>
      <c r="L60" s="56"/>
      <c r="M60" s="56"/>
      <c r="N60" s="56"/>
      <c r="O60" s="103"/>
      <c r="P60" s="20" t="str">
        <f>DFIE!$B52</f>
        <v>Neuenburg</v>
      </c>
      <c r="Q60" s="90">
        <f t="shared" si="5"/>
        <v>148676.14317600001</v>
      </c>
      <c r="R60" s="90">
        <f t="shared" si="6"/>
        <v>16160.770164</v>
      </c>
      <c r="S60" s="90">
        <f t="shared" si="7"/>
        <v>18.380005874999998</v>
      </c>
      <c r="T60" s="90">
        <f t="shared" si="8"/>
        <v>0.61323193916349805</v>
      </c>
      <c r="U60" s="90">
        <f t="shared" si="9"/>
        <v>0</v>
      </c>
      <c r="V60" s="90">
        <f t="shared" si="10"/>
        <v>163655.47129277565</v>
      </c>
      <c r="W60" s="90">
        <f t="shared" si="11"/>
        <v>0</v>
      </c>
      <c r="X60" s="90">
        <f t="shared" si="4"/>
        <v>179835.2346945898</v>
      </c>
      <c r="Y60" s="90">
        <f t="shared" si="12"/>
        <v>134876.42602094234</v>
      </c>
      <c r="Z60" s="91">
        <v>0</v>
      </c>
      <c r="AA60" s="22">
        <f t="shared" si="13"/>
        <v>283552.56919694238</v>
      </c>
      <c r="AB60" s="354"/>
    </row>
    <row r="61" spans="1:28" x14ac:dyDescent="0.2">
      <c r="A61" s="354"/>
      <c r="B61" s="63" t="str">
        <f>DFIE!$B53</f>
        <v>Genf</v>
      </c>
      <c r="C61" s="33">
        <v>2215385195</v>
      </c>
      <c r="D61" s="33">
        <v>483378839</v>
      </c>
      <c r="E61" s="33">
        <v>1621389</v>
      </c>
      <c r="F61" s="33">
        <v>0</v>
      </c>
      <c r="G61" s="33">
        <v>8117304028</v>
      </c>
      <c r="H61" s="33">
        <v>0</v>
      </c>
      <c r="I61" s="33">
        <v>0</v>
      </c>
      <c r="J61" s="29">
        <f t="shared" si="3"/>
        <v>10817689451</v>
      </c>
      <c r="K61" s="103"/>
      <c r="L61" s="56"/>
      <c r="M61" s="56"/>
      <c r="N61" s="56"/>
      <c r="O61" s="103"/>
      <c r="P61" s="27" t="str">
        <f>DFIE!$B53</f>
        <v>Genf</v>
      </c>
      <c r="Q61" s="69">
        <f t="shared" si="5"/>
        <v>804184.82578499999</v>
      </c>
      <c r="R61" s="69">
        <f t="shared" si="6"/>
        <v>175466.51855699997</v>
      </c>
      <c r="S61" s="69">
        <f t="shared" si="7"/>
        <v>514.99368112499997</v>
      </c>
      <c r="T61" s="69">
        <f t="shared" si="8"/>
        <v>0</v>
      </c>
      <c r="U61" s="69">
        <f t="shared" si="9"/>
        <v>1866331.7766887147</v>
      </c>
      <c r="V61" s="69">
        <f t="shared" si="10"/>
        <v>0</v>
      </c>
      <c r="W61" s="69">
        <f t="shared" si="11"/>
        <v>0</v>
      </c>
      <c r="X61" s="69">
        <f t="shared" si="4"/>
        <v>2042313.2889268398</v>
      </c>
      <c r="Y61" s="69">
        <f t="shared" si="12"/>
        <v>1531734.9666951299</v>
      </c>
      <c r="Z61" s="82">
        <v>0</v>
      </c>
      <c r="AA61" s="29">
        <f t="shared" si="13"/>
        <v>2335919.7924801297</v>
      </c>
      <c r="AB61" s="354"/>
    </row>
    <row r="62" spans="1:28" x14ac:dyDescent="0.2">
      <c r="A62" s="354"/>
      <c r="B62" s="45" t="str">
        <f>DFIE!$B54</f>
        <v>Jura</v>
      </c>
      <c r="C62" s="46">
        <v>90213481.769999996</v>
      </c>
      <c r="D62" s="46">
        <v>11484419</v>
      </c>
      <c r="E62" s="46">
        <v>0</v>
      </c>
      <c r="F62" s="46">
        <v>610686.69999999995</v>
      </c>
      <c r="G62" s="46">
        <v>0</v>
      </c>
      <c r="H62" s="46">
        <v>532850630</v>
      </c>
      <c r="I62" s="46">
        <v>0</v>
      </c>
      <c r="J62" s="22">
        <f t="shared" si="3"/>
        <v>635159217.47000003</v>
      </c>
      <c r="K62" s="103"/>
      <c r="L62" s="56"/>
      <c r="M62" s="56"/>
      <c r="N62" s="56"/>
      <c r="O62" s="103"/>
      <c r="P62" s="20" t="str">
        <f>DFIE!$B54</f>
        <v>Jura</v>
      </c>
      <c r="Q62" s="90">
        <f t="shared" si="5"/>
        <v>32747.49388251</v>
      </c>
      <c r="R62" s="90">
        <f t="shared" si="6"/>
        <v>4168.8440970000001</v>
      </c>
      <c r="S62" s="90">
        <f t="shared" si="7"/>
        <v>0</v>
      </c>
      <c r="T62" s="90">
        <f t="shared" si="8"/>
        <v>104.49011977186311</v>
      </c>
      <c r="U62" s="90">
        <f t="shared" si="9"/>
        <v>0</v>
      </c>
      <c r="V62" s="90">
        <f t="shared" si="10"/>
        <v>91172.16102661597</v>
      </c>
      <c r="W62" s="90">
        <f t="shared" si="11"/>
        <v>0</v>
      </c>
      <c r="X62" s="90">
        <f t="shared" si="4"/>
        <v>95445.495243387835</v>
      </c>
      <c r="Y62" s="90">
        <f t="shared" si="12"/>
        <v>71584.12143254088</v>
      </c>
      <c r="Z62" s="91">
        <v>0</v>
      </c>
      <c r="AA62" s="22">
        <f t="shared" si="13"/>
        <v>104331.61531505088</v>
      </c>
      <c r="AB62" s="354"/>
    </row>
    <row r="63" spans="1:28" x14ac:dyDescent="0.2">
      <c r="A63" s="354"/>
      <c r="B63" s="28" t="str">
        <f>DFIE!$B55</f>
        <v>Schweiz</v>
      </c>
      <c r="C63" s="67">
        <f t="shared" ref="C63:I63" si="14">SUM(C37:C62)</f>
        <v>23733998734.019997</v>
      </c>
      <c r="D63" s="67">
        <f t="shared" si="14"/>
        <v>2805244719.1399999</v>
      </c>
      <c r="E63" s="67">
        <f t="shared" si="14"/>
        <v>595206912.96000004</v>
      </c>
      <c r="F63" s="67">
        <f t="shared" si="14"/>
        <v>4636387902.7699995</v>
      </c>
      <c r="G63" s="67">
        <f t="shared" si="14"/>
        <v>8117304028</v>
      </c>
      <c r="H63" s="67">
        <f t="shared" si="14"/>
        <v>6818590476.6999998</v>
      </c>
      <c r="I63" s="67">
        <f t="shared" si="14"/>
        <v>2916202003.0700002</v>
      </c>
      <c r="J63" s="66">
        <f t="shared" si="3"/>
        <v>49622934776.659996</v>
      </c>
      <c r="K63" s="56"/>
      <c r="L63" s="56"/>
      <c r="M63" s="56"/>
      <c r="N63" s="56"/>
      <c r="O63" s="56"/>
      <c r="P63" s="28" t="str">
        <f>DFIE!$B55</f>
        <v>Schweiz</v>
      </c>
      <c r="Q63" s="108">
        <f t="shared" ref="Q63:Z63" si="15">SUM(Q37:Q62)</f>
        <v>8615441.5404492579</v>
      </c>
      <c r="R63" s="108">
        <f t="shared" si="15"/>
        <v>1018303.83304782</v>
      </c>
      <c r="S63" s="32">
        <f t="shared" si="15"/>
        <v>189052.59572891999</v>
      </c>
      <c r="T63" s="32">
        <f t="shared" si="15"/>
        <v>793298.3103598858</v>
      </c>
      <c r="U63" s="32">
        <f t="shared" si="15"/>
        <v>1866331.7766887147</v>
      </c>
      <c r="V63" s="32">
        <f t="shared" si="15"/>
        <v>1166678.9789030417</v>
      </c>
      <c r="W63" s="32">
        <f t="shared" si="15"/>
        <v>635148.79626864602</v>
      </c>
      <c r="X63" s="32">
        <f t="shared" si="15"/>
        <v>5668814.2909970284</v>
      </c>
      <c r="Y63" s="32">
        <f>SUM(Y37:Y62)</f>
        <v>4251610.7182477713</v>
      </c>
      <c r="Z63" s="66">
        <f t="shared" si="15"/>
        <v>0</v>
      </c>
      <c r="AA63" s="30">
        <f>SUM(AA37:AA62)</f>
        <v>12867052.258697035</v>
      </c>
      <c r="AB63" s="354"/>
    </row>
    <row r="64" spans="1:28" ht="14.25" customHeight="1" x14ac:dyDescent="0.2">
      <c r="A64" s="36"/>
    </row>
    <row r="65" spans="1:28" ht="12.75" customHeight="1" x14ac:dyDescent="0.2">
      <c r="A65" s="355" t="str">
        <f>DFIE!$B$72</f>
        <v>Bemessungsjahr 2015</v>
      </c>
      <c r="B65" s="64" t="str">
        <f>DFIE!$B29</f>
        <v>Zürich</v>
      </c>
      <c r="C65" s="65">
        <v>6051010990.4499998</v>
      </c>
      <c r="D65" s="65">
        <v>51249753.5</v>
      </c>
      <c r="E65" s="65">
        <v>0</v>
      </c>
      <c r="F65" s="65">
        <v>599090031.13999999</v>
      </c>
      <c r="G65" s="65">
        <v>0</v>
      </c>
      <c r="H65" s="65">
        <v>0</v>
      </c>
      <c r="I65" s="65">
        <v>0</v>
      </c>
      <c r="J65" s="31">
        <f t="shared" ref="J65:J91" si="16">SUM(C65:I65)</f>
        <v>6701350775.0900002</v>
      </c>
      <c r="K65" s="105"/>
      <c r="L65" s="58"/>
      <c r="M65" s="58"/>
      <c r="N65" s="58"/>
      <c r="O65" s="105"/>
      <c r="P65" s="111" t="str">
        <f>DFIE!$B29</f>
        <v>Zürich</v>
      </c>
      <c r="Q65" s="110">
        <f>C65*N$77/1000</f>
        <v>2226772.0444856002</v>
      </c>
      <c r="R65" s="110">
        <f>D65*N$78/1000</f>
        <v>18859.909287999999</v>
      </c>
      <c r="S65" s="70">
        <f>E65*N$79/1000</f>
        <v>0</v>
      </c>
      <c r="T65" s="70">
        <f>F65*N$80/1000</f>
        <v>102505.89886425855</v>
      </c>
      <c r="U65" s="70">
        <f>G65*N$81/1000</f>
        <v>0</v>
      </c>
      <c r="V65" s="70">
        <f>H65*N$82/1000</f>
        <v>0</v>
      </c>
      <c r="W65" s="70">
        <f>I65*N$83/1000</f>
        <v>0</v>
      </c>
      <c r="X65" s="70">
        <f t="shared" ref="X65:X90" si="17">SUM(R65:W65)</f>
        <v>121365.80815225854</v>
      </c>
      <c r="Y65" s="70">
        <f>X65*$N$8</f>
        <v>91024.356114193914</v>
      </c>
      <c r="Z65" s="81">
        <v>0</v>
      </c>
      <c r="AA65" s="71">
        <f t="shared" ref="AA65:AA90" si="18">IF(Z65=0,Y65+Q65,Z65)</f>
        <v>2317796.400599794</v>
      </c>
      <c r="AB65" s="355" t="str">
        <f>DFIE!$B$72</f>
        <v>Bemessungsjahr 2015</v>
      </c>
    </row>
    <row r="66" spans="1:28" x14ac:dyDescent="0.2">
      <c r="A66" s="355"/>
      <c r="B66" s="45" t="str">
        <f>DFIE!$B30</f>
        <v>Bern</v>
      </c>
      <c r="C66" s="46">
        <v>1412850418.9100001</v>
      </c>
      <c r="D66" s="46">
        <v>178766299.13999999</v>
      </c>
      <c r="E66" s="46">
        <v>218759.8</v>
      </c>
      <c r="F66" s="46">
        <v>21319379.07</v>
      </c>
      <c r="G66" s="46">
        <v>0</v>
      </c>
      <c r="H66" s="46">
        <v>155639166.52000001</v>
      </c>
      <c r="I66" s="46">
        <v>0</v>
      </c>
      <c r="J66" s="22">
        <f t="shared" si="16"/>
        <v>1768794023.4400001</v>
      </c>
      <c r="K66" s="105"/>
      <c r="L66" s="58"/>
      <c r="M66" s="58"/>
      <c r="N66" s="58"/>
      <c r="O66" s="105"/>
      <c r="P66" s="20" t="str">
        <f>DFIE!$B30</f>
        <v>Bern</v>
      </c>
      <c r="Q66" s="90">
        <f t="shared" ref="Q66:Q90" si="19">C66*N$77/1000</f>
        <v>519928.95415887999</v>
      </c>
      <c r="R66" s="90">
        <f t="shared" ref="R66:R90" si="20">D66*N$78/1000</f>
        <v>65785.998083519997</v>
      </c>
      <c r="S66" s="90">
        <f t="shared" ref="S66:S90" si="21">E66*N$79/1000</f>
        <v>70.440655599999999</v>
      </c>
      <c r="T66" s="90">
        <f t="shared" ref="T66:T90" si="22">F66*N$80/1000</f>
        <v>3647.802502471483</v>
      </c>
      <c r="U66" s="90">
        <f t="shared" ref="U66:U90" si="23">G66*N$81/1000</f>
        <v>0</v>
      </c>
      <c r="V66" s="90">
        <f t="shared" ref="V66:V90" si="24">H66*N$82/1000</f>
        <v>26630.275640304182</v>
      </c>
      <c r="W66" s="90">
        <f t="shared" ref="W66:W90" si="25">I66*N$83/1000</f>
        <v>0</v>
      </c>
      <c r="X66" s="90">
        <f t="shared" si="17"/>
        <v>96134.516881895674</v>
      </c>
      <c r="Y66" s="90">
        <f t="shared" ref="Y66:Y90" si="26">X66*$N$8</f>
        <v>72100.887661421759</v>
      </c>
      <c r="Z66" s="91">
        <v>0</v>
      </c>
      <c r="AA66" s="22">
        <f t="shared" si="18"/>
        <v>592029.84182030172</v>
      </c>
      <c r="AB66" s="355"/>
    </row>
    <row r="67" spans="1:28" x14ac:dyDescent="0.2">
      <c r="A67" s="355"/>
      <c r="B67" s="63" t="str">
        <f>DFIE!$B31</f>
        <v>Luzern</v>
      </c>
      <c r="C67" s="33">
        <v>721881314</v>
      </c>
      <c r="D67" s="33">
        <v>71694495</v>
      </c>
      <c r="E67" s="33">
        <v>1255196</v>
      </c>
      <c r="F67" s="33">
        <v>8682062</v>
      </c>
      <c r="G67" s="33">
        <v>0</v>
      </c>
      <c r="H67" s="33">
        <v>0</v>
      </c>
      <c r="I67" s="33">
        <v>0</v>
      </c>
      <c r="J67" s="29">
        <f t="shared" si="16"/>
        <v>803513067</v>
      </c>
      <c r="K67" s="105"/>
      <c r="L67" s="34" t="str">
        <f>DFIE!B100</f>
        <v>Berechnung Gamma 2015</v>
      </c>
      <c r="M67" s="34"/>
      <c r="N67" s="52"/>
      <c r="O67" s="105"/>
      <c r="P67" s="27" t="str">
        <f>DFIE!$B31</f>
        <v>Luzern</v>
      </c>
      <c r="Q67" s="69">
        <f t="shared" si="19"/>
        <v>265652.32355199999</v>
      </c>
      <c r="R67" s="69">
        <f t="shared" si="20"/>
        <v>26383.57416</v>
      </c>
      <c r="S67" s="69">
        <f t="shared" si="21"/>
        <v>404.173112</v>
      </c>
      <c r="T67" s="69">
        <f t="shared" si="22"/>
        <v>1485.52391634981</v>
      </c>
      <c r="U67" s="69">
        <f t="shared" si="23"/>
        <v>0</v>
      </c>
      <c r="V67" s="69">
        <f t="shared" si="24"/>
        <v>0</v>
      </c>
      <c r="W67" s="69">
        <f t="shared" si="25"/>
        <v>0</v>
      </c>
      <c r="X67" s="69">
        <f t="shared" si="17"/>
        <v>28273.271188349812</v>
      </c>
      <c r="Y67" s="69">
        <f t="shared" si="26"/>
        <v>21204.953391262359</v>
      </c>
      <c r="Z67" s="82">
        <v>0</v>
      </c>
      <c r="AA67" s="29">
        <f t="shared" si="18"/>
        <v>286857.27694326232</v>
      </c>
      <c r="AB67" s="355"/>
    </row>
    <row r="68" spans="1:28" x14ac:dyDescent="0.2">
      <c r="A68" s="355"/>
      <c r="B68" s="45" t="str">
        <f>DFIE!$B32</f>
        <v>Uri</v>
      </c>
      <c r="C68" s="46">
        <v>87150345</v>
      </c>
      <c r="D68" s="46">
        <v>471105</v>
      </c>
      <c r="E68" s="46">
        <v>0</v>
      </c>
      <c r="F68" s="46">
        <v>27911</v>
      </c>
      <c r="G68" s="46">
        <v>0</v>
      </c>
      <c r="H68" s="46">
        <v>0</v>
      </c>
      <c r="I68" s="46">
        <v>0</v>
      </c>
      <c r="J68" s="22">
        <f t="shared" si="16"/>
        <v>87649361</v>
      </c>
      <c r="K68" s="105"/>
      <c r="L68" s="52"/>
      <c r="M68" s="52"/>
      <c r="N68" s="52"/>
      <c r="O68" s="105"/>
      <c r="P68" s="20" t="str">
        <f>DFIE!$B32</f>
        <v>Uri</v>
      </c>
      <c r="Q68" s="90">
        <f t="shared" si="19"/>
        <v>32071.326960000002</v>
      </c>
      <c r="R68" s="90">
        <f t="shared" si="20"/>
        <v>173.36663999999999</v>
      </c>
      <c r="S68" s="90">
        <f t="shared" si="21"/>
        <v>0</v>
      </c>
      <c r="T68" s="90">
        <f t="shared" si="22"/>
        <v>4.7756463878326993</v>
      </c>
      <c r="U68" s="90">
        <f t="shared" si="23"/>
        <v>0</v>
      </c>
      <c r="V68" s="90">
        <f t="shared" si="24"/>
        <v>0</v>
      </c>
      <c r="W68" s="90">
        <f t="shared" si="25"/>
        <v>0</v>
      </c>
      <c r="X68" s="90">
        <f t="shared" si="17"/>
        <v>178.14228638783268</v>
      </c>
      <c r="Y68" s="90">
        <f t="shared" si="26"/>
        <v>133.60671479087452</v>
      </c>
      <c r="Z68" s="91">
        <v>0</v>
      </c>
      <c r="AA68" s="22">
        <f t="shared" si="18"/>
        <v>32204.933674790878</v>
      </c>
      <c r="AB68" s="355"/>
    </row>
    <row r="69" spans="1:28" x14ac:dyDescent="0.2">
      <c r="A69" s="355"/>
      <c r="B69" s="63" t="str">
        <f>DFIE!$B33</f>
        <v>Schwyz</v>
      </c>
      <c r="C69" s="33">
        <v>359783849.5</v>
      </c>
      <c r="D69" s="33">
        <v>69444308.549999997</v>
      </c>
      <c r="E69" s="33">
        <v>1400289.7</v>
      </c>
      <c r="F69" s="33">
        <v>501121.56</v>
      </c>
      <c r="G69" s="33">
        <v>0</v>
      </c>
      <c r="H69" s="33">
        <v>0</v>
      </c>
      <c r="I69" s="33">
        <v>0</v>
      </c>
      <c r="J69" s="29">
        <f t="shared" si="16"/>
        <v>431129569.31</v>
      </c>
      <c r="K69" s="105"/>
      <c r="L69" s="99" t="str">
        <f>DFIE!$B$101</f>
        <v>in CHF 1'000</v>
      </c>
      <c r="M69" s="99"/>
      <c r="N69" s="100"/>
      <c r="O69" s="105"/>
      <c r="P69" s="27" t="str">
        <f>DFIE!$B33</f>
        <v>Schwyz</v>
      </c>
      <c r="Q69" s="69">
        <f t="shared" si="19"/>
        <v>132400.45661600001</v>
      </c>
      <c r="R69" s="69">
        <f t="shared" si="20"/>
        <v>25555.5055464</v>
      </c>
      <c r="S69" s="69">
        <f t="shared" si="21"/>
        <v>450.89328340000003</v>
      </c>
      <c r="T69" s="69">
        <f t="shared" si="22"/>
        <v>85.743232699619767</v>
      </c>
      <c r="U69" s="69">
        <f t="shared" si="23"/>
        <v>0</v>
      </c>
      <c r="V69" s="69">
        <f t="shared" si="24"/>
        <v>0</v>
      </c>
      <c r="W69" s="69">
        <f t="shared" si="25"/>
        <v>0</v>
      </c>
      <c r="X69" s="69">
        <f t="shared" si="17"/>
        <v>26092.142062499621</v>
      </c>
      <c r="Y69" s="69">
        <f t="shared" si="26"/>
        <v>19569.106546874715</v>
      </c>
      <c r="Z69" s="82">
        <v>0</v>
      </c>
      <c r="AA69" s="29">
        <f t="shared" si="18"/>
        <v>151969.56316287472</v>
      </c>
      <c r="AB69" s="355"/>
    </row>
    <row r="70" spans="1:28" x14ac:dyDescent="0.2">
      <c r="A70" s="355"/>
      <c r="B70" s="45" t="str">
        <f>DFIE!$B34</f>
        <v>Obwalden</v>
      </c>
      <c r="C70" s="46">
        <v>94163938</v>
      </c>
      <c r="D70" s="46">
        <v>5889763</v>
      </c>
      <c r="E70" s="46">
        <v>219508</v>
      </c>
      <c r="F70" s="46">
        <v>663275</v>
      </c>
      <c r="G70" s="46">
        <v>0</v>
      </c>
      <c r="H70" s="46">
        <v>0</v>
      </c>
      <c r="I70" s="46">
        <v>0</v>
      </c>
      <c r="J70" s="22">
        <f t="shared" si="16"/>
        <v>100936484</v>
      </c>
      <c r="K70" s="105"/>
      <c r="L70" s="52" t="str">
        <f>DFIE!$B$102</f>
        <v>A    Primäreinkommen der privaten Haushalte</v>
      </c>
      <c r="M70" s="52"/>
      <c r="N70" s="33">
        <v>478593570.53898698</v>
      </c>
      <c r="O70" s="105"/>
      <c r="P70" s="20" t="str">
        <f>DFIE!$B34</f>
        <v>Obwalden</v>
      </c>
      <c r="Q70" s="90">
        <f t="shared" si="19"/>
        <v>34652.329184000002</v>
      </c>
      <c r="R70" s="90">
        <f t="shared" si="20"/>
        <v>2167.4327840000001</v>
      </c>
      <c r="S70" s="90">
        <f t="shared" si="21"/>
        <v>70.681576000000007</v>
      </c>
      <c r="T70" s="90">
        <f t="shared" si="22"/>
        <v>113.48811787072243</v>
      </c>
      <c r="U70" s="90">
        <f t="shared" si="23"/>
        <v>0</v>
      </c>
      <c r="V70" s="90">
        <f t="shared" si="24"/>
        <v>0</v>
      </c>
      <c r="W70" s="90">
        <f t="shared" si="25"/>
        <v>0</v>
      </c>
      <c r="X70" s="90">
        <f t="shared" si="17"/>
        <v>2351.6024778707224</v>
      </c>
      <c r="Y70" s="90">
        <f t="shared" si="26"/>
        <v>1763.7018584030418</v>
      </c>
      <c r="Z70" s="91">
        <v>0</v>
      </c>
      <c r="AA70" s="22">
        <f t="shared" si="18"/>
        <v>36416.031042403047</v>
      </c>
      <c r="AB70" s="355"/>
    </row>
    <row r="71" spans="1:28" x14ac:dyDescent="0.2">
      <c r="A71" s="355"/>
      <c r="B71" s="63" t="str">
        <f>DFIE!$B35</f>
        <v>Nidwalden</v>
      </c>
      <c r="C71" s="33">
        <v>100796954.69</v>
      </c>
      <c r="D71" s="33">
        <v>1870070</v>
      </c>
      <c r="E71" s="33">
        <v>4699818</v>
      </c>
      <c r="F71" s="33">
        <v>444908.96</v>
      </c>
      <c r="G71" s="33">
        <v>0</v>
      </c>
      <c r="H71" s="33">
        <v>0</v>
      </c>
      <c r="I71" s="33">
        <v>0</v>
      </c>
      <c r="J71" s="29">
        <f t="shared" si="16"/>
        <v>107811751.64999999</v>
      </c>
      <c r="K71" s="105"/>
      <c r="L71" s="52" t="str">
        <f>DFIE!$B$103</f>
        <v>B    Massgebendes Einkommen</v>
      </c>
      <c r="M71" s="52"/>
      <c r="N71" s="73">
        <f>NP!E91</f>
        <v>175978533.69999999</v>
      </c>
      <c r="O71" s="105"/>
      <c r="P71" s="27" t="str">
        <f>DFIE!$B35</f>
        <v>Nidwalden</v>
      </c>
      <c r="Q71" s="69">
        <f t="shared" si="19"/>
        <v>37093.279325919997</v>
      </c>
      <c r="R71" s="69">
        <f t="shared" si="20"/>
        <v>688.18575999999996</v>
      </c>
      <c r="S71" s="69">
        <f t="shared" si="21"/>
        <v>1513.341396</v>
      </c>
      <c r="T71" s="69">
        <f t="shared" si="22"/>
        <v>76.125107224334599</v>
      </c>
      <c r="U71" s="69">
        <f t="shared" si="23"/>
        <v>0</v>
      </c>
      <c r="V71" s="69">
        <f t="shared" si="24"/>
        <v>0</v>
      </c>
      <c r="W71" s="69">
        <f t="shared" si="25"/>
        <v>0</v>
      </c>
      <c r="X71" s="69">
        <f t="shared" si="17"/>
        <v>2277.6522632243345</v>
      </c>
      <c r="Y71" s="69">
        <f t="shared" si="26"/>
        <v>1708.239197418251</v>
      </c>
      <c r="Z71" s="82">
        <v>0</v>
      </c>
      <c r="AA71" s="29">
        <f t="shared" si="18"/>
        <v>38801.518523338251</v>
      </c>
      <c r="AB71" s="355"/>
    </row>
    <row r="72" spans="1:28" x14ac:dyDescent="0.2">
      <c r="A72" s="355"/>
      <c r="B72" s="45" t="str">
        <f>DFIE!$B36</f>
        <v>Glarus</v>
      </c>
      <c r="C72" s="46">
        <v>124388280.02</v>
      </c>
      <c r="D72" s="46">
        <v>1535412.9</v>
      </c>
      <c r="E72" s="46">
        <v>2659258.7599999998</v>
      </c>
      <c r="F72" s="46">
        <v>372240.7</v>
      </c>
      <c r="G72" s="46">
        <v>0</v>
      </c>
      <c r="H72" s="46">
        <v>0</v>
      </c>
      <c r="I72" s="46">
        <v>0</v>
      </c>
      <c r="J72" s="22">
        <f t="shared" si="16"/>
        <v>128955192.38000001</v>
      </c>
      <c r="K72" s="105"/>
      <c r="L72" s="52"/>
      <c r="M72" s="52"/>
      <c r="N72" s="52"/>
      <c r="O72" s="105"/>
      <c r="P72" s="20" t="str">
        <f>DFIE!$B36</f>
        <v>Glarus</v>
      </c>
      <c r="Q72" s="90">
        <f t="shared" si="19"/>
        <v>45774.887047359996</v>
      </c>
      <c r="R72" s="90">
        <f t="shared" si="20"/>
        <v>565.03194719999999</v>
      </c>
      <c r="S72" s="90">
        <f t="shared" si="21"/>
        <v>856.28132071999994</v>
      </c>
      <c r="T72" s="90">
        <f t="shared" si="22"/>
        <v>63.691374524714824</v>
      </c>
      <c r="U72" s="90">
        <f t="shared" si="23"/>
        <v>0</v>
      </c>
      <c r="V72" s="90">
        <f t="shared" si="24"/>
        <v>0</v>
      </c>
      <c r="W72" s="90">
        <f t="shared" si="25"/>
        <v>0</v>
      </c>
      <c r="X72" s="90">
        <f t="shared" si="17"/>
        <v>1485.0046424447146</v>
      </c>
      <c r="Y72" s="90">
        <f t="shared" si="26"/>
        <v>1113.7534818335359</v>
      </c>
      <c r="Z72" s="91">
        <v>0</v>
      </c>
      <c r="AA72" s="22">
        <f t="shared" si="18"/>
        <v>46888.64052919353</v>
      </c>
      <c r="AB72" s="355"/>
    </row>
    <row r="73" spans="1:28" x14ac:dyDescent="0.2">
      <c r="A73" s="355"/>
      <c r="B73" s="63" t="str">
        <f>DFIE!$B37</f>
        <v>Zug</v>
      </c>
      <c r="C73" s="33">
        <v>549922095</v>
      </c>
      <c r="D73" s="33">
        <v>89451192</v>
      </c>
      <c r="E73" s="33">
        <v>5419013</v>
      </c>
      <c r="F73" s="33">
        <v>8748704</v>
      </c>
      <c r="G73" s="33">
        <v>0</v>
      </c>
      <c r="H73" s="33">
        <v>0</v>
      </c>
      <c r="I73" s="33">
        <v>0</v>
      </c>
      <c r="J73" s="29">
        <f t="shared" si="16"/>
        <v>653541004</v>
      </c>
      <c r="K73" s="105"/>
      <c r="L73" s="34" t="str">
        <f>DFIE!$B$104</f>
        <v>C    Gamma (B / A)</v>
      </c>
      <c r="M73" s="34"/>
      <c r="N73" s="72">
        <f>ROUND(N71/N70,3)</f>
        <v>0.36799999999999999</v>
      </c>
      <c r="O73" s="105"/>
      <c r="P73" s="27" t="str">
        <f>DFIE!$B37</f>
        <v>Zug</v>
      </c>
      <c r="Q73" s="69">
        <f t="shared" si="19"/>
        <v>202371.33096000002</v>
      </c>
      <c r="R73" s="69">
        <f t="shared" si="20"/>
        <v>32918.038655999997</v>
      </c>
      <c r="S73" s="69">
        <f t="shared" si="21"/>
        <v>1744.922186</v>
      </c>
      <c r="T73" s="69">
        <f t="shared" si="22"/>
        <v>1496.9265399239544</v>
      </c>
      <c r="U73" s="69">
        <f t="shared" si="23"/>
        <v>0</v>
      </c>
      <c r="V73" s="69">
        <f t="shared" si="24"/>
        <v>0</v>
      </c>
      <c r="W73" s="69">
        <f t="shared" si="25"/>
        <v>0</v>
      </c>
      <c r="X73" s="69">
        <f t="shared" si="17"/>
        <v>36159.887381923952</v>
      </c>
      <c r="Y73" s="69">
        <f t="shared" si="26"/>
        <v>27119.915536442964</v>
      </c>
      <c r="Z73" s="82">
        <v>0</v>
      </c>
      <c r="AA73" s="29">
        <f t="shared" si="18"/>
        <v>229491.246496443</v>
      </c>
      <c r="AB73" s="355"/>
    </row>
    <row r="74" spans="1:28" x14ac:dyDescent="0.2">
      <c r="A74" s="355"/>
      <c r="B74" s="45" t="str">
        <f>DFIE!$B38</f>
        <v>Freiburg</v>
      </c>
      <c r="C74" s="46">
        <v>635875356</v>
      </c>
      <c r="D74" s="46">
        <v>88710408</v>
      </c>
      <c r="E74" s="46">
        <v>304076.7</v>
      </c>
      <c r="F74" s="46">
        <v>621808.5</v>
      </c>
      <c r="G74" s="46">
        <v>0</v>
      </c>
      <c r="H74" s="46">
        <v>0</v>
      </c>
      <c r="I74" s="46">
        <v>0</v>
      </c>
      <c r="J74" s="22">
        <f t="shared" si="16"/>
        <v>725511649.20000005</v>
      </c>
      <c r="K74" s="105"/>
      <c r="L74" s="58"/>
      <c r="M74" s="58"/>
      <c r="N74" s="58"/>
      <c r="O74" s="105"/>
      <c r="P74" s="20" t="str">
        <f>DFIE!$B38</f>
        <v>Freiburg</v>
      </c>
      <c r="Q74" s="90">
        <f t="shared" si="19"/>
        <v>234002.131008</v>
      </c>
      <c r="R74" s="90">
        <f t="shared" si="20"/>
        <v>32645.430144000002</v>
      </c>
      <c r="S74" s="90">
        <f t="shared" si="21"/>
        <v>97.912697399999999</v>
      </c>
      <c r="T74" s="90">
        <f t="shared" si="22"/>
        <v>106.39308935361215</v>
      </c>
      <c r="U74" s="90">
        <f t="shared" si="23"/>
        <v>0</v>
      </c>
      <c r="V74" s="90">
        <f t="shared" si="24"/>
        <v>0</v>
      </c>
      <c r="W74" s="90">
        <f t="shared" si="25"/>
        <v>0</v>
      </c>
      <c r="X74" s="90">
        <f t="shared" si="17"/>
        <v>32849.73593075361</v>
      </c>
      <c r="Y74" s="90">
        <f t="shared" si="26"/>
        <v>24637.301948065207</v>
      </c>
      <c r="Z74" s="91">
        <v>0</v>
      </c>
      <c r="AA74" s="22">
        <f t="shared" si="18"/>
        <v>258639.4329560652</v>
      </c>
      <c r="AB74" s="355"/>
    </row>
    <row r="75" spans="1:28" x14ac:dyDescent="0.2">
      <c r="A75" s="355"/>
      <c r="B75" s="63" t="str">
        <f>DFIE!$B39</f>
        <v>Solothurn</v>
      </c>
      <c r="C75" s="33">
        <v>397321345</v>
      </c>
      <c r="D75" s="33">
        <v>30413212</v>
      </c>
      <c r="E75" s="33">
        <v>811472</v>
      </c>
      <c r="F75" s="33">
        <v>47296580</v>
      </c>
      <c r="G75" s="33">
        <v>0</v>
      </c>
      <c r="H75" s="33">
        <v>93629411</v>
      </c>
      <c r="I75" s="33">
        <v>0</v>
      </c>
      <c r="J75" s="29">
        <f t="shared" si="16"/>
        <v>569472020</v>
      </c>
      <c r="K75" s="105"/>
      <c r="L75" s="58"/>
      <c r="M75" s="58"/>
      <c r="N75" s="58"/>
      <c r="O75" s="105"/>
      <c r="P75" s="27" t="str">
        <f>DFIE!$B39</f>
        <v>Solothurn</v>
      </c>
      <c r="Q75" s="69">
        <f t="shared" si="19"/>
        <v>146214.25496000002</v>
      </c>
      <c r="R75" s="69">
        <f t="shared" si="20"/>
        <v>11192.062015999998</v>
      </c>
      <c r="S75" s="69">
        <f t="shared" si="21"/>
        <v>261.29398400000002</v>
      </c>
      <c r="T75" s="69">
        <f t="shared" si="22"/>
        <v>8092.5707224334601</v>
      </c>
      <c r="U75" s="69">
        <f t="shared" si="23"/>
        <v>0</v>
      </c>
      <c r="V75" s="69">
        <f t="shared" si="24"/>
        <v>16020.241425855511</v>
      </c>
      <c r="W75" s="69">
        <f t="shared" si="25"/>
        <v>0</v>
      </c>
      <c r="X75" s="69">
        <f t="shared" si="17"/>
        <v>35566.168148288969</v>
      </c>
      <c r="Y75" s="69">
        <f t="shared" si="26"/>
        <v>26674.626111216727</v>
      </c>
      <c r="Z75" s="82">
        <v>0</v>
      </c>
      <c r="AA75" s="29">
        <f t="shared" si="18"/>
        <v>172888.88107121675</v>
      </c>
      <c r="AB75" s="355"/>
    </row>
    <row r="76" spans="1:28" x14ac:dyDescent="0.2">
      <c r="A76" s="355"/>
      <c r="B76" s="45" t="str">
        <f>DFIE!$B40</f>
        <v>Basel-Stadt</v>
      </c>
      <c r="C76" s="46">
        <v>681615409.01999998</v>
      </c>
      <c r="D76" s="46">
        <v>370807401.02999997</v>
      </c>
      <c r="E76" s="46">
        <v>2253349.12</v>
      </c>
      <c r="F76" s="46">
        <v>1544265963.8</v>
      </c>
      <c r="G76" s="46">
        <v>0</v>
      </c>
      <c r="H76" s="46">
        <v>1643127012.1700001</v>
      </c>
      <c r="I76" s="46">
        <v>0</v>
      </c>
      <c r="J76" s="22">
        <f t="shared" si="16"/>
        <v>4242069135.1399999</v>
      </c>
      <c r="K76" s="105"/>
      <c r="L76" s="34" t="str">
        <f>DFIE!$B$58</f>
        <v>Kategorie</v>
      </c>
      <c r="M76" s="34" t="str">
        <f>DFIE!$B$105</f>
        <v>Formel für Gewicht</v>
      </c>
      <c r="N76" s="74" t="str">
        <f>DFIE!$B$106</f>
        <v>Gewicht (ω)</v>
      </c>
      <c r="O76" s="105"/>
      <c r="P76" s="20" t="str">
        <f>DFIE!$B40</f>
        <v>Basel-Stadt</v>
      </c>
      <c r="Q76" s="90">
        <f t="shared" si="19"/>
        <v>250834.47051935998</v>
      </c>
      <c r="R76" s="90">
        <f t="shared" si="20"/>
        <v>136457.12357904</v>
      </c>
      <c r="S76" s="90">
        <f t="shared" si="21"/>
        <v>725.57841664000011</v>
      </c>
      <c r="T76" s="90">
        <f t="shared" si="22"/>
        <v>264228.01661977184</v>
      </c>
      <c r="U76" s="90">
        <f t="shared" si="23"/>
        <v>0</v>
      </c>
      <c r="V76" s="90">
        <f t="shared" si="24"/>
        <v>281143.40512414451</v>
      </c>
      <c r="W76" s="90">
        <f t="shared" si="25"/>
        <v>0</v>
      </c>
      <c r="X76" s="90">
        <f t="shared" si="17"/>
        <v>682554.12373959634</v>
      </c>
      <c r="Y76" s="90">
        <f t="shared" si="26"/>
        <v>511915.59280469723</v>
      </c>
      <c r="Z76" s="91">
        <v>0</v>
      </c>
      <c r="AA76" s="22">
        <f t="shared" si="18"/>
        <v>762750.06332405726</v>
      </c>
      <c r="AB76" s="355"/>
    </row>
    <row r="77" spans="1:28" x14ac:dyDescent="0.2">
      <c r="A77" s="355"/>
      <c r="B77" s="63" t="str">
        <f>DFIE!$B41</f>
        <v>Basel-Landschaft</v>
      </c>
      <c r="C77" s="33">
        <v>415080802.49000001</v>
      </c>
      <c r="D77" s="33">
        <v>99841991.260000005</v>
      </c>
      <c r="E77" s="33">
        <v>1764212.35</v>
      </c>
      <c r="F77" s="33">
        <v>774458947.50999999</v>
      </c>
      <c r="G77" s="33">
        <v>0</v>
      </c>
      <c r="H77" s="33">
        <v>1041333809.65</v>
      </c>
      <c r="I77" s="33">
        <v>0</v>
      </c>
      <c r="J77" s="29">
        <f t="shared" si="16"/>
        <v>2332479763.2600002</v>
      </c>
      <c r="K77" s="105"/>
      <c r="L77" s="101">
        <v>0</v>
      </c>
      <c r="M77" s="101" t="s">
        <v>70</v>
      </c>
      <c r="N77" s="75">
        <f>N73</f>
        <v>0.36799999999999999</v>
      </c>
      <c r="O77" s="105"/>
      <c r="P77" s="27" t="str">
        <f>DFIE!$B41</f>
        <v>Basel-Landschaft</v>
      </c>
      <c r="Q77" s="69">
        <f t="shared" si="19"/>
        <v>152749.73531632</v>
      </c>
      <c r="R77" s="69">
        <f t="shared" si="20"/>
        <v>36741.852783679999</v>
      </c>
      <c r="S77" s="69">
        <f t="shared" si="21"/>
        <v>568.07637669999997</v>
      </c>
      <c r="T77" s="69">
        <f t="shared" si="22"/>
        <v>132511.98721653991</v>
      </c>
      <c r="U77" s="69">
        <f t="shared" si="23"/>
        <v>0</v>
      </c>
      <c r="V77" s="69">
        <f t="shared" si="24"/>
        <v>178174.98644201522</v>
      </c>
      <c r="W77" s="69">
        <f t="shared" si="25"/>
        <v>0</v>
      </c>
      <c r="X77" s="69">
        <f t="shared" si="17"/>
        <v>347996.90281893511</v>
      </c>
      <c r="Y77" s="69">
        <f t="shared" si="26"/>
        <v>260997.67711420133</v>
      </c>
      <c r="Z77" s="82">
        <v>0</v>
      </c>
      <c r="AA77" s="29">
        <f t="shared" si="18"/>
        <v>413747.41243052133</v>
      </c>
      <c r="AB77" s="355"/>
    </row>
    <row r="78" spans="1:28" x14ac:dyDescent="0.2">
      <c r="A78" s="355"/>
      <c r="B78" s="45" t="str">
        <f>DFIE!$B42</f>
        <v>Schaffhausen</v>
      </c>
      <c r="C78" s="46">
        <v>270236373.36000001</v>
      </c>
      <c r="D78" s="46">
        <v>23549928.550000001</v>
      </c>
      <c r="E78" s="46">
        <v>694620.95</v>
      </c>
      <c r="F78" s="46">
        <v>382260594.81</v>
      </c>
      <c r="G78" s="46">
        <v>0</v>
      </c>
      <c r="H78" s="46">
        <v>0</v>
      </c>
      <c r="I78" s="46">
        <v>0</v>
      </c>
      <c r="J78" s="22">
        <f t="shared" si="16"/>
        <v>676741517.67000008</v>
      </c>
      <c r="K78" s="105"/>
      <c r="L78" s="101">
        <v>1</v>
      </c>
      <c r="M78" s="101" t="s">
        <v>70</v>
      </c>
      <c r="N78" s="75">
        <f>N73</f>
        <v>0.36799999999999999</v>
      </c>
      <c r="O78" s="105"/>
      <c r="P78" s="20" t="str">
        <f>DFIE!$B42</f>
        <v>Schaffhausen</v>
      </c>
      <c r="Q78" s="90">
        <f t="shared" si="19"/>
        <v>99446.985396480013</v>
      </c>
      <c r="R78" s="90">
        <f t="shared" si="20"/>
        <v>8666.3737063999997</v>
      </c>
      <c r="S78" s="90">
        <f t="shared" si="21"/>
        <v>223.66794589999998</v>
      </c>
      <c r="T78" s="90">
        <f t="shared" si="22"/>
        <v>65405.805195627378</v>
      </c>
      <c r="U78" s="90">
        <f t="shared" si="23"/>
        <v>0</v>
      </c>
      <c r="V78" s="90">
        <f t="shared" si="24"/>
        <v>0</v>
      </c>
      <c r="W78" s="90">
        <f t="shared" si="25"/>
        <v>0</v>
      </c>
      <c r="X78" s="90">
        <f t="shared" si="17"/>
        <v>74295.846847927372</v>
      </c>
      <c r="Y78" s="90">
        <f t="shared" si="26"/>
        <v>55721.885135945529</v>
      </c>
      <c r="Z78" s="91">
        <v>0</v>
      </c>
      <c r="AA78" s="22">
        <f t="shared" si="18"/>
        <v>155168.87053242553</v>
      </c>
      <c r="AB78" s="355"/>
    </row>
    <row r="79" spans="1:28" x14ac:dyDescent="0.2">
      <c r="A79" s="355"/>
      <c r="B79" s="63" t="str">
        <f>DFIE!$B43</f>
        <v>Appenzell A.Rh.</v>
      </c>
      <c r="C79" s="33">
        <v>83475340</v>
      </c>
      <c r="D79" s="33">
        <v>9235395</v>
      </c>
      <c r="E79" s="33">
        <v>14415122</v>
      </c>
      <c r="F79" s="33">
        <v>4984453</v>
      </c>
      <c r="G79" s="33">
        <v>0</v>
      </c>
      <c r="H79" s="33">
        <v>0</v>
      </c>
      <c r="I79" s="33">
        <v>0</v>
      </c>
      <c r="J79" s="29">
        <f t="shared" si="16"/>
        <v>112110310</v>
      </c>
      <c r="K79" s="105"/>
      <c r="L79" s="101" t="s">
        <v>57</v>
      </c>
      <c r="M79" s="101" t="s">
        <v>103</v>
      </c>
      <c r="N79" s="75">
        <f>IF(DFIE!$G$2-4&lt;2006,0.03/$N$7,0.875*N73)</f>
        <v>0.32200000000000001</v>
      </c>
      <c r="O79" s="105"/>
      <c r="P79" s="27" t="str">
        <f>DFIE!$B43</f>
        <v>Appenzell A.Rh.</v>
      </c>
      <c r="Q79" s="69">
        <f t="shared" si="19"/>
        <v>30718.92512</v>
      </c>
      <c r="R79" s="69">
        <f t="shared" si="20"/>
        <v>3398.62536</v>
      </c>
      <c r="S79" s="69">
        <f t="shared" si="21"/>
        <v>4641.6692839999996</v>
      </c>
      <c r="T79" s="69">
        <f t="shared" si="22"/>
        <v>852.85317490494299</v>
      </c>
      <c r="U79" s="69">
        <f t="shared" si="23"/>
        <v>0</v>
      </c>
      <c r="V79" s="69">
        <f t="shared" si="24"/>
        <v>0</v>
      </c>
      <c r="W79" s="69">
        <f t="shared" si="25"/>
        <v>0</v>
      </c>
      <c r="X79" s="69">
        <f t="shared" si="17"/>
        <v>8893.1478189049431</v>
      </c>
      <c r="Y79" s="69">
        <f t="shared" si="26"/>
        <v>6669.8608641787068</v>
      </c>
      <c r="Z79" s="82">
        <v>0</v>
      </c>
      <c r="AA79" s="29">
        <f t="shared" si="18"/>
        <v>37388.785984178707</v>
      </c>
      <c r="AB79" s="355"/>
    </row>
    <row r="80" spans="1:28" x14ac:dyDescent="0.2">
      <c r="A80" s="355"/>
      <c r="B80" s="45" t="str">
        <f>DFIE!$B44</f>
        <v>Appenzell I.Rh.</v>
      </c>
      <c r="C80" s="46">
        <v>21504292.219999999</v>
      </c>
      <c r="D80" s="46">
        <v>2605428.56</v>
      </c>
      <c r="E80" s="46">
        <v>5907019.3300000001</v>
      </c>
      <c r="F80" s="46">
        <v>564271.55000000005</v>
      </c>
      <c r="G80" s="46">
        <v>0</v>
      </c>
      <c r="H80" s="46">
        <v>0</v>
      </c>
      <c r="I80" s="46">
        <v>0</v>
      </c>
      <c r="J80" s="22">
        <f t="shared" si="16"/>
        <v>30581011.66</v>
      </c>
      <c r="K80" s="105"/>
      <c r="L80" s="101" t="s">
        <v>58</v>
      </c>
      <c r="M80" s="101" t="str">
        <f>DFIE!$B$107</f>
        <v>0.045 / SSTV</v>
      </c>
      <c r="N80" s="75">
        <f>0.045/ROUND($N$7,3)</f>
        <v>0.17110266159695817</v>
      </c>
      <c r="O80" s="105"/>
      <c r="P80" s="20" t="str">
        <f>DFIE!$B44</f>
        <v>Appenzell I.Rh.</v>
      </c>
      <c r="Q80" s="90">
        <f t="shared" si="19"/>
        <v>7913.5795369599991</v>
      </c>
      <c r="R80" s="90">
        <f t="shared" si="20"/>
        <v>958.79771008</v>
      </c>
      <c r="S80" s="90">
        <f t="shared" si="21"/>
        <v>1902.06022426</v>
      </c>
      <c r="T80" s="90">
        <f t="shared" si="22"/>
        <v>96.54836406844106</v>
      </c>
      <c r="U80" s="90">
        <f t="shared" si="23"/>
        <v>0</v>
      </c>
      <c r="V80" s="90">
        <f t="shared" si="24"/>
        <v>0</v>
      </c>
      <c r="W80" s="90">
        <f t="shared" si="25"/>
        <v>0</v>
      </c>
      <c r="X80" s="90">
        <f t="shared" si="17"/>
        <v>2957.4062984084412</v>
      </c>
      <c r="Y80" s="90">
        <f t="shared" si="26"/>
        <v>2218.0547238063309</v>
      </c>
      <c r="Z80" s="91">
        <v>0</v>
      </c>
      <c r="AA80" s="22">
        <f t="shared" si="18"/>
        <v>10131.63426076633</v>
      </c>
      <c r="AB80" s="355"/>
    </row>
    <row r="81" spans="1:28" x14ac:dyDescent="0.2">
      <c r="A81" s="355"/>
      <c r="B81" s="63" t="str">
        <f>DFIE!$B45</f>
        <v>St. Gallen</v>
      </c>
      <c r="C81" s="33">
        <v>830945723.5</v>
      </c>
      <c r="D81" s="33">
        <v>51379534.780000001</v>
      </c>
      <c r="E81" s="33">
        <v>507262240.82999998</v>
      </c>
      <c r="F81" s="33">
        <v>89848122.560000002</v>
      </c>
      <c r="G81" s="33">
        <v>0</v>
      </c>
      <c r="H81" s="33">
        <v>0</v>
      </c>
      <c r="I81" s="33">
        <v>0</v>
      </c>
      <c r="J81" s="29">
        <f t="shared" si="16"/>
        <v>1479435621.6699998</v>
      </c>
      <c r="K81" s="105"/>
      <c r="L81" s="101" t="s">
        <v>59</v>
      </c>
      <c r="M81" s="101" t="str">
        <f>DFIE!$B$108</f>
        <v>γ - 0.035 / SSTV</v>
      </c>
      <c r="N81" s="75">
        <f>N73-0.035/ROUND($N$7,3)</f>
        <v>0.23492015209125475</v>
      </c>
      <c r="O81" s="105"/>
      <c r="P81" s="27" t="str">
        <f>DFIE!$B45</f>
        <v>St. Gallen</v>
      </c>
      <c r="Q81" s="69">
        <f t="shared" si="19"/>
        <v>305788.02624799998</v>
      </c>
      <c r="R81" s="69">
        <f t="shared" si="20"/>
        <v>18907.668799040002</v>
      </c>
      <c r="S81" s="69">
        <f t="shared" si="21"/>
        <v>163338.44154725998</v>
      </c>
      <c r="T81" s="69">
        <f t="shared" si="22"/>
        <v>15373.252909505703</v>
      </c>
      <c r="U81" s="69">
        <f t="shared" si="23"/>
        <v>0</v>
      </c>
      <c r="V81" s="69">
        <f t="shared" si="24"/>
        <v>0</v>
      </c>
      <c r="W81" s="69">
        <f t="shared" si="25"/>
        <v>0</v>
      </c>
      <c r="X81" s="69">
        <f t="shared" si="17"/>
        <v>197619.36325580569</v>
      </c>
      <c r="Y81" s="69">
        <f t="shared" si="26"/>
        <v>148214.52244185426</v>
      </c>
      <c r="Z81" s="82">
        <v>0</v>
      </c>
      <c r="AA81" s="29">
        <f t="shared" si="18"/>
        <v>454002.54868985421</v>
      </c>
      <c r="AB81" s="355"/>
    </row>
    <row r="82" spans="1:28" x14ac:dyDescent="0.2">
      <c r="A82" s="355"/>
      <c r="B82" s="45" t="str">
        <f>DFIE!$B46</f>
        <v>Graubünden</v>
      </c>
      <c r="C82" s="46">
        <v>898391518.88</v>
      </c>
      <c r="D82" s="46">
        <v>167516760.09</v>
      </c>
      <c r="E82" s="46">
        <v>23309163.359999999</v>
      </c>
      <c r="F82" s="46">
        <v>1447294.54</v>
      </c>
      <c r="G82" s="46">
        <v>0</v>
      </c>
      <c r="H82" s="46">
        <v>0</v>
      </c>
      <c r="I82" s="46">
        <v>100227356.79000001</v>
      </c>
      <c r="J82" s="22">
        <f t="shared" si="16"/>
        <v>1190892093.6599998</v>
      </c>
      <c r="K82" s="105"/>
      <c r="L82" s="101" t="s">
        <v>60</v>
      </c>
      <c r="M82" s="101" t="str">
        <f>DFIE!$B$107</f>
        <v>0.045 / SSTV</v>
      </c>
      <c r="N82" s="75">
        <f>0.045/ROUND($N$7,3)</f>
        <v>0.17110266159695817</v>
      </c>
      <c r="O82" s="105"/>
      <c r="P82" s="20" t="str">
        <f>DFIE!$B46</f>
        <v>Graubünden</v>
      </c>
      <c r="Q82" s="90">
        <f t="shared" si="19"/>
        <v>330608.07894783997</v>
      </c>
      <c r="R82" s="90">
        <f t="shared" si="20"/>
        <v>61646.167713119998</v>
      </c>
      <c r="S82" s="90">
        <f t="shared" si="21"/>
        <v>7505.5506019200002</v>
      </c>
      <c r="T82" s="90">
        <f t="shared" si="22"/>
        <v>247.63594790874524</v>
      </c>
      <c r="U82" s="90">
        <f t="shared" si="23"/>
        <v>0</v>
      </c>
      <c r="V82" s="90">
        <f t="shared" si="24"/>
        <v>0</v>
      </c>
      <c r="W82" s="90">
        <f t="shared" si="25"/>
        <v>22130.200379231999</v>
      </c>
      <c r="X82" s="90">
        <f t="shared" si="17"/>
        <v>91529.554642180738</v>
      </c>
      <c r="Y82" s="90">
        <f t="shared" si="26"/>
        <v>68647.165981635553</v>
      </c>
      <c r="Z82" s="91">
        <v>0</v>
      </c>
      <c r="AA82" s="22">
        <f t="shared" si="18"/>
        <v>399255.24492947554</v>
      </c>
      <c r="AB82" s="355"/>
    </row>
    <row r="83" spans="1:28" x14ac:dyDescent="0.2">
      <c r="A83" s="355"/>
      <c r="B83" s="63" t="str">
        <f>DFIE!$B47</f>
        <v>Aargau</v>
      </c>
      <c r="C83" s="33">
        <v>1311840439</v>
      </c>
      <c r="D83" s="33">
        <v>304469633</v>
      </c>
      <c r="E83" s="33">
        <v>5933642</v>
      </c>
      <c r="F83" s="33">
        <v>953427967</v>
      </c>
      <c r="G83" s="33">
        <v>0</v>
      </c>
      <c r="H83" s="33">
        <v>0</v>
      </c>
      <c r="I83" s="33">
        <v>0</v>
      </c>
      <c r="J83" s="29">
        <f t="shared" si="16"/>
        <v>2575671681</v>
      </c>
      <c r="K83" s="105"/>
      <c r="L83" s="101" t="s">
        <v>61</v>
      </c>
      <c r="M83" s="101" t="s">
        <v>104</v>
      </c>
      <c r="N83" s="75">
        <f>0.6*N73</f>
        <v>0.2208</v>
      </c>
      <c r="O83" s="105"/>
      <c r="P83" s="27" t="str">
        <f>DFIE!$B47</f>
        <v>Aargau</v>
      </c>
      <c r="Q83" s="69">
        <f t="shared" si="19"/>
        <v>482757.28155199997</v>
      </c>
      <c r="R83" s="69">
        <f t="shared" si="20"/>
        <v>112044.82494399999</v>
      </c>
      <c r="S83" s="69">
        <f t="shared" si="21"/>
        <v>1910.6327240000001</v>
      </c>
      <c r="T83" s="69">
        <f t="shared" si="22"/>
        <v>163134.06279467681</v>
      </c>
      <c r="U83" s="69">
        <f t="shared" si="23"/>
        <v>0</v>
      </c>
      <c r="V83" s="69">
        <f t="shared" si="24"/>
        <v>0</v>
      </c>
      <c r="W83" s="69">
        <f t="shared" si="25"/>
        <v>0</v>
      </c>
      <c r="X83" s="69">
        <f t="shared" si="17"/>
        <v>277089.52046267677</v>
      </c>
      <c r="Y83" s="69">
        <f t="shared" si="26"/>
        <v>207817.14034700757</v>
      </c>
      <c r="Z83" s="82">
        <v>0</v>
      </c>
      <c r="AA83" s="29">
        <f t="shared" si="18"/>
        <v>690574.42189900752</v>
      </c>
      <c r="AB83" s="355"/>
    </row>
    <row r="84" spans="1:28" x14ac:dyDescent="0.2">
      <c r="A84" s="355"/>
      <c r="B84" s="45" t="str">
        <f>DFIE!$B48</f>
        <v>Thurgau</v>
      </c>
      <c r="C84" s="46">
        <v>638532573.88</v>
      </c>
      <c r="D84" s="46">
        <v>66829387.960000001</v>
      </c>
      <c r="E84" s="46">
        <v>18195011.719999999</v>
      </c>
      <c r="F84" s="46">
        <v>304653889.93000001</v>
      </c>
      <c r="G84" s="46">
        <v>0</v>
      </c>
      <c r="H84" s="46">
        <v>0</v>
      </c>
      <c r="I84" s="46">
        <v>0</v>
      </c>
      <c r="J84" s="22">
        <f t="shared" si="16"/>
        <v>1028210863.49</v>
      </c>
      <c r="K84" s="105"/>
      <c r="L84" s="58"/>
      <c r="M84" s="58"/>
      <c r="N84" s="58"/>
      <c r="O84" s="105"/>
      <c r="P84" s="20" t="str">
        <f>DFIE!$B48</f>
        <v>Thurgau</v>
      </c>
      <c r="Q84" s="90">
        <f t="shared" si="19"/>
        <v>234979.98718783999</v>
      </c>
      <c r="R84" s="90">
        <f t="shared" si="20"/>
        <v>24593.214769280003</v>
      </c>
      <c r="S84" s="90">
        <f t="shared" si="21"/>
        <v>5858.7937738399996</v>
      </c>
      <c r="T84" s="90">
        <f t="shared" si="22"/>
        <v>52127.091432889727</v>
      </c>
      <c r="U84" s="90">
        <f t="shared" si="23"/>
        <v>0</v>
      </c>
      <c r="V84" s="90">
        <f t="shared" si="24"/>
        <v>0</v>
      </c>
      <c r="W84" s="90">
        <f t="shared" si="25"/>
        <v>0</v>
      </c>
      <c r="X84" s="90">
        <f t="shared" si="17"/>
        <v>82579.099976009733</v>
      </c>
      <c r="Y84" s="90">
        <f t="shared" si="26"/>
        <v>61934.324982007296</v>
      </c>
      <c r="Z84" s="91">
        <v>0</v>
      </c>
      <c r="AA84" s="22">
        <f t="shared" si="18"/>
        <v>296914.31216984731</v>
      </c>
      <c r="AB84" s="355"/>
    </row>
    <row r="85" spans="1:28" x14ac:dyDescent="0.2">
      <c r="A85" s="355"/>
      <c r="B85" s="63" t="str">
        <f>DFIE!$B49</f>
        <v>Tessin</v>
      </c>
      <c r="C85" s="33">
        <v>1056268232</v>
      </c>
      <c r="D85" s="33">
        <v>543041611</v>
      </c>
      <c r="E85" s="33">
        <v>443863</v>
      </c>
      <c r="F85" s="33">
        <v>0</v>
      </c>
      <c r="G85" s="33">
        <v>0</v>
      </c>
      <c r="H85" s="33">
        <v>0</v>
      </c>
      <c r="I85" s="33">
        <v>2877849262</v>
      </c>
      <c r="J85" s="29">
        <f t="shared" si="16"/>
        <v>4477602968</v>
      </c>
      <c r="K85" s="105"/>
      <c r="L85" s="58"/>
      <c r="M85" s="58"/>
      <c r="N85" s="106"/>
      <c r="O85" s="105"/>
      <c r="P85" s="27" t="str">
        <f>DFIE!$B49</f>
        <v>Tessin</v>
      </c>
      <c r="Q85" s="69">
        <f t="shared" si="19"/>
        <v>388706.70937599998</v>
      </c>
      <c r="R85" s="69">
        <f t="shared" si="20"/>
        <v>199839.312848</v>
      </c>
      <c r="S85" s="69">
        <f t="shared" si="21"/>
        <v>142.92388600000001</v>
      </c>
      <c r="T85" s="69">
        <f t="shared" si="22"/>
        <v>0</v>
      </c>
      <c r="U85" s="69">
        <f t="shared" si="23"/>
        <v>0</v>
      </c>
      <c r="V85" s="69">
        <f t="shared" si="24"/>
        <v>0</v>
      </c>
      <c r="W85" s="69">
        <f t="shared" si="25"/>
        <v>635429.1170496</v>
      </c>
      <c r="X85" s="69">
        <f t="shared" si="17"/>
        <v>835411.35378360003</v>
      </c>
      <c r="Y85" s="69">
        <f t="shared" si="26"/>
        <v>626558.51533770002</v>
      </c>
      <c r="Z85" s="82">
        <v>0</v>
      </c>
      <c r="AA85" s="29">
        <f t="shared" si="18"/>
        <v>1015265.2247137</v>
      </c>
      <c r="AB85" s="355"/>
    </row>
    <row r="86" spans="1:28" x14ac:dyDescent="0.2">
      <c r="A86" s="355"/>
      <c r="B86" s="45" t="str">
        <f>DFIE!$B50</f>
        <v>Waadt</v>
      </c>
      <c r="C86" s="46">
        <v>2933734337</v>
      </c>
      <c r="D86" s="46">
        <v>0</v>
      </c>
      <c r="E86" s="46">
        <v>0</v>
      </c>
      <c r="F86" s="46">
        <v>0</v>
      </c>
      <c r="G86" s="46">
        <v>0</v>
      </c>
      <c r="H86" s="46">
        <v>2259595294.77</v>
      </c>
      <c r="I86" s="46">
        <v>0</v>
      </c>
      <c r="J86" s="22">
        <f t="shared" si="16"/>
        <v>5193329631.7700005</v>
      </c>
      <c r="K86" s="105"/>
      <c r="L86" s="58"/>
      <c r="M86" s="58"/>
      <c r="N86" s="58"/>
      <c r="O86" s="105"/>
      <c r="P86" s="20" t="str">
        <f>DFIE!$B50</f>
        <v>Waadt</v>
      </c>
      <c r="Q86" s="90">
        <f t="shared" si="19"/>
        <v>1079614.2360159999</v>
      </c>
      <c r="R86" s="90">
        <f t="shared" si="20"/>
        <v>0</v>
      </c>
      <c r="S86" s="90">
        <f t="shared" si="21"/>
        <v>0</v>
      </c>
      <c r="T86" s="90">
        <f t="shared" si="22"/>
        <v>0</v>
      </c>
      <c r="U86" s="90">
        <f t="shared" si="23"/>
        <v>0</v>
      </c>
      <c r="V86" s="90">
        <f t="shared" si="24"/>
        <v>386622.76906711026</v>
      </c>
      <c r="W86" s="90">
        <f t="shared" si="25"/>
        <v>0</v>
      </c>
      <c r="X86" s="90">
        <f t="shared" si="17"/>
        <v>386622.76906711026</v>
      </c>
      <c r="Y86" s="90">
        <f t="shared" si="26"/>
        <v>289967.0768003327</v>
      </c>
      <c r="Z86" s="91">
        <v>0</v>
      </c>
      <c r="AA86" s="22">
        <f t="shared" si="18"/>
        <v>1369581.3128163326</v>
      </c>
      <c r="AB86" s="355"/>
    </row>
    <row r="87" spans="1:28" x14ac:dyDescent="0.2">
      <c r="A87" s="355"/>
      <c r="B87" s="63" t="str">
        <f>DFIE!$B51</f>
        <v>Wallis</v>
      </c>
      <c r="C87" s="33">
        <v>1155134872.25</v>
      </c>
      <c r="D87" s="33">
        <v>11155233.33</v>
      </c>
      <c r="E87" s="33">
        <v>0</v>
      </c>
      <c r="F87" s="33">
        <v>274275.8</v>
      </c>
      <c r="G87" s="33">
        <v>0</v>
      </c>
      <c r="H87" s="33">
        <v>105510868.93000001</v>
      </c>
      <c r="I87" s="33">
        <v>69909208.519999996</v>
      </c>
      <c r="J87" s="29">
        <f t="shared" si="16"/>
        <v>1341984458.8299999</v>
      </c>
      <c r="K87" s="105"/>
      <c r="L87" s="58"/>
      <c r="M87" s="58"/>
      <c r="N87" s="58"/>
      <c r="O87" s="105"/>
      <c r="P87" s="27" t="str">
        <f>DFIE!$B51</f>
        <v>Wallis</v>
      </c>
      <c r="Q87" s="69">
        <f t="shared" si="19"/>
        <v>425089.632988</v>
      </c>
      <c r="R87" s="69">
        <f t="shared" si="20"/>
        <v>4105.1258654399999</v>
      </c>
      <c r="S87" s="69">
        <f t="shared" si="21"/>
        <v>0</v>
      </c>
      <c r="T87" s="69">
        <f t="shared" si="22"/>
        <v>46.929319391634976</v>
      </c>
      <c r="U87" s="69">
        <f t="shared" si="23"/>
        <v>0</v>
      </c>
      <c r="V87" s="69">
        <f t="shared" si="24"/>
        <v>18053.190501330799</v>
      </c>
      <c r="W87" s="69">
        <f t="shared" si="25"/>
        <v>15435.953241215999</v>
      </c>
      <c r="X87" s="69">
        <f t="shared" si="17"/>
        <v>37641.198927378435</v>
      </c>
      <c r="Y87" s="69">
        <f t="shared" si="26"/>
        <v>28230.899195533828</v>
      </c>
      <c r="Z87" s="82">
        <v>0</v>
      </c>
      <c r="AA87" s="29">
        <f t="shared" si="18"/>
        <v>453320.53218353383</v>
      </c>
      <c r="AB87" s="355"/>
    </row>
    <row r="88" spans="1:28" x14ac:dyDescent="0.2">
      <c r="A88" s="355"/>
      <c r="B88" s="45" t="str">
        <f>DFIE!$B52</f>
        <v>Neuenburg</v>
      </c>
      <c r="C88" s="46">
        <v>439437904</v>
      </c>
      <c r="D88" s="46">
        <v>51338511</v>
      </c>
      <c r="E88" s="46">
        <v>4313</v>
      </c>
      <c r="F88" s="46">
        <v>303146</v>
      </c>
      <c r="G88" s="46">
        <v>0</v>
      </c>
      <c r="H88" s="46">
        <v>983341991</v>
      </c>
      <c r="I88" s="46">
        <v>0</v>
      </c>
      <c r="J88" s="22">
        <f t="shared" si="16"/>
        <v>1474425865</v>
      </c>
      <c r="K88" s="105"/>
      <c r="L88" s="58"/>
      <c r="M88" s="58"/>
      <c r="N88" s="58"/>
      <c r="O88" s="105"/>
      <c r="P88" s="20" t="str">
        <f>DFIE!$B52</f>
        <v>Neuenburg</v>
      </c>
      <c r="Q88" s="90">
        <f t="shared" si="19"/>
        <v>161713.14867199998</v>
      </c>
      <c r="R88" s="90">
        <f t="shared" si="20"/>
        <v>18892.572048000002</v>
      </c>
      <c r="S88" s="90">
        <f t="shared" si="21"/>
        <v>1.3887860000000001</v>
      </c>
      <c r="T88" s="90">
        <f t="shared" si="22"/>
        <v>51.869087452471483</v>
      </c>
      <c r="U88" s="90">
        <f t="shared" si="23"/>
        <v>0</v>
      </c>
      <c r="V88" s="90">
        <f t="shared" si="24"/>
        <v>168252.4319201521</v>
      </c>
      <c r="W88" s="90">
        <f t="shared" si="25"/>
        <v>0</v>
      </c>
      <c r="X88" s="90">
        <f t="shared" si="17"/>
        <v>187198.26184160457</v>
      </c>
      <c r="Y88" s="90">
        <f t="shared" si="26"/>
        <v>140398.69638120342</v>
      </c>
      <c r="Z88" s="91">
        <v>0</v>
      </c>
      <c r="AA88" s="22">
        <f t="shared" si="18"/>
        <v>302111.8450532034</v>
      </c>
      <c r="AB88" s="355"/>
    </row>
    <row r="89" spans="1:28" x14ac:dyDescent="0.2">
      <c r="A89" s="355"/>
      <c r="B89" s="63" t="str">
        <f>DFIE!$B53</f>
        <v>Genf</v>
      </c>
      <c r="C89" s="33">
        <v>2206952196</v>
      </c>
      <c r="D89" s="33">
        <v>509029639</v>
      </c>
      <c r="E89" s="33">
        <v>1595721</v>
      </c>
      <c r="F89" s="33">
        <v>0</v>
      </c>
      <c r="G89" s="33">
        <v>8191783359</v>
      </c>
      <c r="H89" s="33">
        <v>0</v>
      </c>
      <c r="I89" s="33">
        <v>0</v>
      </c>
      <c r="J89" s="29">
        <f t="shared" si="16"/>
        <v>10909360915</v>
      </c>
      <c r="K89" s="105"/>
      <c r="L89" s="58"/>
      <c r="M89" s="58"/>
      <c r="N89" s="58"/>
      <c r="O89" s="105"/>
      <c r="P89" s="27" t="str">
        <f>DFIE!$B53</f>
        <v>Genf</v>
      </c>
      <c r="Q89" s="69">
        <f t="shared" si="19"/>
        <v>812158.40812799998</v>
      </c>
      <c r="R89" s="69">
        <f t="shared" si="20"/>
        <v>187322.907152</v>
      </c>
      <c r="S89" s="69">
        <f t="shared" si="21"/>
        <v>513.82216200000005</v>
      </c>
      <c r="T89" s="69">
        <f t="shared" si="22"/>
        <v>0</v>
      </c>
      <c r="U89" s="69">
        <f t="shared" si="23"/>
        <v>1924414.9925948896</v>
      </c>
      <c r="V89" s="69">
        <f t="shared" si="24"/>
        <v>0</v>
      </c>
      <c r="W89" s="69">
        <f t="shared" si="25"/>
        <v>0</v>
      </c>
      <c r="X89" s="69">
        <f t="shared" si="17"/>
        <v>2112251.7219088897</v>
      </c>
      <c r="Y89" s="69">
        <f t="shared" si="26"/>
        <v>1584188.7914316673</v>
      </c>
      <c r="Z89" s="82">
        <v>0</v>
      </c>
      <c r="AA89" s="29">
        <f t="shared" si="18"/>
        <v>2396347.1995596671</v>
      </c>
      <c r="AB89" s="355"/>
    </row>
    <row r="90" spans="1:28" x14ac:dyDescent="0.2">
      <c r="A90" s="355"/>
      <c r="B90" s="45" t="str">
        <f>DFIE!$B54</f>
        <v>Jura</v>
      </c>
      <c r="C90" s="46">
        <v>90710430.799999997</v>
      </c>
      <c r="D90" s="46">
        <v>11084578</v>
      </c>
      <c r="E90" s="46">
        <v>0</v>
      </c>
      <c r="F90" s="46">
        <v>728239</v>
      </c>
      <c r="G90" s="46">
        <v>0</v>
      </c>
      <c r="H90" s="46">
        <v>538035318</v>
      </c>
      <c r="I90" s="46">
        <v>0</v>
      </c>
      <c r="J90" s="22">
        <f t="shared" si="16"/>
        <v>640558565.79999995</v>
      </c>
      <c r="K90" s="105"/>
      <c r="L90" s="58"/>
      <c r="M90" s="58"/>
      <c r="N90" s="58"/>
      <c r="O90" s="105"/>
      <c r="P90" s="20" t="str">
        <f>DFIE!$B54</f>
        <v>Jura</v>
      </c>
      <c r="Q90" s="90">
        <f t="shared" si="19"/>
        <v>33381.438534399997</v>
      </c>
      <c r="R90" s="90">
        <f t="shared" si="20"/>
        <v>4079.1247039999998</v>
      </c>
      <c r="S90" s="90">
        <f t="shared" si="21"/>
        <v>0</v>
      </c>
      <c r="T90" s="90">
        <f t="shared" si="22"/>
        <v>124.60363117870722</v>
      </c>
      <c r="U90" s="90">
        <f t="shared" si="23"/>
        <v>0</v>
      </c>
      <c r="V90" s="90">
        <f t="shared" si="24"/>
        <v>92059.274942965771</v>
      </c>
      <c r="W90" s="90">
        <f t="shared" si="25"/>
        <v>0</v>
      </c>
      <c r="X90" s="90">
        <f t="shared" si="17"/>
        <v>96263.003278144475</v>
      </c>
      <c r="Y90" s="90">
        <f t="shared" si="26"/>
        <v>72197.25245860836</v>
      </c>
      <c r="Z90" s="91">
        <v>0</v>
      </c>
      <c r="AA90" s="22">
        <f t="shared" si="18"/>
        <v>105578.69099300835</v>
      </c>
      <c r="AB90" s="355"/>
    </row>
    <row r="91" spans="1:28" x14ac:dyDescent="0.2">
      <c r="A91" s="355"/>
      <c r="B91" s="28" t="str">
        <f>DFIE!$B55</f>
        <v>Schweiz</v>
      </c>
      <c r="C91" s="67">
        <f t="shared" ref="C91:I91" si="27">SUM(C65:C90)</f>
        <v>23569005330.969997</v>
      </c>
      <c r="D91" s="67">
        <f t="shared" si="27"/>
        <v>2811381051.6499996</v>
      </c>
      <c r="E91" s="67">
        <f t="shared" si="27"/>
        <v>598765670.62</v>
      </c>
      <c r="F91" s="67">
        <f t="shared" si="27"/>
        <v>4744985187.4300003</v>
      </c>
      <c r="G91" s="67">
        <f t="shared" si="27"/>
        <v>8191783359</v>
      </c>
      <c r="H91" s="67">
        <f t="shared" si="27"/>
        <v>6820212872.0400009</v>
      </c>
      <c r="I91" s="67">
        <f t="shared" si="27"/>
        <v>3047985827.3099999</v>
      </c>
      <c r="J91" s="66">
        <f t="shared" si="16"/>
        <v>49784119299.019997</v>
      </c>
      <c r="K91" s="58"/>
      <c r="L91" s="58"/>
      <c r="M91" s="58"/>
      <c r="N91" s="58"/>
      <c r="O91" s="58"/>
      <c r="P91" s="28" t="str">
        <f>DFIE!$B55</f>
        <v>Schweiz</v>
      </c>
      <c r="Q91" s="108">
        <f t="shared" ref="Q91:Z91" si="28">SUM(Q65:Q90)</f>
        <v>8673393.9617969599</v>
      </c>
      <c r="R91" s="108">
        <f t="shared" si="28"/>
        <v>1034588.2270072</v>
      </c>
      <c r="S91" s="32">
        <f t="shared" si="28"/>
        <v>192802.54593963997</v>
      </c>
      <c r="T91" s="32">
        <f t="shared" si="28"/>
        <v>811879.59480741445</v>
      </c>
      <c r="U91" s="32">
        <f t="shared" si="28"/>
        <v>1924414.9925948896</v>
      </c>
      <c r="V91" s="32">
        <f t="shared" si="28"/>
        <v>1166956.5750638782</v>
      </c>
      <c r="W91" s="32">
        <f t="shared" si="28"/>
        <v>672995.27067004796</v>
      </c>
      <c r="X91" s="32">
        <f t="shared" si="28"/>
        <v>5803637.2060830705</v>
      </c>
      <c r="Y91" s="32">
        <f>SUM(Y65:Y90)</f>
        <v>4352727.9045623029</v>
      </c>
      <c r="Z91" s="66">
        <f t="shared" si="28"/>
        <v>0</v>
      </c>
      <c r="AA91" s="30">
        <f>SUM(AA65:AA90)</f>
        <v>13026121.866359266</v>
      </c>
      <c r="AB91" s="355"/>
    </row>
  </sheetData>
  <mergeCells count="10">
    <mergeCell ref="AB37:AB63"/>
    <mergeCell ref="AB65:AB91"/>
    <mergeCell ref="A9:A35"/>
    <mergeCell ref="A37:A63"/>
    <mergeCell ref="A65:A91"/>
    <mergeCell ref="AA6:AA7"/>
    <mergeCell ref="C3:J3"/>
    <mergeCell ref="Q3:AA3"/>
    <mergeCell ref="Z6:Z7"/>
    <mergeCell ref="AB9:AB35"/>
  </mergeCells>
  <conditionalFormatting sqref="N14:N15 C9:I34 N7:N8">
    <cfRule type="expression" dxfId="58" priority="32" stopIfTrue="1">
      <formula>ISBLANK(C7)</formula>
    </cfRule>
  </conditionalFormatting>
  <conditionalFormatting sqref="N42:N43 C37:I37">
    <cfRule type="expression" dxfId="57" priority="26" stopIfTrue="1">
      <formula>ISBLANK(C37)</formula>
    </cfRule>
  </conditionalFormatting>
  <conditionalFormatting sqref="C65:I65 N70:N71">
    <cfRule type="expression" dxfId="56" priority="23" stopIfTrue="1">
      <formula>ISBLANK(C65)</formula>
    </cfRule>
  </conditionalFormatting>
  <conditionalFormatting sqref="N43">
    <cfRule type="expression" dxfId="55" priority="20" stopIfTrue="1">
      <formula>ISBLANK(N43)</formula>
    </cfRule>
  </conditionalFormatting>
  <conditionalFormatting sqref="N71">
    <cfRule type="expression" dxfId="54" priority="19" stopIfTrue="1">
      <formula>ISBLANK(N71)</formula>
    </cfRule>
  </conditionalFormatting>
  <conditionalFormatting sqref="C37:I37">
    <cfRule type="expression" dxfId="53" priority="18" stopIfTrue="1">
      <formula>ISBLANK(C37)</formula>
    </cfRule>
  </conditionalFormatting>
  <conditionalFormatting sqref="C65:I65">
    <cfRule type="expression" dxfId="52" priority="17" stopIfTrue="1">
      <formula>ISBLANK(C65)</formula>
    </cfRule>
  </conditionalFormatting>
  <conditionalFormatting sqref="N42:N43">
    <cfRule type="expression" dxfId="51" priority="12" stopIfTrue="1">
      <formula>ISBLANK(N42)</formula>
    </cfRule>
    <cfRule type="expression" dxfId="50" priority="13" stopIfTrue="1">
      <formula>ISBLANK(N42)</formula>
    </cfRule>
  </conditionalFormatting>
  <conditionalFormatting sqref="N70">
    <cfRule type="expression" dxfId="49" priority="11" stopIfTrue="1">
      <formula>ISBLANK(N70)</formula>
    </cfRule>
  </conditionalFormatting>
  <conditionalFormatting sqref="Z9:Z34">
    <cfRule type="expression" dxfId="48" priority="7" stopIfTrue="1">
      <formula>ISBLANK(Z9)</formula>
    </cfRule>
  </conditionalFormatting>
  <conditionalFormatting sqref="Z37">
    <cfRule type="expression" dxfId="47" priority="6" stopIfTrue="1">
      <formula>ISBLANK(Z37)</formula>
    </cfRule>
  </conditionalFormatting>
  <conditionalFormatting sqref="Z65">
    <cfRule type="expression" dxfId="46" priority="5" stopIfTrue="1">
      <formula>ISBLANK(Z65)</formula>
    </cfRule>
  </conditionalFormatting>
  <conditionalFormatting sqref="C38:I62">
    <cfRule type="expression" dxfId="45" priority="4" stopIfTrue="1">
      <formula>ISBLANK(C38)</formula>
    </cfRule>
  </conditionalFormatting>
  <conditionalFormatting sqref="C66:I90">
    <cfRule type="expression" dxfId="44" priority="3" stopIfTrue="1">
      <formula>ISBLANK(C66)</formula>
    </cfRule>
  </conditionalFormatting>
  <conditionalFormatting sqref="Z38:Z62">
    <cfRule type="expression" dxfId="43" priority="2" stopIfTrue="1">
      <formula>ISBLANK(Z38)</formula>
    </cfRule>
  </conditionalFormatting>
  <conditionalFormatting sqref="Z66:Z90">
    <cfRule type="expression" dxfId="42" priority="1" stopIfTrue="1">
      <formula>ISBLANK(Z66)</formula>
    </cfRule>
  </conditionalFormatting>
  <pageMargins left="0.70866141732283472" right="0.39370078740157483" top="0.98425196850393704" bottom="0.78740157480314965" header="0.51181102362204722" footer="0.51181102362204722"/>
  <pageSetup paperSize="9" scale="60" fitToWidth="2" orientation="landscape"/>
  <headerFooter scaleWithDoc="0" alignWithMargins="0">
    <oddHeader>&amp;L&amp;F&amp;R&amp;A</oddHeader>
    <oddFooter>&amp;C&amp;P / &amp;N</oddFooter>
  </headerFooter>
  <rowBreaks count="2" manualBreakCount="2">
    <brk id="36" max="16383" man="1"/>
    <brk id="64" max="16383" man="1"/>
  </rowBreaks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71"/>
  <sheetViews>
    <sheetView showGridLines="0" zoomScaleNormal="100" zoomScaleSheetLayoutView="70" workbookViewId="0">
      <pane ySplit="8" topLeftCell="A9" activePane="bottomLeft" state="frozen"/>
      <selection activeCell="A114" sqref="A114"/>
      <selection pane="bottomLeft" activeCell="A114" sqref="A114"/>
    </sheetView>
  </sheetViews>
  <sheetFormatPr baseColWidth="10" defaultColWidth="9.140625" defaultRowHeight="12.75" x14ac:dyDescent="0.2"/>
  <cols>
    <col min="1" max="1" width="1.42578125" customWidth="1"/>
    <col min="2" max="4" width="16.7109375" customWidth="1"/>
    <col min="5" max="5" width="1.28515625" customWidth="1"/>
    <col min="6" max="7" width="16.7109375" customWidth="1"/>
    <col min="8" max="8" width="1.28515625" customWidth="1"/>
    <col min="9" max="10" width="16.7109375" customWidth="1"/>
    <col min="11" max="11" width="2.85546875" customWidth="1"/>
    <col min="12" max="12" width="14.140625" customWidth="1"/>
  </cols>
  <sheetData>
    <row r="1" spans="1:12" ht="18" customHeight="1" x14ac:dyDescent="0.2">
      <c r="B1" s="123" t="str">
        <f>DFIE!B115</f>
        <v>Vermögen natürlicher Personen 2019</v>
      </c>
    </row>
    <row r="3" spans="1:12" ht="0.75" customHeight="1" x14ac:dyDescent="0.2"/>
    <row r="4" spans="1:12" ht="20.25" customHeight="1" x14ac:dyDescent="0.2">
      <c r="A4" s="52"/>
      <c r="C4" s="366" t="str">
        <f>DFIE!B70</f>
        <v>Bemessungsjahr 2013</v>
      </c>
      <c r="D4" s="366"/>
      <c r="E4" s="52"/>
      <c r="F4" s="367" t="str">
        <f>DFIE!B71</f>
        <v>Bemessungsjahr 2014</v>
      </c>
      <c r="G4" s="367"/>
      <c r="H4" s="52"/>
      <c r="I4" s="368" t="str">
        <f>DFIE!B72</f>
        <v>Bemessungsjahr 2015</v>
      </c>
      <c r="J4" s="368"/>
    </row>
    <row r="5" spans="1:12" ht="12" customHeight="1" x14ac:dyDescent="0.2">
      <c r="A5" s="13"/>
      <c r="B5" s="37" t="str">
        <f>DFIE!B56</f>
        <v>Spalte</v>
      </c>
      <c r="C5" s="38" t="s">
        <v>30</v>
      </c>
      <c r="D5" s="124" t="s">
        <v>31</v>
      </c>
      <c r="E5" s="125"/>
      <c r="F5" s="126" t="s">
        <v>44</v>
      </c>
      <c r="G5" s="124" t="s">
        <v>43</v>
      </c>
      <c r="H5" s="125"/>
      <c r="I5" s="126" t="s">
        <v>34</v>
      </c>
      <c r="J5" s="124" t="s">
        <v>35</v>
      </c>
      <c r="L5" s="39" t="s">
        <v>680</v>
      </c>
    </row>
    <row r="6" spans="1:12" ht="12" customHeight="1" x14ac:dyDescent="0.2">
      <c r="A6" s="13"/>
      <c r="B6" s="37" t="str">
        <f>DFIE!B57</f>
        <v>Formel</v>
      </c>
      <c r="C6" s="38"/>
      <c r="D6" s="127" t="str">
        <f>"C * " &amp;DFIE!$B$118</f>
        <v>C * Alpha</v>
      </c>
      <c r="E6" s="125"/>
      <c r="F6" s="126"/>
      <c r="G6" s="127" t="str">
        <f>"F * " &amp;DFIE!$B$118</f>
        <v>F * Alpha</v>
      </c>
      <c r="H6" s="125"/>
      <c r="I6" s="126"/>
      <c r="J6" s="127" t="str">
        <f>"I * " &amp;DFIE!$B$118</f>
        <v>I * Alpha</v>
      </c>
    </row>
    <row r="7" spans="1:12" ht="33.75" customHeight="1" x14ac:dyDescent="0.2">
      <c r="A7" s="52"/>
      <c r="B7" s="113"/>
      <c r="C7" s="114" t="str">
        <f>DFIE!$B$116</f>
        <v>Reinvermögen</v>
      </c>
      <c r="D7" s="121" t="str">
        <f>DFIE!$B$117</f>
        <v>Massgebendes
Vermögen</v>
      </c>
      <c r="E7" s="52"/>
      <c r="F7" s="115" t="str">
        <f>DFIE!$B$116</f>
        <v>Reinvermögen</v>
      </c>
      <c r="G7" s="121" t="str">
        <f>DFIE!$B$117</f>
        <v>Massgebendes
Vermögen</v>
      </c>
      <c r="H7" s="52"/>
      <c r="I7" s="115" t="str">
        <f>DFIE!$B$116</f>
        <v>Reinvermögen</v>
      </c>
      <c r="J7" s="121" t="str">
        <f>DFIE!$B$117</f>
        <v>Massgebendes
Vermögen</v>
      </c>
      <c r="L7" s="133" t="str">
        <f>DFIE!B119</f>
        <v>Faktor Alpha</v>
      </c>
    </row>
    <row r="8" spans="1:12" x14ac:dyDescent="0.2">
      <c r="A8" s="13"/>
      <c r="B8" s="87" t="str">
        <f>DFIE!B59</f>
        <v>Einheit</v>
      </c>
      <c r="C8" s="43" t="str">
        <f>DFIE!$B$61</f>
        <v>CHF 1'000</v>
      </c>
      <c r="D8" s="128" t="str">
        <f>DFIE!$B$61</f>
        <v>CHF 1'000</v>
      </c>
      <c r="E8" s="125"/>
      <c r="F8" s="129" t="str">
        <f>DFIE!$B$61</f>
        <v>CHF 1'000</v>
      </c>
      <c r="G8" s="128" t="str">
        <f>DFIE!$B$61</f>
        <v>CHF 1'000</v>
      </c>
      <c r="H8" s="125"/>
      <c r="I8" s="129" t="str">
        <f>DFIE!$B$61</f>
        <v>CHF 1'000</v>
      </c>
      <c r="J8" s="128" t="str">
        <f>DFIE!$B$61</f>
        <v>CHF 1'000</v>
      </c>
      <c r="L8" s="134">
        <v>1.4999999999999999E-2</v>
      </c>
    </row>
    <row r="9" spans="1:12" ht="12.75" customHeight="1" x14ac:dyDescent="0.2">
      <c r="A9" s="52"/>
      <c r="B9" s="63" t="str">
        <f>DFIE!$B29</f>
        <v>Zürich</v>
      </c>
      <c r="C9" s="136">
        <v>371859387</v>
      </c>
      <c r="D9" s="116">
        <f t="shared" ref="D9:D34" si="0">C9*$L$8</f>
        <v>5577890.8049999997</v>
      </c>
      <c r="E9" s="52"/>
      <c r="F9" s="112">
        <v>388717890</v>
      </c>
      <c r="G9" s="116">
        <f t="shared" ref="G9:G34" si="1">F9*$L$8</f>
        <v>5830768.3499999996</v>
      </c>
      <c r="H9" s="52"/>
      <c r="I9" s="112">
        <v>391145948.08600003</v>
      </c>
      <c r="J9" s="116">
        <f t="shared" ref="J9:J34" si="2">I9*$L$8</f>
        <v>5867189.2212899998</v>
      </c>
    </row>
    <row r="10" spans="1:12" ht="12.75" customHeight="1" x14ac:dyDescent="0.2">
      <c r="A10" s="52"/>
      <c r="B10" s="45" t="str">
        <f>DFIE!$B30</f>
        <v>Bern</v>
      </c>
      <c r="C10" s="130">
        <v>156426268.13699999</v>
      </c>
      <c r="D10" s="131">
        <f t="shared" si="0"/>
        <v>2346394.0220549996</v>
      </c>
      <c r="F10" s="132">
        <v>157636899.95199999</v>
      </c>
      <c r="G10" s="131">
        <f t="shared" si="1"/>
        <v>2364553.4992799996</v>
      </c>
      <c r="I10" s="132">
        <v>167648596.12</v>
      </c>
      <c r="J10" s="131">
        <f t="shared" si="2"/>
        <v>2514728.9418000001</v>
      </c>
    </row>
    <row r="11" spans="1:12" ht="12.75" customHeight="1" x14ac:dyDescent="0.2">
      <c r="A11" s="52"/>
      <c r="B11" s="63" t="str">
        <f>DFIE!$B31</f>
        <v>Luzern</v>
      </c>
      <c r="C11" s="136">
        <v>75252755.562999994</v>
      </c>
      <c r="D11" s="116">
        <f t="shared" si="0"/>
        <v>1128791.3334449998</v>
      </c>
      <c r="F11" s="112">
        <v>80159577.295000002</v>
      </c>
      <c r="G11" s="116">
        <f t="shared" si="1"/>
        <v>1202393.659425</v>
      </c>
      <c r="I11" s="112">
        <v>82538825.216000006</v>
      </c>
      <c r="J11" s="116">
        <f t="shared" si="2"/>
        <v>1238082.37824</v>
      </c>
    </row>
    <row r="12" spans="1:12" ht="12.75" customHeight="1" x14ac:dyDescent="0.2">
      <c r="A12" s="52"/>
      <c r="B12" s="45" t="str">
        <f>DFIE!$B32</f>
        <v>Uri</v>
      </c>
      <c r="C12" s="130">
        <v>6106405.9840000002</v>
      </c>
      <c r="D12" s="131">
        <f t="shared" si="0"/>
        <v>91596.089760000003</v>
      </c>
      <c r="F12" s="132">
        <v>6444258.8459999999</v>
      </c>
      <c r="G12" s="131">
        <f t="shared" si="1"/>
        <v>96663.882689999999</v>
      </c>
      <c r="I12" s="132">
        <v>6578047.9230000004</v>
      </c>
      <c r="J12" s="131">
        <f t="shared" si="2"/>
        <v>98670.718844999996</v>
      </c>
    </row>
    <row r="13" spans="1:12" ht="12.75" customHeight="1" x14ac:dyDescent="0.2">
      <c r="A13" s="52"/>
      <c r="B13" s="63" t="str">
        <f>DFIE!$B33</f>
        <v>Schwyz</v>
      </c>
      <c r="C13" s="136">
        <v>96490559.600999996</v>
      </c>
      <c r="D13" s="116">
        <f t="shared" si="0"/>
        <v>1447358.394015</v>
      </c>
      <c r="F13" s="112">
        <v>107875078.273</v>
      </c>
      <c r="G13" s="116">
        <f t="shared" si="1"/>
        <v>1618126.1740949999</v>
      </c>
      <c r="I13" s="112">
        <v>110711709.67</v>
      </c>
      <c r="J13" s="116">
        <f t="shared" si="2"/>
        <v>1660675.6450499999</v>
      </c>
    </row>
    <row r="14" spans="1:12" ht="12.75" customHeight="1" x14ac:dyDescent="0.2">
      <c r="A14" s="52"/>
      <c r="B14" s="45" t="str">
        <f>DFIE!$B34</f>
        <v>Obwalden</v>
      </c>
      <c r="C14" s="130">
        <v>10446743.108999999</v>
      </c>
      <c r="D14" s="131">
        <f t="shared" si="0"/>
        <v>156701.14663499998</v>
      </c>
      <c r="F14" s="132">
        <v>12468979.35</v>
      </c>
      <c r="G14" s="131">
        <f t="shared" si="1"/>
        <v>187034.69024999999</v>
      </c>
      <c r="I14" s="132">
        <v>12054002.073999999</v>
      </c>
      <c r="J14" s="131">
        <f t="shared" si="2"/>
        <v>180810.03110999998</v>
      </c>
    </row>
    <row r="15" spans="1:12" ht="12.75" customHeight="1" x14ac:dyDescent="0.2">
      <c r="A15" s="52"/>
      <c r="B15" s="63" t="str">
        <f>DFIE!$B35</f>
        <v>Nidwalden</v>
      </c>
      <c r="C15" s="136">
        <v>27875579.976</v>
      </c>
      <c r="D15" s="116">
        <f t="shared" si="0"/>
        <v>418133.69964000001</v>
      </c>
      <c r="F15" s="112">
        <v>29560359.335000001</v>
      </c>
      <c r="G15" s="116">
        <f t="shared" si="1"/>
        <v>443405.39002499997</v>
      </c>
      <c r="I15" s="112">
        <v>28735347.41</v>
      </c>
      <c r="J15" s="116">
        <f t="shared" si="2"/>
        <v>431030.21114999999</v>
      </c>
    </row>
    <row r="16" spans="1:12" ht="12.75" customHeight="1" x14ac:dyDescent="0.2">
      <c r="A16" s="52"/>
      <c r="B16" s="45" t="str">
        <f>DFIE!$B36</f>
        <v>Glarus</v>
      </c>
      <c r="C16" s="130">
        <v>6967770.2350000003</v>
      </c>
      <c r="D16" s="131">
        <f t="shared" si="0"/>
        <v>104516.553525</v>
      </c>
      <c r="F16" s="132">
        <v>7320622.9570000004</v>
      </c>
      <c r="G16" s="131">
        <f t="shared" si="1"/>
        <v>109809.34435500001</v>
      </c>
      <c r="I16" s="132">
        <v>7529963.2879999997</v>
      </c>
      <c r="J16" s="131">
        <f t="shared" si="2"/>
        <v>112949.44931999999</v>
      </c>
    </row>
    <row r="17" spans="1:10" ht="12.75" customHeight="1" x14ac:dyDescent="0.2">
      <c r="A17" s="52"/>
      <c r="B17" s="63" t="str">
        <f>DFIE!$B37</f>
        <v>Zug</v>
      </c>
      <c r="C17" s="136">
        <v>57395318.804218002</v>
      </c>
      <c r="D17" s="116">
        <f t="shared" si="0"/>
        <v>860929.78206326999</v>
      </c>
      <c r="F17" s="112">
        <v>60873018.848988898</v>
      </c>
      <c r="G17" s="116">
        <f t="shared" si="1"/>
        <v>913095.28273483342</v>
      </c>
      <c r="I17" s="112">
        <v>60127955.760844201</v>
      </c>
      <c r="J17" s="116">
        <f t="shared" si="2"/>
        <v>901919.33641266299</v>
      </c>
    </row>
    <row r="18" spans="1:10" ht="12.75" customHeight="1" x14ac:dyDescent="0.2">
      <c r="A18" s="52"/>
      <c r="B18" s="45" t="str">
        <f>DFIE!$B38</f>
        <v>Freiburg</v>
      </c>
      <c r="C18" s="130">
        <v>27962351.065000001</v>
      </c>
      <c r="D18" s="131">
        <f t="shared" si="0"/>
        <v>419435.26597499999</v>
      </c>
      <c r="F18" s="132">
        <v>30020453.721999999</v>
      </c>
      <c r="G18" s="131">
        <f t="shared" si="1"/>
        <v>450306.80582999997</v>
      </c>
      <c r="I18" s="132">
        <v>30469049.953000002</v>
      </c>
      <c r="J18" s="131">
        <f t="shared" si="2"/>
        <v>457035.74929499999</v>
      </c>
    </row>
    <row r="19" spans="1:10" ht="12.75" customHeight="1" x14ac:dyDescent="0.2">
      <c r="A19" s="52"/>
      <c r="B19" s="63" t="str">
        <f>DFIE!$B39</f>
        <v>Solothurn</v>
      </c>
      <c r="C19" s="136">
        <v>24130890.631000001</v>
      </c>
      <c r="D19" s="116">
        <f t="shared" si="0"/>
        <v>361963.35946499999</v>
      </c>
      <c r="F19" s="112">
        <v>24436134.802999999</v>
      </c>
      <c r="G19" s="116">
        <f t="shared" si="1"/>
        <v>366542.02204499999</v>
      </c>
      <c r="I19" s="112">
        <v>27096884.199999999</v>
      </c>
      <c r="J19" s="116">
        <f t="shared" si="2"/>
        <v>406453.26299999998</v>
      </c>
    </row>
    <row r="20" spans="1:10" ht="12.75" customHeight="1" x14ac:dyDescent="0.2">
      <c r="A20" s="52"/>
      <c r="B20" s="45" t="str">
        <f>DFIE!$B40</f>
        <v>Basel-Stadt</v>
      </c>
      <c r="C20" s="130">
        <v>54535126.140000001</v>
      </c>
      <c r="D20" s="131">
        <f t="shared" si="0"/>
        <v>818026.89209999994</v>
      </c>
      <c r="F20" s="132">
        <v>58813113.383000001</v>
      </c>
      <c r="G20" s="131">
        <f t="shared" si="1"/>
        <v>882196.70074500004</v>
      </c>
      <c r="I20" s="132">
        <v>56071245.079999998</v>
      </c>
      <c r="J20" s="131">
        <f t="shared" si="2"/>
        <v>841068.67619999999</v>
      </c>
    </row>
    <row r="21" spans="1:10" ht="12.75" customHeight="1" x14ac:dyDescent="0.2">
      <c r="A21" s="52"/>
      <c r="B21" s="63" t="str">
        <f>DFIE!$B41</f>
        <v>Basel-Landschaft</v>
      </c>
      <c r="C21" s="136">
        <v>40733054.185999997</v>
      </c>
      <c r="D21" s="116">
        <f t="shared" si="0"/>
        <v>610995.81278999988</v>
      </c>
      <c r="F21" s="112">
        <v>43053496.538000003</v>
      </c>
      <c r="G21" s="116">
        <f t="shared" si="1"/>
        <v>645802.44807000004</v>
      </c>
      <c r="I21" s="112">
        <v>44072419.119000003</v>
      </c>
      <c r="J21" s="116">
        <f t="shared" si="2"/>
        <v>661086.286785</v>
      </c>
    </row>
    <row r="22" spans="1:10" ht="12.75" customHeight="1" x14ac:dyDescent="0.2">
      <c r="A22" s="52"/>
      <c r="B22" s="45" t="str">
        <f>DFIE!$B42</f>
        <v>Schaffhausen</v>
      </c>
      <c r="C22" s="130">
        <v>12491979.541999999</v>
      </c>
      <c r="D22" s="131">
        <f t="shared" si="0"/>
        <v>187379.69312999997</v>
      </c>
      <c r="F22" s="132">
        <v>13153457.369000001</v>
      </c>
      <c r="G22" s="131">
        <f t="shared" si="1"/>
        <v>197301.86053500001</v>
      </c>
      <c r="I22" s="132">
        <v>12676075.273</v>
      </c>
      <c r="J22" s="131">
        <f t="shared" si="2"/>
        <v>190141.12909499998</v>
      </c>
    </row>
    <row r="23" spans="1:10" ht="12.75" customHeight="1" x14ac:dyDescent="0.2">
      <c r="A23" s="52"/>
      <c r="B23" s="63" t="str">
        <f>DFIE!$B43</f>
        <v>Appenzell A.Rh.</v>
      </c>
      <c r="C23" s="136">
        <v>13352528.439999999</v>
      </c>
      <c r="D23" s="116">
        <f t="shared" si="0"/>
        <v>200287.92659999998</v>
      </c>
      <c r="F23" s="112">
        <v>13823504.515000001</v>
      </c>
      <c r="G23" s="116">
        <f t="shared" si="1"/>
        <v>207352.567725</v>
      </c>
      <c r="I23" s="112">
        <v>14056645.710000001</v>
      </c>
      <c r="J23" s="116">
        <f t="shared" si="2"/>
        <v>210849.68565</v>
      </c>
    </row>
    <row r="24" spans="1:10" ht="12.75" customHeight="1" x14ac:dyDescent="0.2">
      <c r="A24" s="52"/>
      <c r="B24" s="45" t="str">
        <f>DFIE!$B44</f>
        <v>Appenzell I.Rh.</v>
      </c>
      <c r="C24" s="130">
        <v>4323102.8380000005</v>
      </c>
      <c r="D24" s="131">
        <f t="shared" si="0"/>
        <v>64846.542570000005</v>
      </c>
      <c r="F24" s="132">
        <v>4732196.9040000001</v>
      </c>
      <c r="G24" s="131">
        <f t="shared" si="1"/>
        <v>70982.953559999994</v>
      </c>
      <c r="I24" s="132">
        <v>5016260.6100000003</v>
      </c>
      <c r="J24" s="131">
        <f t="shared" si="2"/>
        <v>75243.909150000007</v>
      </c>
    </row>
    <row r="25" spans="1:10" ht="12.75" customHeight="1" x14ac:dyDescent="0.2">
      <c r="A25" s="52"/>
      <c r="B25" s="63" t="str">
        <f>DFIE!$B45</f>
        <v>St. Gallen</v>
      </c>
      <c r="C25" s="136">
        <v>94055640.180000007</v>
      </c>
      <c r="D25" s="116">
        <f t="shared" si="0"/>
        <v>1410834.6027000002</v>
      </c>
      <c r="F25" s="112">
        <v>100352938.46699999</v>
      </c>
      <c r="G25" s="116">
        <f t="shared" si="1"/>
        <v>1505294.0770049999</v>
      </c>
      <c r="I25" s="112">
        <v>103243175.91599999</v>
      </c>
      <c r="J25" s="116">
        <f t="shared" si="2"/>
        <v>1548647.6387399998</v>
      </c>
    </row>
    <row r="26" spans="1:10" ht="12.75" customHeight="1" x14ac:dyDescent="0.2">
      <c r="A26" s="52"/>
      <c r="B26" s="45" t="str">
        <f>DFIE!$B46</f>
        <v>Graubünden</v>
      </c>
      <c r="C26" s="130">
        <v>55359319.880000003</v>
      </c>
      <c r="D26" s="131">
        <f t="shared" si="0"/>
        <v>830389.79819999996</v>
      </c>
      <c r="F26" s="132">
        <v>58464124.321999997</v>
      </c>
      <c r="G26" s="131">
        <f t="shared" si="1"/>
        <v>876961.86482999998</v>
      </c>
      <c r="I26" s="132">
        <v>60329963.412</v>
      </c>
      <c r="J26" s="131">
        <f t="shared" si="2"/>
        <v>904949.45117999997</v>
      </c>
    </row>
    <row r="27" spans="1:10" ht="12.75" customHeight="1" x14ac:dyDescent="0.2">
      <c r="A27" s="52"/>
      <c r="B27" s="63" t="str">
        <f>DFIE!$B47</f>
        <v>Aargau</v>
      </c>
      <c r="C27" s="136">
        <v>108448880.633249</v>
      </c>
      <c r="D27" s="116">
        <f t="shared" si="0"/>
        <v>1626733.2094987349</v>
      </c>
      <c r="F27" s="112">
        <v>112279164.119</v>
      </c>
      <c r="G27" s="116">
        <f t="shared" si="1"/>
        <v>1684187.4617850001</v>
      </c>
      <c r="I27" s="112">
        <v>114583980.848</v>
      </c>
      <c r="J27" s="116">
        <f t="shared" si="2"/>
        <v>1718759.71272</v>
      </c>
    </row>
    <row r="28" spans="1:10" ht="12.75" customHeight="1" x14ac:dyDescent="0.2">
      <c r="A28" s="52"/>
      <c r="B28" s="45" t="str">
        <f>DFIE!$B48</f>
        <v>Thurgau</v>
      </c>
      <c r="C28" s="130">
        <v>48930008.299999997</v>
      </c>
      <c r="D28" s="131">
        <f t="shared" si="0"/>
        <v>733950.12449999992</v>
      </c>
      <c r="F28" s="132">
        <v>51793230.399999999</v>
      </c>
      <c r="G28" s="131">
        <f t="shared" si="1"/>
        <v>776898.45600000001</v>
      </c>
      <c r="I28" s="132">
        <v>54808882.700000003</v>
      </c>
      <c r="J28" s="131">
        <f t="shared" si="2"/>
        <v>822133.24049999996</v>
      </c>
    </row>
    <row r="29" spans="1:10" ht="12.75" customHeight="1" x14ac:dyDescent="0.2">
      <c r="A29" s="52"/>
      <c r="B29" s="63" t="str">
        <f>DFIE!$B49</f>
        <v>Tessin</v>
      </c>
      <c r="C29" s="136">
        <v>55730658.695</v>
      </c>
      <c r="D29" s="116">
        <f t="shared" si="0"/>
        <v>835959.88042499998</v>
      </c>
      <c r="F29" s="112">
        <v>58870402.125</v>
      </c>
      <c r="G29" s="116">
        <f t="shared" si="1"/>
        <v>883056.03187499999</v>
      </c>
      <c r="I29" s="112">
        <v>62787338.097000003</v>
      </c>
      <c r="J29" s="116">
        <f t="shared" si="2"/>
        <v>941810.07145499997</v>
      </c>
    </row>
    <row r="30" spans="1:10" ht="12.75" customHeight="1" x14ac:dyDescent="0.2">
      <c r="A30" s="52"/>
      <c r="B30" s="45" t="str">
        <f>DFIE!$B50</f>
        <v>Waadt</v>
      </c>
      <c r="C30" s="130">
        <v>132785568.399</v>
      </c>
      <c r="D30" s="131">
        <f t="shared" si="0"/>
        <v>1991783.525985</v>
      </c>
      <c r="F30" s="132">
        <v>135875688.03</v>
      </c>
      <c r="G30" s="131">
        <f t="shared" si="1"/>
        <v>2038135.32045</v>
      </c>
      <c r="I30" s="132">
        <v>143122730.32300001</v>
      </c>
      <c r="J30" s="131">
        <f t="shared" si="2"/>
        <v>2146840.9548450001</v>
      </c>
    </row>
    <row r="31" spans="1:10" ht="12.75" customHeight="1" x14ac:dyDescent="0.2">
      <c r="A31" s="52"/>
      <c r="B31" s="63" t="str">
        <f>DFIE!$B51</f>
        <v>Wallis</v>
      </c>
      <c r="C31" s="136">
        <v>45412925.236000001</v>
      </c>
      <c r="D31" s="116">
        <f t="shared" si="0"/>
        <v>681193.87853999995</v>
      </c>
      <c r="F31" s="112">
        <v>47499197.553000003</v>
      </c>
      <c r="G31" s="116">
        <f t="shared" si="1"/>
        <v>712487.96329500002</v>
      </c>
      <c r="I31" s="112">
        <v>50820893.520000003</v>
      </c>
      <c r="J31" s="116">
        <f t="shared" si="2"/>
        <v>762313.40280000004</v>
      </c>
    </row>
    <row r="32" spans="1:10" ht="12.75" customHeight="1" x14ac:dyDescent="0.2">
      <c r="A32" s="52"/>
      <c r="B32" s="45" t="str">
        <f>DFIE!$B52</f>
        <v>Neuenburg</v>
      </c>
      <c r="C32" s="130">
        <v>17244244.807</v>
      </c>
      <c r="D32" s="131">
        <f t="shared" si="0"/>
        <v>258663.67210500001</v>
      </c>
      <c r="F32" s="132">
        <v>18403739.822000001</v>
      </c>
      <c r="G32" s="131">
        <f t="shared" si="1"/>
        <v>276056.09733000002</v>
      </c>
      <c r="I32" s="132">
        <v>19115248.636999998</v>
      </c>
      <c r="J32" s="131">
        <f t="shared" si="2"/>
        <v>286728.72955499997</v>
      </c>
    </row>
    <row r="33" spans="1:10" ht="12.75" customHeight="1" x14ac:dyDescent="0.2">
      <c r="A33" s="52"/>
      <c r="B33" s="63" t="str">
        <f>DFIE!$B53</f>
        <v>Genf</v>
      </c>
      <c r="C33" s="136">
        <v>105443863.031</v>
      </c>
      <c r="D33" s="116">
        <f t="shared" si="0"/>
        <v>1581657.9454649999</v>
      </c>
      <c r="F33" s="112">
        <v>115076510.626</v>
      </c>
      <c r="G33" s="116">
        <f t="shared" si="1"/>
        <v>1726147.6593899999</v>
      </c>
      <c r="I33" s="112">
        <v>119038776.73199999</v>
      </c>
      <c r="J33" s="116">
        <f t="shared" si="2"/>
        <v>1785581.6509799999</v>
      </c>
    </row>
    <row r="34" spans="1:10" ht="12.75" customHeight="1" x14ac:dyDescent="0.2">
      <c r="A34" s="52"/>
      <c r="B34" s="45" t="str">
        <f>DFIE!$B54</f>
        <v>Jura</v>
      </c>
      <c r="C34" s="130">
        <v>6668102</v>
      </c>
      <c r="D34" s="131">
        <f t="shared" si="0"/>
        <v>100021.53</v>
      </c>
      <c r="F34" s="132">
        <v>7040838</v>
      </c>
      <c r="G34" s="131">
        <f t="shared" si="1"/>
        <v>105612.56999999999</v>
      </c>
      <c r="I34" s="132">
        <v>7333623</v>
      </c>
      <c r="J34" s="131">
        <f t="shared" si="2"/>
        <v>110004.345</v>
      </c>
    </row>
    <row r="35" spans="1:10" ht="12.75" customHeight="1" x14ac:dyDescent="0.2">
      <c r="A35" s="34"/>
      <c r="B35" s="139" t="str">
        <f>DFIE!$B55</f>
        <v>Schweiz</v>
      </c>
      <c r="C35" s="119">
        <f>SUM(C9:C34)</f>
        <v>1656429032.412467</v>
      </c>
      <c r="D35" s="117">
        <f>SUM(D9:D34)</f>
        <v>24846435.486186996</v>
      </c>
      <c r="E35" s="34"/>
      <c r="F35" s="118">
        <f>SUM(F9:F34)</f>
        <v>1744744875.5549889</v>
      </c>
      <c r="G35" s="117">
        <f>SUM(G9:G34)</f>
        <v>26171173.133324832</v>
      </c>
      <c r="H35" s="34"/>
      <c r="I35" s="118">
        <f>SUM(I9:I34)</f>
        <v>1791713588.677844</v>
      </c>
      <c r="J35" s="117">
        <f>SUM(J9:J34)</f>
        <v>26875703.830167662</v>
      </c>
    </row>
    <row r="36" spans="1:10" ht="10.5" customHeight="1" x14ac:dyDescent="0.2">
      <c r="B36" s="135"/>
      <c r="C36" s="120"/>
      <c r="D36" s="120"/>
      <c r="E36" s="137"/>
      <c r="F36" s="122"/>
      <c r="G36" s="122"/>
      <c r="I36" s="58"/>
      <c r="J36" s="58"/>
    </row>
    <row r="37" spans="1:10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71" spans="2:4" x14ac:dyDescent="0.2">
      <c r="B71" s="135"/>
      <c r="C71" s="138"/>
      <c r="D71" s="138"/>
    </row>
  </sheetData>
  <mergeCells count="3">
    <mergeCell ref="C4:D4"/>
    <mergeCell ref="F4:G4"/>
    <mergeCell ref="I4:J4"/>
  </mergeCells>
  <conditionalFormatting sqref="D9:D34 G9:G34 J9:J34">
    <cfRule type="expression" dxfId="41" priority="7" stopIfTrue="1">
      <formula>ISBLANK(D9)</formula>
    </cfRule>
  </conditionalFormatting>
  <conditionalFormatting sqref="C9:C34 F9:F34 I9:I34">
    <cfRule type="expression" dxfId="40" priority="6" stopIfTrue="1">
      <formula>ISBLANK(C9)</formula>
    </cfRule>
  </conditionalFormatting>
  <conditionalFormatting sqref="L8">
    <cfRule type="expression" dxfId="39" priority="1" stopIfTrue="1">
      <formula>ISBLANK(L8)</formula>
    </cfRule>
  </conditionalFormatting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91"/>
  <sheetViews>
    <sheetView showGridLines="0" zoomScaleNormal="100" workbookViewId="0">
      <pane ySplit="8" topLeftCell="A9" activePane="bottomLeft" state="frozen"/>
      <selection activeCell="A114" sqref="A114"/>
      <selection pane="bottomLeft" activeCell="A114" sqref="A114"/>
    </sheetView>
  </sheetViews>
  <sheetFormatPr baseColWidth="10" defaultColWidth="9.140625" defaultRowHeight="12.75" x14ac:dyDescent="0.2"/>
  <cols>
    <col min="1" max="1" width="4.42578125" customWidth="1"/>
    <col min="2" max="2" width="17.140625" customWidth="1"/>
    <col min="3" max="5" width="25.7109375" customWidth="1"/>
    <col min="6" max="6" width="1.42578125" customWidth="1"/>
    <col min="7" max="7" width="3.28515625" customWidth="1"/>
    <col min="8" max="8" width="25.7109375" customWidth="1"/>
  </cols>
  <sheetData>
    <row r="1" spans="1:9" ht="18" customHeight="1" x14ac:dyDescent="0.25">
      <c r="B1" s="6" t="str">
        <f>DFIE!B120</f>
        <v>Gewinne juristischer Personen 2019</v>
      </c>
    </row>
    <row r="3" spans="1:9" ht="0.75" customHeight="1" x14ac:dyDescent="0.2"/>
    <row r="4" spans="1:9" ht="0.75" customHeight="1" x14ac:dyDescent="0.2"/>
    <row r="5" spans="1:9" ht="12" customHeight="1" x14ac:dyDescent="0.2">
      <c r="B5" s="37" t="str">
        <f>DFIE!B56</f>
        <v>Spalte</v>
      </c>
      <c r="C5" s="38" t="s">
        <v>30</v>
      </c>
      <c r="D5" s="38" t="s">
        <v>31</v>
      </c>
      <c r="E5" s="39" t="s">
        <v>32</v>
      </c>
      <c r="H5" s="126" t="s">
        <v>33</v>
      </c>
      <c r="I5" s="124" t="s">
        <v>34</v>
      </c>
    </row>
    <row r="6" spans="1:9" ht="12" customHeight="1" x14ac:dyDescent="0.2">
      <c r="B6" s="37" t="str">
        <f>DFIE!B57</f>
        <v>Formel</v>
      </c>
      <c r="C6" s="40"/>
      <c r="D6" s="142"/>
      <c r="E6" s="42" t="s">
        <v>80</v>
      </c>
    </row>
    <row r="7" spans="1:9" ht="43.5" customHeight="1" x14ac:dyDescent="0.2">
      <c r="A7" s="52"/>
      <c r="B7" s="141"/>
      <c r="C7" s="114" t="str">
        <f>DFIE!B121</f>
        <v>Massgebender Gewinn
ordentlich besteuerter
Unternehmen</v>
      </c>
      <c r="D7" s="114" t="str">
        <f>DFIE!B122</f>
        <v>Massgebender Gewinn
von Gesellschaften mit
besonderem Steuerstatus</v>
      </c>
      <c r="E7" s="140" t="str">
        <f>DFIE!B123</f>
        <v>Massgebender Gewinn
der juristischen Personen</v>
      </c>
      <c r="F7" s="52"/>
      <c r="H7" s="369" t="str">
        <f>DFIE!B124</f>
        <v>Beta-Faktoren</v>
      </c>
      <c r="I7" s="370"/>
    </row>
    <row r="8" spans="1:9" ht="12.75" customHeight="1" x14ac:dyDescent="0.2">
      <c r="B8" s="37" t="str">
        <f>DFIE!B59</f>
        <v>Einheit</v>
      </c>
      <c r="C8" s="43" t="str">
        <f>DFIE!$B$61</f>
        <v>CHF 1'000</v>
      </c>
      <c r="D8" s="43" t="str">
        <f>DFIE!$B$61</f>
        <v>CHF 1'000</v>
      </c>
      <c r="E8" s="44" t="str">
        <f>DFIE!$B$61</f>
        <v>CHF 1'000</v>
      </c>
      <c r="H8" s="371"/>
      <c r="I8" s="372"/>
    </row>
    <row r="9" spans="1:9" x14ac:dyDescent="0.2">
      <c r="A9" s="353" t="str">
        <f>DFIE!B70</f>
        <v>Bemessungsjahr 2013</v>
      </c>
      <c r="B9" s="63" t="str">
        <f>DFIE!$B29</f>
        <v>Zürich</v>
      </c>
      <c r="C9" s="33">
        <v>12384068</v>
      </c>
      <c r="D9" s="33">
        <v>474734.15379999997</v>
      </c>
      <c r="E9" s="29">
        <f>C9+D9</f>
        <v>12858802.1538</v>
      </c>
      <c r="F9" s="54"/>
      <c r="H9" s="143" t="str">
        <f>DFIE!B125</f>
        <v>Holdinggesellschaften</v>
      </c>
      <c r="I9" s="144">
        <v>2.5999999999999999E-2</v>
      </c>
    </row>
    <row r="10" spans="1:9" x14ac:dyDescent="0.2">
      <c r="A10" s="353"/>
      <c r="B10" s="45" t="str">
        <f>DFIE!$B30</f>
        <v>Bern</v>
      </c>
      <c r="C10" s="46">
        <v>6043023.9000000004</v>
      </c>
      <c r="D10" s="46">
        <v>67819.942599999995</v>
      </c>
      <c r="E10" s="22">
        <f t="shared" ref="E10:E34" si="0">C10+D10</f>
        <v>6110843.8426000001</v>
      </c>
      <c r="F10" s="54"/>
      <c r="H10" s="145" t="str">
        <f>DFIE!B126</f>
        <v>Domizilgesellschaften</v>
      </c>
      <c r="I10" s="146">
        <v>0.113</v>
      </c>
    </row>
    <row r="11" spans="1:9" x14ac:dyDescent="0.2">
      <c r="A11" s="353"/>
      <c r="B11" s="63" t="str">
        <f>DFIE!$B31</f>
        <v>Luzern</v>
      </c>
      <c r="C11" s="33">
        <v>3124346.8</v>
      </c>
      <c r="D11" s="33">
        <v>117910.2046</v>
      </c>
      <c r="E11" s="29">
        <f t="shared" si="0"/>
        <v>3242257.0045999996</v>
      </c>
      <c r="F11" s="54"/>
      <c r="H11" s="147" t="str">
        <f>DFIE!B127</f>
        <v>Gemischte Gesellschaften</v>
      </c>
      <c r="I11" s="148">
        <v>0.123</v>
      </c>
    </row>
    <row r="12" spans="1:9" x14ac:dyDescent="0.2">
      <c r="A12" s="353"/>
      <c r="B12" s="45" t="str">
        <f>DFIE!$B32</f>
        <v>Uri</v>
      </c>
      <c r="C12" s="46">
        <v>226102.8</v>
      </c>
      <c r="D12" s="46">
        <v>865.3723</v>
      </c>
      <c r="E12" s="22">
        <f t="shared" si="0"/>
        <v>226968.17229999998</v>
      </c>
      <c r="F12" s="54"/>
    </row>
    <row r="13" spans="1:9" x14ac:dyDescent="0.2">
      <c r="A13" s="353"/>
      <c r="B13" s="63" t="str">
        <f>DFIE!$B33</f>
        <v>Schwyz</v>
      </c>
      <c r="C13" s="33">
        <v>1242681.2</v>
      </c>
      <c r="D13" s="33">
        <v>108202.0707</v>
      </c>
      <c r="E13" s="29">
        <f t="shared" si="0"/>
        <v>1350883.2707</v>
      </c>
      <c r="F13" s="54"/>
    </row>
    <row r="14" spans="1:9" x14ac:dyDescent="0.2">
      <c r="A14" s="353"/>
      <c r="B14" s="45" t="str">
        <f>DFIE!$B34</f>
        <v>Obwalden</v>
      </c>
      <c r="C14" s="46">
        <v>289711</v>
      </c>
      <c r="D14" s="46">
        <v>12891.083000000001</v>
      </c>
      <c r="E14" s="22">
        <f t="shared" si="0"/>
        <v>302602.08299999998</v>
      </c>
      <c r="F14" s="54"/>
    </row>
    <row r="15" spans="1:9" x14ac:dyDescent="0.2">
      <c r="A15" s="353"/>
      <c r="B15" s="63" t="str">
        <f>DFIE!$B35</f>
        <v>Nidwalden</v>
      </c>
      <c r="C15" s="33">
        <v>473069.4</v>
      </c>
      <c r="D15" s="33">
        <v>28624.992200000001</v>
      </c>
      <c r="E15" s="29">
        <f t="shared" si="0"/>
        <v>501694.3922</v>
      </c>
      <c r="F15" s="54"/>
    </row>
    <row r="16" spans="1:9" x14ac:dyDescent="0.2">
      <c r="A16" s="353"/>
      <c r="B16" s="45" t="str">
        <f>DFIE!$B36</f>
        <v>Glarus</v>
      </c>
      <c r="C16" s="46">
        <v>174142.3</v>
      </c>
      <c r="D16" s="46">
        <v>48409.7114</v>
      </c>
      <c r="E16" s="22">
        <f t="shared" si="0"/>
        <v>222552.01139999999</v>
      </c>
      <c r="F16" s="54"/>
    </row>
    <row r="17" spans="1:6" x14ac:dyDescent="0.2">
      <c r="A17" s="353"/>
      <c r="B17" s="63" t="str">
        <f>DFIE!$B37</f>
        <v>Zug</v>
      </c>
      <c r="C17" s="33">
        <v>2391716.2000000002</v>
      </c>
      <c r="D17" s="33">
        <v>1324225.5571999999</v>
      </c>
      <c r="E17" s="29">
        <f t="shared" si="0"/>
        <v>3715941.7571999999</v>
      </c>
      <c r="F17" s="54"/>
    </row>
    <row r="18" spans="1:6" x14ac:dyDescent="0.2">
      <c r="A18" s="353"/>
      <c r="B18" s="45" t="str">
        <f>DFIE!$B38</f>
        <v>Freiburg</v>
      </c>
      <c r="C18" s="46">
        <v>1844640.4</v>
      </c>
      <c r="D18" s="46">
        <v>416419.89549999998</v>
      </c>
      <c r="E18" s="22">
        <f t="shared" si="0"/>
        <v>2261060.2955</v>
      </c>
      <c r="F18" s="54"/>
    </row>
    <row r="19" spans="1:6" x14ac:dyDescent="0.2">
      <c r="A19" s="353"/>
      <c r="B19" s="63" t="str">
        <f>DFIE!$B39</f>
        <v>Solothurn</v>
      </c>
      <c r="C19" s="33">
        <v>1276613</v>
      </c>
      <c r="D19" s="33">
        <v>10214.543100000001</v>
      </c>
      <c r="E19" s="29">
        <f t="shared" si="0"/>
        <v>1286827.5430999999</v>
      </c>
      <c r="F19" s="54"/>
    </row>
    <row r="20" spans="1:6" x14ac:dyDescent="0.2">
      <c r="A20" s="353"/>
      <c r="B20" s="45" t="str">
        <f>DFIE!$B40</f>
        <v>Basel-Stadt</v>
      </c>
      <c r="C20" s="46">
        <v>1599994.3</v>
      </c>
      <c r="D20" s="46">
        <v>1628169.4021000001</v>
      </c>
      <c r="E20" s="22">
        <f t="shared" si="0"/>
        <v>3228163.7021000003</v>
      </c>
      <c r="F20" s="54"/>
    </row>
    <row r="21" spans="1:6" x14ac:dyDescent="0.2">
      <c r="A21" s="353"/>
      <c r="B21" s="63" t="str">
        <f>DFIE!$B41</f>
        <v>Basel-Landschaft</v>
      </c>
      <c r="C21" s="33">
        <v>1260805.3</v>
      </c>
      <c r="D21" s="33">
        <v>166432.45189999999</v>
      </c>
      <c r="E21" s="29">
        <f t="shared" si="0"/>
        <v>1427237.7519</v>
      </c>
      <c r="F21" s="54"/>
    </row>
    <row r="22" spans="1:6" x14ac:dyDescent="0.2">
      <c r="A22" s="353"/>
      <c r="B22" s="45" t="str">
        <f>DFIE!$B42</f>
        <v>Schaffhausen</v>
      </c>
      <c r="C22" s="46">
        <v>357571.5</v>
      </c>
      <c r="D22" s="46">
        <v>366402.8676</v>
      </c>
      <c r="E22" s="22">
        <f t="shared" si="0"/>
        <v>723974.3676</v>
      </c>
      <c r="F22" s="54"/>
    </row>
    <row r="23" spans="1:6" x14ac:dyDescent="0.2">
      <c r="A23" s="353"/>
      <c r="B23" s="63" t="str">
        <f>DFIE!$B43</f>
        <v>Appenzell A.Rh.</v>
      </c>
      <c r="C23" s="33">
        <v>335901.7</v>
      </c>
      <c r="D23" s="33">
        <v>11719.9036</v>
      </c>
      <c r="E23" s="29">
        <f t="shared" si="0"/>
        <v>347621.60360000003</v>
      </c>
      <c r="F23" s="54"/>
    </row>
    <row r="24" spans="1:6" x14ac:dyDescent="0.2">
      <c r="A24" s="353"/>
      <c r="B24" s="45" t="str">
        <f>DFIE!$B44</f>
        <v>Appenzell I.Rh.</v>
      </c>
      <c r="C24" s="46">
        <v>81436</v>
      </c>
      <c r="D24" s="46">
        <v>2609.2673</v>
      </c>
      <c r="E24" s="22">
        <f t="shared" si="0"/>
        <v>84045.267300000007</v>
      </c>
      <c r="F24" s="54"/>
    </row>
    <row r="25" spans="1:6" x14ac:dyDescent="0.2">
      <c r="A25" s="353"/>
      <c r="B25" s="63" t="str">
        <f>DFIE!$B45</f>
        <v>St. Gallen</v>
      </c>
      <c r="C25" s="33">
        <v>2966628.1</v>
      </c>
      <c r="D25" s="33">
        <v>242716.94209999999</v>
      </c>
      <c r="E25" s="29">
        <f t="shared" si="0"/>
        <v>3209345.0421000002</v>
      </c>
      <c r="F25" s="54"/>
    </row>
    <row r="26" spans="1:6" x14ac:dyDescent="0.2">
      <c r="A26" s="353"/>
      <c r="B26" s="45" t="str">
        <f>DFIE!$B46</f>
        <v>Graubünden</v>
      </c>
      <c r="C26" s="46">
        <v>895355.2</v>
      </c>
      <c r="D26" s="46">
        <v>24018.070800000001</v>
      </c>
      <c r="E26" s="22">
        <f t="shared" si="0"/>
        <v>919373.27079999994</v>
      </c>
      <c r="F26" s="54"/>
    </row>
    <row r="27" spans="1:6" x14ac:dyDescent="0.2">
      <c r="A27" s="353"/>
      <c r="B27" s="63" t="str">
        <f>DFIE!$B47</f>
        <v>Aargau</v>
      </c>
      <c r="C27" s="33">
        <v>3784886.4</v>
      </c>
      <c r="D27" s="33">
        <v>28463.435700000002</v>
      </c>
      <c r="E27" s="29">
        <f t="shared" si="0"/>
        <v>3813349.8356999997</v>
      </c>
      <c r="F27" s="54"/>
    </row>
    <row r="28" spans="1:6" x14ac:dyDescent="0.2">
      <c r="A28" s="353"/>
      <c r="B28" s="45" t="str">
        <f>DFIE!$B48</f>
        <v>Thurgau</v>
      </c>
      <c r="C28" s="46">
        <v>1371524.3</v>
      </c>
      <c r="D28" s="46">
        <v>19735.963899999999</v>
      </c>
      <c r="E28" s="22">
        <f t="shared" si="0"/>
        <v>1391260.2639000001</v>
      </c>
      <c r="F28" s="54"/>
    </row>
    <row r="29" spans="1:6" x14ac:dyDescent="0.2">
      <c r="A29" s="353"/>
      <c r="B29" s="63" t="str">
        <f>DFIE!$B49</f>
        <v>Tessin</v>
      </c>
      <c r="C29" s="33">
        <v>2664224.1</v>
      </c>
      <c r="D29" s="33">
        <v>247541.42790000001</v>
      </c>
      <c r="E29" s="29">
        <f t="shared" si="0"/>
        <v>2911765.5279000001</v>
      </c>
      <c r="F29" s="54"/>
    </row>
    <row r="30" spans="1:6" x14ac:dyDescent="0.2">
      <c r="A30" s="353"/>
      <c r="B30" s="45" t="str">
        <f>DFIE!$B50</f>
        <v>Waadt</v>
      </c>
      <c r="C30" s="46">
        <v>3383486.2</v>
      </c>
      <c r="D30" s="46">
        <v>1745162.2438999999</v>
      </c>
      <c r="E30" s="22">
        <f t="shared" si="0"/>
        <v>5128648.4439000003</v>
      </c>
      <c r="F30" s="54"/>
    </row>
    <row r="31" spans="1:6" x14ac:dyDescent="0.2">
      <c r="A31" s="353"/>
      <c r="B31" s="63" t="str">
        <f>DFIE!$B51</f>
        <v>Wallis</v>
      </c>
      <c r="C31" s="33">
        <v>1359967.4</v>
      </c>
      <c r="D31" s="33">
        <v>10787.941000000001</v>
      </c>
      <c r="E31" s="29">
        <f t="shared" si="0"/>
        <v>1370755.341</v>
      </c>
      <c r="F31" s="54"/>
    </row>
    <row r="32" spans="1:6" x14ac:dyDescent="0.2">
      <c r="A32" s="353"/>
      <c r="B32" s="45" t="str">
        <f>DFIE!$B52</f>
        <v>Neuenburg</v>
      </c>
      <c r="C32" s="46">
        <v>937885.3</v>
      </c>
      <c r="D32" s="46">
        <v>1823664.4916000001</v>
      </c>
      <c r="E32" s="22">
        <f t="shared" si="0"/>
        <v>2761549.7916000001</v>
      </c>
      <c r="F32" s="54"/>
    </row>
    <row r="33" spans="1:9" x14ac:dyDescent="0.2">
      <c r="A33" s="353"/>
      <c r="B33" s="63" t="str">
        <f>DFIE!$B53</f>
        <v>Genf</v>
      </c>
      <c r="C33" s="33">
        <v>4549114.7</v>
      </c>
      <c r="D33" s="33">
        <v>1132143.1895000001</v>
      </c>
      <c r="E33" s="29">
        <f t="shared" si="0"/>
        <v>5681257.8895000005</v>
      </c>
      <c r="F33" s="54"/>
    </row>
    <row r="34" spans="1:9" x14ac:dyDescent="0.2">
      <c r="A34" s="353"/>
      <c r="B34" s="45" t="str">
        <f>DFIE!$B54</f>
        <v>Jura</v>
      </c>
      <c r="C34" s="46">
        <v>410907.2</v>
      </c>
      <c r="D34" s="46">
        <v>5599.4288999999999</v>
      </c>
      <c r="E34" s="22">
        <f t="shared" si="0"/>
        <v>416506.62890000001</v>
      </c>
      <c r="F34" s="54"/>
      <c r="H34" s="34"/>
      <c r="I34" s="34"/>
    </row>
    <row r="35" spans="1:9" x14ac:dyDescent="0.2">
      <c r="A35" s="353"/>
      <c r="B35" s="28" t="str">
        <f>DFIE!$B55</f>
        <v>Schweiz</v>
      </c>
      <c r="C35" s="32">
        <f>SUM(C9:C34)</f>
        <v>55429802.700000003</v>
      </c>
      <c r="D35" s="32">
        <f>SUM(D9:D34)</f>
        <v>10065484.554199999</v>
      </c>
      <c r="E35" s="30">
        <f>SUM(E9:E34)</f>
        <v>65495287.254199997</v>
      </c>
      <c r="F35" s="55"/>
    </row>
    <row r="36" spans="1:9" ht="15" customHeight="1" x14ac:dyDescent="0.25">
      <c r="A36" s="35"/>
      <c r="C36" s="47"/>
      <c r="D36" s="47"/>
      <c r="E36" s="47"/>
      <c r="H36" s="52"/>
      <c r="I36" s="52"/>
    </row>
    <row r="37" spans="1:9" ht="12.75" customHeight="1" x14ac:dyDescent="0.2">
      <c r="A37" s="354" t="str">
        <f>DFIE!B71</f>
        <v>Bemessungsjahr 2014</v>
      </c>
      <c r="B37" s="64" t="str">
        <f>DFIE!$B29</f>
        <v>Zürich</v>
      </c>
      <c r="C37" s="65">
        <v>14492066</v>
      </c>
      <c r="D37" s="65">
        <v>715906.64859999996</v>
      </c>
      <c r="E37" s="31">
        <f>C37+D37</f>
        <v>15207972.648600001</v>
      </c>
      <c r="F37" s="56"/>
      <c r="H37" s="143" t="str">
        <f>$H$9</f>
        <v>Holdinggesellschaften</v>
      </c>
      <c r="I37" s="144">
        <f>$I$9</f>
        <v>2.5999999999999999E-2</v>
      </c>
    </row>
    <row r="38" spans="1:9" x14ac:dyDescent="0.2">
      <c r="A38" s="354"/>
      <c r="B38" s="45" t="str">
        <f>DFIE!$B30</f>
        <v>Bern</v>
      </c>
      <c r="C38" s="46">
        <v>6254771.2000000002</v>
      </c>
      <c r="D38" s="46">
        <v>232876.90669999999</v>
      </c>
      <c r="E38" s="22">
        <f t="shared" ref="E38:E62" si="1">C38+D38</f>
        <v>6487648.1067000004</v>
      </c>
      <c r="F38" s="56"/>
      <c r="H38" s="145" t="str">
        <f>$H$10</f>
        <v>Domizilgesellschaften</v>
      </c>
      <c r="I38" s="146">
        <f>$I$10</f>
        <v>0.113</v>
      </c>
    </row>
    <row r="39" spans="1:9" x14ac:dyDescent="0.2">
      <c r="A39" s="354"/>
      <c r="B39" s="63" t="str">
        <f>DFIE!$B31</f>
        <v>Luzern</v>
      </c>
      <c r="C39" s="33">
        <v>3265572.5</v>
      </c>
      <c r="D39" s="33">
        <v>116316.2355</v>
      </c>
      <c r="E39" s="29">
        <f t="shared" si="1"/>
        <v>3381888.7355</v>
      </c>
      <c r="F39" s="56"/>
      <c r="H39" s="147" t="str">
        <f>$H$11</f>
        <v>Gemischte Gesellschaften</v>
      </c>
      <c r="I39" s="148">
        <f>$I$11</f>
        <v>0.123</v>
      </c>
    </row>
    <row r="40" spans="1:9" x14ac:dyDescent="0.2">
      <c r="A40" s="354"/>
      <c r="B40" s="45" t="str">
        <f>DFIE!$B32</f>
        <v>Uri</v>
      </c>
      <c r="C40" s="46">
        <v>196168.5</v>
      </c>
      <c r="D40" s="46">
        <v>1002.3876</v>
      </c>
      <c r="E40" s="22">
        <f t="shared" si="1"/>
        <v>197170.88759999999</v>
      </c>
      <c r="F40" s="56"/>
    </row>
    <row r="41" spans="1:9" x14ac:dyDescent="0.2">
      <c r="A41" s="354"/>
      <c r="B41" s="63" t="str">
        <f>DFIE!$B33</f>
        <v>Schwyz</v>
      </c>
      <c r="C41" s="33">
        <v>1322502.3999999999</v>
      </c>
      <c r="D41" s="33">
        <v>154328.78839999999</v>
      </c>
      <c r="E41" s="29">
        <f t="shared" si="1"/>
        <v>1476831.1883999999</v>
      </c>
      <c r="F41" s="56"/>
    </row>
    <row r="42" spans="1:9" x14ac:dyDescent="0.2">
      <c r="A42" s="354"/>
      <c r="B42" s="45" t="str">
        <f>DFIE!$B34</f>
        <v>Obwalden</v>
      </c>
      <c r="C42" s="46">
        <v>285572</v>
      </c>
      <c r="D42" s="46">
        <v>16130.553099999999</v>
      </c>
      <c r="E42" s="22">
        <f t="shared" si="1"/>
        <v>301702.55310000002</v>
      </c>
      <c r="F42" s="56"/>
    </row>
    <row r="43" spans="1:9" x14ac:dyDescent="0.2">
      <c r="A43" s="354"/>
      <c r="B43" s="63" t="str">
        <f>DFIE!$B35</f>
        <v>Nidwalden</v>
      </c>
      <c r="C43" s="33">
        <v>453155.5</v>
      </c>
      <c r="D43" s="33">
        <v>25883.719799999999</v>
      </c>
      <c r="E43" s="29">
        <f t="shared" si="1"/>
        <v>479039.21980000002</v>
      </c>
      <c r="F43" s="56"/>
    </row>
    <row r="44" spans="1:9" x14ac:dyDescent="0.2">
      <c r="A44" s="354"/>
      <c r="B44" s="45" t="str">
        <f>DFIE!$B36</f>
        <v>Glarus</v>
      </c>
      <c r="C44" s="46">
        <v>179088.1</v>
      </c>
      <c r="D44" s="46">
        <v>15239.8861</v>
      </c>
      <c r="E44" s="22">
        <f t="shared" si="1"/>
        <v>194327.98610000001</v>
      </c>
      <c r="F44" s="56"/>
    </row>
    <row r="45" spans="1:9" x14ac:dyDescent="0.2">
      <c r="A45" s="354"/>
      <c r="B45" s="63" t="str">
        <f>DFIE!$B37</f>
        <v>Zug</v>
      </c>
      <c r="C45" s="33">
        <v>2754604.6</v>
      </c>
      <c r="D45" s="33">
        <v>1190302.2831999999</v>
      </c>
      <c r="E45" s="29">
        <f t="shared" si="1"/>
        <v>3944906.8832</v>
      </c>
      <c r="F45" s="56"/>
    </row>
    <row r="46" spans="1:9" x14ac:dyDescent="0.2">
      <c r="A46" s="354"/>
      <c r="B46" s="45" t="str">
        <f>DFIE!$B38</f>
        <v>Freiburg</v>
      </c>
      <c r="C46" s="46">
        <v>2180472.5</v>
      </c>
      <c r="D46" s="46">
        <v>549068.48329999996</v>
      </c>
      <c r="E46" s="22">
        <f t="shared" si="1"/>
        <v>2729540.9833</v>
      </c>
      <c r="F46" s="56"/>
    </row>
    <row r="47" spans="1:9" x14ac:dyDescent="0.2">
      <c r="A47" s="354"/>
      <c r="B47" s="63" t="str">
        <f>DFIE!$B39</f>
        <v>Solothurn</v>
      </c>
      <c r="C47" s="33">
        <v>1301716.8999999999</v>
      </c>
      <c r="D47" s="33">
        <v>70506.581000000006</v>
      </c>
      <c r="E47" s="29">
        <f t="shared" si="1"/>
        <v>1372223.4809999999</v>
      </c>
      <c r="F47" s="56"/>
    </row>
    <row r="48" spans="1:9" x14ac:dyDescent="0.2">
      <c r="A48" s="354"/>
      <c r="B48" s="45" t="str">
        <f>DFIE!$B40</f>
        <v>Basel-Stadt</v>
      </c>
      <c r="C48" s="46">
        <v>1648210.1</v>
      </c>
      <c r="D48" s="46">
        <v>1655641.7619</v>
      </c>
      <c r="E48" s="22">
        <f t="shared" si="1"/>
        <v>3303851.8618999999</v>
      </c>
      <c r="F48" s="56"/>
    </row>
    <row r="49" spans="1:9" x14ac:dyDescent="0.2">
      <c r="A49" s="354"/>
      <c r="B49" s="63" t="str">
        <f>DFIE!$B41</f>
        <v>Basel-Landschaft</v>
      </c>
      <c r="C49" s="33">
        <v>1250050.1000000001</v>
      </c>
      <c r="D49" s="33">
        <v>133344.4357</v>
      </c>
      <c r="E49" s="29">
        <f t="shared" si="1"/>
        <v>1383394.5357000001</v>
      </c>
      <c r="F49" s="56"/>
    </row>
    <row r="50" spans="1:9" x14ac:dyDescent="0.2">
      <c r="A50" s="354"/>
      <c r="B50" s="45" t="str">
        <f>DFIE!$B42</f>
        <v>Schaffhausen</v>
      </c>
      <c r="C50" s="46">
        <v>404736.8</v>
      </c>
      <c r="D50" s="46">
        <v>352505.33779999998</v>
      </c>
      <c r="E50" s="22">
        <f t="shared" si="1"/>
        <v>757242.13779999991</v>
      </c>
      <c r="F50" s="56"/>
    </row>
    <row r="51" spans="1:9" x14ac:dyDescent="0.2">
      <c r="A51" s="354"/>
      <c r="B51" s="63" t="str">
        <f>DFIE!$B43</f>
        <v>Appenzell A.Rh.</v>
      </c>
      <c r="C51" s="33">
        <v>364760.2</v>
      </c>
      <c r="D51" s="33">
        <v>12870.3809</v>
      </c>
      <c r="E51" s="29">
        <f t="shared" si="1"/>
        <v>377630.5809</v>
      </c>
      <c r="F51" s="56"/>
    </row>
    <row r="52" spans="1:9" x14ac:dyDescent="0.2">
      <c r="A52" s="354"/>
      <c r="B52" s="45" t="str">
        <f>DFIE!$B44</f>
        <v>Appenzell I.Rh.</v>
      </c>
      <c r="C52" s="46">
        <v>86446.1</v>
      </c>
      <c r="D52" s="46">
        <v>1675.2863</v>
      </c>
      <c r="E52" s="22">
        <f t="shared" si="1"/>
        <v>88121.386300000013</v>
      </c>
      <c r="F52" s="56"/>
    </row>
    <row r="53" spans="1:9" x14ac:dyDescent="0.2">
      <c r="A53" s="354"/>
      <c r="B53" s="63" t="str">
        <f>DFIE!$B45</f>
        <v>St. Gallen</v>
      </c>
      <c r="C53" s="33">
        <v>3060977.9</v>
      </c>
      <c r="D53" s="33">
        <v>247129.2549</v>
      </c>
      <c r="E53" s="29">
        <f t="shared" si="1"/>
        <v>3308107.1549</v>
      </c>
      <c r="F53" s="56"/>
    </row>
    <row r="54" spans="1:9" x14ac:dyDescent="0.2">
      <c r="A54" s="354"/>
      <c r="B54" s="45" t="str">
        <f>DFIE!$B46</f>
        <v>Graubünden</v>
      </c>
      <c r="C54" s="46">
        <v>919106.4</v>
      </c>
      <c r="D54" s="46">
        <v>23331.1162</v>
      </c>
      <c r="E54" s="22">
        <f t="shared" si="1"/>
        <v>942437.51620000007</v>
      </c>
      <c r="F54" s="56"/>
    </row>
    <row r="55" spans="1:9" x14ac:dyDescent="0.2">
      <c r="A55" s="354"/>
      <c r="B55" s="63" t="str">
        <f>DFIE!$B47</f>
        <v>Aargau</v>
      </c>
      <c r="C55" s="33">
        <v>3635029.2</v>
      </c>
      <c r="D55" s="33">
        <v>34739.6345</v>
      </c>
      <c r="E55" s="29">
        <f t="shared" si="1"/>
        <v>3669768.8345000003</v>
      </c>
      <c r="F55" s="56"/>
    </row>
    <row r="56" spans="1:9" x14ac:dyDescent="0.2">
      <c r="A56" s="354"/>
      <c r="B56" s="45" t="str">
        <f>DFIE!$B48</f>
        <v>Thurgau</v>
      </c>
      <c r="C56" s="46">
        <v>1252787.1000000001</v>
      </c>
      <c r="D56" s="46">
        <v>30079.953699999998</v>
      </c>
      <c r="E56" s="22">
        <f t="shared" si="1"/>
        <v>1282867.0537</v>
      </c>
      <c r="F56" s="56"/>
    </row>
    <row r="57" spans="1:9" x14ac:dyDescent="0.2">
      <c r="A57" s="354"/>
      <c r="B57" s="63" t="str">
        <f>DFIE!$B49</f>
        <v>Tessin</v>
      </c>
      <c r="C57" s="33">
        <v>2641369.2999999998</v>
      </c>
      <c r="D57" s="33">
        <v>161499.52669999999</v>
      </c>
      <c r="E57" s="29">
        <f t="shared" si="1"/>
        <v>2802868.8266999996</v>
      </c>
      <c r="F57" s="56"/>
    </row>
    <row r="58" spans="1:9" x14ac:dyDescent="0.2">
      <c r="A58" s="354"/>
      <c r="B58" s="45" t="str">
        <f>DFIE!$B50</f>
        <v>Waadt</v>
      </c>
      <c r="C58" s="46">
        <v>3712003.1</v>
      </c>
      <c r="D58" s="46">
        <v>1704745.1348000001</v>
      </c>
      <c r="E58" s="22">
        <f t="shared" si="1"/>
        <v>5416748.2347999997</v>
      </c>
      <c r="F58" s="56"/>
    </row>
    <row r="59" spans="1:9" x14ac:dyDescent="0.2">
      <c r="A59" s="354"/>
      <c r="B59" s="63" t="str">
        <f>DFIE!$B51</f>
        <v>Wallis</v>
      </c>
      <c r="C59" s="33">
        <v>1268932.3</v>
      </c>
      <c r="D59" s="33">
        <v>7519.4246999999996</v>
      </c>
      <c r="E59" s="29">
        <f t="shared" si="1"/>
        <v>1276451.7247000001</v>
      </c>
      <c r="F59" s="56"/>
    </row>
    <row r="60" spans="1:9" x14ac:dyDescent="0.2">
      <c r="A60" s="354"/>
      <c r="B60" s="45" t="str">
        <f>DFIE!$B52</f>
        <v>Neuenburg</v>
      </c>
      <c r="C60" s="46">
        <v>944147.2</v>
      </c>
      <c r="D60" s="46">
        <v>753352.73329999996</v>
      </c>
      <c r="E60" s="22">
        <f t="shared" si="1"/>
        <v>1697499.9332999999</v>
      </c>
      <c r="F60" s="56"/>
    </row>
    <row r="61" spans="1:9" x14ac:dyDescent="0.2">
      <c r="A61" s="354"/>
      <c r="B61" s="63" t="str">
        <f>DFIE!$B53</f>
        <v>Genf</v>
      </c>
      <c r="C61" s="33">
        <v>4956340.0999999996</v>
      </c>
      <c r="D61" s="33">
        <v>1072686.3587</v>
      </c>
      <c r="E61" s="29">
        <f t="shared" si="1"/>
        <v>6029026.4586999994</v>
      </c>
      <c r="F61" s="56"/>
    </row>
    <row r="62" spans="1:9" x14ac:dyDescent="0.2">
      <c r="A62" s="354"/>
      <c r="B62" s="45" t="str">
        <f>DFIE!$B54</f>
        <v>Jura</v>
      </c>
      <c r="C62" s="46">
        <v>431672.2</v>
      </c>
      <c r="D62" s="46">
        <v>14590.5983</v>
      </c>
      <c r="E62" s="22">
        <f t="shared" si="1"/>
        <v>446262.79830000002</v>
      </c>
      <c r="F62" s="56"/>
      <c r="H62" s="34"/>
      <c r="I62" s="34"/>
    </row>
    <row r="63" spans="1:9" x14ac:dyDescent="0.2">
      <c r="A63" s="354"/>
      <c r="B63" s="28" t="str">
        <f>DFIE!$B55</f>
        <v>Schweiz</v>
      </c>
      <c r="C63" s="32">
        <f>SUM(C37:C62)</f>
        <v>59262258.300000004</v>
      </c>
      <c r="D63" s="32">
        <f>SUM(D37:D62)</f>
        <v>9293273.411700001</v>
      </c>
      <c r="E63" s="30">
        <f>SUM(E37:E62)</f>
        <v>68555531.711700007</v>
      </c>
      <c r="F63" s="57"/>
      <c r="H63" s="52"/>
      <c r="I63" s="52"/>
    </row>
    <row r="64" spans="1:9" ht="14.25" customHeight="1" x14ac:dyDescent="0.2">
      <c r="A64" s="36"/>
    </row>
    <row r="65" spans="1:9" x14ac:dyDescent="0.2">
      <c r="A65" s="355" t="str">
        <f>DFIE!B72</f>
        <v>Bemessungsjahr 2015</v>
      </c>
      <c r="B65" s="64" t="str">
        <f>DFIE!$B29</f>
        <v>Zürich</v>
      </c>
      <c r="C65" s="65">
        <v>13595306.699999999</v>
      </c>
      <c r="D65" s="65">
        <v>893537.06559999997</v>
      </c>
      <c r="E65" s="31">
        <f>C65+D65</f>
        <v>14488843.7656</v>
      </c>
      <c r="F65" s="58"/>
      <c r="H65" s="143" t="str">
        <f>$H$9</f>
        <v>Holdinggesellschaften</v>
      </c>
      <c r="I65" s="144">
        <f>$I$9</f>
        <v>2.5999999999999999E-2</v>
      </c>
    </row>
    <row r="66" spans="1:9" x14ac:dyDescent="0.2">
      <c r="A66" s="355"/>
      <c r="B66" s="45" t="str">
        <f>DFIE!$B30</f>
        <v>Bern</v>
      </c>
      <c r="C66" s="46">
        <v>6862359.7000000002</v>
      </c>
      <c r="D66" s="46">
        <v>199408.55669999999</v>
      </c>
      <c r="E66" s="22">
        <f t="shared" ref="E66:E90" si="2">C66+D66</f>
        <v>7061768.2566999998</v>
      </c>
      <c r="F66" s="58"/>
      <c r="H66" s="145" t="str">
        <f>$H$10</f>
        <v>Domizilgesellschaften</v>
      </c>
      <c r="I66" s="146">
        <f>$I$10</f>
        <v>0.113</v>
      </c>
    </row>
    <row r="67" spans="1:9" x14ac:dyDescent="0.2">
      <c r="A67" s="355"/>
      <c r="B67" s="63" t="str">
        <f>DFIE!$B31</f>
        <v>Luzern</v>
      </c>
      <c r="C67" s="33">
        <v>3327083.5</v>
      </c>
      <c r="D67" s="33">
        <v>169611.11929999999</v>
      </c>
      <c r="E67" s="29">
        <f t="shared" si="2"/>
        <v>3496694.6192999999</v>
      </c>
      <c r="F67" s="58"/>
      <c r="H67" s="147" t="str">
        <f>$H$11</f>
        <v>Gemischte Gesellschaften</v>
      </c>
      <c r="I67" s="148">
        <f>$I$11</f>
        <v>0.123</v>
      </c>
    </row>
    <row r="68" spans="1:9" x14ac:dyDescent="0.2">
      <c r="A68" s="355"/>
      <c r="B68" s="45" t="str">
        <f>DFIE!$B32</f>
        <v>Uri</v>
      </c>
      <c r="C68" s="46">
        <v>253630</v>
      </c>
      <c r="D68" s="46">
        <v>796.54539999999997</v>
      </c>
      <c r="E68" s="22">
        <f t="shared" si="2"/>
        <v>254426.5454</v>
      </c>
      <c r="F68" s="58"/>
    </row>
    <row r="69" spans="1:9" x14ac:dyDescent="0.2">
      <c r="A69" s="355"/>
      <c r="B69" s="63" t="str">
        <f>DFIE!$B33</f>
        <v>Schwyz</v>
      </c>
      <c r="C69" s="33">
        <v>1351545.4</v>
      </c>
      <c r="D69" s="33">
        <v>150290.3719</v>
      </c>
      <c r="E69" s="29">
        <f t="shared" si="2"/>
        <v>1501835.7718999998</v>
      </c>
      <c r="F69" s="58"/>
    </row>
    <row r="70" spans="1:9" x14ac:dyDescent="0.2">
      <c r="A70" s="355"/>
      <c r="B70" s="45" t="str">
        <f>DFIE!$B34</f>
        <v>Obwalden</v>
      </c>
      <c r="C70" s="46">
        <v>276740.2</v>
      </c>
      <c r="D70" s="46">
        <v>15517.456399999999</v>
      </c>
      <c r="E70" s="22">
        <f t="shared" si="2"/>
        <v>292257.65640000004</v>
      </c>
      <c r="F70" s="58"/>
    </row>
    <row r="71" spans="1:9" x14ac:dyDescent="0.2">
      <c r="A71" s="355"/>
      <c r="B71" s="63" t="str">
        <f>DFIE!$B35</f>
        <v>Nidwalden</v>
      </c>
      <c r="C71" s="33">
        <v>487856.2</v>
      </c>
      <c r="D71" s="33">
        <v>20066.0798</v>
      </c>
      <c r="E71" s="29">
        <f t="shared" si="2"/>
        <v>507922.27980000002</v>
      </c>
      <c r="F71" s="58"/>
    </row>
    <row r="72" spans="1:9" x14ac:dyDescent="0.2">
      <c r="A72" s="355"/>
      <c r="B72" s="45" t="str">
        <f>DFIE!$B36</f>
        <v>Glarus</v>
      </c>
      <c r="C72" s="46">
        <v>164536.70000000001</v>
      </c>
      <c r="D72" s="46">
        <v>14165.4097</v>
      </c>
      <c r="E72" s="22">
        <f t="shared" si="2"/>
        <v>178702.1097</v>
      </c>
      <c r="F72" s="58"/>
    </row>
    <row r="73" spans="1:9" x14ac:dyDescent="0.2">
      <c r="A73" s="355"/>
      <c r="B73" s="63" t="str">
        <f>DFIE!$B37</f>
        <v>Zug</v>
      </c>
      <c r="C73" s="33">
        <v>3457185.7</v>
      </c>
      <c r="D73" s="33">
        <v>1302976.0033</v>
      </c>
      <c r="E73" s="29">
        <f t="shared" si="2"/>
        <v>4760161.7033000002</v>
      </c>
      <c r="F73" s="58"/>
    </row>
    <row r="74" spans="1:9" x14ac:dyDescent="0.2">
      <c r="A74" s="355"/>
      <c r="B74" s="45" t="str">
        <f>DFIE!$B38</f>
        <v>Freiburg</v>
      </c>
      <c r="C74" s="46">
        <v>2176704.7999999998</v>
      </c>
      <c r="D74" s="46">
        <v>413297.2611</v>
      </c>
      <c r="E74" s="22">
        <f t="shared" si="2"/>
        <v>2590002.0610999996</v>
      </c>
      <c r="F74" s="58"/>
    </row>
    <row r="75" spans="1:9" x14ac:dyDescent="0.2">
      <c r="A75" s="355"/>
      <c r="B75" s="63" t="str">
        <f>DFIE!$B39</f>
        <v>Solothurn</v>
      </c>
      <c r="C75" s="33">
        <v>1182992.8999999999</v>
      </c>
      <c r="D75" s="33">
        <v>45667.019899999999</v>
      </c>
      <c r="E75" s="29">
        <f t="shared" si="2"/>
        <v>1228659.9198999999</v>
      </c>
      <c r="F75" s="58"/>
    </row>
    <row r="76" spans="1:9" x14ac:dyDescent="0.2">
      <c r="A76" s="355"/>
      <c r="B76" s="45" t="str">
        <f>DFIE!$B40</f>
        <v>Basel-Stadt</v>
      </c>
      <c r="C76" s="46">
        <v>1738008.4</v>
      </c>
      <c r="D76" s="46">
        <v>1519791.2038</v>
      </c>
      <c r="E76" s="22">
        <f t="shared" si="2"/>
        <v>3257799.6037999997</v>
      </c>
      <c r="F76" s="58"/>
    </row>
    <row r="77" spans="1:9" x14ac:dyDescent="0.2">
      <c r="A77" s="355"/>
      <c r="B77" s="63" t="str">
        <f>DFIE!$B41</f>
        <v>Basel-Landschaft</v>
      </c>
      <c r="C77" s="33">
        <v>1320834.3999999999</v>
      </c>
      <c r="D77" s="33">
        <v>169837.31479999999</v>
      </c>
      <c r="E77" s="29">
        <f t="shared" si="2"/>
        <v>1490671.7148</v>
      </c>
      <c r="F77" s="58"/>
    </row>
    <row r="78" spans="1:9" x14ac:dyDescent="0.2">
      <c r="A78" s="355"/>
      <c r="B78" s="45" t="str">
        <f>DFIE!$B42</f>
        <v>Schaffhausen</v>
      </c>
      <c r="C78" s="46">
        <v>358156.2</v>
      </c>
      <c r="D78" s="46">
        <v>417898.2623</v>
      </c>
      <c r="E78" s="22">
        <f t="shared" si="2"/>
        <v>776054.46230000001</v>
      </c>
      <c r="F78" s="58"/>
    </row>
    <row r="79" spans="1:9" x14ac:dyDescent="0.2">
      <c r="A79" s="355"/>
      <c r="B79" s="63" t="str">
        <f>DFIE!$B43</f>
        <v>Appenzell A.Rh.</v>
      </c>
      <c r="C79" s="33">
        <v>337039.6</v>
      </c>
      <c r="D79" s="33">
        <v>16954.358100000001</v>
      </c>
      <c r="E79" s="29">
        <f t="shared" si="2"/>
        <v>353993.95809999999</v>
      </c>
      <c r="F79" s="58"/>
    </row>
    <row r="80" spans="1:9" x14ac:dyDescent="0.2">
      <c r="A80" s="355"/>
      <c r="B80" s="45" t="str">
        <f>DFIE!$B44</f>
        <v>Appenzell I.Rh.</v>
      </c>
      <c r="C80" s="46">
        <v>99712.7</v>
      </c>
      <c r="D80" s="46">
        <v>1551.8766000000001</v>
      </c>
      <c r="E80" s="22">
        <f t="shared" si="2"/>
        <v>101264.5766</v>
      </c>
      <c r="F80" s="58"/>
    </row>
    <row r="81" spans="1:9" x14ac:dyDescent="0.2">
      <c r="A81" s="355"/>
      <c r="B81" s="63" t="str">
        <f>DFIE!$B45</f>
        <v>St. Gallen</v>
      </c>
      <c r="C81" s="33">
        <v>3013293.1</v>
      </c>
      <c r="D81" s="33">
        <v>315183.6765</v>
      </c>
      <c r="E81" s="29">
        <f t="shared" si="2"/>
        <v>3328476.7765000002</v>
      </c>
      <c r="F81" s="58"/>
    </row>
    <row r="82" spans="1:9" x14ac:dyDescent="0.2">
      <c r="A82" s="355"/>
      <c r="B82" s="45" t="str">
        <f>DFIE!$B46</f>
        <v>Graubünden</v>
      </c>
      <c r="C82" s="46">
        <v>934809.59999999998</v>
      </c>
      <c r="D82" s="46">
        <v>18442.705600000001</v>
      </c>
      <c r="E82" s="22">
        <f t="shared" si="2"/>
        <v>953252.30559999996</v>
      </c>
      <c r="F82" s="58"/>
    </row>
    <row r="83" spans="1:9" x14ac:dyDescent="0.2">
      <c r="A83" s="355"/>
      <c r="B83" s="63" t="str">
        <f>DFIE!$B47</f>
        <v>Aargau</v>
      </c>
      <c r="C83" s="33">
        <v>3195205.7</v>
      </c>
      <c r="D83" s="33">
        <v>48421.118499999997</v>
      </c>
      <c r="E83" s="29">
        <f t="shared" si="2"/>
        <v>3243626.8185000001</v>
      </c>
      <c r="F83" s="58"/>
    </row>
    <row r="84" spans="1:9" x14ac:dyDescent="0.2">
      <c r="A84" s="355"/>
      <c r="B84" s="45" t="str">
        <f>DFIE!$B48</f>
        <v>Thurgau</v>
      </c>
      <c r="C84" s="46">
        <v>1182369</v>
      </c>
      <c r="D84" s="46">
        <v>11523.322</v>
      </c>
      <c r="E84" s="22">
        <f t="shared" si="2"/>
        <v>1193892.3219999999</v>
      </c>
      <c r="F84" s="58"/>
    </row>
    <row r="85" spans="1:9" x14ac:dyDescent="0.2">
      <c r="A85" s="355"/>
      <c r="B85" s="63" t="str">
        <f>DFIE!$B49</f>
        <v>Tessin</v>
      </c>
      <c r="C85" s="33">
        <v>2559501.4</v>
      </c>
      <c r="D85" s="33">
        <v>302456.67050000001</v>
      </c>
      <c r="E85" s="29">
        <f t="shared" si="2"/>
        <v>2861958.0704999999</v>
      </c>
      <c r="F85" s="58"/>
    </row>
    <row r="86" spans="1:9" x14ac:dyDescent="0.2">
      <c r="A86" s="355"/>
      <c r="B86" s="45" t="str">
        <f>DFIE!$B50</f>
        <v>Waadt</v>
      </c>
      <c r="C86" s="46">
        <v>4788174.5999999996</v>
      </c>
      <c r="D86" s="46">
        <v>1822624.7087999999</v>
      </c>
      <c r="E86" s="22">
        <f t="shared" si="2"/>
        <v>6610799.3087999998</v>
      </c>
      <c r="F86" s="58"/>
    </row>
    <row r="87" spans="1:9" x14ac:dyDescent="0.2">
      <c r="A87" s="355"/>
      <c r="B87" s="63" t="str">
        <f>DFIE!$B51</f>
        <v>Wallis</v>
      </c>
      <c r="C87" s="33">
        <v>1297419.7</v>
      </c>
      <c r="D87" s="33">
        <v>8306.9006000000008</v>
      </c>
      <c r="E87" s="29">
        <f t="shared" si="2"/>
        <v>1305726.6006</v>
      </c>
      <c r="F87" s="58"/>
    </row>
    <row r="88" spans="1:9" x14ac:dyDescent="0.2">
      <c r="A88" s="355"/>
      <c r="B88" s="45" t="str">
        <f>DFIE!$B52</f>
        <v>Neuenburg</v>
      </c>
      <c r="C88" s="46">
        <v>902310</v>
      </c>
      <c r="D88" s="46">
        <v>562200.9031</v>
      </c>
      <c r="E88" s="22">
        <f t="shared" si="2"/>
        <v>1464510.9031</v>
      </c>
      <c r="F88" s="58"/>
    </row>
    <row r="89" spans="1:9" x14ac:dyDescent="0.2">
      <c r="A89" s="355"/>
      <c r="B89" s="63" t="str">
        <f>DFIE!$B53</f>
        <v>Genf</v>
      </c>
      <c r="C89" s="33">
        <v>4879524.8</v>
      </c>
      <c r="D89" s="33">
        <v>1047877.8806</v>
      </c>
      <c r="E89" s="29">
        <f t="shared" si="2"/>
        <v>5927402.6805999996</v>
      </c>
      <c r="F89" s="58"/>
    </row>
    <row r="90" spans="1:9" x14ac:dyDescent="0.2">
      <c r="A90" s="355"/>
      <c r="B90" s="45" t="str">
        <f>DFIE!$B54</f>
        <v>Jura</v>
      </c>
      <c r="C90" s="46">
        <v>353607.8</v>
      </c>
      <c r="D90" s="46">
        <v>14427.486800000001</v>
      </c>
      <c r="E90" s="22">
        <f t="shared" si="2"/>
        <v>368035.2868</v>
      </c>
      <c r="F90" s="58"/>
      <c r="H90" s="34"/>
      <c r="I90" s="34"/>
    </row>
    <row r="91" spans="1:9" x14ac:dyDescent="0.2">
      <c r="A91" s="355"/>
      <c r="B91" s="28" t="str">
        <f>DFIE!$B55</f>
        <v>Schweiz</v>
      </c>
      <c r="C91" s="32">
        <f>SUM(C65:C90)</f>
        <v>60095908.800000004</v>
      </c>
      <c r="D91" s="32">
        <f>SUM(D65:D90)</f>
        <v>9502831.2776999995</v>
      </c>
      <c r="E91" s="30">
        <f>SUM(E65:E90)</f>
        <v>69598740.077699989</v>
      </c>
      <c r="F91" s="59"/>
      <c r="H91" s="52"/>
      <c r="I91" s="52"/>
    </row>
  </sheetData>
  <mergeCells count="4">
    <mergeCell ref="A9:A35"/>
    <mergeCell ref="A37:A63"/>
    <mergeCell ref="A65:A91"/>
    <mergeCell ref="H7:I8"/>
  </mergeCells>
  <conditionalFormatting sqref="C9:D34">
    <cfRule type="expression" dxfId="38" priority="8" stopIfTrue="1">
      <formula>ISBLANK(C9)</formula>
    </cfRule>
  </conditionalFormatting>
  <conditionalFormatting sqref="C37:D37">
    <cfRule type="expression" dxfId="37" priority="7" stopIfTrue="1">
      <formula>ISBLANK(C37)</formula>
    </cfRule>
  </conditionalFormatting>
  <conditionalFormatting sqref="C65:D65">
    <cfRule type="expression" dxfId="36" priority="6" stopIfTrue="1">
      <formula>ISBLANK(C65)</formula>
    </cfRule>
  </conditionalFormatting>
  <conditionalFormatting sqref="I9:I11">
    <cfRule type="expression" dxfId="35" priority="5" stopIfTrue="1">
      <formula>ISBLANK(I9)</formula>
    </cfRule>
  </conditionalFormatting>
  <conditionalFormatting sqref="I37:I39">
    <cfRule type="expression" dxfId="34" priority="4" stopIfTrue="1">
      <formula>ISBLANK(I37)</formula>
    </cfRule>
  </conditionalFormatting>
  <conditionalFormatting sqref="I65:I67">
    <cfRule type="expression" dxfId="33" priority="3" stopIfTrue="1">
      <formula>ISBLANK(I65)</formula>
    </cfRule>
  </conditionalFormatting>
  <conditionalFormatting sqref="C38:D62">
    <cfRule type="expression" dxfId="32" priority="2" stopIfTrue="1">
      <formula>ISBLANK(C38)</formula>
    </cfRule>
  </conditionalFormatting>
  <conditionalFormatting sqref="C66:D90">
    <cfRule type="expression" dxfId="31" priority="1" stopIfTrue="1">
      <formula>ISBLANK(C66)</formula>
    </cfRule>
  </conditionalFormatting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rowBreaks count="2" manualBreakCount="2">
    <brk id="36" max="16383" man="1"/>
    <brk id="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91"/>
  <sheetViews>
    <sheetView showGridLines="0" zoomScaleNormal="100" workbookViewId="0">
      <pane ySplit="8" topLeftCell="A9" activePane="bottomLeft" state="frozen"/>
      <selection activeCell="A114" sqref="A114"/>
      <selection pane="bottomLeft" activeCell="A114" sqref="A114"/>
    </sheetView>
  </sheetViews>
  <sheetFormatPr baseColWidth="10" defaultColWidth="9.140625" defaultRowHeight="12.75" x14ac:dyDescent="0.2"/>
  <cols>
    <col min="1" max="1" width="4.42578125" customWidth="1"/>
    <col min="2" max="2" width="16.7109375" customWidth="1"/>
    <col min="3" max="5" width="15.7109375" customWidth="1"/>
    <col min="6" max="7" width="18.28515625" customWidth="1"/>
    <col min="8" max="8" width="13.5703125" customWidth="1"/>
    <col min="9" max="9" width="18.7109375" customWidth="1"/>
    <col min="10" max="10" width="1.5703125" customWidth="1"/>
  </cols>
  <sheetData>
    <row r="1" spans="1:10" ht="18" customHeight="1" x14ac:dyDescent="0.25">
      <c r="B1" s="6" t="str">
        <f>DFIE!B128</f>
        <v>Steuerrepartitionen 2019</v>
      </c>
    </row>
    <row r="3" spans="1:10" ht="0.75" customHeight="1" x14ac:dyDescent="0.2"/>
    <row r="4" spans="1:10" ht="0.75" customHeight="1" x14ac:dyDescent="0.2"/>
    <row r="5" spans="1:10" ht="12" customHeight="1" x14ac:dyDescent="0.2">
      <c r="A5" s="13"/>
      <c r="B5" s="37" t="str">
        <f>DFIE!B56</f>
        <v>Spalte</v>
      </c>
      <c r="C5" s="38" t="s">
        <v>30</v>
      </c>
      <c r="D5" s="38" t="s">
        <v>31</v>
      </c>
      <c r="E5" s="39" t="s">
        <v>32</v>
      </c>
      <c r="F5" s="38" t="s">
        <v>44</v>
      </c>
      <c r="G5" s="38" t="s">
        <v>43</v>
      </c>
      <c r="H5" s="38" t="s">
        <v>33</v>
      </c>
      <c r="I5" s="39" t="s">
        <v>34</v>
      </c>
      <c r="J5" s="13"/>
    </row>
    <row r="6" spans="1:10" ht="12" customHeight="1" x14ac:dyDescent="0.2">
      <c r="A6" s="13"/>
      <c r="B6" s="37" t="str">
        <f>DFIE!B57</f>
        <v>Formel</v>
      </c>
      <c r="C6" s="142"/>
      <c r="D6" s="142"/>
      <c r="E6" s="42" t="s">
        <v>100</v>
      </c>
      <c r="F6" s="142"/>
      <c r="G6" s="142"/>
      <c r="H6" s="142" t="s">
        <v>101</v>
      </c>
      <c r="I6" s="42" t="s">
        <v>102</v>
      </c>
      <c r="J6" s="13"/>
    </row>
    <row r="7" spans="1:10" ht="45" customHeight="1" x14ac:dyDescent="0.2">
      <c r="A7" s="52"/>
      <c r="B7" s="149"/>
      <c r="C7" s="114" t="str">
        <f>DFIE!B129</f>
        <v>Zu Gunsten
anderer
Kantone</v>
      </c>
      <c r="D7" s="114" t="str">
        <f>DFIE!B130</f>
        <v>Erhalten von
anderen
Kantonen</v>
      </c>
      <c r="E7" s="140" t="str">
        <f>DFIE!B131</f>
        <v>Saldo</v>
      </c>
      <c r="F7" s="114" t="str">
        <f>DFIE!B132</f>
        <v>Ablieferungen DBSt
an die ESTV</v>
      </c>
      <c r="G7" s="114" t="str">
        <f>DFIE!B133</f>
        <v>Massgebende Steuerbemessungs-grundlage DBSt</v>
      </c>
      <c r="H7" s="114" t="str">
        <f>DFIE!B134</f>
        <v>Gewichtungs-
faktor</v>
      </c>
      <c r="I7" s="140" t="str">
        <f>DFIE!B135</f>
        <v>Massgebende
Steuerrepartitionen</v>
      </c>
      <c r="J7" s="52"/>
    </row>
    <row r="8" spans="1:10" ht="12.75" customHeight="1" x14ac:dyDescent="0.2">
      <c r="B8" s="87" t="str">
        <f>DFIE!B59</f>
        <v>Einheit</v>
      </c>
      <c r="C8" s="43" t="str">
        <f>DFIE!$B$61</f>
        <v>CHF 1'000</v>
      </c>
      <c r="D8" s="43" t="str">
        <f>DFIE!$B$61</f>
        <v>CHF 1'000</v>
      </c>
      <c r="E8" s="44" t="str">
        <f>DFIE!$B$61</f>
        <v>CHF 1'000</v>
      </c>
      <c r="F8" s="43" t="str">
        <f>DFIE!$B$61</f>
        <v>CHF 1'000</v>
      </c>
      <c r="G8" s="43" t="str">
        <f>DFIE!$B$61</f>
        <v>CHF 1'000</v>
      </c>
      <c r="H8" s="43"/>
      <c r="I8" s="44" t="str">
        <f>DFIE!$B$61</f>
        <v>CHF 1'000</v>
      </c>
    </row>
    <row r="9" spans="1:10" x14ac:dyDescent="0.2">
      <c r="A9" s="353" t="str">
        <f>DFIE!B70</f>
        <v>Bemessungsjahr 2013</v>
      </c>
      <c r="B9" s="63" t="str">
        <f>DFIE!$B29</f>
        <v>Zürich</v>
      </c>
      <c r="C9" s="33">
        <v>33841.822</v>
      </c>
      <c r="D9" s="33">
        <v>13513.6507</v>
      </c>
      <c r="E9" s="29">
        <f t="shared" ref="E9:E34" si="0">D9-C9</f>
        <v>-20328.171300000002</v>
      </c>
      <c r="F9" s="33">
        <v>3495440.5429277099</v>
      </c>
      <c r="G9" s="73">
        <f>IF(DFIE!$G$2=2008,"",NP!E9+QS!AA9+JP!E9)</f>
        <v>50512972.55572015</v>
      </c>
      <c r="H9" s="151">
        <f>IF(DFIE!$G$2=2008,"",G9/F9)</f>
        <v>14.451103354603626</v>
      </c>
      <c r="I9" s="29">
        <f>IF(DFIE!$G$2=2008,0,E9*H9)</f>
        <v>-293764.50446638721</v>
      </c>
      <c r="J9" s="54"/>
    </row>
    <row r="10" spans="1:10" x14ac:dyDescent="0.2">
      <c r="A10" s="353"/>
      <c r="B10" s="45" t="str">
        <f>DFIE!$B30</f>
        <v>Bern</v>
      </c>
      <c r="C10" s="46">
        <v>9210.8420000000006</v>
      </c>
      <c r="D10" s="46">
        <v>10878.57245</v>
      </c>
      <c r="E10" s="22">
        <f t="shared" si="0"/>
        <v>1667.7304499999991</v>
      </c>
      <c r="F10" s="46">
        <v>1171413.7739156601</v>
      </c>
      <c r="G10" s="155">
        <f>IF(DFIE!$G$2=2008,"",NP!E10+QS!AA10+JP!E10)</f>
        <v>22963644.774898421</v>
      </c>
      <c r="H10" s="156">
        <f>IF(DFIE!$G$2=2008,"",G10/F10)</f>
        <v>19.603359023292281</v>
      </c>
      <c r="I10" s="22">
        <f>IF(DFIE!$G$2=2008,0,E10*H10)</f>
        <v>32693.118765426778</v>
      </c>
      <c r="J10" s="54"/>
    </row>
    <row r="11" spans="1:10" x14ac:dyDescent="0.2">
      <c r="A11" s="353"/>
      <c r="B11" s="63" t="str">
        <f>DFIE!$B31</f>
        <v>Luzern</v>
      </c>
      <c r="C11" s="33">
        <v>609.29999999999995</v>
      </c>
      <c r="D11" s="33">
        <v>4155.4952499999999</v>
      </c>
      <c r="E11" s="29">
        <f t="shared" si="0"/>
        <v>3546.1952499999998</v>
      </c>
      <c r="F11" s="33">
        <v>655348.66975903604</v>
      </c>
      <c r="G11" s="73">
        <f>IF(DFIE!$G$2=2008,"",NP!E11+QS!AA11+JP!E11)</f>
        <v>10499975.34559213</v>
      </c>
      <c r="H11" s="151">
        <f>IF(DFIE!$G$2=2008,"",G11/F11)</f>
        <v>16.021967892988698</v>
      </c>
      <c r="I11" s="29">
        <f>IF(DFIE!$G$2=2008,0,E11*H11)</f>
        <v>56817.026437769026</v>
      </c>
      <c r="J11" s="54"/>
    </row>
    <row r="12" spans="1:10" x14ac:dyDescent="0.2">
      <c r="A12" s="353"/>
      <c r="B12" s="45" t="str">
        <f>DFIE!$B32</f>
        <v>Uri</v>
      </c>
      <c r="C12" s="46">
        <v>659.40200000000004</v>
      </c>
      <c r="D12" s="46">
        <v>280.82015000000001</v>
      </c>
      <c r="E12" s="22">
        <f t="shared" si="0"/>
        <v>-378.58185000000003</v>
      </c>
      <c r="F12" s="46">
        <v>32866.0264457831</v>
      </c>
      <c r="G12" s="155">
        <f>IF(DFIE!$G$2=2008,"",NP!E12+QS!AA12+JP!E12)</f>
        <v>741448.63465091237</v>
      </c>
      <c r="H12" s="156">
        <f>IF(DFIE!$G$2=2008,"",G12/F12)</f>
        <v>22.559728535301673</v>
      </c>
      <c r="I12" s="22">
        <f>IF(DFIE!$G$2=2008,0,E12*H12)</f>
        <v>-8540.7037643922977</v>
      </c>
      <c r="J12" s="54"/>
    </row>
    <row r="13" spans="1:10" x14ac:dyDescent="0.2">
      <c r="A13" s="353"/>
      <c r="B13" s="63" t="str">
        <f>DFIE!$B33</f>
        <v>Schwyz</v>
      </c>
      <c r="C13" s="33">
        <v>2485.1640000000002</v>
      </c>
      <c r="D13" s="33">
        <v>1387.3993</v>
      </c>
      <c r="E13" s="29">
        <f t="shared" si="0"/>
        <v>-1097.7647000000002</v>
      </c>
      <c r="F13" s="33">
        <v>631501.98879518104</v>
      </c>
      <c r="G13" s="73">
        <f>IF(DFIE!$G$2=2008,"",NP!E13+QS!AA13+JP!E13)</f>
        <v>6854447.6756182201</v>
      </c>
      <c r="H13" s="151">
        <f>IF(DFIE!$G$2=2008,"",G13/F13)</f>
        <v>10.854198082092447</v>
      </c>
      <c r="I13" s="29">
        <f>IF(DFIE!$G$2=2008,0,E13*H13)</f>
        <v>-11915.355501328791</v>
      </c>
      <c r="J13" s="54"/>
    </row>
    <row r="14" spans="1:10" x14ac:dyDescent="0.2">
      <c r="A14" s="353"/>
      <c r="B14" s="45" t="str">
        <f>DFIE!$B34</f>
        <v>Obwalden</v>
      </c>
      <c r="C14" s="46">
        <v>1044.1251999999999</v>
      </c>
      <c r="D14" s="46">
        <v>397.90820000000002</v>
      </c>
      <c r="E14" s="22">
        <f t="shared" si="0"/>
        <v>-646.21699999999987</v>
      </c>
      <c r="F14" s="46">
        <v>66569.063277108406</v>
      </c>
      <c r="G14" s="155">
        <f>IF(DFIE!$G$2=2008,"",NP!E14+QS!AA14+JP!E14)</f>
        <v>1199143.3447247702</v>
      </c>
      <c r="H14" s="156">
        <f>IF(DFIE!$G$2=2008,"",G14/F14)</f>
        <v>18.013522884242363</v>
      </c>
      <c r="I14" s="22">
        <f>IF(DFIE!$G$2=2008,0,E14*H14)</f>
        <v>-11640.644717686444</v>
      </c>
      <c r="J14" s="54"/>
    </row>
    <row r="15" spans="1:10" x14ac:dyDescent="0.2">
      <c r="A15" s="353"/>
      <c r="B15" s="63" t="str">
        <f>DFIE!$B35</f>
        <v>Nidwalden</v>
      </c>
      <c r="C15" s="33">
        <v>1515.5813000000001</v>
      </c>
      <c r="D15" s="33">
        <v>609.53420000000006</v>
      </c>
      <c r="E15" s="29">
        <f t="shared" si="0"/>
        <v>-906.0471</v>
      </c>
      <c r="F15" s="33">
        <v>132851.559698795</v>
      </c>
      <c r="G15" s="73">
        <f>IF(DFIE!$G$2=2008,"",NP!E15+QS!AA15+JP!E15)</f>
        <v>1774369.1047644033</v>
      </c>
      <c r="H15" s="151">
        <f>IF(DFIE!$G$2=2008,"",G15/F15)</f>
        <v>13.356027650614759</v>
      </c>
      <c r="I15" s="29">
        <f>IF(DFIE!$G$2=2008,0,E15*H15)</f>
        <v>-12101.190120359315</v>
      </c>
      <c r="J15" s="54"/>
    </row>
    <row r="16" spans="1:10" x14ac:dyDescent="0.2">
      <c r="A16" s="353"/>
      <c r="B16" s="45" t="str">
        <f>DFIE!$B36</f>
        <v>Glarus</v>
      </c>
      <c r="C16" s="46">
        <v>277.63</v>
      </c>
      <c r="D16" s="46">
        <v>449.84519999999998</v>
      </c>
      <c r="E16" s="22">
        <f t="shared" si="0"/>
        <v>172.21519999999998</v>
      </c>
      <c r="F16" s="46">
        <v>78918.773373493997</v>
      </c>
      <c r="G16" s="155">
        <f>IF(DFIE!$G$2=2008,"",NP!E16+QS!AA16+JP!E16)</f>
        <v>882818.62760615861</v>
      </c>
      <c r="H16" s="156">
        <f>IF(DFIE!$G$2=2008,"",G16/F16)</f>
        <v>11.186421048742071</v>
      </c>
      <c r="I16" s="22">
        <f>IF(DFIE!$G$2=2008,0,E16*H16)</f>
        <v>1926.4717381933253</v>
      </c>
      <c r="J16" s="54"/>
    </row>
    <row r="17" spans="1:10" x14ac:dyDescent="0.2">
      <c r="A17" s="353"/>
      <c r="B17" s="63" t="str">
        <f>DFIE!$B37</f>
        <v>Zug</v>
      </c>
      <c r="C17" s="33">
        <v>1971.54</v>
      </c>
      <c r="D17" s="33">
        <v>2434.4854</v>
      </c>
      <c r="E17" s="29">
        <f t="shared" si="0"/>
        <v>462.94540000000006</v>
      </c>
      <c r="F17" s="33">
        <v>1444725.8026747</v>
      </c>
      <c r="G17" s="73">
        <f>IF(DFIE!$G$2=2008,"",NP!E17+QS!AA17+JP!E17)</f>
        <v>8624773.8789743781</v>
      </c>
      <c r="H17" s="151">
        <f>IF(DFIE!$G$2=2008,"",G17/F17)</f>
        <v>5.9698344578651961</v>
      </c>
      <c r="I17" s="29">
        <f>IF(DFIE!$G$2=2008,0,E17*H17)</f>
        <v>2763.7074010301867</v>
      </c>
      <c r="J17" s="54"/>
    </row>
    <row r="18" spans="1:10" x14ac:dyDescent="0.2">
      <c r="A18" s="353"/>
      <c r="B18" s="45" t="str">
        <f>DFIE!$B38</f>
        <v>Freiburg</v>
      </c>
      <c r="C18" s="46">
        <v>7448.4979999999996</v>
      </c>
      <c r="D18" s="46">
        <v>2740.5097999999998</v>
      </c>
      <c r="E18" s="22">
        <f t="shared" si="0"/>
        <v>-4707.9881999999998</v>
      </c>
      <c r="F18" s="46">
        <v>485274.16416867502</v>
      </c>
      <c r="G18" s="155">
        <f>IF(DFIE!$G$2=2008,"",NP!E18+QS!AA18+JP!E18)</f>
        <v>7379736.616105875</v>
      </c>
      <c r="H18" s="156">
        <f>IF(DFIE!$G$2=2008,"",G18/F18)</f>
        <v>15.207355266374275</v>
      </c>
      <c r="I18" s="22">
        <f>IF(DFIE!$G$2=2008,0,E18*H18)</f>
        <v>-71596.049147297948</v>
      </c>
      <c r="J18" s="54"/>
    </row>
    <row r="19" spans="1:10" x14ac:dyDescent="0.2">
      <c r="A19" s="353"/>
      <c r="B19" s="63" t="str">
        <f>DFIE!$B39</f>
        <v>Solothurn</v>
      </c>
      <c r="C19" s="33">
        <v>6200.0083999999997</v>
      </c>
      <c r="D19" s="33">
        <v>2171.4476500000001</v>
      </c>
      <c r="E19" s="29">
        <f t="shared" si="0"/>
        <v>-4028.5607499999996</v>
      </c>
      <c r="F19" s="33">
        <v>309328.317927711</v>
      </c>
      <c r="G19" s="73">
        <f>IF(DFIE!$G$2=2008,"",NP!E19+QS!AA19+JP!E19)</f>
        <v>6020615.2403087337</v>
      </c>
      <c r="H19" s="151">
        <f>IF(DFIE!$G$2=2008,"",G19/F19)</f>
        <v>19.463511393469417</v>
      </c>
      <c r="I19" s="29">
        <f>IF(DFIE!$G$2=2008,0,E19*H19)</f>
        <v>-78409.938056908693</v>
      </c>
      <c r="J19" s="54"/>
    </row>
    <row r="20" spans="1:10" x14ac:dyDescent="0.2">
      <c r="A20" s="353"/>
      <c r="B20" s="45" t="str">
        <f>DFIE!$B40</f>
        <v>Basel-Stadt</v>
      </c>
      <c r="C20" s="46">
        <v>6182.3661000000002</v>
      </c>
      <c r="D20" s="46">
        <v>5015.3685999999998</v>
      </c>
      <c r="E20" s="22">
        <f t="shared" si="0"/>
        <v>-1166.9975000000004</v>
      </c>
      <c r="F20" s="46">
        <v>1049530.94679518</v>
      </c>
      <c r="G20" s="155">
        <f>IF(DFIE!$G$2=2008,"",NP!E20+QS!AA20+JP!E20)</f>
        <v>8709968.4515765067</v>
      </c>
      <c r="H20" s="156">
        <f>IF(DFIE!$G$2=2008,"",G20/F20)</f>
        <v>8.2989153184792084</v>
      </c>
      <c r="I20" s="22">
        <f>IF(DFIE!$G$2=2008,0,E20*H20)</f>
        <v>-9684.8134293769435</v>
      </c>
      <c r="J20" s="54"/>
    </row>
    <row r="21" spans="1:10" x14ac:dyDescent="0.2">
      <c r="A21" s="353"/>
      <c r="B21" s="63" t="str">
        <f>DFIE!$B41</f>
        <v>Basel-Landschaft</v>
      </c>
      <c r="C21" s="33">
        <v>4435.8628500000004</v>
      </c>
      <c r="D21" s="33">
        <v>2539.0239000000001</v>
      </c>
      <c r="E21" s="29">
        <f t="shared" si="0"/>
        <v>-1896.8389500000003</v>
      </c>
      <c r="F21" s="33">
        <v>572554.21686746995</v>
      </c>
      <c r="G21" s="73">
        <f>IF(DFIE!$G$2=2008,"",NP!E21+QS!AA21+JP!E21)</f>
        <v>8326096.8365985602</v>
      </c>
      <c r="H21" s="151">
        <f>IF(DFIE!$G$2=2008,"",G21/F21)</f>
        <v>14.54202342994151</v>
      </c>
      <c r="I21" s="29">
        <f>IF(DFIE!$G$2=2008,0,E21*H21)</f>
        <v>-27583.876453725657</v>
      </c>
      <c r="J21" s="54"/>
    </row>
    <row r="22" spans="1:10" x14ac:dyDescent="0.2">
      <c r="A22" s="353"/>
      <c r="B22" s="45" t="str">
        <f>DFIE!$B42</f>
        <v>Schaffhausen</v>
      </c>
      <c r="C22" s="46">
        <v>616.32375000000002</v>
      </c>
      <c r="D22" s="46">
        <v>1479.8823500000001</v>
      </c>
      <c r="E22" s="22">
        <f t="shared" si="0"/>
        <v>863.55860000000007</v>
      </c>
      <c r="F22" s="46">
        <v>253405.374939759</v>
      </c>
      <c r="G22" s="155">
        <f>IF(DFIE!$G$2=2008,"",NP!E22+QS!AA22+JP!E22)</f>
        <v>2197366.1152884276</v>
      </c>
      <c r="H22" s="156">
        <f>IF(DFIE!$G$2=2008,"",G22/F22)</f>
        <v>8.6713477005402826</v>
      </c>
      <c r="I22" s="22">
        <f>IF(DFIE!$G$2=2008,0,E22*H22)</f>
        <v>7488.2168803917866</v>
      </c>
      <c r="J22" s="54"/>
    </row>
    <row r="23" spans="1:10" x14ac:dyDescent="0.2">
      <c r="A23" s="353"/>
      <c r="B23" s="63" t="str">
        <f>DFIE!$B43</f>
        <v>Appenzell A.Rh.</v>
      </c>
      <c r="C23" s="33">
        <v>837.49855000000002</v>
      </c>
      <c r="D23" s="33">
        <v>394.51625000000001</v>
      </c>
      <c r="E23" s="29">
        <f t="shared" si="0"/>
        <v>-442.98230000000001</v>
      </c>
      <c r="F23" s="33">
        <v>76435.524325301201</v>
      </c>
      <c r="G23" s="73">
        <f>IF(DFIE!$G$2=2008,"",NP!E23+QS!AA23+JP!E23)</f>
        <v>1325070.1031306186</v>
      </c>
      <c r="H23" s="151">
        <f>IF(DFIE!$G$2=2008,"",G23/F23)</f>
        <v>17.335788755648036</v>
      </c>
      <c r="I23" s="29">
        <f>IF(DFIE!$G$2=2008,0,E23*H23)</f>
        <v>-7679.4475752911048</v>
      </c>
      <c r="J23" s="54"/>
    </row>
    <row r="24" spans="1:10" x14ac:dyDescent="0.2">
      <c r="A24" s="353"/>
      <c r="B24" s="45" t="str">
        <f>DFIE!$B44</f>
        <v>Appenzell I.Rh.</v>
      </c>
      <c r="C24" s="46">
        <v>208.98</v>
      </c>
      <c r="D24" s="46">
        <v>186.05375000000001</v>
      </c>
      <c r="E24" s="22">
        <f t="shared" si="0"/>
        <v>-22.926249999999982</v>
      </c>
      <c r="F24" s="46">
        <v>31423.215120481898</v>
      </c>
      <c r="G24" s="155">
        <f>IF(DFIE!$G$2=2008,"",NP!E24+QS!AA24+JP!E24)</f>
        <v>376285.32292654406</v>
      </c>
      <c r="H24" s="156">
        <f>IF(DFIE!$G$2=2008,"",G24/F24)</f>
        <v>11.974755653863005</v>
      </c>
      <c r="I24" s="22">
        <f>IF(DFIE!$G$2=2008,0,E24*H24)</f>
        <v>-274.53624180937652</v>
      </c>
      <c r="J24" s="54"/>
    </row>
    <row r="25" spans="1:10" x14ac:dyDescent="0.2">
      <c r="A25" s="353"/>
      <c r="B25" s="63" t="str">
        <f>DFIE!$B45</f>
        <v>St. Gallen</v>
      </c>
      <c r="C25" s="33">
        <v>7137.1666500000001</v>
      </c>
      <c r="D25" s="33">
        <v>5592.0103499999996</v>
      </c>
      <c r="E25" s="29">
        <f t="shared" si="0"/>
        <v>-1545.1563000000006</v>
      </c>
      <c r="F25" s="33">
        <v>670910.11330120498</v>
      </c>
      <c r="G25" s="73">
        <f>IF(DFIE!$G$2=2008,"",NP!E25+QS!AA25+JP!E25)</f>
        <v>11414744.8521544</v>
      </c>
      <c r="H25" s="151">
        <f>IF(DFIE!$G$2=2008,"",G25/F25)</f>
        <v>17.013821413405573</v>
      </c>
      <c r="I25" s="29">
        <f>IF(DFIE!$G$2=2008,0,E25*H25)</f>
        <v>-26289.013343998537</v>
      </c>
      <c r="J25" s="54"/>
    </row>
    <row r="26" spans="1:10" x14ac:dyDescent="0.2">
      <c r="A26" s="353"/>
      <c r="B26" s="45" t="str">
        <f>DFIE!$B46</f>
        <v>Graubünden</v>
      </c>
      <c r="C26" s="46">
        <v>853.40599999999995</v>
      </c>
      <c r="D26" s="46">
        <v>5410.9247999999998</v>
      </c>
      <c r="E26" s="22">
        <f t="shared" si="0"/>
        <v>4557.5187999999998</v>
      </c>
      <c r="F26" s="46">
        <v>261008.173566265</v>
      </c>
      <c r="G26" s="155">
        <f>IF(DFIE!$G$2=2008,"",NP!E26+QS!AA26+JP!E26)</f>
        <v>4661535.0226225425</v>
      </c>
      <c r="H26" s="156">
        <f>IF(DFIE!$G$2=2008,"",G26/F26)</f>
        <v>17.859728141575104</v>
      </c>
      <c r="I26" s="22">
        <f>IF(DFIE!$G$2=2008,0,E26*H26)</f>
        <v>81396.046768117594</v>
      </c>
      <c r="J26" s="54"/>
    </row>
    <row r="27" spans="1:10" x14ac:dyDescent="0.2">
      <c r="A27" s="353"/>
      <c r="B27" s="63" t="str">
        <f>DFIE!$B47</f>
        <v>Aargau</v>
      </c>
      <c r="C27" s="33">
        <v>7895.5695500000002</v>
      </c>
      <c r="D27" s="33">
        <v>6734.6000999999997</v>
      </c>
      <c r="E27" s="29">
        <f t="shared" si="0"/>
        <v>-1160.9694500000005</v>
      </c>
      <c r="F27" s="33">
        <v>899062.02289156604</v>
      </c>
      <c r="G27" s="73">
        <f>IF(DFIE!$G$2=2008,"",NP!E27+QS!AA27+JP!E27)</f>
        <v>16487103.811637001</v>
      </c>
      <c r="H27" s="151">
        <f>IF(DFIE!$G$2=2008,"",G27/F27)</f>
        <v>18.338116160897474</v>
      </c>
      <c r="I27" s="29">
        <f>IF(DFIE!$G$2=2008,0,E27*H27)</f>
        <v>-21289.99263335326</v>
      </c>
      <c r="J27" s="54"/>
    </row>
    <row r="28" spans="1:10" x14ac:dyDescent="0.2">
      <c r="A28" s="353"/>
      <c r="B28" s="45" t="str">
        <f>DFIE!$B48</f>
        <v>Thurgau</v>
      </c>
      <c r="C28" s="46">
        <v>1598.64</v>
      </c>
      <c r="D28" s="46">
        <v>2947.2078999999999</v>
      </c>
      <c r="E28" s="22">
        <f t="shared" si="0"/>
        <v>1348.5678999999998</v>
      </c>
      <c r="F28" s="46">
        <v>316059.53512048197</v>
      </c>
      <c r="G28" s="155">
        <f>IF(DFIE!$G$2=2008,"",NP!E28+QS!AA28+JP!E28)</f>
        <v>6166406.3208473194</v>
      </c>
      <c r="H28" s="156">
        <f>IF(DFIE!$G$2=2008,"",G28/F28)</f>
        <v>19.510268274287892</v>
      </c>
      <c r="I28" s="22">
        <f>IF(DFIE!$G$2=2008,0,E28*H28)</f>
        <v>26310.921515093043</v>
      </c>
      <c r="J28" s="54"/>
    </row>
    <row r="29" spans="1:10" x14ac:dyDescent="0.2">
      <c r="A29" s="353"/>
      <c r="B29" s="63" t="str">
        <f>DFIE!$B49</f>
        <v>Tessin</v>
      </c>
      <c r="C29" s="33">
        <v>1986.421</v>
      </c>
      <c r="D29" s="33">
        <v>6586.7147500000001</v>
      </c>
      <c r="E29" s="29">
        <f t="shared" si="0"/>
        <v>4600.2937499999998</v>
      </c>
      <c r="F29" s="33">
        <v>615211.57542168698</v>
      </c>
      <c r="G29" s="73">
        <f>IF(DFIE!$G$2=2008,"",NP!E29+QS!AA29+JP!E29)</f>
        <v>10324165.448401019</v>
      </c>
      <c r="H29" s="151">
        <f>IF(DFIE!$G$2=2008,"",G29/F29)</f>
        <v>16.781487639149969</v>
      </c>
      <c r="I29" s="29">
        <f>IF(DFIE!$G$2=2008,0,E29*H29)</f>
        <v>77199.77270208385</v>
      </c>
      <c r="J29" s="54"/>
    </row>
    <row r="30" spans="1:10" x14ac:dyDescent="0.2">
      <c r="A30" s="353"/>
      <c r="B30" s="45" t="str">
        <f>DFIE!$B50</f>
        <v>Waadt</v>
      </c>
      <c r="C30" s="46">
        <v>16883.565750000002</v>
      </c>
      <c r="D30" s="46">
        <v>8972.2799500000001</v>
      </c>
      <c r="E30" s="22">
        <f t="shared" si="0"/>
        <v>-7911.2858000000015</v>
      </c>
      <c r="F30" s="46">
        <v>2214161.8005373501</v>
      </c>
      <c r="G30" s="155">
        <f>IF(DFIE!$G$2=2008,"",NP!E30+QS!AA30+JP!E30)</f>
        <v>22561528.153095387</v>
      </c>
      <c r="H30" s="156">
        <f>IF(DFIE!$G$2=2008,"",G30/F30)</f>
        <v>10.189647453776855</v>
      </c>
      <c r="I30" s="22">
        <f>IF(DFIE!$G$2=2008,0,E30*H30)</f>
        <v>-80613.213208071</v>
      </c>
      <c r="J30" s="54"/>
    </row>
    <row r="31" spans="1:10" x14ac:dyDescent="0.2">
      <c r="A31" s="353"/>
      <c r="B31" s="63" t="str">
        <f>DFIE!$B51</f>
        <v>Wallis</v>
      </c>
      <c r="C31" s="33">
        <v>1962.961</v>
      </c>
      <c r="D31" s="33">
        <v>7104.6723529999999</v>
      </c>
      <c r="E31" s="29">
        <f t="shared" si="0"/>
        <v>5141.7113529999997</v>
      </c>
      <c r="F31" s="33">
        <v>328241.86289156601</v>
      </c>
      <c r="G31" s="73">
        <f>IF(DFIE!$G$2=2008,"",NP!E31+QS!AA31+JP!E31)</f>
        <v>6682341.9178802008</v>
      </c>
      <c r="H31" s="151">
        <f>IF(DFIE!$G$2=2008,"",G31/F31)</f>
        <v>20.357981943600223</v>
      </c>
      <c r="I31" s="29">
        <f>IF(DFIE!$G$2=2008,0,E31*H31)</f>
        <v>104674.86688357826</v>
      </c>
      <c r="J31" s="54"/>
    </row>
    <row r="32" spans="1:10" x14ac:dyDescent="0.2">
      <c r="A32" s="353"/>
      <c r="B32" s="45" t="str">
        <f>DFIE!$B52</f>
        <v>Neuenburg</v>
      </c>
      <c r="C32" s="46">
        <v>623.476</v>
      </c>
      <c r="D32" s="46">
        <v>7543.9022999999997</v>
      </c>
      <c r="E32" s="22">
        <f t="shared" si="0"/>
        <v>6920.4263000000001</v>
      </c>
      <c r="F32" s="46">
        <v>428792.60012048198</v>
      </c>
      <c r="G32" s="155">
        <f>IF(DFIE!$G$2=2008,"",NP!E32+QS!AA32+JP!E32)</f>
        <v>5807218.0041048732</v>
      </c>
      <c r="H32" s="156">
        <f>IF(DFIE!$G$2=2008,"",G32/F32)</f>
        <v>13.543186152170451</v>
      </c>
      <c r="I32" s="22">
        <f>IF(DFIE!$G$2=2008,0,E32*H32)</f>
        <v>93724.621633276198</v>
      </c>
      <c r="J32" s="54"/>
    </row>
    <row r="33" spans="1:10" x14ac:dyDescent="0.2">
      <c r="A33" s="353"/>
      <c r="B33" s="63" t="str">
        <f>DFIE!$B53</f>
        <v>Genf</v>
      </c>
      <c r="C33" s="33">
        <v>3121.6959029999998</v>
      </c>
      <c r="D33" s="33">
        <v>19434.352350000001</v>
      </c>
      <c r="E33" s="29">
        <f t="shared" si="0"/>
        <v>16312.656447000001</v>
      </c>
      <c r="F33" s="33">
        <v>2202370.8519518101</v>
      </c>
      <c r="G33" s="73">
        <f>IF(DFIE!$G$2=2008,"",NP!E33+QS!AA33+JP!E33)</f>
        <v>20248417.745419975</v>
      </c>
      <c r="H33" s="151">
        <f>IF(DFIE!$G$2=2008,"",G33/F33)</f>
        <v>9.193918330091952</v>
      </c>
      <c r="I33" s="29">
        <f>IF(DFIE!$G$2=2008,0,E33*H33)</f>
        <v>149977.23112056596</v>
      </c>
      <c r="J33" s="54"/>
    </row>
    <row r="34" spans="1:10" x14ac:dyDescent="0.2">
      <c r="A34" s="353"/>
      <c r="B34" s="45" t="str">
        <f>DFIE!$B54</f>
        <v>Jura</v>
      </c>
      <c r="C34" s="46">
        <v>362.12200000000001</v>
      </c>
      <c r="D34" s="46">
        <v>1008.79</v>
      </c>
      <c r="E34" s="22">
        <f t="shared" si="0"/>
        <v>646.66799999999989</v>
      </c>
      <c r="F34" s="46">
        <v>80331.764578313305</v>
      </c>
      <c r="G34" s="155">
        <f>IF(DFIE!$G$2=2008,"",NP!E34+QS!AA34+JP!E34)</f>
        <v>1437367.1922637844</v>
      </c>
      <c r="H34" s="156">
        <f>IF(DFIE!$G$2=2008,"",G34/F34)</f>
        <v>17.892887076600108</v>
      </c>
      <c r="I34" s="22">
        <f>IF(DFIE!$G$2=2008,0,E34*H34)</f>
        <v>11570.757500050837</v>
      </c>
      <c r="J34" s="54"/>
    </row>
    <row r="35" spans="1:10" x14ac:dyDescent="0.2">
      <c r="A35" s="353"/>
      <c r="B35" s="28" t="str">
        <f>DFIE!$B55</f>
        <v>Schweiz</v>
      </c>
      <c r="C35" s="32">
        <f>SUM(C9:C34)</f>
        <v>119969.96800300002</v>
      </c>
      <c r="D35" s="32">
        <f>SUM(D9:D34)</f>
        <v>119969.96800299999</v>
      </c>
      <c r="E35" s="30">
        <f>ROUND(SUM(E9:E34),5)</f>
        <v>0</v>
      </c>
      <c r="F35" s="32">
        <f>SUM(F9:F34)</f>
        <v>18503738.261392768</v>
      </c>
      <c r="G35" s="32">
        <f>SUM(G9:G34)</f>
        <v>244179561.09691134</v>
      </c>
      <c r="H35" s="152">
        <f>IF(DFIE!$G$2=2008,"",G35/F35)</f>
        <v>13.196228656475389</v>
      </c>
      <c r="I35" s="30">
        <f>SUM(I9:I34)</f>
        <v>-14840.519314409714</v>
      </c>
      <c r="J35" s="55"/>
    </row>
    <row r="36" spans="1:10" ht="15" customHeight="1" x14ac:dyDescent="0.25">
      <c r="A36" s="35"/>
      <c r="C36" s="47"/>
      <c r="D36" s="47"/>
      <c r="E36" s="47"/>
      <c r="F36" s="47"/>
      <c r="G36" s="47"/>
      <c r="H36" s="34"/>
      <c r="I36" s="47"/>
    </row>
    <row r="37" spans="1:10" x14ac:dyDescent="0.2">
      <c r="A37" s="354" t="str">
        <f>DFIE!B71</f>
        <v>Bemessungsjahr 2014</v>
      </c>
      <c r="B37" s="64" t="str">
        <f>DFIE!$B29</f>
        <v>Zürich</v>
      </c>
      <c r="C37" s="65">
        <v>25752.072</v>
      </c>
      <c r="D37" s="65">
        <v>21215.290400000002</v>
      </c>
      <c r="E37" s="31">
        <f t="shared" ref="E37:E62" si="1">D37-C37</f>
        <v>-4536.7815999999984</v>
      </c>
      <c r="F37" s="65">
        <v>3622894.8596626502</v>
      </c>
      <c r="G37" s="150">
        <f>NP!E37+QS!AA37+JP!E37</f>
        <v>54278442.931691661</v>
      </c>
      <c r="H37" s="153">
        <f t="shared" ref="H37:H63" si="2">G37/F37</f>
        <v>14.982064076997768</v>
      </c>
      <c r="I37" s="31">
        <f t="shared" ref="I37:I62" si="3">E37*H37</f>
        <v>-67970.352634544426</v>
      </c>
      <c r="J37" s="56"/>
    </row>
    <row r="38" spans="1:10" x14ac:dyDescent="0.2">
      <c r="A38" s="354"/>
      <c r="B38" s="45" t="str">
        <f>DFIE!$B30</f>
        <v>Bern</v>
      </c>
      <c r="C38" s="46">
        <v>28517.473000000002</v>
      </c>
      <c r="D38" s="46">
        <v>10065.228450000001</v>
      </c>
      <c r="E38" s="22">
        <f t="shared" si="1"/>
        <v>-18452.244550000003</v>
      </c>
      <c r="F38" s="46">
        <v>1372104.5859638599</v>
      </c>
      <c r="G38" s="155">
        <f>NP!E38+QS!AA38+JP!E38</f>
        <v>23732586.862834994</v>
      </c>
      <c r="H38" s="156">
        <f t="shared" si="2"/>
        <v>17.296485344929888</v>
      </c>
      <c r="I38" s="22">
        <f t="shared" si="3"/>
        <v>-319158.97744013747</v>
      </c>
      <c r="J38" s="56"/>
    </row>
    <row r="39" spans="1:10" x14ac:dyDescent="0.2">
      <c r="A39" s="354"/>
      <c r="B39" s="63" t="str">
        <f>DFIE!$B31</f>
        <v>Luzern</v>
      </c>
      <c r="C39" s="33">
        <v>7005.2849999999999</v>
      </c>
      <c r="D39" s="33">
        <v>4489.8761500000001</v>
      </c>
      <c r="E39" s="29">
        <f t="shared" si="1"/>
        <v>-2515.4088499999998</v>
      </c>
      <c r="F39" s="33">
        <v>749211.71632530098</v>
      </c>
      <c r="G39" s="73">
        <f>NP!E39+QS!AA39+JP!E39</f>
        <v>10681775.508778404</v>
      </c>
      <c r="H39" s="151">
        <f t="shared" si="2"/>
        <v>14.257352462625496</v>
      </c>
      <c r="I39" s="29">
        <f t="shared" si="3"/>
        <v>-35863.070562057466</v>
      </c>
      <c r="J39" s="56"/>
    </row>
    <row r="40" spans="1:10" x14ac:dyDescent="0.2">
      <c r="A40" s="354"/>
      <c r="B40" s="45" t="str">
        <f>DFIE!$B32</f>
        <v>Uri</v>
      </c>
      <c r="C40" s="46">
        <v>213.45085</v>
      </c>
      <c r="D40" s="46">
        <v>310.43745000000001</v>
      </c>
      <c r="E40" s="22">
        <f t="shared" si="1"/>
        <v>96.98660000000001</v>
      </c>
      <c r="F40" s="46">
        <v>39622.962349397603</v>
      </c>
      <c r="G40" s="155">
        <f>NP!E40+QS!AA40+JP!E40</f>
        <v>744135.77433049993</v>
      </c>
      <c r="H40" s="156">
        <f t="shared" si="2"/>
        <v>18.780417470270574</v>
      </c>
      <c r="I40" s="22">
        <f t="shared" si="3"/>
        <v>1821.4488370221443</v>
      </c>
      <c r="J40" s="56"/>
    </row>
    <row r="41" spans="1:10" x14ac:dyDescent="0.2">
      <c r="A41" s="354"/>
      <c r="B41" s="63" t="str">
        <f>DFIE!$B33</f>
        <v>Schwyz</v>
      </c>
      <c r="C41" s="33">
        <v>1659.3163999999999</v>
      </c>
      <c r="D41" s="33">
        <v>1499.9052999999999</v>
      </c>
      <c r="E41" s="29">
        <f t="shared" si="1"/>
        <v>-159.41110000000003</v>
      </c>
      <c r="F41" s="33">
        <v>617645.94114457804</v>
      </c>
      <c r="G41" s="73">
        <f>NP!E41+QS!AA41+JP!E41</f>
        <v>8055227.8415322937</v>
      </c>
      <c r="H41" s="151">
        <f t="shared" si="2"/>
        <v>13.041821057878098</v>
      </c>
      <c r="I41" s="29">
        <f t="shared" si="3"/>
        <v>-2079.0110408395117</v>
      </c>
      <c r="J41" s="56"/>
    </row>
    <row r="42" spans="1:10" x14ac:dyDescent="0.2">
      <c r="A42" s="354"/>
      <c r="B42" s="45" t="str">
        <f>DFIE!$B34</f>
        <v>Obwalden</v>
      </c>
      <c r="C42" s="46">
        <v>390.46215000000001</v>
      </c>
      <c r="D42" s="46">
        <v>500.77109999999999</v>
      </c>
      <c r="E42" s="22">
        <f t="shared" si="1"/>
        <v>110.30894999999998</v>
      </c>
      <c r="F42" s="46">
        <v>90060.390614457807</v>
      </c>
      <c r="G42" s="155">
        <f>NP!E42+QS!AA42+JP!E42</f>
        <v>1060055.050834174</v>
      </c>
      <c r="H42" s="156">
        <f t="shared" si="2"/>
        <v>11.770491373640551</v>
      </c>
      <c r="I42" s="22">
        <f t="shared" si="3"/>
        <v>1298.3905444103466</v>
      </c>
      <c r="J42" s="56"/>
    </row>
    <row r="43" spans="1:10" x14ac:dyDescent="0.2">
      <c r="A43" s="354"/>
      <c r="B43" s="63" t="str">
        <f>DFIE!$B35</f>
        <v>Nidwalden</v>
      </c>
      <c r="C43" s="33">
        <v>938.89700000000005</v>
      </c>
      <c r="D43" s="33">
        <v>2348.4290500000002</v>
      </c>
      <c r="E43" s="29">
        <f t="shared" si="1"/>
        <v>1409.5320500000003</v>
      </c>
      <c r="F43" s="33">
        <v>173926.98554216899</v>
      </c>
      <c r="G43" s="73">
        <f>NP!E43+QS!AA43+JP!E43</f>
        <v>1982396.5980706897</v>
      </c>
      <c r="H43" s="151">
        <f t="shared" si="2"/>
        <v>11.397866707636656</v>
      </c>
      <c r="I43" s="29">
        <f t="shared" si="3"/>
        <v>16065.658426041849</v>
      </c>
      <c r="J43" s="56"/>
    </row>
    <row r="44" spans="1:10" x14ac:dyDescent="0.2">
      <c r="A44" s="354"/>
      <c r="B44" s="45" t="str">
        <f>DFIE!$B36</f>
        <v>Glarus</v>
      </c>
      <c r="C44" s="46">
        <v>301.39999999999998</v>
      </c>
      <c r="D44" s="46">
        <v>423.36855000000003</v>
      </c>
      <c r="E44" s="22">
        <f t="shared" si="1"/>
        <v>121.96855000000005</v>
      </c>
      <c r="F44" s="46">
        <v>46771.862710843401</v>
      </c>
      <c r="G44" s="155">
        <f>NP!E44+QS!AA44+JP!E44</f>
        <v>843787.45938207686</v>
      </c>
      <c r="H44" s="156">
        <f t="shared" si="2"/>
        <v>18.040492947621189</v>
      </c>
      <c r="I44" s="22">
        <f t="shared" si="3"/>
        <v>2200.3727661065832</v>
      </c>
      <c r="J44" s="56"/>
    </row>
    <row r="45" spans="1:10" x14ac:dyDescent="0.2">
      <c r="A45" s="354"/>
      <c r="B45" s="63" t="str">
        <f>DFIE!$B37</f>
        <v>Zug</v>
      </c>
      <c r="C45" s="33">
        <v>2904.277</v>
      </c>
      <c r="D45" s="33">
        <v>7214.6156499999997</v>
      </c>
      <c r="E45" s="29">
        <f t="shared" si="1"/>
        <v>4310.3386499999997</v>
      </c>
      <c r="F45" s="33">
        <v>1324185.4346626501</v>
      </c>
      <c r="G45" s="73">
        <f>NP!E45+QS!AA45+JP!E45</f>
        <v>8901244.0632375181</v>
      </c>
      <c r="H45" s="151">
        <f t="shared" si="2"/>
        <v>6.7220525390427674</v>
      </c>
      <c r="I45" s="29">
        <f t="shared" si="3"/>
        <v>28974.322866366674</v>
      </c>
      <c r="J45" s="56"/>
    </row>
    <row r="46" spans="1:10" x14ac:dyDescent="0.2">
      <c r="A46" s="354"/>
      <c r="B46" s="45" t="str">
        <f>DFIE!$B38</f>
        <v>Freiburg</v>
      </c>
      <c r="C46" s="46">
        <v>8418.2819999999992</v>
      </c>
      <c r="D46" s="46">
        <v>3061.78125</v>
      </c>
      <c r="E46" s="22">
        <f t="shared" si="1"/>
        <v>-5356.5007499999992</v>
      </c>
      <c r="F46" s="46">
        <v>541780.82587951794</v>
      </c>
      <c r="G46" s="155">
        <f>NP!E46+QS!AA46+JP!E46</f>
        <v>7894769.327450363</v>
      </c>
      <c r="H46" s="156">
        <f t="shared" si="2"/>
        <v>14.571887653340493</v>
      </c>
      <c r="I46" s="22">
        <f t="shared" si="3"/>
        <v>-78054.327144034076</v>
      </c>
      <c r="J46" s="56"/>
    </row>
    <row r="47" spans="1:10" x14ac:dyDescent="0.2">
      <c r="A47" s="354"/>
      <c r="B47" s="63" t="str">
        <f>DFIE!$B39</f>
        <v>Solothurn</v>
      </c>
      <c r="C47" s="33">
        <v>5213.2683999999999</v>
      </c>
      <c r="D47" s="33">
        <v>4157.6836999999996</v>
      </c>
      <c r="E47" s="29">
        <f t="shared" si="1"/>
        <v>-1055.5847000000003</v>
      </c>
      <c r="F47" s="33">
        <v>338780.71007228899</v>
      </c>
      <c r="G47" s="73">
        <f>NP!E47+QS!AA47+JP!E47</f>
        <v>6262955.3709218819</v>
      </c>
      <c r="H47" s="151">
        <f t="shared" si="2"/>
        <v>18.486753184930432</v>
      </c>
      <c r="I47" s="29">
        <f t="shared" si="3"/>
        <v>-19514.333814688842</v>
      </c>
      <c r="J47" s="56"/>
    </row>
    <row r="48" spans="1:10" x14ac:dyDescent="0.2">
      <c r="A48" s="354"/>
      <c r="B48" s="45" t="str">
        <f>DFIE!$B40</f>
        <v>Basel-Stadt</v>
      </c>
      <c r="C48" s="46">
        <v>7835.8344999999999</v>
      </c>
      <c r="D48" s="46">
        <v>5165.1495500000001</v>
      </c>
      <c r="E48" s="22">
        <f t="shared" si="1"/>
        <v>-2670.6849499999998</v>
      </c>
      <c r="F48" s="46">
        <v>866632.51542168704</v>
      </c>
      <c r="G48" s="155">
        <f>NP!E48+QS!AA48+JP!E48</f>
        <v>8990895.8445151765</v>
      </c>
      <c r="H48" s="156">
        <f t="shared" si="2"/>
        <v>10.374519400694741</v>
      </c>
      <c r="I48" s="22">
        <f t="shared" si="3"/>
        <v>-27707.072826918462</v>
      </c>
      <c r="J48" s="56"/>
    </row>
    <row r="49" spans="1:10" x14ac:dyDescent="0.2">
      <c r="A49" s="354"/>
      <c r="B49" s="63" t="str">
        <f>DFIE!$B41</f>
        <v>Basel-Landschaft</v>
      </c>
      <c r="C49" s="33">
        <v>3344.6846500000001</v>
      </c>
      <c r="D49" s="33">
        <v>3501.0572999999999</v>
      </c>
      <c r="E49" s="29">
        <f t="shared" si="1"/>
        <v>156.37264999999979</v>
      </c>
      <c r="F49" s="33">
        <v>495542.16867469897</v>
      </c>
      <c r="G49" s="73">
        <f>NP!E49+QS!AA49+JP!E49</f>
        <v>8535386.3682320248</v>
      </c>
      <c r="H49" s="151">
        <f t="shared" si="2"/>
        <v>17.22433913355842</v>
      </c>
      <c r="I49" s="29">
        <f t="shared" si="3"/>
        <v>2693.4155548132303</v>
      </c>
      <c r="J49" s="56"/>
    </row>
    <row r="50" spans="1:10" x14ac:dyDescent="0.2">
      <c r="A50" s="354"/>
      <c r="B50" s="45" t="str">
        <f>DFIE!$B42</f>
        <v>Schaffhausen</v>
      </c>
      <c r="C50" s="46">
        <v>612.94565</v>
      </c>
      <c r="D50" s="46">
        <v>2054.2819</v>
      </c>
      <c r="E50" s="22">
        <f t="shared" si="1"/>
        <v>1441.3362499999998</v>
      </c>
      <c r="F50" s="46">
        <v>249976.40174698801</v>
      </c>
      <c r="G50" s="155">
        <f>NP!E50+QS!AA50+JP!E50</f>
        <v>2264927.8472988252</v>
      </c>
      <c r="H50" s="156">
        <f t="shared" si="2"/>
        <v>9.0605666433716294</v>
      </c>
      <c r="I50" s="22">
        <f t="shared" si="3"/>
        <v>13059.323148632349</v>
      </c>
      <c r="J50" s="56"/>
    </row>
    <row r="51" spans="1:10" x14ac:dyDescent="0.2">
      <c r="A51" s="354"/>
      <c r="B51" s="63" t="str">
        <f>DFIE!$B43</f>
        <v>Appenzell A.Rh.</v>
      </c>
      <c r="C51" s="33">
        <v>834.97964999999999</v>
      </c>
      <c r="D51" s="33">
        <v>914.89869999999996</v>
      </c>
      <c r="E51" s="29">
        <f t="shared" si="1"/>
        <v>79.91904999999997</v>
      </c>
      <c r="F51" s="33">
        <v>86835.998795180698</v>
      </c>
      <c r="G51" s="73">
        <f>NP!E51+QS!AA51+JP!E51</f>
        <v>1369544.3113155761</v>
      </c>
      <c r="H51" s="151">
        <f t="shared" si="2"/>
        <v>15.771619262950013</v>
      </c>
      <c r="I51" s="29">
        <f t="shared" si="3"/>
        <v>1260.4528284566647</v>
      </c>
      <c r="J51" s="56"/>
    </row>
    <row r="52" spans="1:10" x14ac:dyDescent="0.2">
      <c r="A52" s="354"/>
      <c r="B52" s="45" t="str">
        <f>DFIE!$B44</f>
        <v>Appenzell I.Rh.</v>
      </c>
      <c r="C52" s="46">
        <v>118.60039999999999</v>
      </c>
      <c r="D52" s="46">
        <v>157.2338</v>
      </c>
      <c r="E52" s="22">
        <f t="shared" si="1"/>
        <v>38.633400000000009</v>
      </c>
      <c r="F52" s="46">
        <v>25397.5510843374</v>
      </c>
      <c r="G52" s="155">
        <f>NP!E52+QS!AA52+JP!E52</f>
        <v>392429.41826224653</v>
      </c>
      <c r="H52" s="156">
        <f t="shared" si="2"/>
        <v>15.451466834700321</v>
      </c>
      <c r="I52" s="22">
        <f t="shared" si="3"/>
        <v>596.94269881171158</v>
      </c>
      <c r="J52" s="56"/>
    </row>
    <row r="53" spans="1:10" x14ac:dyDescent="0.2">
      <c r="A53" s="354"/>
      <c r="B53" s="63" t="str">
        <f>DFIE!$B45</f>
        <v>St. Gallen</v>
      </c>
      <c r="C53" s="33">
        <v>3778.8195999999998</v>
      </c>
      <c r="D53" s="33">
        <v>8369.7978999999996</v>
      </c>
      <c r="E53" s="29">
        <f t="shared" si="1"/>
        <v>4590.9782999999998</v>
      </c>
      <c r="F53" s="33">
        <v>685270.95281927695</v>
      </c>
      <c r="G53" s="73">
        <f>NP!E53+QS!AA53+JP!E53</f>
        <v>11731735.481225502</v>
      </c>
      <c r="H53" s="151">
        <f t="shared" si="2"/>
        <v>17.119849357338005</v>
      </c>
      <c r="I53" s="29">
        <f t="shared" si="3"/>
        <v>78596.856898807717</v>
      </c>
      <c r="J53" s="56"/>
    </row>
    <row r="54" spans="1:10" x14ac:dyDescent="0.2">
      <c r="A54" s="354"/>
      <c r="B54" s="45" t="str">
        <f>DFIE!$B46</f>
        <v>Graubünden</v>
      </c>
      <c r="C54" s="46">
        <v>758.149</v>
      </c>
      <c r="D54" s="46">
        <v>6705.0093999999999</v>
      </c>
      <c r="E54" s="22">
        <f t="shared" si="1"/>
        <v>5946.8603999999996</v>
      </c>
      <c r="F54" s="46">
        <v>255001.28716867499</v>
      </c>
      <c r="G54" s="155">
        <f>NP!E54+QS!AA54+JP!E54</f>
        <v>4747666.7866804646</v>
      </c>
      <c r="H54" s="156">
        <f t="shared" si="2"/>
        <v>18.618207144735074</v>
      </c>
      <c r="I54" s="22">
        <f t="shared" si="3"/>
        <v>110719.87878802208</v>
      </c>
      <c r="J54" s="56"/>
    </row>
    <row r="55" spans="1:10" x14ac:dyDescent="0.2">
      <c r="A55" s="354"/>
      <c r="B55" s="63" t="str">
        <f>DFIE!$B47</f>
        <v>Aargau</v>
      </c>
      <c r="C55" s="33">
        <v>5892.5841499999997</v>
      </c>
      <c r="D55" s="33">
        <v>6212.5534500000003</v>
      </c>
      <c r="E55" s="29">
        <f t="shared" si="1"/>
        <v>319.96930000000066</v>
      </c>
      <c r="F55" s="33">
        <v>937726.77342168696</v>
      </c>
      <c r="G55" s="73">
        <f>NP!E55+QS!AA55+JP!E55</f>
        <v>16620807.296736496</v>
      </c>
      <c r="H55" s="151">
        <f t="shared" si="2"/>
        <v>17.724573690147029</v>
      </c>
      <c r="I55" s="29">
        <f t="shared" si="3"/>
        <v>5671.3194364347737</v>
      </c>
      <c r="J55" s="56"/>
    </row>
    <row r="56" spans="1:10" x14ac:dyDescent="0.2">
      <c r="A56" s="354"/>
      <c r="B56" s="45" t="str">
        <f>DFIE!$B48</f>
        <v>Thurgau</v>
      </c>
      <c r="C56" s="46">
        <v>2254.11</v>
      </c>
      <c r="D56" s="46">
        <v>2073.1303499999999</v>
      </c>
      <c r="E56" s="22">
        <f t="shared" si="1"/>
        <v>-180.97965000000022</v>
      </c>
      <c r="F56" s="46">
        <v>330945.71036144602</v>
      </c>
      <c r="G56" s="155">
        <f>NP!E56+QS!AA56+JP!E56</f>
        <v>6135289.7010654509</v>
      </c>
      <c r="H56" s="156">
        <f t="shared" si="2"/>
        <v>18.538659088116678</v>
      </c>
      <c r="I56" s="22">
        <f t="shared" si="3"/>
        <v>-3355.1200332366793</v>
      </c>
      <c r="J56" s="56"/>
    </row>
    <row r="57" spans="1:10" x14ac:dyDescent="0.2">
      <c r="A57" s="354"/>
      <c r="B57" s="63" t="str">
        <f>DFIE!$B49</f>
        <v>Tessin</v>
      </c>
      <c r="C57" s="33">
        <v>1914.4970000000001</v>
      </c>
      <c r="D57" s="33">
        <v>5573.5778499999997</v>
      </c>
      <c r="E57" s="29">
        <f t="shared" si="1"/>
        <v>3659.0808499999994</v>
      </c>
      <c r="F57" s="33">
        <v>643566.84931325295</v>
      </c>
      <c r="G57" s="73">
        <f>NP!E57+QS!AA57+JP!E57</f>
        <v>10494588.03872557</v>
      </c>
      <c r="H57" s="151">
        <f t="shared" si="2"/>
        <v>16.306912094562193</v>
      </c>
      <c r="I57" s="29">
        <f t="shared" si="3"/>
        <v>59668.309767845902</v>
      </c>
      <c r="J57" s="56"/>
    </row>
    <row r="58" spans="1:10" x14ac:dyDescent="0.2">
      <c r="A58" s="354"/>
      <c r="B58" s="45" t="str">
        <f>DFIE!$B50</f>
        <v>Waadt</v>
      </c>
      <c r="C58" s="46">
        <v>8501.9920000000002</v>
      </c>
      <c r="D58" s="46">
        <v>11460.8771</v>
      </c>
      <c r="E58" s="22">
        <f t="shared" si="1"/>
        <v>2958.8850999999995</v>
      </c>
      <c r="F58" s="46">
        <v>1892455.2729277101</v>
      </c>
      <c r="G58" s="155">
        <f>NP!E58+QS!AA58+JP!E58</f>
        <v>23325168.755944438</v>
      </c>
      <c r="H58" s="156">
        <f t="shared" si="2"/>
        <v>12.325347441294818</v>
      </c>
      <c r="I58" s="22">
        <f t="shared" si="3"/>
        <v>36469.286896370359</v>
      </c>
      <c r="J58" s="56"/>
    </row>
    <row r="59" spans="1:10" x14ac:dyDescent="0.2">
      <c r="A59" s="354"/>
      <c r="B59" s="63" t="str">
        <f>DFIE!$B51</f>
        <v>Wallis</v>
      </c>
      <c r="C59" s="33">
        <v>1305.0432499999999</v>
      </c>
      <c r="D59" s="33">
        <v>9783.7557500000003</v>
      </c>
      <c r="E59" s="29">
        <f t="shared" si="1"/>
        <v>8478.7124999999996</v>
      </c>
      <c r="F59" s="33">
        <v>336187.69728915702</v>
      </c>
      <c r="G59" s="73">
        <f>NP!E59+QS!AA59+JP!E59</f>
        <v>6606530.4640385611</v>
      </c>
      <c r="H59" s="151">
        <f t="shared" si="2"/>
        <v>19.65131537325783</v>
      </c>
      <c r="I59" s="29">
        <f t="shared" si="3"/>
        <v>166617.85329668332</v>
      </c>
      <c r="J59" s="56"/>
    </row>
    <row r="60" spans="1:10" x14ac:dyDescent="0.2">
      <c r="A60" s="354"/>
      <c r="B60" s="45" t="str">
        <f>DFIE!$B52</f>
        <v>Neuenburg</v>
      </c>
      <c r="C60" s="46">
        <v>4836.1589999999997</v>
      </c>
      <c r="D60" s="46">
        <v>3329.9479999999999</v>
      </c>
      <c r="E60" s="22">
        <f t="shared" si="1"/>
        <v>-1506.2109999999998</v>
      </c>
      <c r="F60" s="46">
        <v>430495.71495180699</v>
      </c>
      <c r="G60" s="155">
        <f>NP!E60+QS!AA60+JP!E60</f>
        <v>4825272.3024969418</v>
      </c>
      <c r="H60" s="156">
        <f t="shared" si="2"/>
        <v>11.208641886335895</v>
      </c>
      <c r="I60" s="22">
        <f t="shared" si="3"/>
        <v>-16882.579704259872</v>
      </c>
      <c r="J60" s="56"/>
    </row>
    <row r="61" spans="1:10" x14ac:dyDescent="0.2">
      <c r="A61" s="354"/>
      <c r="B61" s="63" t="str">
        <f>DFIE!$B53</f>
        <v>Genf</v>
      </c>
      <c r="C61" s="33">
        <v>6957.3090000000002</v>
      </c>
      <c r="D61" s="33">
        <v>8864.5457000000006</v>
      </c>
      <c r="E61" s="29">
        <f t="shared" si="1"/>
        <v>1907.2367000000004</v>
      </c>
      <c r="F61" s="33">
        <v>1894081.8916144599</v>
      </c>
      <c r="G61" s="73">
        <f>NP!E61+QS!AA61+JP!E61</f>
        <v>22886369.45118013</v>
      </c>
      <c r="H61" s="151">
        <f t="shared" si="2"/>
        <v>12.083093953066864</v>
      </c>
      <c r="I61" s="29">
        <f t="shared" si="3"/>
        <v>23045.320236837208</v>
      </c>
      <c r="J61" s="56"/>
    </row>
    <row r="62" spans="1:10" x14ac:dyDescent="0.2">
      <c r="A62" s="354"/>
      <c r="B62" s="45" t="str">
        <f>DFIE!$B54</f>
        <v>Jura</v>
      </c>
      <c r="C62" s="46">
        <v>431.702</v>
      </c>
      <c r="D62" s="46">
        <v>1238.38985</v>
      </c>
      <c r="E62" s="22">
        <f t="shared" si="1"/>
        <v>806.68785000000003</v>
      </c>
      <c r="F62" s="46">
        <v>88156.452289156601</v>
      </c>
      <c r="G62" s="155">
        <f>NP!E62+QS!AA62+JP!E62</f>
        <v>1512794.6136150509</v>
      </c>
      <c r="H62" s="156">
        <f t="shared" si="2"/>
        <v>17.160339082759656</v>
      </c>
      <c r="I62" s="22">
        <f t="shared" si="3"/>
        <v>13843.037039942359</v>
      </c>
      <c r="J62" s="56"/>
    </row>
    <row r="63" spans="1:10" x14ac:dyDescent="0.2">
      <c r="A63" s="354"/>
      <c r="B63" s="28" t="str">
        <f>DFIE!$B55</f>
        <v>Schweiz</v>
      </c>
      <c r="C63" s="32">
        <f>SUM(C37:C62)</f>
        <v>130691.59364999998</v>
      </c>
      <c r="D63" s="32">
        <f>SUM(D37:D62)</f>
        <v>130691.59365000002</v>
      </c>
      <c r="E63" s="154">
        <f>ROUND(SUM(E37:E62),5)</f>
        <v>0</v>
      </c>
      <c r="F63" s="32">
        <f>SUM(F37:F62)</f>
        <v>18135259.512807235</v>
      </c>
      <c r="G63" s="32">
        <f>SUM(G37:G62)</f>
        <v>254876783.47039694</v>
      </c>
      <c r="H63" s="152">
        <f t="shared" si="2"/>
        <v>14.054212088357563</v>
      </c>
      <c r="I63" s="30">
        <f>SUM(I37:I62)</f>
        <v>-7982.6551691116802</v>
      </c>
      <c r="J63" s="56"/>
    </row>
    <row r="64" spans="1:10" ht="14.25" customHeight="1" x14ac:dyDescent="0.2">
      <c r="A64" s="36"/>
      <c r="B64" s="34"/>
      <c r="C64" s="47"/>
      <c r="D64" s="47"/>
      <c r="E64" s="47"/>
      <c r="F64" s="47"/>
      <c r="G64" s="47"/>
      <c r="H64" s="34"/>
      <c r="I64" s="47"/>
    </row>
    <row r="65" spans="1:10" x14ac:dyDescent="0.2">
      <c r="A65" s="355" t="str">
        <f>DFIE!B72</f>
        <v>Bemessungsjahr 2015</v>
      </c>
      <c r="B65" s="64" t="str">
        <f>DFIE!$B29</f>
        <v>Zürich</v>
      </c>
      <c r="C65" s="65">
        <v>41018.091999999997</v>
      </c>
      <c r="D65" s="65">
        <v>20168.539290000001</v>
      </c>
      <c r="E65" s="31">
        <f t="shared" ref="E65:E90" si="4">D65-C65</f>
        <v>-20849.552709999996</v>
      </c>
      <c r="F65" s="65">
        <v>4155657.05268675</v>
      </c>
      <c r="G65" s="150">
        <f>NP!E65+QS!AA65+JP!E65</f>
        <v>55043568.766199782</v>
      </c>
      <c r="H65" s="153">
        <f t="shared" ref="H65:H91" si="5">G65/F65</f>
        <v>13.245455067234809</v>
      </c>
      <c r="I65" s="31">
        <f t="shared" ref="I65:I90" si="6">E65*H65</f>
        <v>-276161.81359224871</v>
      </c>
      <c r="J65" s="58"/>
    </row>
    <row r="66" spans="1:10" x14ac:dyDescent="0.2">
      <c r="A66" s="355"/>
      <c r="B66" s="45" t="str">
        <f>DFIE!$B30</f>
        <v>Bern</v>
      </c>
      <c r="C66" s="46">
        <v>11146.344999999999</v>
      </c>
      <c r="D66" s="46">
        <v>11322.1782</v>
      </c>
      <c r="E66" s="22">
        <f t="shared" si="4"/>
        <v>175.83320000000094</v>
      </c>
      <c r="F66" s="46">
        <v>1331582.62608434</v>
      </c>
      <c r="G66" s="155">
        <f>NP!E66+QS!AA66+JP!E66</f>
        <v>24750687.298520304</v>
      </c>
      <c r="H66" s="156">
        <f t="shared" si="5"/>
        <v>18.58742132382902</v>
      </c>
      <c r="I66" s="22">
        <f t="shared" si="6"/>
        <v>3268.2857711171105</v>
      </c>
      <c r="J66" s="58"/>
    </row>
    <row r="67" spans="1:10" x14ac:dyDescent="0.2">
      <c r="A67" s="355"/>
      <c r="B67" s="63" t="str">
        <f>DFIE!$B31</f>
        <v>Luzern</v>
      </c>
      <c r="C67" s="33">
        <v>23551.644</v>
      </c>
      <c r="D67" s="33">
        <v>5614.2530500000003</v>
      </c>
      <c r="E67" s="29">
        <f t="shared" si="4"/>
        <v>-17937.390950000001</v>
      </c>
      <c r="F67" s="33">
        <v>755742.01283132494</v>
      </c>
      <c r="G67" s="73">
        <f>NP!E67+QS!AA67+JP!E67</f>
        <v>11048357.896243263</v>
      </c>
      <c r="H67" s="151">
        <f t="shared" si="5"/>
        <v>14.619218871862772</v>
      </c>
      <c r="I67" s="29">
        <f t="shared" si="6"/>
        <v>-262230.6442882205</v>
      </c>
      <c r="J67" s="58"/>
    </row>
    <row r="68" spans="1:10" x14ac:dyDescent="0.2">
      <c r="A68" s="355"/>
      <c r="B68" s="45" t="str">
        <f>DFIE!$B32</f>
        <v>Uri</v>
      </c>
      <c r="C68" s="46">
        <v>362.3492</v>
      </c>
      <c r="D68" s="46">
        <v>410.19305000000003</v>
      </c>
      <c r="E68" s="22">
        <f t="shared" si="4"/>
        <v>47.843850000000032</v>
      </c>
      <c r="F68" s="46">
        <v>33122.663132530099</v>
      </c>
      <c r="G68" s="155">
        <f>NP!E68+QS!AA68+JP!E68</f>
        <v>812214.57907479093</v>
      </c>
      <c r="H68" s="156">
        <f t="shared" si="5"/>
        <v>24.5214153169075</v>
      </c>
      <c r="I68" s="22">
        <f t="shared" si="6"/>
        <v>1173.1989162098257</v>
      </c>
      <c r="J68" s="58"/>
    </row>
    <row r="69" spans="1:10" x14ac:dyDescent="0.2">
      <c r="A69" s="355"/>
      <c r="B69" s="63" t="str">
        <f>DFIE!$B33</f>
        <v>Schwyz</v>
      </c>
      <c r="C69" s="33">
        <v>2871.62165</v>
      </c>
      <c r="D69" s="33">
        <v>2685.0236</v>
      </c>
      <c r="E69" s="29">
        <f t="shared" si="4"/>
        <v>-186.59805000000006</v>
      </c>
      <c r="F69" s="33">
        <v>761080.67006024101</v>
      </c>
      <c r="G69" s="73">
        <f>NP!E69+QS!AA69+JP!E69</f>
        <v>7105068.6350628743</v>
      </c>
      <c r="H69" s="151">
        <f t="shared" si="5"/>
        <v>9.3355000521830291</v>
      </c>
      <c r="I69" s="29">
        <f t="shared" si="6"/>
        <v>-1741.9861055122519</v>
      </c>
      <c r="J69" s="58"/>
    </row>
    <row r="70" spans="1:10" x14ac:dyDescent="0.2">
      <c r="A70" s="355"/>
      <c r="B70" s="45" t="str">
        <f>DFIE!$B34</f>
        <v>Obwalden</v>
      </c>
      <c r="C70" s="46">
        <v>629.27300000000002</v>
      </c>
      <c r="D70" s="46">
        <v>752.79055000000005</v>
      </c>
      <c r="E70" s="22">
        <f t="shared" si="4"/>
        <v>123.51755000000003</v>
      </c>
      <c r="F70" s="46">
        <v>78430.116915662598</v>
      </c>
      <c r="G70" s="155">
        <f>NP!E70+QS!AA70+JP!E70</f>
        <v>1688595.887442403</v>
      </c>
      <c r="H70" s="156">
        <f t="shared" si="5"/>
        <v>21.529942244739765</v>
      </c>
      <c r="I70" s="22">
        <f t="shared" si="6"/>
        <v>2659.3257177117566</v>
      </c>
      <c r="J70" s="58"/>
    </row>
    <row r="71" spans="1:10" x14ac:dyDescent="0.2">
      <c r="A71" s="355"/>
      <c r="B71" s="63" t="str">
        <f>DFIE!$B35</f>
        <v>Nidwalden</v>
      </c>
      <c r="C71" s="33">
        <v>847.78499999999997</v>
      </c>
      <c r="D71" s="33">
        <v>2301.3739</v>
      </c>
      <c r="E71" s="29">
        <f t="shared" si="4"/>
        <v>1453.5889000000002</v>
      </c>
      <c r="F71" s="33">
        <v>187485.612168675</v>
      </c>
      <c r="G71" s="73">
        <f>NP!E71+QS!AA71+JP!E71</f>
        <v>1753141.2983233384</v>
      </c>
      <c r="H71" s="151">
        <f t="shared" si="5"/>
        <v>9.3508044593101438</v>
      </c>
      <c r="I71" s="29">
        <f t="shared" si="6"/>
        <v>13592.225568123729</v>
      </c>
      <c r="J71" s="58"/>
    </row>
    <row r="72" spans="1:10" x14ac:dyDescent="0.2">
      <c r="A72" s="355"/>
      <c r="B72" s="45" t="str">
        <f>DFIE!$B36</f>
        <v>Glarus</v>
      </c>
      <c r="C72" s="46">
        <v>310.39035000000001</v>
      </c>
      <c r="D72" s="46">
        <v>846.8066</v>
      </c>
      <c r="E72" s="22">
        <f t="shared" si="4"/>
        <v>536.41624999999999</v>
      </c>
      <c r="F72" s="46">
        <v>53963.204096385598</v>
      </c>
      <c r="G72" s="155">
        <f>NP!E72+QS!AA72+JP!E72</f>
        <v>829900.2502291936</v>
      </c>
      <c r="H72" s="156">
        <f t="shared" si="5"/>
        <v>15.37900249115822</v>
      </c>
      <c r="I72" s="22">
        <f t="shared" si="6"/>
        <v>8249.546845047751</v>
      </c>
      <c r="J72" s="58"/>
    </row>
    <row r="73" spans="1:10" x14ac:dyDescent="0.2">
      <c r="A73" s="355"/>
      <c r="B73" s="63" t="str">
        <f>DFIE!$B37</f>
        <v>Zug</v>
      </c>
      <c r="C73" s="33">
        <v>1678.5930000000001</v>
      </c>
      <c r="D73" s="33">
        <v>5260.3236999999999</v>
      </c>
      <c r="E73" s="29">
        <f t="shared" si="4"/>
        <v>3581.7307000000001</v>
      </c>
      <c r="F73" s="33">
        <v>1371738.8914939801</v>
      </c>
      <c r="G73" s="73">
        <f>NP!E73+QS!AA73+JP!E73</f>
        <v>9956553.5497964434</v>
      </c>
      <c r="H73" s="151">
        <f t="shared" si="5"/>
        <v>7.2583445811269671</v>
      </c>
      <c r="I73" s="29">
        <f t="shared" si="6"/>
        <v>25997.435617401101</v>
      </c>
      <c r="J73" s="58"/>
    </row>
    <row r="74" spans="1:10" x14ac:dyDescent="0.2">
      <c r="A74" s="355"/>
      <c r="B74" s="45" t="str">
        <f>DFIE!$B38</f>
        <v>Freiburg</v>
      </c>
      <c r="C74" s="46">
        <v>8512.0450000000001</v>
      </c>
      <c r="D74" s="46">
        <v>4369.2674999999999</v>
      </c>
      <c r="E74" s="22">
        <f t="shared" si="4"/>
        <v>-4142.7775000000001</v>
      </c>
      <c r="F74" s="46">
        <v>555687.50271084299</v>
      </c>
      <c r="G74" s="155">
        <f>NP!E74+QS!AA74+JP!E74</f>
        <v>8004913.5940560643</v>
      </c>
      <c r="H74" s="156">
        <f t="shared" si="5"/>
        <v>14.405423111020536</v>
      </c>
      <c r="I74" s="22">
        <f t="shared" si="6"/>
        <v>-59678.462742315882</v>
      </c>
      <c r="J74" s="58"/>
    </row>
    <row r="75" spans="1:10" x14ac:dyDescent="0.2">
      <c r="A75" s="355"/>
      <c r="B75" s="63" t="str">
        <f>DFIE!$B39</f>
        <v>Solothurn</v>
      </c>
      <c r="C75" s="33">
        <v>4660.0528999999997</v>
      </c>
      <c r="D75" s="33">
        <v>3780.0101</v>
      </c>
      <c r="E75" s="29">
        <f t="shared" si="4"/>
        <v>-880.04279999999972</v>
      </c>
      <c r="F75" s="33">
        <v>325090.97354216903</v>
      </c>
      <c r="G75" s="73">
        <f>NP!E75+QS!AA75+JP!E75</f>
        <v>6210673.3009712165</v>
      </c>
      <c r="H75" s="151">
        <f t="shared" si="5"/>
        <v>19.104416321684187</v>
      </c>
      <c r="I75" s="29">
        <f t="shared" si="6"/>
        <v>-16812.704032100646</v>
      </c>
      <c r="J75" s="58"/>
    </row>
    <row r="76" spans="1:10" x14ac:dyDescent="0.2">
      <c r="A76" s="355"/>
      <c r="B76" s="45" t="str">
        <f>DFIE!$B40</f>
        <v>Basel-Stadt</v>
      </c>
      <c r="C76" s="46">
        <v>13275.652050000001</v>
      </c>
      <c r="D76" s="46">
        <v>6172.1960499999996</v>
      </c>
      <c r="E76" s="22">
        <f t="shared" si="4"/>
        <v>-7103.456000000001</v>
      </c>
      <c r="F76" s="46">
        <v>1404705.88748193</v>
      </c>
      <c r="G76" s="155">
        <f>NP!E76+QS!AA76+JP!E76</f>
        <v>9003385.5671240576</v>
      </c>
      <c r="H76" s="156">
        <f t="shared" si="5"/>
        <v>6.4094453133271116</v>
      </c>
      <c r="I76" s="22">
        <f t="shared" si="6"/>
        <v>-45529.212767625359</v>
      </c>
      <c r="J76" s="58"/>
    </row>
    <row r="77" spans="1:10" x14ac:dyDescent="0.2">
      <c r="A77" s="355"/>
      <c r="B77" s="63" t="str">
        <f>DFIE!$B41</f>
        <v>Basel-Landschaft</v>
      </c>
      <c r="C77" s="33">
        <v>6267.5360000000001</v>
      </c>
      <c r="D77" s="33">
        <v>4564.5867500000004</v>
      </c>
      <c r="E77" s="29">
        <f t="shared" si="4"/>
        <v>-1702.9492499999997</v>
      </c>
      <c r="F77" s="33">
        <v>496686.74698795198</v>
      </c>
      <c r="G77" s="73">
        <f>NP!E77+QS!AA77+JP!E77</f>
        <v>8787423.8272305224</v>
      </c>
      <c r="H77" s="151">
        <f t="shared" si="5"/>
        <v>17.6920843580384</v>
      </c>
      <c r="I77" s="29">
        <f t="shared" si="6"/>
        <v>-30128.721788458221</v>
      </c>
      <c r="J77" s="58"/>
    </row>
    <row r="78" spans="1:10" x14ac:dyDescent="0.2">
      <c r="A78" s="355"/>
      <c r="B78" s="45" t="str">
        <f>DFIE!$B42</f>
        <v>Schaffhausen</v>
      </c>
      <c r="C78" s="46">
        <v>858.12585000000001</v>
      </c>
      <c r="D78" s="46">
        <v>5672.5952500000003</v>
      </c>
      <c r="E78" s="22">
        <f t="shared" si="4"/>
        <v>4814.4694</v>
      </c>
      <c r="F78" s="46">
        <v>263008.18560241</v>
      </c>
      <c r="G78" s="155">
        <f>NP!E78+QS!AA78+JP!E78</f>
        <v>2300100.0328324256</v>
      </c>
      <c r="H78" s="156">
        <f t="shared" si="5"/>
        <v>8.7453553111441611</v>
      </c>
      <c r="I78" s="22">
        <f t="shared" si="6"/>
        <v>42104.245537631039</v>
      </c>
      <c r="J78" s="58"/>
    </row>
    <row r="79" spans="1:10" x14ac:dyDescent="0.2">
      <c r="A79" s="355"/>
      <c r="B79" s="63" t="str">
        <f>DFIE!$B43</f>
        <v>Appenzell A.Rh.</v>
      </c>
      <c r="C79" s="33">
        <v>1569.8666499999999</v>
      </c>
      <c r="D79" s="33">
        <v>750.28335000000004</v>
      </c>
      <c r="E79" s="29">
        <f t="shared" si="4"/>
        <v>-819.58329999999989</v>
      </c>
      <c r="F79" s="33">
        <v>89495.264445783105</v>
      </c>
      <c r="G79" s="73">
        <f>NP!E79+QS!AA79+JP!E79</f>
        <v>1371089.8440841788</v>
      </c>
      <c r="H79" s="151">
        <f t="shared" si="5"/>
        <v>15.320250211839927</v>
      </c>
      <c r="I79" s="29">
        <f t="shared" si="6"/>
        <v>-12556.221225445464</v>
      </c>
      <c r="J79" s="58"/>
    </row>
    <row r="80" spans="1:10" x14ac:dyDescent="0.2">
      <c r="A80" s="355"/>
      <c r="B80" s="45" t="str">
        <f>DFIE!$B44</f>
        <v>Appenzell I.Rh.</v>
      </c>
      <c r="C80" s="46">
        <v>96.007199999999997</v>
      </c>
      <c r="D80" s="46">
        <v>554.59794999999997</v>
      </c>
      <c r="E80" s="22">
        <f t="shared" si="4"/>
        <v>458.59074999999996</v>
      </c>
      <c r="F80" s="46">
        <v>25056.8302409639</v>
      </c>
      <c r="G80" s="155">
        <f>NP!E80+QS!AA80+JP!E80</f>
        <v>439849.61086076638</v>
      </c>
      <c r="H80" s="156">
        <f t="shared" si="5"/>
        <v>17.554080329828903</v>
      </c>
      <c r="I80" s="22">
        <f t="shared" si="6"/>
        <v>8050.1388640164832</v>
      </c>
      <c r="J80" s="58"/>
    </row>
    <row r="81" spans="1:10" x14ac:dyDescent="0.2">
      <c r="A81" s="355"/>
      <c r="B81" s="63" t="str">
        <f>DFIE!$B45</f>
        <v>St. Gallen</v>
      </c>
      <c r="C81" s="33">
        <v>7519.2518</v>
      </c>
      <c r="D81" s="33">
        <v>8860.1492999999991</v>
      </c>
      <c r="E81" s="29">
        <f t="shared" si="4"/>
        <v>1340.8974999999991</v>
      </c>
      <c r="F81" s="33">
        <v>737604.18643373495</v>
      </c>
      <c r="G81" s="73">
        <f>NP!E81+QS!AA81+JP!E81</f>
        <v>11897843.525189854</v>
      </c>
      <c r="H81" s="151">
        <f t="shared" si="5"/>
        <v>16.130390450622443</v>
      </c>
      <c r="I81" s="29">
        <f t="shared" si="6"/>
        <v>21629.200229263493</v>
      </c>
      <c r="J81" s="58"/>
    </row>
    <row r="82" spans="1:10" x14ac:dyDescent="0.2">
      <c r="A82" s="355"/>
      <c r="B82" s="45" t="str">
        <f>DFIE!$B46</f>
        <v>Graubünden</v>
      </c>
      <c r="C82" s="46">
        <v>880.42700000000002</v>
      </c>
      <c r="D82" s="46">
        <v>7689.4962500000001</v>
      </c>
      <c r="E82" s="22">
        <f t="shared" si="4"/>
        <v>6809.0692500000005</v>
      </c>
      <c r="F82" s="46">
        <v>264282.36453012098</v>
      </c>
      <c r="G82" s="155">
        <f>NP!E82+QS!AA82+JP!E82</f>
        <v>4800107.8505294751</v>
      </c>
      <c r="H82" s="156">
        <f t="shared" si="5"/>
        <v>18.162800454217951</v>
      </c>
      <c r="I82" s="22">
        <f t="shared" si="6"/>
        <v>123671.76606670149</v>
      </c>
      <c r="J82" s="58"/>
    </row>
    <row r="83" spans="1:10" x14ac:dyDescent="0.2">
      <c r="A83" s="355"/>
      <c r="B83" s="63" t="str">
        <f>DFIE!$B47</f>
        <v>Aargau</v>
      </c>
      <c r="C83" s="33">
        <v>8850.7864499999996</v>
      </c>
      <c r="D83" s="33">
        <v>12536.565000000001</v>
      </c>
      <c r="E83" s="29">
        <f t="shared" si="4"/>
        <v>3685.7785500000009</v>
      </c>
      <c r="F83" s="33">
        <v>935329.81554216903</v>
      </c>
      <c r="G83" s="73">
        <f>NP!E83+QS!AA83+JP!E83</f>
        <v>16522849.340399008</v>
      </c>
      <c r="H83" s="151">
        <f t="shared" si="5"/>
        <v>17.665265306250767</v>
      </c>
      <c r="I83" s="29">
        <f t="shared" si="6"/>
        <v>65110.255945838275</v>
      </c>
      <c r="J83" s="58"/>
    </row>
    <row r="84" spans="1:10" x14ac:dyDescent="0.2">
      <c r="A84" s="355"/>
      <c r="B84" s="45" t="str">
        <f>DFIE!$B48</f>
        <v>Thurgau</v>
      </c>
      <c r="C84" s="46">
        <v>2645.3049999999998</v>
      </c>
      <c r="D84" s="46">
        <v>3525.2609000000002</v>
      </c>
      <c r="E84" s="22">
        <f t="shared" si="4"/>
        <v>879.95590000000038</v>
      </c>
      <c r="F84" s="46">
        <v>336737.57487951801</v>
      </c>
      <c r="G84" s="155">
        <f>NP!E84+QS!AA84+JP!E84</f>
        <v>6242240.1341698468</v>
      </c>
      <c r="H84" s="156">
        <f t="shared" si="5"/>
        <v>18.537403010053957</v>
      </c>
      <c r="I84" s="22">
        <f t="shared" si="6"/>
        <v>16312.097149374746</v>
      </c>
      <c r="J84" s="58"/>
    </row>
    <row r="85" spans="1:10" x14ac:dyDescent="0.2">
      <c r="A85" s="355"/>
      <c r="B85" s="63" t="str">
        <f>DFIE!$B49</f>
        <v>Tessin</v>
      </c>
      <c r="C85" s="33">
        <v>1968.8223499999999</v>
      </c>
      <c r="D85" s="33">
        <v>7513.22775</v>
      </c>
      <c r="E85" s="29">
        <f t="shared" si="4"/>
        <v>5544.4053999999996</v>
      </c>
      <c r="F85" s="33">
        <v>660519.77144578297</v>
      </c>
      <c r="G85" s="73">
        <f>NP!E85+QS!AA85+JP!E85</f>
        <v>10671781.795213699</v>
      </c>
      <c r="H85" s="151">
        <f t="shared" si="5"/>
        <v>16.156642475447331</v>
      </c>
      <c r="I85" s="29">
        <f t="shared" si="6"/>
        <v>89578.975786739538</v>
      </c>
      <c r="J85" s="58"/>
    </row>
    <row r="86" spans="1:10" x14ac:dyDescent="0.2">
      <c r="A86" s="355"/>
      <c r="B86" s="45" t="str">
        <f>DFIE!$B50</f>
        <v>Waadt</v>
      </c>
      <c r="C86" s="46">
        <v>18564.019</v>
      </c>
      <c r="D86" s="46">
        <v>14110.41822</v>
      </c>
      <c r="E86" s="22">
        <f t="shared" si="4"/>
        <v>-4453.6007800000007</v>
      </c>
      <c r="F86" s="46">
        <v>2223469.68084337</v>
      </c>
      <c r="G86" s="155">
        <f>NP!E86+QS!AA86+JP!E86</f>
        <v>24976001.821616337</v>
      </c>
      <c r="H86" s="156">
        <f t="shared" si="5"/>
        <v>11.232895162367516</v>
      </c>
      <c r="I86" s="22">
        <f t="shared" si="6"/>
        <v>-50026.830656778206</v>
      </c>
      <c r="J86" s="58"/>
    </row>
    <row r="87" spans="1:10" x14ac:dyDescent="0.2">
      <c r="A87" s="355"/>
      <c r="B87" s="63" t="str">
        <f>DFIE!$B51</f>
        <v>Wallis</v>
      </c>
      <c r="C87" s="33">
        <v>2574.6042000000002</v>
      </c>
      <c r="D87" s="33">
        <v>5978.2704000000003</v>
      </c>
      <c r="E87" s="29">
        <f t="shared" si="4"/>
        <v>3403.6662000000001</v>
      </c>
      <c r="F87" s="33">
        <v>339896.87502409599</v>
      </c>
      <c r="G87" s="73">
        <f>NP!E87+QS!AA87+JP!E87</f>
        <v>6744907.1327835321</v>
      </c>
      <c r="H87" s="151">
        <f t="shared" si="5"/>
        <v>19.843981008373117</v>
      </c>
      <c r="I87" s="29">
        <f t="shared" si="6"/>
        <v>67542.287431641496</v>
      </c>
      <c r="J87" s="58"/>
    </row>
    <row r="88" spans="1:10" x14ac:dyDescent="0.2">
      <c r="A88" s="355"/>
      <c r="B88" s="45" t="str">
        <f>DFIE!$B52</f>
        <v>Neuenburg</v>
      </c>
      <c r="C88" s="46">
        <v>1492.9190000000001</v>
      </c>
      <c r="D88" s="46">
        <v>8929.1223499999996</v>
      </c>
      <c r="E88" s="22">
        <f t="shared" si="4"/>
        <v>7436.2033499999998</v>
      </c>
      <c r="F88" s="46">
        <v>394861.69958313298</v>
      </c>
      <c r="G88" s="155">
        <f>NP!E88+QS!AA88+JP!E88</f>
        <v>4676319.2481532032</v>
      </c>
      <c r="H88" s="156">
        <f t="shared" si="5"/>
        <v>11.842929443625781</v>
      </c>
      <c r="I88" s="22">
        <f t="shared" si="6"/>
        <v>88066.431602503668</v>
      </c>
      <c r="J88" s="58"/>
    </row>
    <row r="89" spans="1:10" x14ac:dyDescent="0.2">
      <c r="A89" s="355"/>
      <c r="B89" s="63" t="str">
        <f>DFIE!$B53</f>
        <v>Genf</v>
      </c>
      <c r="C89" s="33">
        <v>7057.1523100000004</v>
      </c>
      <c r="D89" s="33">
        <v>24089.1764</v>
      </c>
      <c r="E89" s="29">
        <f t="shared" si="4"/>
        <v>17032.024089999999</v>
      </c>
      <c r="F89" s="33">
        <v>2414523.3092891602</v>
      </c>
      <c r="G89" s="73">
        <f>NP!E89+QS!AA89+JP!E89</f>
        <v>21502543.980159666</v>
      </c>
      <c r="H89" s="151">
        <f t="shared" si="5"/>
        <v>8.9055027538707225</v>
      </c>
      <c r="I89" s="29">
        <f t="shared" si="6"/>
        <v>151678.73743748746</v>
      </c>
      <c r="J89" s="58"/>
    </row>
    <row r="90" spans="1:10" x14ac:dyDescent="0.2">
      <c r="A90" s="355"/>
      <c r="B90" s="45" t="str">
        <f>DFIE!$B54</f>
        <v>Jura</v>
      </c>
      <c r="C90" s="46">
        <v>458.798</v>
      </c>
      <c r="D90" s="46">
        <v>1210.7584999999999</v>
      </c>
      <c r="E90" s="22">
        <f t="shared" si="4"/>
        <v>751.96049999999991</v>
      </c>
      <c r="F90" s="46">
        <v>74845.086204819294</v>
      </c>
      <c r="G90" s="155">
        <f>NP!E90+QS!AA90+JP!E90</f>
        <v>1463276.8777930085</v>
      </c>
      <c r="H90" s="156">
        <f t="shared" si="5"/>
        <v>19.550740763243155</v>
      </c>
      <c r="I90" s="22">
        <f t="shared" si="6"/>
        <v>14701.384799698702</v>
      </c>
      <c r="J90" s="58"/>
    </row>
    <row r="91" spans="1:10" x14ac:dyDescent="0.2">
      <c r="A91" s="355"/>
      <c r="B91" s="28" t="str">
        <f>DFIE!$B55</f>
        <v>Schweiz</v>
      </c>
      <c r="C91" s="32">
        <f>SUM(C65:C90)</f>
        <v>169667.46395999999</v>
      </c>
      <c r="D91" s="32">
        <f>SUM(D65:D90)</f>
        <v>169667.46395999999</v>
      </c>
      <c r="E91" s="154">
        <f>ROUND(SUM(E65:E90),5)</f>
        <v>0</v>
      </c>
      <c r="F91" s="32">
        <f>SUM(F65:F90)</f>
        <v>20270604.604257844</v>
      </c>
      <c r="G91" s="32">
        <f>SUM(G65:G90)</f>
        <v>258603395.64405921</v>
      </c>
      <c r="H91" s="152">
        <f t="shared" si="5"/>
        <v>12.757557097716736</v>
      </c>
      <c r="I91" s="30">
        <f>SUM(I65:I90)</f>
        <v>-11481.057912197415</v>
      </c>
      <c r="J91" s="58"/>
    </row>
  </sheetData>
  <mergeCells count="3">
    <mergeCell ref="A9:A35"/>
    <mergeCell ref="A37:A63"/>
    <mergeCell ref="A65:A91"/>
  </mergeCells>
  <conditionalFormatting sqref="E9:E34 G9:I34">
    <cfRule type="expression" dxfId="30" priority="15" stopIfTrue="1">
      <formula>ISBLANK(E9)</formula>
    </cfRule>
  </conditionalFormatting>
  <conditionalFormatting sqref="C9:D34 F9:F34">
    <cfRule type="expression" dxfId="29" priority="14" stopIfTrue="1">
      <formula>ISBLANK(C9)</formula>
    </cfRule>
  </conditionalFormatting>
  <conditionalFormatting sqref="E37 H37:I37">
    <cfRule type="expression" dxfId="28" priority="13" stopIfTrue="1">
      <formula>ISBLANK(E37)</formula>
    </cfRule>
  </conditionalFormatting>
  <conditionalFormatting sqref="F37 C37:D37">
    <cfRule type="expression" dxfId="27" priority="12" stopIfTrue="1">
      <formula>ISBLANK(C37)</formula>
    </cfRule>
  </conditionalFormatting>
  <conditionalFormatting sqref="E65 G65:I65">
    <cfRule type="expression" dxfId="26" priority="11" stopIfTrue="1">
      <formula>ISBLANK(E65)</formula>
    </cfRule>
  </conditionalFormatting>
  <conditionalFormatting sqref="F65 C65:D65">
    <cfRule type="expression" dxfId="25" priority="10" stopIfTrue="1">
      <formula>ISBLANK(C65)</formula>
    </cfRule>
  </conditionalFormatting>
  <conditionalFormatting sqref="C37:D37">
    <cfRule type="expression" dxfId="24" priority="9" stopIfTrue="1">
      <formula>ISBLANK(C37)</formula>
    </cfRule>
  </conditionalFormatting>
  <conditionalFormatting sqref="C65:D65">
    <cfRule type="expression" dxfId="23" priority="8" stopIfTrue="1">
      <formula>ISBLANK(C65)</formula>
    </cfRule>
  </conditionalFormatting>
  <conditionalFormatting sqref="F37">
    <cfRule type="expression" dxfId="22" priority="7" stopIfTrue="1">
      <formula>ISBLANK(F37)</formula>
    </cfRule>
  </conditionalFormatting>
  <conditionalFormatting sqref="F65">
    <cfRule type="expression" dxfId="21" priority="6" stopIfTrue="1">
      <formula>ISBLANK(F65)</formula>
    </cfRule>
  </conditionalFormatting>
  <conditionalFormatting sqref="G37">
    <cfRule type="expression" dxfId="20" priority="5" stopIfTrue="1">
      <formula>ISBLANK(G37)</formula>
    </cfRule>
  </conditionalFormatting>
  <conditionalFormatting sqref="E38:E62 G38:I62">
    <cfRule type="expression" dxfId="19" priority="4" stopIfTrue="1">
      <formula>ISBLANK(E38)</formula>
    </cfRule>
  </conditionalFormatting>
  <conditionalFormatting sqref="C38:D62 F38:F62">
    <cfRule type="expression" dxfId="18" priority="3" stopIfTrue="1">
      <formula>ISBLANK(C38)</formula>
    </cfRule>
  </conditionalFormatting>
  <conditionalFormatting sqref="E66:E90 G66:I90">
    <cfRule type="expression" dxfId="17" priority="2" stopIfTrue="1">
      <formula>ISBLANK(E66)</formula>
    </cfRule>
  </conditionalFormatting>
  <conditionalFormatting sqref="C66:D90 F66:F90">
    <cfRule type="expression" dxfId="16" priority="1" stopIfTrue="1">
      <formula>ISBLANK(C66)</formula>
    </cfRule>
  </conditionalFormatting>
  <pageMargins left="0.78740157480314965" right="0.78740157480314965" top="0.98425196850393704" bottom="0.78740157480314965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rowBreaks count="2" manualBreakCount="2">
    <brk id="36" max="16383" man="1"/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I91"/>
  <sheetViews>
    <sheetView showGridLines="0" zoomScaleNormal="100" workbookViewId="0">
      <pane ySplit="8" topLeftCell="A9" activePane="bottomLeft" state="frozen"/>
      <selection activeCell="A114" sqref="A114"/>
      <selection pane="bottomLeft" activeCell="A114" sqref="A114"/>
    </sheetView>
  </sheetViews>
  <sheetFormatPr baseColWidth="10" defaultColWidth="9.140625" defaultRowHeight="12.75" x14ac:dyDescent="0.2"/>
  <cols>
    <col min="1" max="1" width="4.42578125" customWidth="1"/>
    <col min="2" max="2" width="16.42578125" customWidth="1"/>
    <col min="3" max="8" width="17.7109375" customWidth="1"/>
    <col min="9" max="9" width="1.5703125" customWidth="1"/>
  </cols>
  <sheetData>
    <row r="1" spans="1:9" ht="18" customHeight="1" x14ac:dyDescent="0.25">
      <c r="B1" s="6" t="str">
        <f>DFIE!B136</f>
        <v>Aggregierte Steuerbemessungsgrundlage (ASG) 2019</v>
      </c>
    </row>
    <row r="3" spans="1:9" ht="0.75" customHeight="1" x14ac:dyDescent="0.2"/>
    <row r="4" spans="1:9" ht="0.75" customHeight="1" x14ac:dyDescent="0.2"/>
    <row r="5" spans="1:9" ht="0.75" customHeight="1" x14ac:dyDescent="0.2"/>
    <row r="6" spans="1:9" ht="12" customHeight="1" x14ac:dyDescent="0.2">
      <c r="A6" s="13"/>
      <c r="B6" s="37" t="str">
        <f>DFIE!B56</f>
        <v>Spalte</v>
      </c>
      <c r="C6" s="38" t="s">
        <v>30</v>
      </c>
      <c r="D6" s="38" t="s">
        <v>31</v>
      </c>
      <c r="E6" s="38" t="s">
        <v>32</v>
      </c>
      <c r="F6" s="38" t="s">
        <v>44</v>
      </c>
      <c r="G6" s="38" t="s">
        <v>43</v>
      </c>
      <c r="H6" s="39" t="s">
        <v>33</v>
      </c>
      <c r="I6" s="13"/>
    </row>
    <row r="7" spans="1:9" ht="57" customHeight="1" x14ac:dyDescent="0.2">
      <c r="A7" s="52"/>
      <c r="B7" s="157"/>
      <c r="C7" s="60" t="str">
        <f>DFIE!B137</f>
        <v>Massgebendes
Einkommen der
natürlichen
Personen</v>
      </c>
      <c r="D7" s="60" t="str">
        <f>DFIE!B138</f>
        <v>Massgebendes
quellenbesteuertes
Einkommen</v>
      </c>
      <c r="E7" s="60" t="str">
        <f>DFIE!B139</f>
        <v>Massgebendes
Vermögen</v>
      </c>
      <c r="F7" s="60" t="str">
        <f>DFIE!B140</f>
        <v>Massgebender
Gewinn der
juristischen
Personen</v>
      </c>
      <c r="G7" s="60" t="str">
        <f>DFIE!B141</f>
        <v>Massgebende
Steuer-
repartitionen</v>
      </c>
      <c r="H7" s="53" t="str">
        <f>DFIE!B142</f>
        <v>ASG Total</v>
      </c>
      <c r="I7" s="52"/>
    </row>
    <row r="8" spans="1:9" ht="12.75" customHeight="1" x14ac:dyDescent="0.2">
      <c r="B8" s="87" t="str">
        <f>DFIE!B59</f>
        <v>Einheit</v>
      </c>
      <c r="C8" s="43" t="str">
        <f>DFIE!$B$61</f>
        <v>CHF 1'000</v>
      </c>
      <c r="D8" s="43" t="str">
        <f>DFIE!$B$61</f>
        <v>CHF 1'000</v>
      </c>
      <c r="E8" s="43" t="str">
        <f>DFIE!$B$61</f>
        <v>CHF 1'000</v>
      </c>
      <c r="F8" s="43" t="str">
        <f>DFIE!$B$61</f>
        <v>CHF 1'000</v>
      </c>
      <c r="G8" s="43" t="str">
        <f>DFIE!$B$61</f>
        <v>CHF 1'000</v>
      </c>
      <c r="H8" s="44" t="str">
        <f>DFIE!$B$61</f>
        <v>CHF 1'000</v>
      </c>
      <c r="I8" s="52"/>
    </row>
    <row r="9" spans="1:9" x14ac:dyDescent="0.2">
      <c r="A9" s="353" t="str">
        <f>DFIE!B70</f>
        <v>Bemessungsjahr 2013</v>
      </c>
      <c r="B9" s="63" t="str">
        <f>DFIE!$B29</f>
        <v>Zürich</v>
      </c>
      <c r="C9" s="73">
        <f>NP!E9</f>
        <v>35650095.5</v>
      </c>
      <c r="D9" s="73">
        <f>QS!AA9</f>
        <v>2004074.90192015</v>
      </c>
      <c r="E9" s="73">
        <f>VERM!D9</f>
        <v>5577890.8049999997</v>
      </c>
      <c r="F9" s="73">
        <f>JP!E9</f>
        <v>12858802.1538</v>
      </c>
      <c r="G9" s="73">
        <f>REP!I9</f>
        <v>-293764.50446638721</v>
      </c>
      <c r="H9" s="29">
        <f>SUM(C9:G9)</f>
        <v>55797098.856253758</v>
      </c>
      <c r="I9" s="54"/>
    </row>
    <row r="10" spans="1:9" x14ac:dyDescent="0.2">
      <c r="A10" s="353"/>
      <c r="B10" s="45" t="str">
        <f>DFIE!$B30</f>
        <v>Bern</v>
      </c>
      <c r="C10" s="155">
        <f>NP!E10</f>
        <v>16191220.499999998</v>
      </c>
      <c r="D10" s="155">
        <f>QS!AA10</f>
        <v>661580.43229842407</v>
      </c>
      <c r="E10" s="155">
        <f>VERM!D10</f>
        <v>2346394.0220549996</v>
      </c>
      <c r="F10" s="155">
        <f>JP!E10</f>
        <v>6110843.8426000001</v>
      </c>
      <c r="G10" s="155">
        <f>REP!I10</f>
        <v>32693.118765426778</v>
      </c>
      <c r="H10" s="22">
        <f t="shared" ref="H10:H34" si="0">SUM(C10:G10)</f>
        <v>25342731.915718846</v>
      </c>
      <c r="I10" s="54"/>
    </row>
    <row r="11" spans="1:9" x14ac:dyDescent="0.2">
      <c r="A11" s="353"/>
      <c r="B11" s="63" t="str">
        <f>DFIE!$B31</f>
        <v>Luzern</v>
      </c>
      <c r="C11" s="73">
        <f>NP!E11</f>
        <v>6988144.4999999991</v>
      </c>
      <c r="D11" s="73">
        <f>QS!AA11</f>
        <v>269573.84099213051</v>
      </c>
      <c r="E11" s="73">
        <f>VERM!D11</f>
        <v>1128791.3334449998</v>
      </c>
      <c r="F11" s="73">
        <f>JP!E11</f>
        <v>3242257.0045999996</v>
      </c>
      <c r="G11" s="73">
        <f>REP!I11</f>
        <v>56817.026437769026</v>
      </c>
      <c r="H11" s="29">
        <f t="shared" si="0"/>
        <v>11685583.705474896</v>
      </c>
      <c r="I11" s="54"/>
    </row>
    <row r="12" spans="1:9" x14ac:dyDescent="0.2">
      <c r="A12" s="353"/>
      <c r="B12" s="45" t="str">
        <f>DFIE!$B32</f>
        <v>Uri</v>
      </c>
      <c r="C12" s="155">
        <f>NP!E12</f>
        <v>484826.89999999997</v>
      </c>
      <c r="D12" s="155">
        <f>QS!AA12</f>
        <v>29653.5623509125</v>
      </c>
      <c r="E12" s="155">
        <f>VERM!D12</f>
        <v>91596.089760000003</v>
      </c>
      <c r="F12" s="155">
        <f>JP!E12</f>
        <v>226968.17229999998</v>
      </c>
      <c r="G12" s="155">
        <f>REP!I12</f>
        <v>-8540.7037643922977</v>
      </c>
      <c r="H12" s="22">
        <f t="shared" si="0"/>
        <v>824504.02064652019</v>
      </c>
      <c r="I12" s="54"/>
    </row>
    <row r="13" spans="1:9" x14ac:dyDescent="0.2">
      <c r="A13" s="353"/>
      <c r="B13" s="63" t="str">
        <f>DFIE!$B33</f>
        <v>Schwyz</v>
      </c>
      <c r="C13" s="73">
        <f>NP!E13</f>
        <v>5363915.3</v>
      </c>
      <c r="D13" s="73">
        <f>QS!AA13</f>
        <v>139649.10491822049</v>
      </c>
      <c r="E13" s="73">
        <f>VERM!D13</f>
        <v>1447358.394015</v>
      </c>
      <c r="F13" s="73">
        <f>JP!E13</f>
        <v>1350883.2707</v>
      </c>
      <c r="G13" s="73">
        <f>REP!I13</f>
        <v>-11915.355501328791</v>
      </c>
      <c r="H13" s="29">
        <f t="shared" si="0"/>
        <v>8289890.7141318917</v>
      </c>
      <c r="I13" s="54"/>
    </row>
    <row r="14" spans="1:9" x14ac:dyDescent="0.2">
      <c r="A14" s="353"/>
      <c r="B14" s="45" t="str">
        <f>DFIE!$B34</f>
        <v>Obwalden</v>
      </c>
      <c r="C14" s="155">
        <f>NP!E14</f>
        <v>864085.3</v>
      </c>
      <c r="D14" s="155">
        <f>QS!AA14</f>
        <v>32455.961724769986</v>
      </c>
      <c r="E14" s="155">
        <f>VERM!D14</f>
        <v>156701.14663499998</v>
      </c>
      <c r="F14" s="155">
        <f>JP!E14</f>
        <v>302602.08299999998</v>
      </c>
      <c r="G14" s="155">
        <f>REP!I14</f>
        <v>-11640.644717686444</v>
      </c>
      <c r="H14" s="22">
        <f t="shared" si="0"/>
        <v>1344203.8466420835</v>
      </c>
      <c r="I14" s="54"/>
    </row>
    <row r="15" spans="1:9" x14ac:dyDescent="0.2">
      <c r="A15" s="353"/>
      <c r="B15" s="63" t="str">
        <f>DFIE!$B35</f>
        <v>Nidwalden</v>
      </c>
      <c r="C15" s="73">
        <f>NP!E15</f>
        <v>1239332.3999999999</v>
      </c>
      <c r="D15" s="73">
        <f>QS!AA15</f>
        <v>33342.312564403226</v>
      </c>
      <c r="E15" s="73">
        <f>VERM!D15</f>
        <v>418133.69964000001</v>
      </c>
      <c r="F15" s="73">
        <f>JP!E15</f>
        <v>501694.3922</v>
      </c>
      <c r="G15" s="73">
        <f>REP!I15</f>
        <v>-12101.190120359315</v>
      </c>
      <c r="H15" s="29">
        <f t="shared" si="0"/>
        <v>2180401.6142840437</v>
      </c>
      <c r="I15" s="54"/>
    </row>
    <row r="16" spans="1:9" x14ac:dyDescent="0.2">
      <c r="A16" s="353"/>
      <c r="B16" s="45" t="str">
        <f>DFIE!$B36</f>
        <v>Glarus</v>
      </c>
      <c r="C16" s="155">
        <f>NP!E16</f>
        <v>611329.19999999995</v>
      </c>
      <c r="D16" s="155">
        <f>QS!AA16</f>
        <v>48937.41620615869</v>
      </c>
      <c r="E16" s="155">
        <f>VERM!D16</f>
        <v>104516.553525</v>
      </c>
      <c r="F16" s="155">
        <f>JP!E16</f>
        <v>222552.01139999999</v>
      </c>
      <c r="G16" s="155">
        <f>REP!I16</f>
        <v>1926.4717381933253</v>
      </c>
      <c r="H16" s="22">
        <f t="shared" si="0"/>
        <v>989261.65286935191</v>
      </c>
      <c r="I16" s="54"/>
    </row>
    <row r="17" spans="1:9" x14ac:dyDescent="0.2">
      <c r="A17" s="353"/>
      <c r="B17" s="63" t="str">
        <f>DFIE!$B37</f>
        <v>Zug</v>
      </c>
      <c r="C17" s="73">
        <f>NP!E17</f>
        <v>4692580.8000000007</v>
      </c>
      <c r="D17" s="73">
        <f>QS!AA17</f>
        <v>216251.3217743776</v>
      </c>
      <c r="E17" s="73">
        <f>VERM!D17</f>
        <v>860929.78206326999</v>
      </c>
      <c r="F17" s="73">
        <f>JP!E17</f>
        <v>3715941.7571999999</v>
      </c>
      <c r="G17" s="73">
        <f>REP!I17</f>
        <v>2763.7074010301867</v>
      </c>
      <c r="H17" s="29">
        <f t="shared" si="0"/>
        <v>9488467.3684386779</v>
      </c>
      <c r="I17" s="54"/>
    </row>
    <row r="18" spans="1:9" x14ac:dyDescent="0.2">
      <c r="A18" s="353"/>
      <c r="B18" s="45" t="str">
        <f>DFIE!$B38</f>
        <v>Freiburg</v>
      </c>
      <c r="C18" s="155">
        <f>NP!E18</f>
        <v>4880130.0999999996</v>
      </c>
      <c r="D18" s="155">
        <f>QS!AA18</f>
        <v>238546.22060587502</v>
      </c>
      <c r="E18" s="155">
        <f>VERM!D18</f>
        <v>419435.26597499999</v>
      </c>
      <c r="F18" s="155">
        <f>JP!E18</f>
        <v>2261060.2955</v>
      </c>
      <c r="G18" s="155">
        <f>REP!I18</f>
        <v>-71596.049147297948</v>
      </c>
      <c r="H18" s="22">
        <f t="shared" si="0"/>
        <v>7727575.8329335777</v>
      </c>
      <c r="I18" s="54"/>
    </row>
    <row r="19" spans="1:9" x14ac:dyDescent="0.2">
      <c r="A19" s="353"/>
      <c r="B19" s="63" t="str">
        <f>DFIE!$B39</f>
        <v>Solothurn</v>
      </c>
      <c r="C19" s="73">
        <f>NP!E19</f>
        <v>4572784.0999999996</v>
      </c>
      <c r="D19" s="73">
        <f>QS!AA19</f>
        <v>161003.59720873428</v>
      </c>
      <c r="E19" s="73">
        <f>VERM!D19</f>
        <v>361963.35946499999</v>
      </c>
      <c r="F19" s="73">
        <f>JP!E19</f>
        <v>1286827.5430999999</v>
      </c>
      <c r="G19" s="73">
        <f>REP!I19</f>
        <v>-78409.938056908693</v>
      </c>
      <c r="H19" s="29">
        <f t="shared" si="0"/>
        <v>6304168.6617168263</v>
      </c>
      <c r="I19" s="54"/>
    </row>
    <row r="20" spans="1:9" x14ac:dyDescent="0.2">
      <c r="A20" s="353"/>
      <c r="B20" s="45" t="str">
        <f>DFIE!$B40</f>
        <v>Basel-Stadt</v>
      </c>
      <c r="C20" s="155">
        <f>NP!E20</f>
        <v>4738050.5</v>
      </c>
      <c r="D20" s="155">
        <f>QS!AA20</f>
        <v>743754.24947650661</v>
      </c>
      <c r="E20" s="155">
        <f>VERM!D20</f>
        <v>818026.89209999994</v>
      </c>
      <c r="F20" s="155">
        <f>JP!E20</f>
        <v>3228163.7021000003</v>
      </c>
      <c r="G20" s="155">
        <f>REP!I20</f>
        <v>-9684.8134293769435</v>
      </c>
      <c r="H20" s="22">
        <f t="shared" si="0"/>
        <v>9518310.5302471314</v>
      </c>
      <c r="I20" s="54"/>
    </row>
    <row r="21" spans="1:9" x14ac:dyDescent="0.2">
      <c r="A21" s="353"/>
      <c r="B21" s="63" t="str">
        <f>DFIE!$B41</f>
        <v>Basel-Landschaft</v>
      </c>
      <c r="C21" s="73">
        <f>NP!E21</f>
        <v>6513931.4999999991</v>
      </c>
      <c r="D21" s="73">
        <f>QS!AA21</f>
        <v>384927.58469856111</v>
      </c>
      <c r="E21" s="73">
        <f>VERM!D21</f>
        <v>610995.81278999988</v>
      </c>
      <c r="F21" s="73">
        <f>JP!E21</f>
        <v>1427237.7519</v>
      </c>
      <c r="G21" s="73">
        <f>REP!I21</f>
        <v>-27583.876453725657</v>
      </c>
      <c r="H21" s="29">
        <f t="shared" si="0"/>
        <v>8909508.7729348335</v>
      </c>
      <c r="I21" s="54"/>
    </row>
    <row r="22" spans="1:9" x14ac:dyDescent="0.2">
      <c r="A22" s="353"/>
      <c r="B22" s="45" t="str">
        <f>DFIE!$B42</f>
        <v>Schaffhausen</v>
      </c>
      <c r="C22" s="155">
        <f>NP!E22</f>
        <v>1311565.9999999998</v>
      </c>
      <c r="D22" s="155">
        <f>QS!AA22</f>
        <v>161825.74768842777</v>
      </c>
      <c r="E22" s="155">
        <f>VERM!D22</f>
        <v>187379.69312999997</v>
      </c>
      <c r="F22" s="155">
        <f>JP!E22</f>
        <v>723974.3676</v>
      </c>
      <c r="G22" s="155">
        <f>REP!I22</f>
        <v>7488.2168803917866</v>
      </c>
      <c r="H22" s="22">
        <f t="shared" si="0"/>
        <v>2392234.0252988194</v>
      </c>
      <c r="I22" s="54"/>
    </row>
    <row r="23" spans="1:9" x14ac:dyDescent="0.2">
      <c r="A23" s="353"/>
      <c r="B23" s="63" t="str">
        <f>DFIE!$B43</f>
        <v>Appenzell A.Rh.</v>
      </c>
      <c r="C23" s="73">
        <f>NP!E23</f>
        <v>938493.3</v>
      </c>
      <c r="D23" s="73">
        <f>QS!AA23</f>
        <v>38955.199530618462</v>
      </c>
      <c r="E23" s="73">
        <f>VERM!D23</f>
        <v>200287.92659999998</v>
      </c>
      <c r="F23" s="73">
        <f>JP!E23</f>
        <v>347621.60360000003</v>
      </c>
      <c r="G23" s="73">
        <f>REP!I23</f>
        <v>-7679.4475752911048</v>
      </c>
      <c r="H23" s="29">
        <f t="shared" si="0"/>
        <v>1517678.5821553273</v>
      </c>
      <c r="I23" s="54"/>
    </row>
    <row r="24" spans="1:9" x14ac:dyDescent="0.2">
      <c r="A24" s="353"/>
      <c r="B24" s="45" t="str">
        <f>DFIE!$B44</f>
        <v>Appenzell I.Rh.</v>
      </c>
      <c r="C24" s="155">
        <f>NP!E24</f>
        <v>283224.69999999995</v>
      </c>
      <c r="D24" s="155">
        <f>QS!AA24</f>
        <v>9015.3556265441021</v>
      </c>
      <c r="E24" s="155">
        <f>VERM!D24</f>
        <v>64846.542570000005</v>
      </c>
      <c r="F24" s="155">
        <f>JP!E24</f>
        <v>84045.267300000007</v>
      </c>
      <c r="G24" s="155">
        <f>REP!I24</f>
        <v>-274.53624180937652</v>
      </c>
      <c r="H24" s="22">
        <f t="shared" si="0"/>
        <v>440857.32925473468</v>
      </c>
      <c r="I24" s="54"/>
    </row>
    <row r="25" spans="1:9" x14ac:dyDescent="0.2">
      <c r="A25" s="353"/>
      <c r="B25" s="63" t="str">
        <f>DFIE!$B45</f>
        <v>St. Gallen</v>
      </c>
      <c r="C25" s="73">
        <f>NP!E25</f>
        <v>7681428.5999999987</v>
      </c>
      <c r="D25" s="73">
        <f>QS!AA25</f>
        <v>523971.2100544002</v>
      </c>
      <c r="E25" s="73">
        <f>VERM!D25</f>
        <v>1410834.6027000002</v>
      </c>
      <c r="F25" s="73">
        <f>JP!E25</f>
        <v>3209345.0421000002</v>
      </c>
      <c r="G25" s="73">
        <f>REP!I25</f>
        <v>-26289.013343998537</v>
      </c>
      <c r="H25" s="29">
        <f t="shared" si="0"/>
        <v>12799290.4415104</v>
      </c>
      <c r="I25" s="54"/>
    </row>
    <row r="26" spans="1:9" x14ac:dyDescent="0.2">
      <c r="A26" s="353"/>
      <c r="B26" s="45" t="str">
        <f>DFIE!$B46</f>
        <v>Graubünden</v>
      </c>
      <c r="C26" s="155">
        <f>NP!E26</f>
        <v>3347946.1999999997</v>
      </c>
      <c r="D26" s="155">
        <f>QS!AA26</f>
        <v>394215.55182254303</v>
      </c>
      <c r="E26" s="155">
        <f>VERM!D26</f>
        <v>830389.79819999996</v>
      </c>
      <c r="F26" s="155">
        <f>JP!E26</f>
        <v>919373.27079999994</v>
      </c>
      <c r="G26" s="155">
        <f>REP!I26</f>
        <v>81396.046768117594</v>
      </c>
      <c r="H26" s="22">
        <f t="shared" si="0"/>
        <v>5573320.8675906602</v>
      </c>
      <c r="I26" s="54"/>
    </row>
    <row r="27" spans="1:9" x14ac:dyDescent="0.2">
      <c r="A27" s="353"/>
      <c r="B27" s="63" t="str">
        <f>DFIE!$B47</f>
        <v>Aargau</v>
      </c>
      <c r="C27" s="73">
        <f>NP!E27</f>
        <v>12058814.699999999</v>
      </c>
      <c r="D27" s="73">
        <f>QS!AA27</f>
        <v>614939.27593700215</v>
      </c>
      <c r="E27" s="73">
        <f>VERM!D27</f>
        <v>1626733.2094987349</v>
      </c>
      <c r="F27" s="73">
        <f>JP!E27</f>
        <v>3813349.8356999997</v>
      </c>
      <c r="G27" s="73">
        <f>REP!I27</f>
        <v>-21289.99263335326</v>
      </c>
      <c r="H27" s="29">
        <f t="shared" si="0"/>
        <v>18092547.028502382</v>
      </c>
      <c r="I27" s="54"/>
    </row>
    <row r="28" spans="1:9" x14ac:dyDescent="0.2">
      <c r="A28" s="353"/>
      <c r="B28" s="45" t="str">
        <f>DFIE!$B48</f>
        <v>Thurgau</v>
      </c>
      <c r="C28" s="155">
        <f>NP!E28</f>
        <v>4494134.5999999996</v>
      </c>
      <c r="D28" s="155">
        <f>QS!AA28</f>
        <v>281011.45694731903</v>
      </c>
      <c r="E28" s="155">
        <f>VERM!D28</f>
        <v>733950.12449999992</v>
      </c>
      <c r="F28" s="155">
        <f>JP!E28</f>
        <v>1391260.2639000001</v>
      </c>
      <c r="G28" s="155">
        <f>REP!I28</f>
        <v>26310.921515093043</v>
      </c>
      <c r="H28" s="22">
        <f t="shared" si="0"/>
        <v>6926667.3668624116</v>
      </c>
      <c r="I28" s="54"/>
    </row>
    <row r="29" spans="1:9" x14ac:dyDescent="0.2">
      <c r="A29" s="353"/>
      <c r="B29" s="63" t="str">
        <f>DFIE!$B49</f>
        <v>Tessin</v>
      </c>
      <c r="C29" s="73">
        <f>NP!E29</f>
        <v>6511434.7000000002</v>
      </c>
      <c r="D29" s="73">
        <f>QS!AA29</f>
        <v>900965.22050101869</v>
      </c>
      <c r="E29" s="73">
        <f>VERM!D29</f>
        <v>835959.88042499998</v>
      </c>
      <c r="F29" s="73">
        <f>JP!E29</f>
        <v>2911765.5279000001</v>
      </c>
      <c r="G29" s="73">
        <f>REP!I29</f>
        <v>77199.77270208385</v>
      </c>
      <c r="H29" s="29">
        <f t="shared" si="0"/>
        <v>11237325.101528101</v>
      </c>
      <c r="I29" s="54"/>
    </row>
    <row r="30" spans="1:9" x14ac:dyDescent="0.2">
      <c r="A30" s="353"/>
      <c r="B30" s="45" t="str">
        <f>DFIE!$B50</f>
        <v>Waadt</v>
      </c>
      <c r="C30" s="155">
        <f>NP!E30</f>
        <v>16158364.599999998</v>
      </c>
      <c r="D30" s="155">
        <f>QS!AA30</f>
        <v>1274515.1091953898</v>
      </c>
      <c r="E30" s="155">
        <f>VERM!D30</f>
        <v>1991783.525985</v>
      </c>
      <c r="F30" s="155">
        <f>JP!E30</f>
        <v>5128648.4439000003</v>
      </c>
      <c r="G30" s="155">
        <f>REP!I30</f>
        <v>-80613.213208071</v>
      </c>
      <c r="H30" s="22">
        <f t="shared" si="0"/>
        <v>24472698.465872314</v>
      </c>
      <c r="I30" s="54"/>
    </row>
    <row r="31" spans="1:9" x14ac:dyDescent="0.2">
      <c r="A31" s="353"/>
      <c r="B31" s="63" t="str">
        <f>DFIE!$B51</f>
        <v>Wallis</v>
      </c>
      <c r="C31" s="73">
        <f>NP!E31</f>
        <v>4898896.6999999993</v>
      </c>
      <c r="D31" s="73">
        <f>QS!AA31</f>
        <v>412689.87688020174</v>
      </c>
      <c r="E31" s="73">
        <f>VERM!D31</f>
        <v>681193.87853999995</v>
      </c>
      <c r="F31" s="73">
        <f>JP!E31</f>
        <v>1370755.341</v>
      </c>
      <c r="G31" s="73">
        <f>REP!I31</f>
        <v>104674.86688357826</v>
      </c>
      <c r="H31" s="29">
        <f t="shared" si="0"/>
        <v>7468210.6633037794</v>
      </c>
      <c r="I31" s="54"/>
    </row>
    <row r="32" spans="1:9" x14ac:dyDescent="0.2">
      <c r="A32" s="353"/>
      <c r="B32" s="45" t="str">
        <f>DFIE!$B52</f>
        <v>Neuenburg</v>
      </c>
      <c r="C32" s="155">
        <f>NP!E32</f>
        <v>2778760.1000000006</v>
      </c>
      <c r="D32" s="155">
        <f>QS!AA32</f>
        <v>266908.11250487203</v>
      </c>
      <c r="E32" s="155">
        <f>VERM!D32</f>
        <v>258663.67210500001</v>
      </c>
      <c r="F32" s="155">
        <f>JP!E32</f>
        <v>2761549.7916000001</v>
      </c>
      <c r="G32" s="155">
        <f>REP!I32</f>
        <v>93724.621633276198</v>
      </c>
      <c r="H32" s="22">
        <f t="shared" si="0"/>
        <v>6159606.2978431489</v>
      </c>
      <c r="I32" s="54"/>
    </row>
    <row r="33" spans="1:9" x14ac:dyDescent="0.2">
      <c r="A33" s="353"/>
      <c r="B33" s="63" t="str">
        <f>DFIE!$B53</f>
        <v>Genf</v>
      </c>
      <c r="C33" s="73">
        <f>NP!E33</f>
        <v>12028802.300000001</v>
      </c>
      <c r="D33" s="73">
        <f>QS!AA33</f>
        <v>2538357.5559199741</v>
      </c>
      <c r="E33" s="73">
        <f>VERM!D33</f>
        <v>1581657.9454649999</v>
      </c>
      <c r="F33" s="73">
        <f>JP!E33</f>
        <v>5681257.8895000005</v>
      </c>
      <c r="G33" s="73">
        <f>REP!I33</f>
        <v>149977.23112056596</v>
      </c>
      <c r="H33" s="29">
        <f t="shared" si="0"/>
        <v>21980052.922005545</v>
      </c>
      <c r="I33" s="54"/>
    </row>
    <row r="34" spans="1:9" x14ac:dyDescent="0.2">
      <c r="A34" s="353"/>
      <c r="B34" s="45" t="str">
        <f>DFIE!$B54</f>
        <v>Jura</v>
      </c>
      <c r="C34" s="155">
        <f>NP!E34</f>
        <v>924792.7</v>
      </c>
      <c r="D34" s="155">
        <f>QS!AA34</f>
        <v>96067.863363784214</v>
      </c>
      <c r="E34" s="155">
        <f>VERM!D34</f>
        <v>100021.53</v>
      </c>
      <c r="F34" s="155">
        <f>JP!E34</f>
        <v>416506.62890000001</v>
      </c>
      <c r="G34" s="155">
        <f>REP!I34</f>
        <v>11570.757500050837</v>
      </c>
      <c r="H34" s="22">
        <f t="shared" si="0"/>
        <v>1548959.479763835</v>
      </c>
      <c r="I34" s="54"/>
    </row>
    <row r="35" spans="1:9" x14ac:dyDescent="0.2">
      <c r="A35" s="353"/>
      <c r="B35" s="28" t="str">
        <f>DFIE!$B55</f>
        <v>Schweiz</v>
      </c>
      <c r="C35" s="32">
        <f t="shared" ref="C35:H35" si="1">SUM(C9:C34)</f>
        <v>166207085.79999995</v>
      </c>
      <c r="D35" s="32">
        <f t="shared" si="1"/>
        <v>12477188.042711318</v>
      </c>
      <c r="E35" s="32">
        <f t="shared" si="1"/>
        <v>24846435.486186996</v>
      </c>
      <c r="F35" s="32">
        <f t="shared" si="1"/>
        <v>65495287.254199997</v>
      </c>
      <c r="G35" s="32">
        <f t="shared" si="1"/>
        <v>-14840.519314409714</v>
      </c>
      <c r="H35" s="30">
        <f t="shared" si="1"/>
        <v>269011156.06378388</v>
      </c>
      <c r="I35" s="55"/>
    </row>
    <row r="36" spans="1:9" ht="15" customHeight="1" x14ac:dyDescent="0.25">
      <c r="A36" s="35"/>
      <c r="B36" s="34"/>
      <c r="C36" s="47"/>
      <c r="D36" s="47"/>
      <c r="E36" s="47"/>
      <c r="F36" s="47"/>
      <c r="G36" s="47"/>
      <c r="H36" s="47"/>
    </row>
    <row r="37" spans="1:9" x14ac:dyDescent="0.2">
      <c r="A37" s="354" t="str">
        <f>DFIE!B71</f>
        <v>Bemessungsjahr 2014</v>
      </c>
      <c r="B37" s="64" t="str">
        <f>DFIE!$B29</f>
        <v>Zürich</v>
      </c>
      <c r="C37" s="150">
        <f>NP!E37</f>
        <v>36921065.399999991</v>
      </c>
      <c r="D37" s="150">
        <f>QS!AA37</f>
        <v>2149404.8830916751</v>
      </c>
      <c r="E37" s="150">
        <f>VERM!G9</f>
        <v>5830768.3499999996</v>
      </c>
      <c r="F37" s="150">
        <f>JP!E37</f>
        <v>15207972.648600001</v>
      </c>
      <c r="G37" s="150">
        <f>REP!I37</f>
        <v>-67970.352634544426</v>
      </c>
      <c r="H37" s="31">
        <f t="shared" ref="H37:H62" si="2">SUM(C37:G37)</f>
        <v>60041240.929057129</v>
      </c>
      <c r="I37" s="56"/>
    </row>
    <row r="38" spans="1:9" x14ac:dyDescent="0.2">
      <c r="A38" s="354"/>
      <c r="B38" s="45" t="str">
        <f>DFIE!$B30</f>
        <v>Bern</v>
      </c>
      <c r="C38" s="155">
        <f>NP!E38</f>
        <v>16543831.600000001</v>
      </c>
      <c r="D38" s="155">
        <f>QS!AA38</f>
        <v>701107.15613499365</v>
      </c>
      <c r="E38" s="155">
        <f>VERM!G10</f>
        <v>2364553.4992799996</v>
      </c>
      <c r="F38" s="155">
        <f>JP!E38</f>
        <v>6487648.1067000004</v>
      </c>
      <c r="G38" s="155">
        <f>REP!I38</f>
        <v>-319158.97744013747</v>
      </c>
      <c r="H38" s="22">
        <f t="shared" si="2"/>
        <v>25777981.384674855</v>
      </c>
      <c r="I38" s="56"/>
    </row>
    <row r="39" spans="1:9" x14ac:dyDescent="0.2">
      <c r="A39" s="354"/>
      <c r="B39" s="63" t="str">
        <f>DFIE!$B31</f>
        <v>Luzern</v>
      </c>
      <c r="C39" s="73">
        <f>NP!E39</f>
        <v>7024397.2000000002</v>
      </c>
      <c r="D39" s="73">
        <f>QS!AA39</f>
        <v>275489.57327840367</v>
      </c>
      <c r="E39" s="73">
        <f>VERM!G11</f>
        <v>1202393.659425</v>
      </c>
      <c r="F39" s="73">
        <f>JP!E39</f>
        <v>3381888.7355</v>
      </c>
      <c r="G39" s="73">
        <f>REP!I39</f>
        <v>-35863.070562057466</v>
      </c>
      <c r="H39" s="29">
        <f t="shared" si="2"/>
        <v>11848306.097641347</v>
      </c>
      <c r="I39" s="56"/>
    </row>
    <row r="40" spans="1:9" x14ac:dyDescent="0.2">
      <c r="A40" s="354"/>
      <c r="B40" s="45" t="str">
        <f>DFIE!$B32</f>
        <v>Uri</v>
      </c>
      <c r="C40" s="155">
        <f>NP!E40</f>
        <v>514297.99999999994</v>
      </c>
      <c r="D40" s="155">
        <f>QS!AA40</f>
        <v>32666.886730500002</v>
      </c>
      <c r="E40" s="155">
        <f>VERM!G12</f>
        <v>96663.882689999999</v>
      </c>
      <c r="F40" s="155">
        <f>JP!E40</f>
        <v>197170.88759999999</v>
      </c>
      <c r="G40" s="155">
        <f>REP!I40</f>
        <v>1821.4488370221443</v>
      </c>
      <c r="H40" s="22">
        <f t="shared" si="2"/>
        <v>842621.10585752211</v>
      </c>
      <c r="I40" s="56"/>
    </row>
    <row r="41" spans="1:9" x14ac:dyDescent="0.2">
      <c r="A41" s="354"/>
      <c r="B41" s="63" t="str">
        <f>DFIE!$B33</f>
        <v>Schwyz</v>
      </c>
      <c r="C41" s="73">
        <f>NP!E41</f>
        <v>6434379.2000000002</v>
      </c>
      <c r="D41" s="73">
        <f>QS!AA41</f>
        <v>144017.45313229345</v>
      </c>
      <c r="E41" s="73">
        <f>VERM!G13</f>
        <v>1618126.1740949999</v>
      </c>
      <c r="F41" s="73">
        <f>JP!E41</f>
        <v>1476831.1883999999</v>
      </c>
      <c r="G41" s="73">
        <f>REP!I41</f>
        <v>-2079.0110408395117</v>
      </c>
      <c r="H41" s="29">
        <f t="shared" si="2"/>
        <v>9671275.0045864526</v>
      </c>
      <c r="I41" s="56"/>
    </row>
    <row r="42" spans="1:9" x14ac:dyDescent="0.2">
      <c r="A42" s="354"/>
      <c r="B42" s="45" t="str">
        <f>DFIE!$B34</f>
        <v>Obwalden</v>
      </c>
      <c r="C42" s="155">
        <f>NP!E42</f>
        <v>723487.7</v>
      </c>
      <c r="D42" s="155">
        <f>QS!AA42</f>
        <v>34864.797734174055</v>
      </c>
      <c r="E42" s="155">
        <f>VERM!G14</f>
        <v>187034.69024999999</v>
      </c>
      <c r="F42" s="155">
        <f>JP!E42</f>
        <v>301702.55310000002</v>
      </c>
      <c r="G42" s="155">
        <f>REP!I42</f>
        <v>1298.3905444103466</v>
      </c>
      <c r="H42" s="22">
        <f t="shared" si="2"/>
        <v>1248388.1316285843</v>
      </c>
      <c r="I42" s="56"/>
    </row>
    <row r="43" spans="1:9" x14ac:dyDescent="0.2">
      <c r="A43" s="354"/>
      <c r="B43" s="63" t="str">
        <f>DFIE!$B35</f>
        <v>Nidwalden</v>
      </c>
      <c r="C43" s="73">
        <f>NP!E43</f>
        <v>1466734.3</v>
      </c>
      <c r="D43" s="73">
        <f>QS!AA43</f>
        <v>36623.078270689606</v>
      </c>
      <c r="E43" s="73">
        <f>VERM!G15</f>
        <v>443405.39002499997</v>
      </c>
      <c r="F43" s="73">
        <f>JP!E43</f>
        <v>479039.21980000002</v>
      </c>
      <c r="G43" s="73">
        <f>REP!I43</f>
        <v>16065.658426041849</v>
      </c>
      <c r="H43" s="29">
        <f t="shared" si="2"/>
        <v>2441867.6465217313</v>
      </c>
      <c r="I43" s="56"/>
    </row>
    <row r="44" spans="1:9" x14ac:dyDescent="0.2">
      <c r="A44" s="354"/>
      <c r="B44" s="45" t="str">
        <f>DFIE!$B36</f>
        <v>Glarus</v>
      </c>
      <c r="C44" s="155">
        <f>NP!E44</f>
        <v>602327.30000000005</v>
      </c>
      <c r="D44" s="155">
        <f>QS!AA44</f>
        <v>47132.173282076787</v>
      </c>
      <c r="E44" s="155">
        <f>VERM!G16</f>
        <v>109809.34435500001</v>
      </c>
      <c r="F44" s="155">
        <f>JP!E44</f>
        <v>194327.98610000001</v>
      </c>
      <c r="G44" s="155">
        <f>REP!I44</f>
        <v>2200.3727661065832</v>
      </c>
      <c r="H44" s="22">
        <f t="shared" si="2"/>
        <v>955797.17650318344</v>
      </c>
      <c r="I44" s="56"/>
    </row>
    <row r="45" spans="1:9" x14ac:dyDescent="0.2">
      <c r="A45" s="354"/>
      <c r="B45" s="63" t="str">
        <f>DFIE!$B37</f>
        <v>Zug</v>
      </c>
      <c r="C45" s="73">
        <f>NP!E45</f>
        <v>4724265</v>
      </c>
      <c r="D45" s="73">
        <f>QS!AA45</f>
        <v>232072.18003751841</v>
      </c>
      <c r="E45" s="73">
        <f>VERM!G17</f>
        <v>913095.28273483342</v>
      </c>
      <c r="F45" s="73">
        <f>JP!E45</f>
        <v>3944906.8832</v>
      </c>
      <c r="G45" s="73">
        <f>REP!I45</f>
        <v>28974.322866366674</v>
      </c>
      <c r="H45" s="29">
        <f t="shared" si="2"/>
        <v>9843313.6688387189</v>
      </c>
      <c r="I45" s="56"/>
    </row>
    <row r="46" spans="1:9" x14ac:dyDescent="0.2">
      <c r="A46" s="354"/>
      <c r="B46" s="45" t="str">
        <f>DFIE!$B38</f>
        <v>Freiburg</v>
      </c>
      <c r="C46" s="155">
        <f>NP!E46</f>
        <v>4920482.1000000006</v>
      </c>
      <c r="D46" s="155">
        <f>QS!AA46</f>
        <v>244746.24415036238</v>
      </c>
      <c r="E46" s="155">
        <f>VERM!G18</f>
        <v>450306.80582999997</v>
      </c>
      <c r="F46" s="155">
        <f>JP!E46</f>
        <v>2729540.9833</v>
      </c>
      <c r="G46" s="155">
        <f>REP!I46</f>
        <v>-78054.327144034076</v>
      </c>
      <c r="H46" s="22">
        <f t="shared" si="2"/>
        <v>8267021.8061363287</v>
      </c>
      <c r="I46" s="56"/>
    </row>
    <row r="47" spans="1:9" x14ac:dyDescent="0.2">
      <c r="A47" s="354"/>
      <c r="B47" s="63" t="str">
        <f>DFIE!$B39</f>
        <v>Solothurn</v>
      </c>
      <c r="C47" s="73">
        <f>NP!E47</f>
        <v>4731259.5</v>
      </c>
      <c r="D47" s="73">
        <f>QS!AA47</f>
        <v>159472.3899218826</v>
      </c>
      <c r="E47" s="73">
        <f>VERM!G19</f>
        <v>366542.02204499999</v>
      </c>
      <c r="F47" s="73">
        <f>JP!E47</f>
        <v>1372223.4809999999</v>
      </c>
      <c r="G47" s="73">
        <f>REP!I47</f>
        <v>-19514.333814688842</v>
      </c>
      <c r="H47" s="29">
        <f t="shared" si="2"/>
        <v>6609983.0591521934</v>
      </c>
      <c r="I47" s="56"/>
    </row>
    <row r="48" spans="1:9" x14ac:dyDescent="0.2">
      <c r="A48" s="354"/>
      <c r="B48" s="45" t="str">
        <f>DFIE!$B40</f>
        <v>Basel-Stadt</v>
      </c>
      <c r="C48" s="155">
        <f>NP!E48</f>
        <v>4907878.9000000004</v>
      </c>
      <c r="D48" s="155">
        <f>QS!AA48</f>
        <v>779165.0826151761</v>
      </c>
      <c r="E48" s="155">
        <f>VERM!G20</f>
        <v>882196.70074500004</v>
      </c>
      <c r="F48" s="155">
        <f>JP!E48</f>
        <v>3303851.8618999999</v>
      </c>
      <c r="G48" s="155">
        <f>REP!I48</f>
        <v>-27707.072826918462</v>
      </c>
      <c r="H48" s="22">
        <f t="shared" si="2"/>
        <v>9845385.4724332578</v>
      </c>
      <c r="I48" s="56"/>
    </row>
    <row r="49" spans="1:9" x14ac:dyDescent="0.2">
      <c r="A49" s="354"/>
      <c r="B49" s="63" t="str">
        <f>DFIE!$B41</f>
        <v>Basel-Landschaft</v>
      </c>
      <c r="C49" s="73">
        <f>NP!E49</f>
        <v>6752348.0999999996</v>
      </c>
      <c r="D49" s="73">
        <f>QS!AA49</f>
        <v>399643.73253202508</v>
      </c>
      <c r="E49" s="73">
        <f>VERM!G21</f>
        <v>645802.44807000004</v>
      </c>
      <c r="F49" s="73">
        <f>JP!E49</f>
        <v>1383394.5357000001</v>
      </c>
      <c r="G49" s="73">
        <f>REP!I49</f>
        <v>2693.4155548132303</v>
      </c>
      <c r="H49" s="29">
        <f t="shared" si="2"/>
        <v>9183882.2318568397</v>
      </c>
      <c r="I49" s="56"/>
    </row>
    <row r="50" spans="1:9" x14ac:dyDescent="0.2">
      <c r="A50" s="354"/>
      <c r="B50" s="45" t="str">
        <f>DFIE!$B42</f>
        <v>Schaffhausen</v>
      </c>
      <c r="C50" s="155">
        <f>NP!E50</f>
        <v>1342841.5</v>
      </c>
      <c r="D50" s="155">
        <f>QS!AA50</f>
        <v>164844.2094988254</v>
      </c>
      <c r="E50" s="155">
        <f>VERM!G22</f>
        <v>197301.86053500001</v>
      </c>
      <c r="F50" s="155">
        <f>JP!E50</f>
        <v>757242.13779999991</v>
      </c>
      <c r="G50" s="155">
        <f>REP!I50</f>
        <v>13059.323148632349</v>
      </c>
      <c r="H50" s="22">
        <f t="shared" si="2"/>
        <v>2475289.030982458</v>
      </c>
      <c r="I50" s="56"/>
    </row>
    <row r="51" spans="1:9" x14ac:dyDescent="0.2">
      <c r="A51" s="354"/>
      <c r="B51" s="63" t="str">
        <f>DFIE!$B43</f>
        <v>Appenzell A.Rh.</v>
      </c>
      <c r="C51" s="73">
        <f>NP!E51</f>
        <v>952567.19999999984</v>
      </c>
      <c r="D51" s="73">
        <f>QS!AA51</f>
        <v>39346.53041557617</v>
      </c>
      <c r="E51" s="73">
        <f>VERM!G23</f>
        <v>207352.567725</v>
      </c>
      <c r="F51" s="73">
        <f>JP!E51</f>
        <v>377630.5809</v>
      </c>
      <c r="G51" s="73">
        <f>REP!I51</f>
        <v>1260.4528284566647</v>
      </c>
      <c r="H51" s="29">
        <f t="shared" si="2"/>
        <v>1578157.3318690327</v>
      </c>
      <c r="I51" s="56"/>
    </row>
    <row r="52" spans="1:9" x14ac:dyDescent="0.2">
      <c r="A52" s="354"/>
      <c r="B52" s="45" t="str">
        <f>DFIE!$B44</f>
        <v>Appenzell I.Rh.</v>
      </c>
      <c r="C52" s="155">
        <f>NP!E52</f>
        <v>294879.59999999998</v>
      </c>
      <c r="D52" s="155">
        <f>QS!AA52</f>
        <v>9428.4319622465482</v>
      </c>
      <c r="E52" s="155">
        <f>VERM!G24</f>
        <v>70982.953559999994</v>
      </c>
      <c r="F52" s="155">
        <f>JP!E52</f>
        <v>88121.386300000013</v>
      </c>
      <c r="G52" s="155">
        <f>REP!I52</f>
        <v>596.94269881171158</v>
      </c>
      <c r="H52" s="22">
        <f t="shared" si="2"/>
        <v>464009.31452105823</v>
      </c>
      <c r="I52" s="56"/>
    </row>
    <row r="53" spans="1:9" x14ac:dyDescent="0.2">
      <c r="A53" s="354"/>
      <c r="B53" s="63" t="str">
        <f>DFIE!$B45</f>
        <v>St. Gallen</v>
      </c>
      <c r="C53" s="73">
        <f>NP!E53</f>
        <v>7884121.2999999998</v>
      </c>
      <c r="D53" s="73">
        <f>QS!AA53</f>
        <v>539507.0263255029</v>
      </c>
      <c r="E53" s="73">
        <f>VERM!G25</f>
        <v>1505294.0770049999</v>
      </c>
      <c r="F53" s="73">
        <f>JP!E53</f>
        <v>3308107.1549</v>
      </c>
      <c r="G53" s="73">
        <f>REP!I53</f>
        <v>78596.856898807717</v>
      </c>
      <c r="H53" s="29">
        <f t="shared" si="2"/>
        <v>13315626.415129308</v>
      </c>
      <c r="I53" s="56"/>
    </row>
    <row r="54" spans="1:9" x14ac:dyDescent="0.2">
      <c r="A54" s="354"/>
      <c r="B54" s="45" t="str">
        <f>DFIE!$B46</f>
        <v>Graubünden</v>
      </c>
      <c r="C54" s="155">
        <f>NP!E54</f>
        <v>3404509.6</v>
      </c>
      <c r="D54" s="155">
        <f>QS!AA54</f>
        <v>400719.67048046418</v>
      </c>
      <c r="E54" s="155">
        <f>VERM!G26</f>
        <v>876961.86482999998</v>
      </c>
      <c r="F54" s="155">
        <f>JP!E54</f>
        <v>942437.51620000007</v>
      </c>
      <c r="G54" s="155">
        <f>REP!I54</f>
        <v>110719.87878802208</v>
      </c>
      <c r="H54" s="22">
        <f t="shared" si="2"/>
        <v>5735348.5302984873</v>
      </c>
      <c r="I54" s="56"/>
    </row>
    <row r="55" spans="1:9" x14ac:dyDescent="0.2">
      <c r="A55" s="354"/>
      <c r="B55" s="63" t="str">
        <f>DFIE!$B47</f>
        <v>Aargau</v>
      </c>
      <c r="C55" s="73">
        <f>NP!E55</f>
        <v>12293764.599999998</v>
      </c>
      <c r="D55" s="73">
        <f>QS!AA55</f>
        <v>657273.86223649781</v>
      </c>
      <c r="E55" s="73">
        <f>VERM!G27</f>
        <v>1684187.4617850001</v>
      </c>
      <c r="F55" s="73">
        <f>JP!E55</f>
        <v>3669768.8345000003</v>
      </c>
      <c r="G55" s="73">
        <f>REP!I55</f>
        <v>5671.3194364347737</v>
      </c>
      <c r="H55" s="29">
        <f t="shared" si="2"/>
        <v>18310666.077957932</v>
      </c>
      <c r="I55" s="56"/>
    </row>
    <row r="56" spans="1:9" x14ac:dyDescent="0.2">
      <c r="A56" s="354"/>
      <c r="B56" s="45" t="str">
        <f>DFIE!$B48</f>
        <v>Thurgau</v>
      </c>
      <c r="C56" s="155">
        <f>NP!E56</f>
        <v>4563342.0999999996</v>
      </c>
      <c r="D56" s="155">
        <f>QS!AA56</f>
        <v>289080.54736545088</v>
      </c>
      <c r="E56" s="155">
        <f>VERM!G28</f>
        <v>776898.45600000001</v>
      </c>
      <c r="F56" s="155">
        <f>JP!E56</f>
        <v>1282867.0537</v>
      </c>
      <c r="G56" s="155">
        <f>REP!I56</f>
        <v>-3355.1200332366793</v>
      </c>
      <c r="H56" s="22">
        <f t="shared" si="2"/>
        <v>6908833.0370322149</v>
      </c>
      <c r="I56" s="56"/>
    </row>
    <row r="57" spans="1:9" x14ac:dyDescent="0.2">
      <c r="A57" s="354"/>
      <c r="B57" s="63" t="str">
        <f>DFIE!$B49</f>
        <v>Tessin</v>
      </c>
      <c r="C57" s="73">
        <f>NP!E57</f>
        <v>6694114.1000000006</v>
      </c>
      <c r="D57" s="73">
        <f>QS!AA57</f>
        <v>997605.11202556873</v>
      </c>
      <c r="E57" s="73">
        <f>VERM!G29</f>
        <v>883056.03187499999</v>
      </c>
      <c r="F57" s="73">
        <f>JP!E57</f>
        <v>2802868.8266999996</v>
      </c>
      <c r="G57" s="73">
        <f>REP!I57</f>
        <v>59668.309767845902</v>
      </c>
      <c r="H57" s="29">
        <f t="shared" si="2"/>
        <v>11437312.380368415</v>
      </c>
      <c r="I57" s="56"/>
    </row>
    <row r="58" spans="1:9" x14ac:dyDescent="0.2">
      <c r="A58" s="354"/>
      <c r="B58" s="45" t="str">
        <f>DFIE!$B50</f>
        <v>Waadt</v>
      </c>
      <c r="C58" s="155">
        <f>NP!E58</f>
        <v>16529647.299999999</v>
      </c>
      <c r="D58" s="155">
        <f>QS!AA58</f>
        <v>1378773.221144441</v>
      </c>
      <c r="E58" s="155">
        <f>VERM!G30</f>
        <v>2038135.32045</v>
      </c>
      <c r="F58" s="155">
        <f>JP!E58</f>
        <v>5416748.2347999997</v>
      </c>
      <c r="G58" s="155">
        <f>REP!I58</f>
        <v>36469.286896370359</v>
      </c>
      <c r="H58" s="22">
        <f t="shared" si="2"/>
        <v>25399773.363290809</v>
      </c>
      <c r="I58" s="56"/>
    </row>
    <row r="59" spans="1:9" x14ac:dyDescent="0.2">
      <c r="A59" s="354"/>
      <c r="B59" s="63" t="str">
        <f>DFIE!$B51</f>
        <v>Wallis</v>
      </c>
      <c r="C59" s="73">
        <f>NP!E59</f>
        <v>4899814.6999999993</v>
      </c>
      <c r="D59" s="73">
        <f>QS!AA59</f>
        <v>430264.03933856206</v>
      </c>
      <c r="E59" s="73">
        <f>VERM!G31</f>
        <v>712487.96329500002</v>
      </c>
      <c r="F59" s="73">
        <f>JP!E59</f>
        <v>1276451.7247000001</v>
      </c>
      <c r="G59" s="73">
        <f>REP!I59</f>
        <v>166617.85329668332</v>
      </c>
      <c r="H59" s="29">
        <f t="shared" si="2"/>
        <v>7485636.2806302439</v>
      </c>
      <c r="I59" s="56"/>
    </row>
    <row r="60" spans="1:9" x14ac:dyDescent="0.2">
      <c r="A60" s="354"/>
      <c r="B60" s="45" t="str">
        <f>DFIE!$B52</f>
        <v>Neuenburg</v>
      </c>
      <c r="C60" s="155">
        <f>NP!E60</f>
        <v>2844219.8</v>
      </c>
      <c r="D60" s="155">
        <f>QS!AA60</f>
        <v>283552.56919694238</v>
      </c>
      <c r="E60" s="155">
        <f>VERM!G32</f>
        <v>276056.09733000002</v>
      </c>
      <c r="F60" s="155">
        <f>JP!E60</f>
        <v>1697499.9332999999</v>
      </c>
      <c r="G60" s="155">
        <f>REP!I60</f>
        <v>-16882.579704259872</v>
      </c>
      <c r="H60" s="22">
        <f t="shared" si="2"/>
        <v>5084445.8201226825</v>
      </c>
      <c r="I60" s="56"/>
    </row>
    <row r="61" spans="1:9" x14ac:dyDescent="0.2">
      <c r="A61" s="354"/>
      <c r="B61" s="63" t="str">
        <f>DFIE!$B53</f>
        <v>Genf</v>
      </c>
      <c r="C61" s="73">
        <f>NP!E61</f>
        <v>14521423.199999999</v>
      </c>
      <c r="D61" s="73">
        <f>QS!AA61</f>
        <v>2335919.7924801297</v>
      </c>
      <c r="E61" s="73">
        <f>VERM!G33</f>
        <v>1726147.6593899999</v>
      </c>
      <c r="F61" s="73">
        <f>JP!E61</f>
        <v>6029026.4586999994</v>
      </c>
      <c r="G61" s="73">
        <f>REP!I61</f>
        <v>23045.320236837208</v>
      </c>
      <c r="H61" s="29">
        <f t="shared" si="2"/>
        <v>24635562.430806961</v>
      </c>
      <c r="I61" s="56"/>
    </row>
    <row r="62" spans="1:9" x14ac:dyDescent="0.2">
      <c r="A62" s="354"/>
      <c r="B62" s="45" t="str">
        <f>DFIE!$B54</f>
        <v>Jura</v>
      </c>
      <c r="C62" s="155">
        <f>NP!E62</f>
        <v>962200.20000000007</v>
      </c>
      <c r="D62" s="155">
        <f>QS!AA62</f>
        <v>104331.61531505088</v>
      </c>
      <c r="E62" s="155">
        <f>VERM!G34</f>
        <v>105612.56999999999</v>
      </c>
      <c r="F62" s="155">
        <f>JP!E62</f>
        <v>446262.79830000002</v>
      </c>
      <c r="G62" s="155">
        <f>REP!I62</f>
        <v>13843.037039942359</v>
      </c>
      <c r="H62" s="22">
        <f t="shared" si="2"/>
        <v>1632250.2206549936</v>
      </c>
      <c r="I62" s="56"/>
    </row>
    <row r="63" spans="1:9" x14ac:dyDescent="0.2">
      <c r="A63" s="354"/>
      <c r="B63" s="28" t="str">
        <f>DFIE!$B55</f>
        <v>Schweiz</v>
      </c>
      <c r="C63" s="32">
        <f t="shared" ref="C63:H63" si="3">SUM(C37:C62)</f>
        <v>173454199.49999994</v>
      </c>
      <c r="D63" s="32">
        <f t="shared" si="3"/>
        <v>12867052.258697035</v>
      </c>
      <c r="E63" s="32">
        <f t="shared" si="3"/>
        <v>26171173.133324832</v>
      </c>
      <c r="F63" s="32">
        <f t="shared" si="3"/>
        <v>68555531.711700007</v>
      </c>
      <c r="G63" s="32">
        <f t="shared" si="3"/>
        <v>-7982.6551691116802</v>
      </c>
      <c r="H63" s="30">
        <f t="shared" si="3"/>
        <v>281039973.94855273</v>
      </c>
      <c r="I63" s="56"/>
    </row>
    <row r="64" spans="1:9" ht="14.25" customHeight="1" x14ac:dyDescent="0.2">
      <c r="A64" s="36"/>
      <c r="B64" s="34"/>
      <c r="C64" s="47"/>
      <c r="D64" s="47"/>
      <c r="E64" s="47"/>
      <c r="F64" s="47"/>
      <c r="G64" s="47"/>
      <c r="H64" s="47"/>
    </row>
    <row r="65" spans="1:9" x14ac:dyDescent="0.2">
      <c r="A65" s="355" t="str">
        <f>DFIE!B72</f>
        <v>Bemessungsjahr 2015</v>
      </c>
      <c r="B65" s="64" t="str">
        <f>DFIE!$B29</f>
        <v>Zürich</v>
      </c>
      <c r="C65" s="150">
        <f>NP!E65</f>
        <v>38236928.599999994</v>
      </c>
      <c r="D65" s="150">
        <f>QS!AA65</f>
        <v>2317796.400599794</v>
      </c>
      <c r="E65" s="150">
        <f>VERM!J9</f>
        <v>5867189.2212899998</v>
      </c>
      <c r="F65" s="150">
        <f>JP!E65</f>
        <v>14488843.7656</v>
      </c>
      <c r="G65" s="150">
        <f>REP!I65</f>
        <v>-276161.81359224871</v>
      </c>
      <c r="H65" s="31">
        <f t="shared" ref="H65:H90" si="4">SUM(C65:G65)</f>
        <v>60634596.173897542</v>
      </c>
      <c r="I65" s="58"/>
    </row>
    <row r="66" spans="1:9" x14ac:dyDescent="0.2">
      <c r="A66" s="355"/>
      <c r="B66" s="45" t="str">
        <f>DFIE!$B30</f>
        <v>Bern</v>
      </c>
      <c r="C66" s="155">
        <f>NP!E66</f>
        <v>17096889.199999999</v>
      </c>
      <c r="D66" s="155">
        <f>QS!AA66</f>
        <v>592029.84182030172</v>
      </c>
      <c r="E66" s="155">
        <f>VERM!J10</f>
        <v>2514728.9418000001</v>
      </c>
      <c r="F66" s="155">
        <f>JP!E66</f>
        <v>7061768.2566999998</v>
      </c>
      <c r="G66" s="155">
        <f>REP!I66</f>
        <v>3268.2857711171105</v>
      </c>
      <c r="H66" s="22">
        <f t="shared" si="4"/>
        <v>27268684.526091419</v>
      </c>
      <c r="I66" s="58"/>
    </row>
    <row r="67" spans="1:9" x14ac:dyDescent="0.2">
      <c r="A67" s="355"/>
      <c r="B67" s="63" t="str">
        <f>DFIE!$B31</f>
        <v>Luzern</v>
      </c>
      <c r="C67" s="73">
        <f>NP!E67</f>
        <v>7264806.0000000009</v>
      </c>
      <c r="D67" s="73">
        <f>QS!AA67</f>
        <v>286857.27694326232</v>
      </c>
      <c r="E67" s="73">
        <f>VERM!J11</f>
        <v>1238082.37824</v>
      </c>
      <c r="F67" s="73">
        <f>JP!E67</f>
        <v>3496694.6192999999</v>
      </c>
      <c r="G67" s="73">
        <f>REP!I67</f>
        <v>-262230.6442882205</v>
      </c>
      <c r="H67" s="29">
        <f t="shared" si="4"/>
        <v>12024209.630195042</v>
      </c>
      <c r="I67" s="58"/>
    </row>
    <row r="68" spans="1:9" x14ac:dyDescent="0.2">
      <c r="A68" s="355"/>
      <c r="B68" s="45" t="str">
        <f>DFIE!$B32</f>
        <v>Uri</v>
      </c>
      <c r="C68" s="155">
        <f>NP!E68</f>
        <v>525583.1</v>
      </c>
      <c r="D68" s="155">
        <f>QS!AA68</f>
        <v>32204.933674790878</v>
      </c>
      <c r="E68" s="155">
        <f>VERM!J12</f>
        <v>98670.718844999996</v>
      </c>
      <c r="F68" s="155">
        <f>JP!E68</f>
        <v>254426.5454</v>
      </c>
      <c r="G68" s="155">
        <f>REP!I68</f>
        <v>1173.1989162098257</v>
      </c>
      <c r="H68" s="22">
        <f t="shared" si="4"/>
        <v>912058.49683600082</v>
      </c>
      <c r="I68" s="58"/>
    </row>
    <row r="69" spans="1:9" x14ac:dyDescent="0.2">
      <c r="A69" s="355"/>
      <c r="B69" s="63" t="str">
        <f>DFIE!$B33</f>
        <v>Schwyz</v>
      </c>
      <c r="C69" s="73">
        <f>NP!E69</f>
        <v>5451263.2999999998</v>
      </c>
      <c r="D69" s="73">
        <f>QS!AA69</f>
        <v>151969.56316287472</v>
      </c>
      <c r="E69" s="73">
        <f>VERM!J13</f>
        <v>1660675.6450499999</v>
      </c>
      <c r="F69" s="73">
        <f>JP!E69</f>
        <v>1501835.7718999998</v>
      </c>
      <c r="G69" s="73">
        <f>REP!I69</f>
        <v>-1741.9861055122519</v>
      </c>
      <c r="H69" s="29">
        <f t="shared" si="4"/>
        <v>8764002.2940073609</v>
      </c>
      <c r="I69" s="58"/>
    </row>
    <row r="70" spans="1:9" x14ac:dyDescent="0.2">
      <c r="A70" s="355"/>
      <c r="B70" s="45" t="str">
        <f>DFIE!$B34</f>
        <v>Obwalden</v>
      </c>
      <c r="C70" s="155">
        <f>NP!E70</f>
        <v>1359922.2</v>
      </c>
      <c r="D70" s="155">
        <f>QS!AA70</f>
        <v>36416.031042403047</v>
      </c>
      <c r="E70" s="155">
        <f>VERM!J14</f>
        <v>180810.03110999998</v>
      </c>
      <c r="F70" s="155">
        <f>JP!E70</f>
        <v>292257.65640000004</v>
      </c>
      <c r="G70" s="155">
        <f>REP!I70</f>
        <v>2659.3257177117566</v>
      </c>
      <c r="H70" s="22">
        <f t="shared" si="4"/>
        <v>1872065.2442701149</v>
      </c>
      <c r="I70" s="58"/>
    </row>
    <row r="71" spans="1:9" x14ac:dyDescent="0.2">
      <c r="A71" s="355"/>
      <c r="B71" s="63" t="str">
        <f>DFIE!$B35</f>
        <v>Nidwalden</v>
      </c>
      <c r="C71" s="73">
        <f>NP!E71</f>
        <v>1206417.5</v>
      </c>
      <c r="D71" s="73">
        <f>QS!AA71</f>
        <v>38801.518523338251</v>
      </c>
      <c r="E71" s="73">
        <f>VERM!J15</f>
        <v>431030.21114999999</v>
      </c>
      <c r="F71" s="73">
        <f>JP!E71</f>
        <v>507922.27980000002</v>
      </c>
      <c r="G71" s="73">
        <f>REP!I71</f>
        <v>13592.225568123729</v>
      </c>
      <c r="H71" s="29">
        <f t="shared" si="4"/>
        <v>2197763.7350414619</v>
      </c>
      <c r="I71" s="58"/>
    </row>
    <row r="72" spans="1:9" x14ac:dyDescent="0.2">
      <c r="A72" s="355"/>
      <c r="B72" s="45" t="str">
        <f>DFIE!$B36</f>
        <v>Glarus</v>
      </c>
      <c r="C72" s="155">
        <f>NP!E72</f>
        <v>604309.5</v>
      </c>
      <c r="D72" s="155">
        <f>QS!AA72</f>
        <v>46888.64052919353</v>
      </c>
      <c r="E72" s="155">
        <f>VERM!J16</f>
        <v>112949.44931999999</v>
      </c>
      <c r="F72" s="155">
        <f>JP!E72</f>
        <v>178702.1097</v>
      </c>
      <c r="G72" s="155">
        <f>REP!I72</f>
        <v>8249.546845047751</v>
      </c>
      <c r="H72" s="22">
        <f t="shared" si="4"/>
        <v>951099.24639424135</v>
      </c>
      <c r="I72" s="58"/>
    </row>
    <row r="73" spans="1:9" x14ac:dyDescent="0.2">
      <c r="A73" s="355"/>
      <c r="B73" s="63" t="str">
        <f>DFIE!$B37</f>
        <v>Zug</v>
      </c>
      <c r="C73" s="73">
        <f>NP!E73</f>
        <v>4966900.6000000006</v>
      </c>
      <c r="D73" s="73">
        <f>QS!AA73</f>
        <v>229491.246496443</v>
      </c>
      <c r="E73" s="73">
        <f>VERM!J17</f>
        <v>901919.33641266299</v>
      </c>
      <c r="F73" s="73">
        <f>JP!E73</f>
        <v>4760161.7033000002</v>
      </c>
      <c r="G73" s="73">
        <f>REP!I73</f>
        <v>25997.435617401101</v>
      </c>
      <c r="H73" s="29">
        <f t="shared" si="4"/>
        <v>10884470.321826506</v>
      </c>
      <c r="I73" s="58"/>
    </row>
    <row r="74" spans="1:9" x14ac:dyDescent="0.2">
      <c r="A74" s="355"/>
      <c r="B74" s="45" t="str">
        <f>DFIE!$B38</f>
        <v>Freiburg</v>
      </c>
      <c r="C74" s="155">
        <f>NP!E74</f>
        <v>5156272.0999999996</v>
      </c>
      <c r="D74" s="155">
        <f>QS!AA74</f>
        <v>258639.4329560652</v>
      </c>
      <c r="E74" s="155">
        <f>VERM!J18</f>
        <v>457035.74929499999</v>
      </c>
      <c r="F74" s="155">
        <f>JP!E74</f>
        <v>2590002.0610999996</v>
      </c>
      <c r="G74" s="155">
        <f>REP!I74</f>
        <v>-59678.462742315882</v>
      </c>
      <c r="H74" s="22">
        <f t="shared" si="4"/>
        <v>8402270.8806087486</v>
      </c>
      <c r="I74" s="58"/>
    </row>
    <row r="75" spans="1:9" x14ac:dyDescent="0.2">
      <c r="A75" s="355"/>
      <c r="B75" s="63" t="str">
        <f>DFIE!$B39</f>
        <v>Solothurn</v>
      </c>
      <c r="C75" s="73">
        <f>NP!E75</f>
        <v>4809124.5</v>
      </c>
      <c r="D75" s="73">
        <f>QS!AA75</f>
        <v>172888.88107121675</v>
      </c>
      <c r="E75" s="73">
        <f>VERM!J19</f>
        <v>406453.26299999998</v>
      </c>
      <c r="F75" s="73">
        <f>JP!E75</f>
        <v>1228659.9198999999</v>
      </c>
      <c r="G75" s="73">
        <f>REP!I75</f>
        <v>-16812.704032100646</v>
      </c>
      <c r="H75" s="29">
        <f t="shared" si="4"/>
        <v>6600313.8599391161</v>
      </c>
      <c r="I75" s="58"/>
    </row>
    <row r="76" spans="1:9" x14ac:dyDescent="0.2">
      <c r="A76" s="355"/>
      <c r="B76" s="45" t="str">
        <f>DFIE!$B40</f>
        <v>Basel-Stadt</v>
      </c>
      <c r="C76" s="155">
        <f>NP!E76</f>
        <v>4982835.8999999994</v>
      </c>
      <c r="D76" s="155">
        <f>QS!AA76</f>
        <v>762750.06332405726</v>
      </c>
      <c r="E76" s="155">
        <f>VERM!J20</f>
        <v>841068.67619999999</v>
      </c>
      <c r="F76" s="155">
        <f>JP!E76</f>
        <v>3257799.6037999997</v>
      </c>
      <c r="G76" s="155">
        <f>REP!I76</f>
        <v>-45529.212767625359</v>
      </c>
      <c r="H76" s="22">
        <f t="shared" si="4"/>
        <v>9798925.030556431</v>
      </c>
      <c r="I76" s="58"/>
    </row>
    <row r="77" spans="1:9" x14ac:dyDescent="0.2">
      <c r="A77" s="355"/>
      <c r="B77" s="63" t="str">
        <f>DFIE!$B41</f>
        <v>Basel-Landschaft</v>
      </c>
      <c r="C77" s="73">
        <f>NP!E77</f>
        <v>6883004.7000000011</v>
      </c>
      <c r="D77" s="73">
        <f>QS!AA77</f>
        <v>413747.41243052133</v>
      </c>
      <c r="E77" s="73">
        <f>VERM!J21</f>
        <v>661086.286785</v>
      </c>
      <c r="F77" s="73">
        <f>JP!E77</f>
        <v>1490671.7148</v>
      </c>
      <c r="G77" s="73">
        <f>REP!I77</f>
        <v>-30128.721788458221</v>
      </c>
      <c r="H77" s="29">
        <f t="shared" si="4"/>
        <v>9418381.392227063</v>
      </c>
      <c r="I77" s="58"/>
    </row>
    <row r="78" spans="1:9" x14ac:dyDescent="0.2">
      <c r="A78" s="355"/>
      <c r="B78" s="45" t="str">
        <f>DFIE!$B42</f>
        <v>Schaffhausen</v>
      </c>
      <c r="C78" s="155">
        <f>NP!E78</f>
        <v>1368876.7</v>
      </c>
      <c r="D78" s="155">
        <f>QS!AA78</f>
        <v>155168.87053242553</v>
      </c>
      <c r="E78" s="155">
        <f>VERM!J22</f>
        <v>190141.12909499998</v>
      </c>
      <c r="F78" s="155">
        <f>JP!E78</f>
        <v>776054.46230000001</v>
      </c>
      <c r="G78" s="155">
        <f>REP!I78</f>
        <v>42104.245537631039</v>
      </c>
      <c r="H78" s="22">
        <f t="shared" si="4"/>
        <v>2532345.4074650565</v>
      </c>
      <c r="I78" s="58"/>
    </row>
    <row r="79" spans="1:9" x14ac:dyDescent="0.2">
      <c r="A79" s="355"/>
      <c r="B79" s="63" t="str">
        <f>DFIE!$B43</f>
        <v>Appenzell A.Rh.</v>
      </c>
      <c r="C79" s="73">
        <f>NP!E79</f>
        <v>979707.10000000009</v>
      </c>
      <c r="D79" s="73">
        <f>QS!AA79</f>
        <v>37388.785984178707</v>
      </c>
      <c r="E79" s="73">
        <f>VERM!J23</f>
        <v>210849.68565</v>
      </c>
      <c r="F79" s="73">
        <f>JP!E79</f>
        <v>353993.95809999999</v>
      </c>
      <c r="G79" s="73">
        <f>REP!I79</f>
        <v>-12556.221225445464</v>
      </c>
      <c r="H79" s="29">
        <f t="shared" si="4"/>
        <v>1569383.3085087333</v>
      </c>
      <c r="I79" s="58"/>
    </row>
    <row r="80" spans="1:9" x14ac:dyDescent="0.2">
      <c r="A80" s="355"/>
      <c r="B80" s="45" t="str">
        <f>DFIE!$B44</f>
        <v>Appenzell I.Rh.</v>
      </c>
      <c r="C80" s="155">
        <f>NP!E80</f>
        <v>328453.40000000002</v>
      </c>
      <c r="D80" s="155">
        <f>QS!AA80</f>
        <v>10131.63426076633</v>
      </c>
      <c r="E80" s="155">
        <f>VERM!J24</f>
        <v>75243.909150000007</v>
      </c>
      <c r="F80" s="155">
        <f>JP!E80</f>
        <v>101264.5766</v>
      </c>
      <c r="G80" s="155">
        <f>REP!I80</f>
        <v>8050.1388640164832</v>
      </c>
      <c r="H80" s="22">
        <f t="shared" si="4"/>
        <v>523143.65887478285</v>
      </c>
      <c r="I80" s="58"/>
    </row>
    <row r="81" spans="1:9" x14ac:dyDescent="0.2">
      <c r="A81" s="355"/>
      <c r="B81" s="63" t="str">
        <f>DFIE!$B45</f>
        <v>St. Gallen</v>
      </c>
      <c r="C81" s="73">
        <f>NP!E81</f>
        <v>8115364.2000000002</v>
      </c>
      <c r="D81" s="73">
        <f>QS!AA81</f>
        <v>454002.54868985421</v>
      </c>
      <c r="E81" s="73">
        <f>VERM!J25</f>
        <v>1548647.6387399998</v>
      </c>
      <c r="F81" s="73">
        <f>JP!E81</f>
        <v>3328476.7765000002</v>
      </c>
      <c r="G81" s="73">
        <f>REP!I81</f>
        <v>21629.200229263493</v>
      </c>
      <c r="H81" s="29">
        <f t="shared" si="4"/>
        <v>13468120.364159117</v>
      </c>
      <c r="I81" s="58"/>
    </row>
    <row r="82" spans="1:9" x14ac:dyDescent="0.2">
      <c r="A82" s="355"/>
      <c r="B82" s="45" t="str">
        <f>DFIE!$B46</f>
        <v>Graubünden</v>
      </c>
      <c r="C82" s="155">
        <f>NP!E82</f>
        <v>3447600.3</v>
      </c>
      <c r="D82" s="155">
        <f>QS!AA82</f>
        <v>399255.24492947554</v>
      </c>
      <c r="E82" s="155">
        <f>VERM!J26</f>
        <v>904949.45117999997</v>
      </c>
      <c r="F82" s="155">
        <f>JP!E82</f>
        <v>953252.30559999996</v>
      </c>
      <c r="G82" s="155">
        <f>REP!I82</f>
        <v>123671.76606670149</v>
      </c>
      <c r="H82" s="22">
        <f t="shared" si="4"/>
        <v>5828729.0677761761</v>
      </c>
      <c r="I82" s="58"/>
    </row>
    <row r="83" spans="1:9" x14ac:dyDescent="0.2">
      <c r="A83" s="355"/>
      <c r="B83" s="63" t="str">
        <f>DFIE!$B47</f>
        <v>Aargau</v>
      </c>
      <c r="C83" s="73">
        <f>NP!E83</f>
        <v>12588648.1</v>
      </c>
      <c r="D83" s="73">
        <f>QS!AA83</f>
        <v>690574.42189900752</v>
      </c>
      <c r="E83" s="73">
        <f>VERM!J27</f>
        <v>1718759.71272</v>
      </c>
      <c r="F83" s="73">
        <f>JP!E83</f>
        <v>3243626.8185000001</v>
      </c>
      <c r="G83" s="73">
        <f>REP!I83</f>
        <v>65110.255945838275</v>
      </c>
      <c r="H83" s="29">
        <f t="shared" si="4"/>
        <v>18306719.309064846</v>
      </c>
      <c r="I83" s="58"/>
    </row>
    <row r="84" spans="1:9" x14ac:dyDescent="0.2">
      <c r="A84" s="355"/>
      <c r="B84" s="45" t="str">
        <f>DFIE!$B48</f>
        <v>Thurgau</v>
      </c>
      <c r="C84" s="155">
        <f>NP!E84</f>
        <v>4751433.5</v>
      </c>
      <c r="D84" s="155">
        <f>QS!AA84</f>
        <v>296914.31216984731</v>
      </c>
      <c r="E84" s="155">
        <f>VERM!J28</f>
        <v>822133.24049999996</v>
      </c>
      <c r="F84" s="155">
        <f>JP!E84</f>
        <v>1193892.3219999999</v>
      </c>
      <c r="G84" s="155">
        <f>REP!I84</f>
        <v>16312.097149374746</v>
      </c>
      <c r="H84" s="22">
        <f t="shared" si="4"/>
        <v>7080685.471819222</v>
      </c>
      <c r="I84" s="58"/>
    </row>
    <row r="85" spans="1:9" x14ac:dyDescent="0.2">
      <c r="A85" s="355"/>
      <c r="B85" s="63" t="str">
        <f>DFIE!$B49</f>
        <v>Tessin</v>
      </c>
      <c r="C85" s="73">
        <f>NP!E85</f>
        <v>6794558.5</v>
      </c>
      <c r="D85" s="73">
        <f>QS!AA85</f>
        <v>1015265.2247137</v>
      </c>
      <c r="E85" s="73">
        <f>VERM!J29</f>
        <v>941810.07145499997</v>
      </c>
      <c r="F85" s="73">
        <f>JP!E85</f>
        <v>2861958.0704999999</v>
      </c>
      <c r="G85" s="73">
        <f>REP!I85</f>
        <v>89578.975786739538</v>
      </c>
      <c r="H85" s="29">
        <f t="shared" si="4"/>
        <v>11703170.842455439</v>
      </c>
      <c r="I85" s="58"/>
    </row>
    <row r="86" spans="1:9" x14ac:dyDescent="0.2">
      <c r="A86" s="355"/>
      <c r="B86" s="45" t="str">
        <f>DFIE!$B50</f>
        <v>Waadt</v>
      </c>
      <c r="C86" s="155">
        <f>NP!E86</f>
        <v>16995621.200000003</v>
      </c>
      <c r="D86" s="155">
        <f>QS!AA86</f>
        <v>1369581.3128163326</v>
      </c>
      <c r="E86" s="155">
        <f>VERM!J30</f>
        <v>2146840.9548450001</v>
      </c>
      <c r="F86" s="155">
        <f>JP!E86</f>
        <v>6610799.3087999998</v>
      </c>
      <c r="G86" s="155">
        <f>REP!I86</f>
        <v>-50026.830656778206</v>
      </c>
      <c r="H86" s="22">
        <f t="shared" si="4"/>
        <v>27072815.945804559</v>
      </c>
      <c r="I86" s="58"/>
    </row>
    <row r="87" spans="1:9" x14ac:dyDescent="0.2">
      <c r="A87" s="355"/>
      <c r="B87" s="63" t="str">
        <f>DFIE!$B51</f>
        <v>Wallis</v>
      </c>
      <c r="C87" s="73">
        <f>NP!E87</f>
        <v>4985859.9999999991</v>
      </c>
      <c r="D87" s="73">
        <f>QS!AA87</f>
        <v>453320.53218353383</v>
      </c>
      <c r="E87" s="73">
        <f>VERM!J31</f>
        <v>762313.40280000004</v>
      </c>
      <c r="F87" s="73">
        <f>JP!E87</f>
        <v>1305726.6006</v>
      </c>
      <c r="G87" s="73">
        <f>REP!I87</f>
        <v>67542.287431641496</v>
      </c>
      <c r="H87" s="29">
        <f t="shared" si="4"/>
        <v>7574762.8230151748</v>
      </c>
      <c r="I87" s="58"/>
    </row>
    <row r="88" spans="1:9" x14ac:dyDescent="0.2">
      <c r="A88" s="355"/>
      <c r="B88" s="45" t="str">
        <f>DFIE!$B52</f>
        <v>Neuenburg</v>
      </c>
      <c r="C88" s="155">
        <f>NP!E88</f>
        <v>2909696.5</v>
      </c>
      <c r="D88" s="155">
        <f>QS!AA88</f>
        <v>302111.8450532034</v>
      </c>
      <c r="E88" s="155">
        <f>VERM!J32</f>
        <v>286728.72955499997</v>
      </c>
      <c r="F88" s="155">
        <f>JP!E88</f>
        <v>1464510.9031</v>
      </c>
      <c r="G88" s="155">
        <f>REP!I88</f>
        <v>88066.431602503668</v>
      </c>
      <c r="H88" s="22">
        <f t="shared" si="4"/>
        <v>5051114.4093107078</v>
      </c>
      <c r="I88" s="58"/>
    </row>
    <row r="89" spans="1:9" x14ac:dyDescent="0.2">
      <c r="A89" s="355"/>
      <c r="B89" s="63" t="str">
        <f>DFIE!$B53</f>
        <v>Genf</v>
      </c>
      <c r="C89" s="73">
        <f>NP!E89</f>
        <v>13178794.100000001</v>
      </c>
      <c r="D89" s="73">
        <f>QS!AA89</f>
        <v>2396347.1995596671</v>
      </c>
      <c r="E89" s="73">
        <f>VERM!J33</f>
        <v>1785581.6509799999</v>
      </c>
      <c r="F89" s="73">
        <f>JP!E89</f>
        <v>5927402.6805999996</v>
      </c>
      <c r="G89" s="73">
        <f>REP!I89</f>
        <v>151678.73743748746</v>
      </c>
      <c r="H89" s="29">
        <f t="shared" si="4"/>
        <v>23439804.368577152</v>
      </c>
      <c r="I89" s="58"/>
    </row>
    <row r="90" spans="1:9" x14ac:dyDescent="0.2">
      <c r="A90" s="355"/>
      <c r="B90" s="45" t="str">
        <f>DFIE!$B54</f>
        <v>Jura</v>
      </c>
      <c r="C90" s="155">
        <f>NP!E90</f>
        <v>989662.9</v>
      </c>
      <c r="D90" s="155">
        <f>QS!AA90</f>
        <v>105578.69099300835</v>
      </c>
      <c r="E90" s="155">
        <f>VERM!J34</f>
        <v>110004.345</v>
      </c>
      <c r="F90" s="155">
        <f>JP!E90</f>
        <v>368035.2868</v>
      </c>
      <c r="G90" s="155">
        <f>REP!I90</f>
        <v>14701.384799698702</v>
      </c>
      <c r="H90" s="22">
        <f t="shared" si="4"/>
        <v>1587982.6075927068</v>
      </c>
      <c r="I90" s="58"/>
    </row>
    <row r="91" spans="1:9" x14ac:dyDescent="0.2">
      <c r="A91" s="355"/>
      <c r="B91" s="28" t="str">
        <f>DFIE!$B55</f>
        <v>Schweiz</v>
      </c>
      <c r="C91" s="32">
        <f t="shared" ref="C91:H91" si="5">SUM(C65:C90)</f>
        <v>175978533.69999999</v>
      </c>
      <c r="D91" s="32">
        <f t="shared" si="5"/>
        <v>13026121.866359266</v>
      </c>
      <c r="E91" s="32">
        <f t="shared" si="5"/>
        <v>26875703.830167662</v>
      </c>
      <c r="F91" s="32">
        <f t="shared" si="5"/>
        <v>69598740.077699989</v>
      </c>
      <c r="G91" s="32">
        <f t="shared" si="5"/>
        <v>-11481.057912197415</v>
      </c>
      <c r="H91" s="30">
        <f t="shared" si="5"/>
        <v>285467618.41631472</v>
      </c>
      <c r="I91" s="58"/>
    </row>
  </sheetData>
  <mergeCells count="3">
    <mergeCell ref="A9:A35"/>
    <mergeCell ref="A37:A63"/>
    <mergeCell ref="A65:A91"/>
  </mergeCells>
  <conditionalFormatting sqref="C9:H34">
    <cfRule type="expression" dxfId="15" priority="8" stopIfTrue="1">
      <formula>ISBLANK(C9)</formula>
    </cfRule>
  </conditionalFormatting>
  <conditionalFormatting sqref="C37:H37">
    <cfRule type="expression" dxfId="14" priority="7" stopIfTrue="1">
      <formula>ISBLANK(C37)</formula>
    </cfRule>
  </conditionalFormatting>
  <conditionalFormatting sqref="C65:H65">
    <cfRule type="expression" dxfId="13" priority="6" stopIfTrue="1">
      <formula>ISBLANK(C65)</formula>
    </cfRule>
  </conditionalFormatting>
  <conditionalFormatting sqref="C38:H62">
    <cfRule type="expression" dxfId="12" priority="2" stopIfTrue="1">
      <formula>ISBLANK(C38)</formula>
    </cfRule>
  </conditionalFormatting>
  <conditionalFormatting sqref="C66:H90">
    <cfRule type="expression" dxfId="11" priority="1" stopIfTrue="1">
      <formula>ISBLANK(C66)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  <rowBreaks count="2" manualBreakCount="2">
    <brk id="36" max="16383" man="1"/>
    <brk id="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35"/>
  <sheetViews>
    <sheetView showGridLines="0" zoomScaleNormal="100" workbookViewId="0">
      <selection activeCell="A114" sqref="A114"/>
    </sheetView>
  </sheetViews>
  <sheetFormatPr baseColWidth="10" defaultColWidth="9.140625" defaultRowHeight="12.75" x14ac:dyDescent="0.2"/>
  <cols>
    <col min="1" max="1" width="1.42578125" customWidth="1"/>
    <col min="2" max="2" width="18.85546875" customWidth="1"/>
    <col min="3" max="6" width="18.7109375" customWidth="1"/>
  </cols>
  <sheetData>
    <row r="1" spans="1:6" ht="18" customHeight="1" x14ac:dyDescent="0.2">
      <c r="B1" s="123" t="str">
        <f>DFIE!B143</f>
        <v>Massgebende Wohnbevölkerung 2019</v>
      </c>
      <c r="C1" s="165"/>
      <c r="D1" s="165"/>
      <c r="E1" s="162"/>
      <c r="F1" s="169"/>
    </row>
    <row r="2" spans="1:6" ht="12.75" customHeight="1" x14ac:dyDescent="0.2">
      <c r="A2" s="166"/>
      <c r="B2" s="52"/>
      <c r="C2" s="166"/>
      <c r="D2" s="166"/>
      <c r="E2" s="167"/>
      <c r="F2" s="168"/>
    </row>
    <row r="3" spans="1:6" ht="0.75" customHeight="1" x14ac:dyDescent="0.2">
      <c r="A3" s="123"/>
      <c r="C3" s="165"/>
      <c r="D3" s="165"/>
      <c r="E3" s="162"/>
      <c r="F3" s="169"/>
    </row>
    <row r="4" spans="1:6" ht="12" customHeight="1" x14ac:dyDescent="0.2">
      <c r="A4" s="163"/>
      <c r="B4" s="37" t="str">
        <f>DFIE!B56</f>
        <v>Spalte</v>
      </c>
      <c r="C4" s="38" t="s">
        <v>30</v>
      </c>
      <c r="D4" s="38" t="s">
        <v>31</v>
      </c>
      <c r="E4" s="38" t="s">
        <v>32</v>
      </c>
      <c r="F4" s="39" t="s">
        <v>44</v>
      </c>
    </row>
    <row r="5" spans="1:6" ht="12" customHeight="1" x14ac:dyDescent="0.2">
      <c r="A5" s="158"/>
      <c r="B5" s="37" t="str">
        <f>DFIE!B57</f>
        <v>Formel</v>
      </c>
      <c r="C5" s="170"/>
      <c r="D5" s="170"/>
      <c r="E5" s="170"/>
      <c r="F5" s="80" t="s">
        <v>64</v>
      </c>
    </row>
    <row r="6" spans="1:6" ht="42" customHeight="1" x14ac:dyDescent="0.2">
      <c r="B6" s="159"/>
      <c r="C6" s="373" t="str">
        <f>DFIE!B144</f>
        <v>Mittlere ständige und nichtständige Wohnbevölkerung</v>
      </c>
      <c r="D6" s="373"/>
      <c r="E6" s="373"/>
      <c r="F6" s="24" t="str">
        <f>DFIE!B145</f>
        <v>Massgebende
Wohnbevölkerung</v>
      </c>
    </row>
    <row r="7" spans="1:6" ht="16.5" customHeight="1" x14ac:dyDescent="0.2">
      <c r="B7" s="160"/>
      <c r="C7" s="164">
        <f>DFIE!$G$2-6</f>
        <v>2013</v>
      </c>
      <c r="D7" s="164">
        <f>DFIE!$G$2-5</f>
        <v>2014</v>
      </c>
      <c r="E7" s="164">
        <f>DFIE!$G$2-4</f>
        <v>2015</v>
      </c>
      <c r="F7" s="161">
        <f>DFIE!$G$2</f>
        <v>2019</v>
      </c>
    </row>
    <row r="8" spans="1:6" ht="12.75" customHeight="1" x14ac:dyDescent="0.2">
      <c r="A8" s="158"/>
      <c r="B8" s="37" t="str">
        <f>DFIE!B59</f>
        <v>Einheit</v>
      </c>
      <c r="C8" s="43" t="str">
        <f>DFIE!$B$62</f>
        <v>Anzahl</v>
      </c>
      <c r="D8" s="43" t="str">
        <f>DFIE!$B$62</f>
        <v>Anzahl</v>
      </c>
      <c r="E8" s="43" t="str">
        <f>DFIE!$B$62</f>
        <v>Anzahl</v>
      </c>
      <c r="F8" s="171" t="str">
        <f>DFIE!$B$62</f>
        <v>Anzahl</v>
      </c>
    </row>
    <row r="9" spans="1:6" x14ac:dyDescent="0.2">
      <c r="B9" s="63" t="str">
        <f>DFIE!$B29</f>
        <v>Zürich</v>
      </c>
      <c r="C9" s="33">
        <v>1430104</v>
      </c>
      <c r="D9" s="33">
        <v>1449417</v>
      </c>
      <c r="E9" s="33">
        <v>1471040.5</v>
      </c>
      <c r="F9" s="29">
        <f>AVERAGE(C9:E9)</f>
        <v>1450187.1666666667</v>
      </c>
    </row>
    <row r="10" spans="1:6" x14ac:dyDescent="0.2">
      <c r="B10" s="45" t="str">
        <f>DFIE!$B30</f>
        <v>Bern</v>
      </c>
      <c r="C10" s="46">
        <v>1004914</v>
      </c>
      <c r="D10" s="46">
        <v>1012795</v>
      </c>
      <c r="E10" s="46">
        <v>1021761</v>
      </c>
      <c r="F10" s="22">
        <f t="shared" ref="F10:F34" si="0">AVERAGE(C10:E10)</f>
        <v>1013156.6666666666</v>
      </c>
    </row>
    <row r="11" spans="1:6" x14ac:dyDescent="0.2">
      <c r="B11" s="63" t="str">
        <f>DFIE!$B31</f>
        <v>Luzern</v>
      </c>
      <c r="C11" s="33">
        <v>391298</v>
      </c>
      <c r="D11" s="33">
        <v>395767.5</v>
      </c>
      <c r="E11" s="33">
        <v>400429.5</v>
      </c>
      <c r="F11" s="29">
        <f t="shared" si="0"/>
        <v>395831.66666666669</v>
      </c>
    </row>
    <row r="12" spans="1:6" x14ac:dyDescent="0.2">
      <c r="B12" s="45" t="str">
        <f>DFIE!$B32</f>
        <v>Uri</v>
      </c>
      <c r="C12" s="46">
        <v>36257.5</v>
      </c>
      <c r="D12" s="46">
        <v>36446.5</v>
      </c>
      <c r="E12" s="46">
        <v>36571</v>
      </c>
      <c r="F12" s="22">
        <f t="shared" si="0"/>
        <v>36425</v>
      </c>
    </row>
    <row r="13" spans="1:6" x14ac:dyDescent="0.2">
      <c r="B13" s="63" t="str">
        <f>DFIE!$B33</f>
        <v>Schwyz</v>
      </c>
      <c r="C13" s="33">
        <v>152109.5</v>
      </c>
      <c r="D13" s="33">
        <v>153522</v>
      </c>
      <c r="E13" s="33">
        <v>154983.5</v>
      </c>
      <c r="F13" s="29">
        <f t="shared" si="0"/>
        <v>153538.33333333334</v>
      </c>
    </row>
    <row r="14" spans="1:6" x14ac:dyDescent="0.2">
      <c r="B14" s="45" t="str">
        <f>DFIE!$B34</f>
        <v>Obwalden</v>
      </c>
      <c r="C14" s="46">
        <v>36725.5</v>
      </c>
      <c r="D14" s="46">
        <v>37060.5</v>
      </c>
      <c r="E14" s="46">
        <v>37349</v>
      </c>
      <c r="F14" s="22">
        <f t="shared" si="0"/>
        <v>37045</v>
      </c>
    </row>
    <row r="15" spans="1:6" x14ac:dyDescent="0.2">
      <c r="B15" s="63" t="str">
        <f>DFIE!$B35</f>
        <v>Nidwalden</v>
      </c>
      <c r="C15" s="33">
        <v>42068</v>
      </c>
      <c r="D15" s="33">
        <v>42345</v>
      </c>
      <c r="E15" s="33">
        <v>42618</v>
      </c>
      <c r="F15" s="29">
        <f t="shared" si="0"/>
        <v>42343.666666666664</v>
      </c>
    </row>
    <row r="16" spans="1:6" x14ac:dyDescent="0.2">
      <c r="B16" s="45" t="str">
        <f>DFIE!$B36</f>
        <v>Glarus</v>
      </c>
      <c r="C16" s="46">
        <v>40101.5</v>
      </c>
      <c r="D16" s="46">
        <v>40284</v>
      </c>
      <c r="E16" s="46">
        <v>40465.5</v>
      </c>
      <c r="F16" s="22">
        <f t="shared" si="0"/>
        <v>40283.666666666664</v>
      </c>
    </row>
    <row r="17" spans="2:6" x14ac:dyDescent="0.2">
      <c r="B17" s="63" t="str">
        <f>DFIE!$B37</f>
        <v>Zug</v>
      </c>
      <c r="C17" s="33">
        <v>118894.5</v>
      </c>
      <c r="D17" s="33">
        <v>120723.5</v>
      </c>
      <c r="E17" s="33">
        <v>122830.5</v>
      </c>
      <c r="F17" s="29">
        <f t="shared" si="0"/>
        <v>120816.16666666667</v>
      </c>
    </row>
    <row r="18" spans="2:6" x14ac:dyDescent="0.2">
      <c r="B18" s="45" t="str">
        <f>DFIE!$B38</f>
        <v>Freiburg</v>
      </c>
      <c r="C18" s="46">
        <v>296788.5</v>
      </c>
      <c r="D18" s="46">
        <v>302516.5</v>
      </c>
      <c r="E18" s="46">
        <v>307610</v>
      </c>
      <c r="F18" s="22">
        <f t="shared" si="0"/>
        <v>302305</v>
      </c>
    </row>
    <row r="19" spans="2:6" x14ac:dyDescent="0.2">
      <c r="B19" s="63" t="str">
        <f>DFIE!$B39</f>
        <v>Solothurn</v>
      </c>
      <c r="C19" s="33">
        <v>262253</v>
      </c>
      <c r="D19" s="33">
        <v>264603.5</v>
      </c>
      <c r="E19" s="33">
        <v>267462</v>
      </c>
      <c r="F19" s="29">
        <f t="shared" si="0"/>
        <v>264772.83333333331</v>
      </c>
    </row>
    <row r="20" spans="2:6" x14ac:dyDescent="0.2">
      <c r="B20" s="45" t="str">
        <f>DFIE!$B40</f>
        <v>Basel-Stadt</v>
      </c>
      <c r="C20" s="46">
        <v>191743</v>
      </c>
      <c r="D20" s="46">
        <v>193348</v>
      </c>
      <c r="E20" s="46">
        <v>194568.5</v>
      </c>
      <c r="F20" s="22">
        <f t="shared" si="0"/>
        <v>193219.83333333334</v>
      </c>
    </row>
    <row r="21" spans="2:6" x14ac:dyDescent="0.2">
      <c r="B21" s="63" t="str">
        <f>DFIE!$B41</f>
        <v>Basel-Landschaft</v>
      </c>
      <c r="C21" s="33">
        <v>278975</v>
      </c>
      <c r="D21" s="33">
        <v>281409</v>
      </c>
      <c r="E21" s="33">
        <v>283891</v>
      </c>
      <c r="F21" s="29">
        <f t="shared" si="0"/>
        <v>281425</v>
      </c>
    </row>
    <row r="22" spans="2:6" x14ac:dyDescent="0.2">
      <c r="B22" s="45" t="str">
        <f>DFIE!$B42</f>
        <v>Schaffhausen</v>
      </c>
      <c r="C22" s="46">
        <v>79103.5</v>
      </c>
      <c r="D22" s="46">
        <v>79962</v>
      </c>
      <c r="E22" s="46">
        <v>80711.5</v>
      </c>
      <c r="F22" s="22">
        <f t="shared" si="0"/>
        <v>79925.666666666672</v>
      </c>
    </row>
    <row r="23" spans="2:6" x14ac:dyDescent="0.2">
      <c r="B23" s="63" t="str">
        <f>DFIE!$B43</f>
        <v>Appenzell A.Rh.</v>
      </c>
      <c r="C23" s="33">
        <v>53817</v>
      </c>
      <c r="D23" s="33">
        <v>54116</v>
      </c>
      <c r="E23" s="33">
        <v>54593.5</v>
      </c>
      <c r="F23" s="29">
        <f t="shared" si="0"/>
        <v>54175.5</v>
      </c>
    </row>
    <row r="24" spans="2:6" x14ac:dyDescent="0.2">
      <c r="B24" s="45" t="str">
        <f>DFIE!$B44</f>
        <v>Appenzell I.Rh.</v>
      </c>
      <c r="C24" s="46">
        <v>15819</v>
      </c>
      <c r="D24" s="46">
        <v>15901.5</v>
      </c>
      <c r="E24" s="46">
        <v>16026</v>
      </c>
      <c r="F24" s="22">
        <f t="shared" si="0"/>
        <v>15915.5</v>
      </c>
    </row>
    <row r="25" spans="2:6" x14ac:dyDescent="0.2">
      <c r="B25" s="63" t="str">
        <f>DFIE!$B45</f>
        <v>St. Gallen</v>
      </c>
      <c r="C25" s="33">
        <v>492969.5</v>
      </c>
      <c r="D25" s="33">
        <v>497272</v>
      </c>
      <c r="E25" s="33">
        <v>501397.5</v>
      </c>
      <c r="F25" s="29">
        <f t="shared" si="0"/>
        <v>497213</v>
      </c>
    </row>
    <row r="26" spans="2:6" x14ac:dyDescent="0.2">
      <c r="B26" s="45" t="str">
        <f>DFIE!$B46</f>
        <v>Graubünden</v>
      </c>
      <c r="C26" s="46">
        <v>202878.5</v>
      </c>
      <c r="D26" s="46">
        <v>203762.5</v>
      </c>
      <c r="E26" s="46">
        <v>204445.5</v>
      </c>
      <c r="F26" s="22">
        <f t="shared" si="0"/>
        <v>203695.5</v>
      </c>
    </row>
    <row r="27" spans="2:6" x14ac:dyDescent="0.2">
      <c r="B27" s="63" t="str">
        <f>DFIE!$B47</f>
        <v>Aargau</v>
      </c>
      <c r="C27" s="33">
        <v>636446</v>
      </c>
      <c r="D27" s="33">
        <v>646118</v>
      </c>
      <c r="E27" s="33">
        <v>656127.5</v>
      </c>
      <c r="F27" s="29">
        <f t="shared" si="0"/>
        <v>646230.5</v>
      </c>
    </row>
    <row r="28" spans="2:6" x14ac:dyDescent="0.2">
      <c r="B28" s="45" t="str">
        <f>DFIE!$B48</f>
        <v>Thurgau</v>
      </c>
      <c r="C28" s="46">
        <v>260649.5</v>
      </c>
      <c r="D28" s="46">
        <v>264298.5</v>
      </c>
      <c r="E28" s="46">
        <v>267778</v>
      </c>
      <c r="F28" s="22">
        <f t="shared" si="0"/>
        <v>264242</v>
      </c>
    </row>
    <row r="29" spans="2:6" x14ac:dyDescent="0.2">
      <c r="B29" s="63" t="str">
        <f>DFIE!$B49</f>
        <v>Tessin</v>
      </c>
      <c r="C29" s="33">
        <v>346461.5</v>
      </c>
      <c r="D29" s="33">
        <v>350921</v>
      </c>
      <c r="E29" s="33">
        <v>353860.5</v>
      </c>
      <c r="F29" s="29">
        <f t="shared" si="0"/>
        <v>350414.33333333331</v>
      </c>
    </row>
    <row r="30" spans="2:6" x14ac:dyDescent="0.2">
      <c r="B30" s="45" t="str">
        <f>DFIE!$B50</f>
        <v>Waadt</v>
      </c>
      <c r="C30" s="46">
        <v>751352</v>
      </c>
      <c r="D30" s="46">
        <v>765429</v>
      </c>
      <c r="E30" s="46">
        <v>777920</v>
      </c>
      <c r="F30" s="22">
        <f t="shared" si="0"/>
        <v>764900.33333333337</v>
      </c>
    </row>
    <row r="31" spans="2:6" x14ac:dyDescent="0.2">
      <c r="B31" s="63" t="str">
        <f>DFIE!$B51</f>
        <v>Wallis</v>
      </c>
      <c r="C31" s="33">
        <v>332794</v>
      </c>
      <c r="D31" s="33">
        <v>337770.5</v>
      </c>
      <c r="E31" s="33">
        <v>341985.5</v>
      </c>
      <c r="F31" s="29">
        <f t="shared" si="0"/>
        <v>337516.66666666669</v>
      </c>
    </row>
    <row r="32" spans="2:6" x14ac:dyDescent="0.2">
      <c r="B32" s="45" t="str">
        <f>DFIE!$B52</f>
        <v>Neuenburg</v>
      </c>
      <c r="C32" s="46">
        <v>176990</v>
      </c>
      <c r="D32" s="46">
        <v>178342</v>
      </c>
      <c r="E32" s="46">
        <v>179280</v>
      </c>
      <c r="F32" s="22">
        <f t="shared" si="0"/>
        <v>178204</v>
      </c>
    </row>
    <row r="33" spans="1:6" x14ac:dyDescent="0.2">
      <c r="B33" s="63" t="str">
        <f>DFIE!$B53</f>
        <v>Genf</v>
      </c>
      <c r="C33" s="33">
        <v>469772</v>
      </c>
      <c r="D33" s="33">
        <v>476876.5</v>
      </c>
      <c r="E33" s="33">
        <v>485365.5</v>
      </c>
      <c r="F33" s="29">
        <f t="shared" si="0"/>
        <v>477338</v>
      </c>
    </row>
    <row r="34" spans="1:6" x14ac:dyDescent="0.2">
      <c r="B34" s="45" t="str">
        <f>DFIE!$B54</f>
        <v>Jura</v>
      </c>
      <c r="C34" s="46">
        <v>71739.5</v>
      </c>
      <c r="D34" s="46">
        <v>72433</v>
      </c>
      <c r="E34" s="46">
        <v>73012</v>
      </c>
      <c r="F34" s="22">
        <f t="shared" si="0"/>
        <v>72394.833333333328</v>
      </c>
    </row>
    <row r="35" spans="1:6" x14ac:dyDescent="0.2">
      <c r="A35" s="34"/>
      <c r="B35" s="28" t="str">
        <f>DFIE!$B55</f>
        <v>Schweiz</v>
      </c>
      <c r="C35" s="32">
        <f>IF(DFIE!$G$2=2008,"",SUM(C9:C34))</f>
        <v>8173024</v>
      </c>
      <c r="D35" s="32">
        <f>SUM(D9:D34)</f>
        <v>8273440.5</v>
      </c>
      <c r="E35" s="32">
        <f>SUM(E9:E34)</f>
        <v>8374083</v>
      </c>
      <c r="F35" s="30">
        <f>SUM(F9:F34)</f>
        <v>8273515.833333333</v>
      </c>
    </row>
  </sheetData>
  <mergeCells count="1">
    <mergeCell ref="C6:E6"/>
  </mergeCells>
  <conditionalFormatting sqref="C9:E34 C7:F7">
    <cfRule type="expression" dxfId="10" priority="1" stopIfTrue="1">
      <formula>ISBLANK(C7)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/>
  <headerFooter scaleWithDoc="0" alignWithMargins="0">
    <oddHeader>&amp;L&amp;F&amp;R&amp;A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20</vt:i4>
      </vt:variant>
    </vt:vector>
  </HeadingPairs>
  <TitlesOfParts>
    <vt:vector size="36" baseType="lpstr">
      <vt:lpstr>INTRO</vt:lpstr>
      <vt:lpstr>TOTAL</vt:lpstr>
      <vt:lpstr>NP</vt:lpstr>
      <vt:lpstr>QS</vt:lpstr>
      <vt:lpstr>VERM</vt:lpstr>
      <vt:lpstr>JP</vt:lpstr>
      <vt:lpstr>REP</vt:lpstr>
      <vt:lpstr>ASG</vt:lpstr>
      <vt:lpstr>BEV</vt:lpstr>
      <vt:lpstr>RP</vt:lpstr>
      <vt:lpstr>ENTW</vt:lpstr>
      <vt:lpstr>DOT</vt:lpstr>
      <vt:lpstr>EINZ</vt:lpstr>
      <vt:lpstr>AUSZ</vt:lpstr>
      <vt:lpstr>SSE</vt:lpstr>
      <vt:lpstr>SST</vt:lpstr>
      <vt:lpstr>ASG!Druckbereich</vt:lpstr>
      <vt:lpstr>AUSZ!Druckbereich</vt:lpstr>
      <vt:lpstr>BEV!Druckbereich</vt:lpstr>
      <vt:lpstr>DOT!Druckbereich</vt:lpstr>
      <vt:lpstr>EINZ!Druckbereich</vt:lpstr>
      <vt:lpstr>ENTW!Druckbereich</vt:lpstr>
      <vt:lpstr>JP!Druckbereich</vt:lpstr>
      <vt:lpstr>NP!Druckbereich</vt:lpstr>
      <vt:lpstr>QS!Druckbereich</vt:lpstr>
      <vt:lpstr>REP!Druckbereich</vt:lpstr>
      <vt:lpstr>RP!Druckbereich</vt:lpstr>
      <vt:lpstr>SSE!Druckbereich</vt:lpstr>
      <vt:lpstr>SST!Druckbereich</vt:lpstr>
      <vt:lpstr>TOTAL!Druckbereich</vt:lpstr>
      <vt:lpstr>VERM!Druckbereich</vt:lpstr>
      <vt:lpstr>ASG!Drucktitel</vt:lpstr>
      <vt:lpstr>JP!Drucktitel</vt:lpstr>
      <vt:lpstr>NP!Drucktitel</vt:lpstr>
      <vt:lpstr>QS!Drucktitel</vt:lpstr>
      <vt:lpstr>REP!Drucktitel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</dc:creator>
  <cp:lastModifiedBy>Witschard Jean-Pierre EFV</cp:lastModifiedBy>
  <dcterms:created xsi:type="dcterms:W3CDTF">2014-03-07T16:08:25Z</dcterms:created>
  <dcterms:modified xsi:type="dcterms:W3CDTF">2018-05-28T12:58:08Z</dcterms:modified>
</cp:coreProperties>
</file>