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-15" windowWidth="20730" windowHeight="6060"/>
  </bookViews>
  <sheets>
    <sheet name="Info" sheetId="1" r:id="rId1"/>
    <sheet name="RP" sheetId="2" r:id="rId2"/>
    <sheet name="BEV" sheetId="3" r:id="rId3"/>
    <sheet name="Wachstum_RP" sheetId="4" r:id="rId4"/>
    <sheet name="Dotation_RA" sheetId="5" r:id="rId5"/>
    <sheet name="Einzahlungen" sheetId="6" r:id="rId6"/>
    <sheet name="Auszahlungen" sheetId="7" r:id="rId7"/>
    <sheet name="SSE" sheetId="8" r:id="rId8"/>
  </sheets>
  <definedNames>
    <definedName name="A">Dotation_RA!$D$25</definedName>
    <definedName name="B">Auszahlungen!$K$12</definedName>
    <definedName name="BEV">Auszahlungen!$C$6:$C$31</definedName>
    <definedName name="_xlnm.Print_Area">Auszahlungen!$A$1:$H$32</definedName>
    <definedName name="p">Auszahlungen!$K$5</definedName>
    <definedName name="RI">Auszahlungen!$B$6:$B$31</definedName>
    <definedName name="RI_26">Auszahlungen!$K$7</definedName>
    <definedName name="RI_MIN">Auszahlungen!$K$8</definedName>
    <definedName name="solver_adj">Auszahlungen!$K$5</definedName>
    <definedName name="solver_cvg">0.0001</definedName>
    <definedName name="solver_drv">1</definedName>
    <definedName name="solver_est">1</definedName>
    <definedName name="solver_itr">1000</definedName>
    <definedName name="solver_lhs1">Auszahlungen!$K$8</definedName>
    <definedName name="solver_lin">2</definedName>
    <definedName name="solver_neg">2</definedName>
    <definedName name="solver_num">1</definedName>
    <definedName name="solver_nwt">1</definedName>
    <definedName name="solver_opt">Auszahlungen!$K$6</definedName>
    <definedName name="solver_pre">0.00000000000001</definedName>
    <definedName name="solver_rel1">2</definedName>
    <definedName name="solver_rhs1">Auszahlungen!$K$7</definedName>
    <definedName name="solver_scl">2</definedName>
    <definedName name="solver_sho">2</definedName>
    <definedName name="solver_tim">100</definedName>
    <definedName name="solver_tol">0.05</definedName>
    <definedName name="solver_typ">1</definedName>
    <definedName name="solver_val">0</definedName>
    <definedName name="sse">SSE!$J$42</definedName>
    <definedName name="SUM">Auszahlungen!$D$32</definedName>
  </definedNames>
  <calcPr calcId="125725" iterateDelta="252"/>
</workbook>
</file>

<file path=xl/calcChain.xml><?xml version="1.0" encoding="utf-8"?>
<calcChain xmlns="http://schemas.openxmlformats.org/spreadsheetml/2006/main">
  <c r="G40" i="8"/>
  <c r="H39"/>
  <c r="H40" s="1"/>
  <c r="G39"/>
  <c r="F39"/>
  <c r="F40" s="1"/>
  <c r="J40" s="1"/>
  <c r="J36"/>
  <c r="A35"/>
  <c r="J1"/>
  <c r="A1"/>
  <c r="H2" i="7"/>
  <c r="A1"/>
  <c r="F2" i="6"/>
  <c r="A1"/>
  <c r="C15" i="5"/>
  <c r="C14"/>
  <c r="C13"/>
  <c r="G4"/>
  <c r="D12" s="1"/>
  <c r="C4"/>
  <c r="C12" s="1"/>
  <c r="G3"/>
  <c r="B1"/>
  <c r="D33" i="4"/>
  <c r="E5"/>
  <c r="H5" s="1"/>
  <c r="D5"/>
  <c r="G5" s="1"/>
  <c r="C4"/>
  <c r="I2"/>
  <c r="B1"/>
  <c r="E33" i="3"/>
  <c r="D33"/>
  <c r="C33"/>
  <c r="F32"/>
  <c r="F31"/>
  <c r="G31" i="2" s="1"/>
  <c r="F30" i="3"/>
  <c r="F29"/>
  <c r="G29" i="2" s="1"/>
  <c r="F28" i="3"/>
  <c r="F27"/>
  <c r="G27" i="2" s="1"/>
  <c r="F26" i="3"/>
  <c r="F25"/>
  <c r="G25" i="2" s="1"/>
  <c r="F24" i="3"/>
  <c r="F23"/>
  <c r="F22"/>
  <c r="F21"/>
  <c r="F20"/>
  <c r="F19"/>
  <c r="F18"/>
  <c r="F17"/>
  <c r="F16"/>
  <c r="F15"/>
  <c r="F14"/>
  <c r="F13"/>
  <c r="F12"/>
  <c r="F11"/>
  <c r="F10"/>
  <c r="F9"/>
  <c r="F8"/>
  <c r="F7"/>
  <c r="F33" s="1"/>
  <c r="J41" i="8" s="1"/>
  <c r="F5" i="3"/>
  <c r="F1"/>
  <c r="B1"/>
  <c r="E33" i="2"/>
  <c r="D33"/>
  <c r="C33"/>
  <c r="G32"/>
  <c r="C32" i="6" s="1"/>
  <c r="F32" i="2"/>
  <c r="H31"/>
  <c r="F31"/>
  <c r="E31" i="4" s="1"/>
  <c r="F31" s="1"/>
  <c r="G30" i="2"/>
  <c r="C30" i="6" s="1"/>
  <c r="F30" i="2"/>
  <c r="E30" i="4" s="1"/>
  <c r="F30" s="1"/>
  <c r="F29" i="2"/>
  <c r="E29" i="4" s="1"/>
  <c r="F29" s="1"/>
  <c r="G28" i="2"/>
  <c r="C28" i="6" s="1"/>
  <c r="F28" i="2"/>
  <c r="H28" s="1"/>
  <c r="H27"/>
  <c r="F27"/>
  <c r="E27" i="4" s="1"/>
  <c r="F27" s="1"/>
  <c r="G26" i="2"/>
  <c r="C26" i="6" s="1"/>
  <c r="F26" i="2"/>
  <c r="E26" i="4" s="1"/>
  <c r="F26" s="1"/>
  <c r="F25" i="2"/>
  <c r="E25" i="4" s="1"/>
  <c r="F25" s="1"/>
  <c r="G24" i="2"/>
  <c r="C24" i="6" s="1"/>
  <c r="F24" i="2"/>
  <c r="G23"/>
  <c r="F23"/>
  <c r="E23" i="4" s="1"/>
  <c r="F23" s="1"/>
  <c r="G22" i="2"/>
  <c r="F22"/>
  <c r="E22" i="4" s="1"/>
  <c r="F22" s="1"/>
  <c r="G21" i="2"/>
  <c r="F21"/>
  <c r="E21" i="4" s="1"/>
  <c r="F21" s="1"/>
  <c r="G20" i="2"/>
  <c r="F20"/>
  <c r="E20" i="4" s="1"/>
  <c r="F20" s="1"/>
  <c r="G19" i="2"/>
  <c r="F19"/>
  <c r="E19" i="4" s="1"/>
  <c r="F19" s="1"/>
  <c r="G18" i="2"/>
  <c r="F18"/>
  <c r="E18" i="4" s="1"/>
  <c r="F18" s="1"/>
  <c r="G17" i="2"/>
  <c r="F17"/>
  <c r="E17" i="4" s="1"/>
  <c r="F17" s="1"/>
  <c r="G16" i="2"/>
  <c r="F16"/>
  <c r="E16" i="4" s="1"/>
  <c r="F16" s="1"/>
  <c r="G15" i="2"/>
  <c r="F15"/>
  <c r="E15" i="4" s="1"/>
  <c r="F15" s="1"/>
  <c r="G14" i="2"/>
  <c r="F14"/>
  <c r="E14" i="4" s="1"/>
  <c r="F14" s="1"/>
  <c r="G13" i="2"/>
  <c r="F13"/>
  <c r="E13" i="4" s="1"/>
  <c r="F13" s="1"/>
  <c r="G12" i="2"/>
  <c r="F12"/>
  <c r="E12" i="4" s="1"/>
  <c r="F12" s="1"/>
  <c r="G11" i="2"/>
  <c r="F11"/>
  <c r="E11" i="4" s="1"/>
  <c r="F11" s="1"/>
  <c r="G10" i="2"/>
  <c r="F10"/>
  <c r="E10" i="4" s="1"/>
  <c r="F10" s="1"/>
  <c r="G9" i="2"/>
  <c r="F9"/>
  <c r="E9" i="4" s="1"/>
  <c r="F9" s="1"/>
  <c r="G8" i="2"/>
  <c r="C8" i="6" s="1"/>
  <c r="F8" i="2"/>
  <c r="E8" i="4" s="1"/>
  <c r="F8" s="1"/>
  <c r="G7" i="2"/>
  <c r="F7"/>
  <c r="F33" s="1"/>
  <c r="E5"/>
  <c r="D5"/>
  <c r="C5"/>
  <c r="E4"/>
  <c r="D4"/>
  <c r="C4"/>
  <c r="I1"/>
  <c r="B1"/>
  <c r="A5" i="1"/>
  <c r="B23" i="5" l="1"/>
  <c r="H24" i="2"/>
  <c r="H32"/>
  <c r="B28" i="5"/>
  <c r="C24" i="7"/>
  <c r="C25" i="6"/>
  <c r="D24" i="8"/>
  <c r="C26" i="7"/>
  <c r="D26" i="8"/>
  <c r="C27" i="6"/>
  <c r="C28" i="7"/>
  <c r="C29" i="6"/>
  <c r="D28" i="8"/>
  <c r="C30" i="7"/>
  <c r="D30" i="8"/>
  <c r="C31" i="6"/>
  <c r="H7" i="2"/>
  <c r="H8"/>
  <c r="H9"/>
  <c r="H10"/>
  <c r="H11"/>
  <c r="H12"/>
  <c r="H13"/>
  <c r="H14"/>
  <c r="H15"/>
  <c r="H16"/>
  <c r="H17"/>
  <c r="H18"/>
  <c r="H19"/>
  <c r="H20"/>
  <c r="H21"/>
  <c r="H22"/>
  <c r="H23"/>
  <c r="H26"/>
  <c r="H30"/>
  <c r="E24" i="4"/>
  <c r="F24" s="1"/>
  <c r="E28"/>
  <c r="F28" s="1"/>
  <c r="E32"/>
  <c r="F32" s="1"/>
  <c r="C6" i="7"/>
  <c r="C7" i="6"/>
  <c r="D6" i="8"/>
  <c r="C7" i="7"/>
  <c r="D7" i="8"/>
  <c r="C8" i="7"/>
  <c r="C9" i="6"/>
  <c r="D8" i="8"/>
  <c r="C9" i="7"/>
  <c r="D9" i="8"/>
  <c r="C10" i="7"/>
  <c r="C11" i="6"/>
  <c r="D10" i="8"/>
  <c r="D11"/>
  <c r="C11" i="7"/>
  <c r="C12" i="6"/>
  <c r="C12" i="7"/>
  <c r="C13" i="6"/>
  <c r="D12" i="8"/>
  <c r="C13" i="7"/>
  <c r="C14" i="6"/>
  <c r="D13" i="8"/>
  <c r="C14" i="7"/>
  <c r="D14" i="8"/>
  <c r="C15" i="6"/>
  <c r="C16"/>
  <c r="C15" i="7"/>
  <c r="D15" i="8"/>
  <c r="C16" i="7"/>
  <c r="C17" i="6"/>
  <c r="D16" i="8"/>
  <c r="C18" i="6"/>
  <c r="D17" i="8"/>
  <c r="C17" i="7"/>
  <c r="C18"/>
  <c r="D18" i="8"/>
  <c r="C19" i="6"/>
  <c r="C20"/>
  <c r="C19" i="7"/>
  <c r="D19" i="8"/>
  <c r="C20" i="7"/>
  <c r="C21" i="6"/>
  <c r="D20" i="8"/>
  <c r="C22" i="6"/>
  <c r="D21" i="8"/>
  <c r="C21" i="7"/>
  <c r="C22"/>
  <c r="D22" i="8"/>
  <c r="C23" i="6"/>
  <c r="H25" i="2"/>
  <c r="H29"/>
  <c r="G33"/>
  <c r="C32" i="7" s="1"/>
  <c r="E7" i="4"/>
  <c r="C10" i="6"/>
  <c r="C25" i="7"/>
  <c r="C29"/>
  <c r="D23" i="8"/>
  <c r="D25"/>
  <c r="D27"/>
  <c r="D29"/>
  <c r="D31"/>
  <c r="C23" i="7"/>
  <c r="C27"/>
  <c r="C31"/>
  <c r="J42" i="8"/>
  <c r="H33" i="2" l="1"/>
  <c r="C24" i="8" s="1"/>
  <c r="E24" s="1"/>
  <c r="E33" i="4"/>
  <c r="F33" s="1"/>
  <c r="D5" i="5" s="1"/>
  <c r="E5" s="1"/>
  <c r="G5" s="1"/>
  <c r="F7" i="4"/>
  <c r="C28" i="8"/>
  <c r="E28" s="1"/>
  <c r="I29" i="2"/>
  <c r="C29" i="8"/>
  <c r="E29" s="1"/>
  <c r="I30" i="2"/>
  <c r="C22" i="8"/>
  <c r="E22" s="1"/>
  <c r="I23" i="2"/>
  <c r="C20" i="8"/>
  <c r="E20" s="1"/>
  <c r="I21" i="2"/>
  <c r="C18" i="8"/>
  <c r="E18" s="1"/>
  <c r="I19" i="2"/>
  <c r="C16" i="8"/>
  <c r="E16" s="1"/>
  <c r="I17" i="2"/>
  <c r="C14" i="8"/>
  <c r="E14" s="1"/>
  <c r="I15" i="2"/>
  <c r="C12" i="8"/>
  <c r="E12" s="1"/>
  <c r="I13" i="2"/>
  <c r="C10" i="8"/>
  <c r="E10" s="1"/>
  <c r="I11" i="2"/>
  <c r="C8" i="8"/>
  <c r="E8" s="1"/>
  <c r="I9" i="2"/>
  <c r="C6" i="8"/>
  <c r="I7" i="2"/>
  <c r="D32" i="8"/>
  <c r="C33" i="6"/>
  <c r="E6" i="8" l="1"/>
  <c r="D24" i="5"/>
  <c r="D15"/>
  <c r="D13"/>
  <c r="C7" i="8"/>
  <c r="E7" s="1"/>
  <c r="C9"/>
  <c r="E9" s="1"/>
  <c r="C11"/>
  <c r="E11" s="1"/>
  <c r="C13"/>
  <c r="E13" s="1"/>
  <c r="C15"/>
  <c r="E15" s="1"/>
  <c r="C17"/>
  <c r="E17" s="1"/>
  <c r="C19"/>
  <c r="E19" s="1"/>
  <c r="C21"/>
  <c r="E21" s="1"/>
  <c r="C25"/>
  <c r="E25" s="1"/>
  <c r="B6" i="7"/>
  <c r="B6" i="8"/>
  <c r="C7" i="4"/>
  <c r="B7" i="6"/>
  <c r="B8" i="7"/>
  <c r="B8" i="8"/>
  <c r="C9" i="4"/>
  <c r="B9" i="6"/>
  <c r="B10" i="8"/>
  <c r="C11" i="4"/>
  <c r="B10" i="7"/>
  <c r="B11" i="6"/>
  <c r="B12" i="8"/>
  <c r="B12" i="7"/>
  <c r="C13" i="4"/>
  <c r="B13" i="6"/>
  <c r="B15"/>
  <c r="B14" i="8"/>
  <c r="B14" i="7"/>
  <c r="C15" i="4"/>
  <c r="B17" i="6"/>
  <c r="B16" i="8"/>
  <c r="C17" i="4"/>
  <c r="B16" i="7"/>
  <c r="B19" i="6"/>
  <c r="B18" i="8"/>
  <c r="B18" i="7"/>
  <c r="C19" i="4"/>
  <c r="B21" i="6"/>
  <c r="B20" i="8"/>
  <c r="C21" i="4"/>
  <c r="B20" i="7"/>
  <c r="B23" i="6"/>
  <c r="B22" i="8"/>
  <c r="B22" i="7"/>
  <c r="C23" i="4"/>
  <c r="B29" i="7"/>
  <c r="B29" i="8"/>
  <c r="B30" i="6"/>
  <c r="C30" i="4"/>
  <c r="B29" i="6"/>
  <c r="B28" i="8"/>
  <c r="C29" i="4"/>
  <c r="B28" i="7"/>
  <c r="J43" i="8"/>
  <c r="J44" s="1"/>
  <c r="I33" i="2"/>
  <c r="I24"/>
  <c r="I32"/>
  <c r="I28"/>
  <c r="I27"/>
  <c r="I31"/>
  <c r="C23" i="8"/>
  <c r="E23" s="1"/>
  <c r="C31"/>
  <c r="E31" s="1"/>
  <c r="C27"/>
  <c r="E27" s="1"/>
  <c r="C26"/>
  <c r="E26" s="1"/>
  <c r="C30"/>
  <c r="E30" s="1"/>
  <c r="I8" i="2"/>
  <c r="I10"/>
  <c r="I12"/>
  <c r="I14"/>
  <c r="I16"/>
  <c r="I18"/>
  <c r="I20"/>
  <c r="I22"/>
  <c r="I26"/>
  <c r="I25"/>
  <c r="B25" i="6" l="1"/>
  <c r="B24" i="8"/>
  <c r="C25" i="4"/>
  <c r="B24" i="7"/>
  <c r="B17"/>
  <c r="B17" i="8"/>
  <c r="B18" i="6"/>
  <c r="C18" i="4"/>
  <c r="B25" i="7"/>
  <c r="B25" i="8"/>
  <c r="B26" i="6"/>
  <c r="C26" i="4"/>
  <c r="B19" i="7"/>
  <c r="B19" i="8"/>
  <c r="C20" i="4"/>
  <c r="B20" i="6"/>
  <c r="B15" i="7"/>
  <c r="B15" i="8"/>
  <c r="C16" i="4"/>
  <c r="B16" i="6"/>
  <c r="B11" i="7"/>
  <c r="B11" i="8"/>
  <c r="B12" i="6"/>
  <c r="C12" i="4"/>
  <c r="B7" i="7"/>
  <c r="B7" i="8"/>
  <c r="B8" i="6"/>
  <c r="C8" i="4"/>
  <c r="B31" i="6"/>
  <c r="B30" i="8"/>
  <c r="B30" i="7"/>
  <c r="C31" i="4"/>
  <c r="B27" i="7"/>
  <c r="B27" i="8"/>
  <c r="C28" i="4"/>
  <c r="B28" i="6"/>
  <c r="B23" i="7"/>
  <c r="B23" i="8"/>
  <c r="C24" i="4"/>
  <c r="B24" i="6"/>
  <c r="H29" i="4"/>
  <c r="I29"/>
  <c r="G29"/>
  <c r="D29" i="6"/>
  <c r="E29"/>
  <c r="F29" s="1"/>
  <c r="E30"/>
  <c r="F30" s="1"/>
  <c r="D30"/>
  <c r="D29" i="7"/>
  <c r="D22"/>
  <c r="D23" i="6"/>
  <c r="E23"/>
  <c r="F23" s="1"/>
  <c r="H21" i="4"/>
  <c r="I21"/>
  <c r="G21"/>
  <c r="D21" i="6"/>
  <c r="E21"/>
  <c r="F21" s="1"/>
  <c r="E18" i="7"/>
  <c r="F18" s="1"/>
  <c r="D18"/>
  <c r="D19" i="6"/>
  <c r="H17" i="4"/>
  <c r="I17"/>
  <c r="G17"/>
  <c r="D17" i="6"/>
  <c r="E17"/>
  <c r="F17" s="1"/>
  <c r="E14" i="7"/>
  <c r="F14" s="1"/>
  <c r="D14"/>
  <c r="D15" i="6"/>
  <c r="H13" i="4"/>
  <c r="I13" s="1"/>
  <c r="G13"/>
  <c r="E10" i="7"/>
  <c r="F10" s="1"/>
  <c r="D10"/>
  <c r="H9" i="4"/>
  <c r="I9"/>
  <c r="G9"/>
  <c r="D8" i="7"/>
  <c r="H7" i="4"/>
  <c r="I7" s="1"/>
  <c r="G7"/>
  <c r="D6" i="7"/>
  <c r="E6"/>
  <c r="F6" s="1"/>
  <c r="C29" i="5"/>
  <c r="C32" i="8"/>
  <c r="E32" s="1"/>
  <c r="J30" s="1"/>
  <c r="B21" i="7"/>
  <c r="B21" i="8"/>
  <c r="B22" i="6"/>
  <c r="C22" i="4"/>
  <c r="B13" i="8"/>
  <c r="B13" i="7"/>
  <c r="B14" i="6"/>
  <c r="C14" i="4"/>
  <c r="B9" i="7"/>
  <c r="B9" i="8"/>
  <c r="B10" i="6"/>
  <c r="C10" i="4"/>
  <c r="B27" i="6"/>
  <c r="B26" i="8"/>
  <c r="B26" i="7"/>
  <c r="C27" i="4"/>
  <c r="B31" i="7"/>
  <c r="B31" i="8"/>
  <c r="C32" i="4"/>
  <c r="B32" i="6"/>
  <c r="B33"/>
  <c r="B32" i="8"/>
  <c r="C33" i="4"/>
  <c r="B32" i="7"/>
  <c r="D28"/>
  <c r="H30" i="4"/>
  <c r="G30"/>
  <c r="I30"/>
  <c r="H23"/>
  <c r="I23"/>
  <c r="G23"/>
  <c r="D20" i="7"/>
  <c r="H19" i="4"/>
  <c r="I19"/>
  <c r="G19"/>
  <c r="D16" i="7"/>
  <c r="H15" i="4"/>
  <c r="G15"/>
  <c r="D13" i="6"/>
  <c r="E12" i="7"/>
  <c r="F12" s="1"/>
  <c r="D12"/>
  <c r="D11" i="6"/>
  <c r="H11" i="4"/>
  <c r="I11"/>
  <c r="G11"/>
  <c r="E9" i="6"/>
  <c r="F9" s="1"/>
  <c r="D9"/>
  <c r="D7"/>
  <c r="B33" i="8"/>
  <c r="J25"/>
  <c r="J19"/>
  <c r="J15"/>
  <c r="J11"/>
  <c r="J7"/>
  <c r="J6"/>
  <c r="I15" i="4" l="1"/>
  <c r="H32"/>
  <c r="G32"/>
  <c r="I32"/>
  <c r="D31" i="7"/>
  <c r="E26"/>
  <c r="F26" s="1"/>
  <c r="D26"/>
  <c r="D27" i="6"/>
  <c r="D10"/>
  <c r="E10"/>
  <c r="F10" s="1"/>
  <c r="D9" i="7"/>
  <c r="E14" i="6"/>
  <c r="F14" s="1"/>
  <c r="D14"/>
  <c r="E22"/>
  <c r="F22" s="1"/>
  <c r="D22"/>
  <c r="D21" i="7"/>
  <c r="H24" i="4"/>
  <c r="G24"/>
  <c r="I24"/>
  <c r="D23" i="7"/>
  <c r="H28" i="4"/>
  <c r="G28"/>
  <c r="I28" s="1"/>
  <c r="D27" i="7"/>
  <c r="E27"/>
  <c r="F27" s="1"/>
  <c r="E30"/>
  <c r="F30" s="1"/>
  <c r="D30"/>
  <c r="D31" i="6"/>
  <c r="D8"/>
  <c r="E8"/>
  <c r="F8" s="1"/>
  <c r="D7" i="7"/>
  <c r="D12" i="6"/>
  <c r="E12"/>
  <c r="F12" s="1"/>
  <c r="D11" i="7"/>
  <c r="H16" i="4"/>
  <c r="G16"/>
  <c r="I16"/>
  <c r="D15" i="7"/>
  <c r="H20" i="4"/>
  <c r="G20"/>
  <c r="D19" i="7"/>
  <c r="E19"/>
  <c r="F19" s="1"/>
  <c r="E26" i="6"/>
  <c r="F26" s="1"/>
  <c r="D26"/>
  <c r="D25" i="7"/>
  <c r="D18" i="6"/>
  <c r="D17" i="7"/>
  <c r="E17"/>
  <c r="F17" s="1"/>
  <c r="H25" i="4"/>
  <c r="I25"/>
  <c r="G25"/>
  <c r="D25" i="6"/>
  <c r="E25"/>
  <c r="F25" s="1"/>
  <c r="J27" i="8"/>
  <c r="J31"/>
  <c r="J26"/>
  <c r="J23"/>
  <c r="E32" i="6"/>
  <c r="F32" s="1"/>
  <c r="D32"/>
  <c r="H27" i="4"/>
  <c r="I27"/>
  <c r="G27"/>
  <c r="H10"/>
  <c r="G10"/>
  <c r="I10"/>
  <c r="H14"/>
  <c r="G14"/>
  <c r="I14"/>
  <c r="D13" i="7"/>
  <c r="H22" i="4"/>
  <c r="G22"/>
  <c r="I22"/>
  <c r="K13" i="7"/>
  <c r="J32" i="8"/>
  <c r="J24"/>
  <c r="J10"/>
  <c r="J14"/>
  <c r="J16"/>
  <c r="J18"/>
  <c r="J20"/>
  <c r="J22"/>
  <c r="J29"/>
  <c r="J28"/>
  <c r="J8"/>
  <c r="J12"/>
  <c r="E24" i="6"/>
  <c r="F24" s="1"/>
  <c r="D24"/>
  <c r="D28"/>
  <c r="H31" i="4"/>
  <c r="I31" s="1"/>
  <c r="G31"/>
  <c r="H8"/>
  <c r="G8"/>
  <c r="I8"/>
  <c r="H12"/>
  <c r="G12"/>
  <c r="I12"/>
  <c r="E16" i="6"/>
  <c r="F16" s="1"/>
  <c r="D16"/>
  <c r="D20"/>
  <c r="H26" i="4"/>
  <c r="G26"/>
  <c r="I26"/>
  <c r="H18"/>
  <c r="H33" s="1"/>
  <c r="G18"/>
  <c r="I18"/>
  <c r="D24" i="7"/>
  <c r="J9" i="8"/>
  <c r="J13"/>
  <c r="J17"/>
  <c r="J21"/>
  <c r="K7" i="7"/>
  <c r="G33" i="4" l="1"/>
  <c r="D33" i="6"/>
  <c r="I20" i="4"/>
  <c r="D32" i="7"/>
  <c r="I33" i="4"/>
  <c r="D6" i="5" s="1"/>
  <c r="E6" s="1"/>
  <c r="G6" s="1"/>
  <c r="D14" l="1"/>
  <c r="D25"/>
  <c r="C30" l="1"/>
  <c r="E19" i="6"/>
  <c r="F19" s="1"/>
  <c r="F18" i="8" s="1"/>
  <c r="G18" s="1"/>
  <c r="H18" s="1"/>
  <c r="E15" i="6"/>
  <c r="F15" s="1"/>
  <c r="F14" i="8" s="1"/>
  <c r="G14" s="1"/>
  <c r="H14" s="1"/>
  <c r="D26" i="5"/>
  <c r="G30" i="7" s="1"/>
  <c r="H30" s="1"/>
  <c r="E13" i="6"/>
  <c r="F13" s="1"/>
  <c r="F12" i="8" s="1"/>
  <c r="G12" s="1"/>
  <c r="H12" s="1"/>
  <c r="E11" i="6"/>
  <c r="F11" s="1"/>
  <c r="F10" i="8" s="1"/>
  <c r="G10" s="1"/>
  <c r="H10" s="1"/>
  <c r="E7" i="6"/>
  <c r="F7" s="1"/>
  <c r="E18"/>
  <c r="F18" s="1"/>
  <c r="F17" i="8" s="1"/>
  <c r="G17" s="1"/>
  <c r="H17" s="1"/>
  <c r="E28" i="6"/>
  <c r="F28" s="1"/>
  <c r="F27" i="8" s="1"/>
  <c r="G27" s="1"/>
  <c r="H27" s="1"/>
  <c r="E27" i="6"/>
  <c r="F27" s="1"/>
  <c r="F26" i="8" s="1"/>
  <c r="G26" s="1"/>
  <c r="H26" s="1"/>
  <c r="E31" i="6"/>
  <c r="F31" s="1"/>
  <c r="F30" i="8" s="1"/>
  <c r="G30" s="1"/>
  <c r="H30" s="1"/>
  <c r="E20" i="6"/>
  <c r="F20" s="1"/>
  <c r="F19" i="8" s="1"/>
  <c r="G19" s="1"/>
  <c r="H19" s="1"/>
  <c r="F33" i="6" l="1"/>
  <c r="F6" i="8"/>
  <c r="G6" s="1"/>
  <c r="H6" s="1"/>
  <c r="G17" i="7"/>
  <c r="H17" s="1"/>
  <c r="G6"/>
  <c r="G12"/>
  <c r="H12" s="1"/>
  <c r="G14"/>
  <c r="H14" s="1"/>
  <c r="G18"/>
  <c r="H18" s="1"/>
  <c r="G26"/>
  <c r="H26" s="1"/>
  <c r="K12"/>
  <c r="C31" i="5"/>
  <c r="G19" i="7"/>
  <c r="H19" s="1"/>
  <c r="G27"/>
  <c r="H27" s="1"/>
  <c r="G10"/>
  <c r="H10" s="1"/>
  <c r="E22" l="1"/>
  <c r="F22" s="1"/>
  <c r="E16"/>
  <c r="F16" s="1"/>
  <c r="E29"/>
  <c r="F29" s="1"/>
  <c r="E8"/>
  <c r="F8" s="1"/>
  <c r="E28"/>
  <c r="F28" s="1"/>
  <c r="E20"/>
  <c r="F20" s="1"/>
  <c r="E23"/>
  <c r="F23" s="1"/>
  <c r="E15"/>
  <c r="F15" s="1"/>
  <c r="E13"/>
  <c r="F13" s="1"/>
  <c r="E31"/>
  <c r="F31" s="1"/>
  <c r="E9"/>
  <c r="F9" s="1"/>
  <c r="E21"/>
  <c r="F21" s="1"/>
  <c r="E7"/>
  <c r="F7" s="1"/>
  <c r="E11"/>
  <c r="F11" s="1"/>
  <c r="E25"/>
  <c r="F25" s="1"/>
  <c r="E24"/>
  <c r="F24" s="1"/>
  <c r="K8"/>
  <c r="K6" s="1"/>
  <c r="H6"/>
  <c r="F25" i="8" l="1"/>
  <c r="G25" s="1"/>
  <c r="H25" s="1"/>
  <c r="G25" i="7"/>
  <c r="H25" s="1"/>
  <c r="F32"/>
  <c r="F7" i="8"/>
  <c r="G7" s="1"/>
  <c r="H7" s="1"/>
  <c r="G7" i="7"/>
  <c r="H7" s="1"/>
  <c r="F9" i="8"/>
  <c r="G9" s="1"/>
  <c r="H9" s="1"/>
  <c r="G9" i="7"/>
  <c r="H9" s="1"/>
  <c r="F13" i="8"/>
  <c r="G13" s="1"/>
  <c r="H13" s="1"/>
  <c r="G13" i="7"/>
  <c r="H13" s="1"/>
  <c r="F23" i="8"/>
  <c r="G23" s="1"/>
  <c r="H23" s="1"/>
  <c r="G23" i="7"/>
  <c r="H23" s="1"/>
  <c r="F28" i="8"/>
  <c r="G28" s="1"/>
  <c r="H28" s="1"/>
  <c r="G28" i="7"/>
  <c r="H28" s="1"/>
  <c r="F29" i="8"/>
  <c r="G29" s="1"/>
  <c r="H29" s="1"/>
  <c r="G29" i="7"/>
  <c r="H29" s="1"/>
  <c r="F22" i="8"/>
  <c r="G22" s="1"/>
  <c r="H22" s="1"/>
  <c r="G22" i="7"/>
  <c r="H22" s="1"/>
  <c r="F24" i="8"/>
  <c r="G24" s="1"/>
  <c r="H24" s="1"/>
  <c r="G24" i="7"/>
  <c r="H24" s="1"/>
  <c r="F11" i="8"/>
  <c r="G11" s="1"/>
  <c r="H11" s="1"/>
  <c r="G11" i="7"/>
  <c r="H11" s="1"/>
  <c r="F21" i="8"/>
  <c r="G21" s="1"/>
  <c r="H21" s="1"/>
  <c r="G21" i="7"/>
  <c r="H21" s="1"/>
  <c r="F31" i="8"/>
  <c r="G31" s="1"/>
  <c r="H31" s="1"/>
  <c r="G31" i="7"/>
  <c r="H31" s="1"/>
  <c r="F15" i="8"/>
  <c r="G15" s="1"/>
  <c r="H15" s="1"/>
  <c r="G15" i="7"/>
  <c r="H15" s="1"/>
  <c r="F20" i="8"/>
  <c r="G20" s="1"/>
  <c r="H20" s="1"/>
  <c r="G20" i="7"/>
  <c r="H20" s="1"/>
  <c r="F8" i="8"/>
  <c r="G8" s="1"/>
  <c r="H8" s="1"/>
  <c r="G8" i="7"/>
  <c r="H8" s="1"/>
  <c r="F16" i="8"/>
  <c r="G16" s="1"/>
  <c r="H16" s="1"/>
  <c r="G16" i="7"/>
  <c r="H16" s="1"/>
  <c r="H32" l="1"/>
  <c r="G32"/>
  <c r="H33" i="8"/>
</calcChain>
</file>

<file path=xl/sharedStrings.xml><?xml version="1.0" encoding="utf-8"?>
<sst xmlns="http://schemas.openxmlformats.org/spreadsheetml/2006/main" count="370" uniqueCount="139">
  <si>
    <t>Ressourcenausgleich</t>
  </si>
  <si>
    <t>(RA)</t>
  </si>
  <si>
    <t>Arbeitsblatt</t>
  </si>
  <si>
    <t>Inhalt</t>
  </si>
  <si>
    <t>RP</t>
  </si>
  <si>
    <t>Ressourcenpotenzial und -index</t>
  </si>
  <si>
    <t>BEV</t>
  </si>
  <si>
    <t>Massgebende Wohnbevölkerung</t>
  </si>
  <si>
    <t>Wachstum_RP</t>
  </si>
  <si>
    <t>Wachstumsraten der Ressourcenpotenziale</t>
  </si>
  <si>
    <t>Dotation_RA</t>
  </si>
  <si>
    <t>Fortschreibung der Dotationen im Ressourcenausgleich</t>
  </si>
  <si>
    <t>Einzahlungen</t>
  </si>
  <si>
    <t>Einzahlungen der ressourcenstarken Kantone</t>
  </si>
  <si>
    <t>Auszahlungen</t>
  </si>
  <si>
    <t>Auszahlungen an die ressourcenschwachen Kantone</t>
  </si>
  <si>
    <t>SSE</t>
  </si>
  <si>
    <t>Standardisierter Steuerertrag und -steuersatz</t>
  </si>
  <si>
    <t>Produktion</t>
  </si>
  <si>
    <t>Umgebung</t>
  </si>
  <si>
    <t>Typ</t>
  </si>
  <si>
    <t>Berechnung</t>
  </si>
  <si>
    <t>WS</t>
  </si>
  <si>
    <t>FA_2014_20130902</t>
  </si>
  <si>
    <t>SWS</t>
  </si>
  <si>
    <t>RA_2014_20130902</t>
  </si>
  <si>
    <t>RefJahr</t>
  </si>
  <si>
    <t>Spalte</t>
  </si>
  <si>
    <t>C</t>
  </si>
  <si>
    <t>D</t>
  </si>
  <si>
    <t>E</t>
  </si>
  <si>
    <t>F</t>
  </si>
  <si>
    <t>G</t>
  </si>
  <si>
    <t>H</t>
  </si>
  <si>
    <t>I</t>
  </si>
  <si>
    <t>Formel</t>
  </si>
  <si>
    <t>(C + D + E) / 3</t>
  </si>
  <si>
    <t>F / G * 1000</t>
  </si>
  <si>
    <t>H / H[total] * 100</t>
  </si>
  <si>
    <t>Ressourcen-potenzial</t>
  </si>
  <si>
    <t>Ressourcen-potenzial pro Einwohner</t>
  </si>
  <si>
    <t>Ressourcenindex</t>
  </si>
  <si>
    <t>Datenquelle</t>
  </si>
  <si>
    <t>Einheit</t>
  </si>
  <si>
    <t>CHF 1'000</t>
  </si>
  <si>
    <t>Personen</t>
  </si>
  <si>
    <t>CHF</t>
  </si>
  <si>
    <t>Zürich</t>
  </si>
  <si>
    <t>Bern</t>
  </si>
  <si>
    <t>Luzern</t>
  </si>
  <si>
    <t>Uri</t>
  </si>
  <si>
    <t>Schwyz</t>
  </si>
  <si>
    <t>Obwalden</t>
  </si>
  <si>
    <t>Nidwalden</t>
  </si>
  <si>
    <t>Glarus</t>
  </si>
  <si>
    <t>Zug</t>
  </si>
  <si>
    <t>Freiburg</t>
  </si>
  <si>
    <t>Solothurn</t>
  </si>
  <si>
    <t>Basel-Stadt</t>
  </si>
  <si>
    <t>Basel-Landschaft</t>
  </si>
  <si>
    <t>Schaffhausen</t>
  </si>
  <si>
    <t>Appenzell A.Rh.</t>
  </si>
  <si>
    <t>Appenzell I.Rh.</t>
  </si>
  <si>
    <t>St. Gallen</t>
  </si>
  <si>
    <t>Graubünden</t>
  </si>
  <si>
    <t>Aargau</t>
  </si>
  <si>
    <t>Thurgau</t>
  </si>
  <si>
    <t>Tessin</t>
  </si>
  <si>
    <t>Waadt</t>
  </si>
  <si>
    <t>Wallis</t>
  </si>
  <si>
    <t>Neuenburg</t>
  </si>
  <si>
    <t>Genf</t>
  </si>
  <si>
    <t>Jura</t>
  </si>
  <si>
    <t>Total</t>
  </si>
  <si>
    <t>BFS</t>
  </si>
  <si>
    <t>Ressourcenpotenzial aller Kantone</t>
  </si>
  <si>
    <t>Ressourcenpotenzial der
ressourcenstarken Kantone</t>
  </si>
  <si>
    <t>Veränderung</t>
  </si>
  <si>
    <t>Punkte</t>
  </si>
  <si>
    <t>Prozent</t>
  </si>
  <si>
    <t>in CHF</t>
  </si>
  <si>
    <t>Dotationen gemäss Fortschreibung</t>
  </si>
  <si>
    <t>Wachstum</t>
  </si>
  <si>
    <t>ordentliche Fortschreibung</t>
  </si>
  <si>
    <t>Anpassung Dotation</t>
  </si>
  <si>
    <t>Vertikaler Ressourcenausgleich</t>
  </si>
  <si>
    <t>Horizontaler Ressourcenausgleich</t>
  </si>
  <si>
    <t>Bandbreite HRA</t>
  </si>
  <si>
    <t>Obere Grenze (80% des VRA)</t>
  </si>
  <si>
    <t>HRA in % des VRA</t>
  </si>
  <si>
    <t>Untere Grenze (2/3 des VRA)</t>
  </si>
  <si>
    <t>HRA: Horizontaler Ressourcenausgleich</t>
  </si>
  <si>
    <t>VRA: Vertikaler Ressourcenausgleich</t>
  </si>
  <si>
    <t>Ressourcenausgleich Total</t>
  </si>
  <si>
    <t>Gesamte Dotation</t>
  </si>
  <si>
    <t>* Nach Anpassung der Dotation</t>
  </si>
  <si>
    <t>B</t>
  </si>
  <si>
    <t>(B - 100) * C</t>
  </si>
  <si>
    <t>Dotation/D[total]*(B-100)</t>
  </si>
  <si>
    <t>E * C</t>
  </si>
  <si>
    <t>Ressourcen-index</t>
  </si>
  <si>
    <t>Massgebende Wohn-bevölkerung</t>
  </si>
  <si>
    <t>Summe der gewichteten Abweichungen</t>
  </si>
  <si>
    <t>Betrag pro Einwohner</t>
  </si>
  <si>
    <t>Betrag</t>
  </si>
  <si>
    <t>Einwohner</t>
  </si>
  <si>
    <t>davon horizontaler Ressourcen-ausgleich</t>
  </si>
  <si>
    <t>davon vertikaler Ressourcen-ausgleich</t>
  </si>
  <si>
    <t>Iterative Berechnung
von "p"</t>
  </si>
  <si>
    <t>p</t>
  </si>
  <si>
    <t>p_dach</t>
  </si>
  <si>
    <t>RI_26</t>
  </si>
  <si>
    <t>RI_MIN</t>
  </si>
  <si>
    <t>Schweiz</t>
  </si>
  <si>
    <t>J</t>
  </si>
  <si>
    <t>C / D</t>
  </si>
  <si>
    <t>E + F</t>
  </si>
  <si>
    <t>G / E[total]</t>
  </si>
  <si>
    <t>E - E[total]</t>
  </si>
  <si>
    <t>Standardisierter Steuerertrag</t>
  </si>
  <si>
    <t>Standardisierter Steuerertrag pro Einwohner vor Ausgleich</t>
  </si>
  <si>
    <t>Ressourcen-ausgleich pro Einwohner</t>
  </si>
  <si>
    <t>Standardisierter Steuerertrag pro Einwohner nach Ausgleich</t>
  </si>
  <si>
    <t>Index SSE nach Ausgleich</t>
  </si>
  <si>
    <t>Differenz SSE pro Einwohner vor Ausgleich zum Schweizer Mittel</t>
  </si>
  <si>
    <t>Minimum</t>
  </si>
  <si>
    <r>
      <rPr>
        <sz val="10"/>
        <rFont val="Arial"/>
        <family val="2"/>
      </rPr>
      <t>A   Steuereinnahmen der Kantone und Gemeinden</t>
    </r>
  </si>
  <si>
    <r>
      <rPr>
        <sz val="10"/>
        <rFont val="Arial"/>
        <family val="2"/>
      </rPr>
      <t>B   Einnahmen direkte Bundessteuer (DBSt)</t>
    </r>
  </si>
  <si>
    <r>
      <rPr>
        <sz val="10"/>
        <rFont val="Arial"/>
        <family val="2"/>
      </rPr>
      <t>C   17 % Kantonsanteil an DBSt</t>
    </r>
  </si>
  <si>
    <t>0,17 * B</t>
  </si>
  <si>
    <t>D   Standardisierte Steuerertäge (SSE) total</t>
  </si>
  <si>
    <t>A + C</t>
  </si>
  <si>
    <t>E   Massgebende Wohnbevölkerung</t>
  </si>
  <si>
    <t>F   Standardisierte Steuererträge pro Kopf</t>
  </si>
  <si>
    <t>D / E * 1000</t>
  </si>
  <si>
    <t>G   Ressourcenpotenzial pro Kopf</t>
  </si>
  <si>
    <t>H   Standardisierter Steuersatz (SST)</t>
  </si>
  <si>
    <t>F / G</t>
  </si>
  <si>
    <t>Mittlere Wohnbevölkerung</t>
  </si>
</sst>
</file>

<file path=xl/styles.xml><?xml version="1.0" encoding="utf-8"?>
<styleSheet xmlns="http://schemas.openxmlformats.org/spreadsheetml/2006/main">
  <numFmts count="7">
    <numFmt numFmtId="43" formatCode="_ * #,##0.00_ ;_ * \-#,##0.00_ ;_ * &quot;-&quot;??_ ;_ @_ "/>
    <numFmt numFmtId="164" formatCode="0.0"/>
    <numFmt numFmtId="165" formatCode="_ * #,##0_ ;_ * \-#,##0_ ;_ * &quot;-&quot;??_ ;_ @_ "/>
    <numFmt numFmtId="166" formatCode="0.0%"/>
    <numFmt numFmtId="167" formatCode="#,##0.0"/>
    <numFmt numFmtId="168" formatCode="#,##0.000000000"/>
    <numFmt numFmtId="169" formatCode="0.000000000"/>
  </numFmts>
  <fonts count="25">
    <font>
      <sz val="10"/>
      <name val="Arial"/>
    </font>
    <font>
      <b/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i/>
      <sz val="8"/>
      <color rgb="FF000000"/>
      <name val="Arial"/>
      <family val="2"/>
    </font>
    <font>
      <i/>
      <sz val="8"/>
      <color rgb="FF0000FF"/>
      <name val="Arial"/>
      <family val="2"/>
    </font>
    <font>
      <b/>
      <sz val="14"/>
      <name val="Arial"/>
      <family val="2"/>
    </font>
    <font>
      <b/>
      <sz val="18"/>
      <name val="Arial"/>
      <family val="2"/>
    </font>
    <font>
      <b/>
      <sz val="22"/>
      <name val="Arial"/>
      <family val="2"/>
    </font>
    <font>
      <i/>
      <sz val="8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  <font>
      <b/>
      <i/>
      <sz val="8"/>
      <name val="Arial"/>
      <family val="2"/>
    </font>
    <font>
      <i/>
      <sz val="8"/>
      <color indexed="8"/>
      <name val="Arial"/>
      <family val="2"/>
    </font>
    <font>
      <sz val="10"/>
      <color indexed="12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b/>
      <sz val="12"/>
      <color indexed="9"/>
      <name val="Arial"/>
      <family val="2"/>
    </font>
    <font>
      <sz val="12"/>
      <color indexed="9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8"/>
      <color indexed="12"/>
      <name val="Arial"/>
      <family val="2"/>
    </font>
    <font>
      <b/>
      <sz val="8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8"/>
        <bgColor indexed="64"/>
      </patternFill>
    </fill>
  </fills>
  <borders count="43">
    <border>
      <left/>
      <right/>
      <top/>
      <bottom/>
      <diagonal/>
    </border>
    <border diagonalUp="1" diagonalDown="1">
      <left style="thin">
        <color auto="1"/>
      </left>
      <right/>
      <top style="thin">
        <color auto="1"/>
      </top>
      <bottom style="thin">
        <color auto="1"/>
      </bottom>
      <diagonal/>
    </border>
    <border diagonalUp="1" diagonalDown="1">
      <left/>
      <right/>
      <top style="thin">
        <color auto="1"/>
      </top>
      <bottom style="thin">
        <color auto="1"/>
      </bottom>
      <diagonal/>
    </border>
    <border diagonalUp="1" diagonalDown="1">
      <left/>
      <right style="thin">
        <color auto="1"/>
      </right>
      <top style="thin">
        <color auto="1"/>
      </top>
      <bottom style="thin">
        <color auto="1"/>
      </bottom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 diagonalDown="1">
      <left style="thin">
        <color auto="1"/>
      </left>
      <right/>
      <top/>
      <bottom/>
      <diagonal/>
    </border>
    <border diagonalUp="1" diagonalDown="1">
      <left/>
      <right style="thin">
        <color auto="1"/>
      </right>
      <top style="thin">
        <color auto="1"/>
      </top>
      <bottom/>
      <diagonal/>
    </border>
    <border diagonalUp="1" diagonalDown="1">
      <left/>
      <right style="thin">
        <color auto="1"/>
      </right>
      <top/>
      <bottom/>
      <diagonal/>
    </border>
    <border diagonalUp="1" diagonalDown="1">
      <left style="thin">
        <color auto="1"/>
      </left>
      <right/>
      <top/>
      <bottom style="thin">
        <color auto="1"/>
      </bottom>
      <diagonal/>
    </border>
    <border diagonalUp="1" diagonalDown="1">
      <left/>
      <right style="thin">
        <color auto="1"/>
      </right>
      <top/>
      <bottom style="thin">
        <color auto="1"/>
      </bottom>
      <diagonal/>
    </border>
    <border diagonalUp="1" diagonalDown="1">
      <left style="thin">
        <color rgb="FF000000"/>
      </left>
      <right/>
      <top style="thin">
        <color rgb="FF000000"/>
      </top>
      <bottom style="thin">
        <color rgb="FF000000"/>
      </bottom>
      <diagonal/>
    </border>
    <border diagonalUp="1" diagonalDown="1">
      <left/>
      <right/>
      <top style="thin">
        <color rgb="FF000000"/>
      </top>
      <bottom style="thin">
        <color rgb="FF000000"/>
      </bottom>
      <diagonal/>
    </border>
    <border diagonalUp="1" diagonalDown="1">
      <left/>
      <right style="thin">
        <color rgb="FF000000"/>
      </right>
      <top style="thin">
        <color rgb="FF000000"/>
      </top>
      <bottom style="thin">
        <color rgb="FF000000"/>
      </bottom>
      <diagonal/>
    </border>
    <border diagonalUp="1" diagonalDown="1">
      <left/>
      <right/>
      <top style="thin">
        <color rgb="FF000000"/>
      </top>
      <bottom/>
      <diagonal/>
    </border>
    <border diagonalUp="1" diagonalDown="1">
      <left/>
      <right style="thin">
        <color rgb="FF000000"/>
      </right>
      <top style="thin">
        <color rgb="FF000000"/>
      </top>
      <bottom/>
      <diagonal/>
    </border>
    <border diagonalUp="1" diagonalDown="1">
      <left style="thin">
        <color rgb="FF000000"/>
      </left>
      <right/>
      <top style="thin">
        <color rgb="FF000000"/>
      </top>
      <bottom/>
      <diagonal/>
    </border>
    <border diagonalUp="1" diagonalDown="1">
      <left/>
      <right style="thin">
        <color rgb="FF000000"/>
      </right>
      <top/>
      <bottom/>
      <diagonal/>
    </border>
    <border diagonalUp="1" diagonalDown="1">
      <left/>
      <right/>
      <top/>
      <bottom style="thin">
        <color auto="1"/>
      </bottom>
      <diagonal/>
    </border>
    <border diagonalUp="1" diagonalDown="1">
      <left style="hair">
        <color auto="1"/>
      </left>
      <right/>
      <top/>
      <bottom style="thin">
        <color rgb="FF000000"/>
      </bottom>
      <diagonal/>
    </border>
    <border diagonalUp="1" diagonalDown="1">
      <left/>
      <right/>
      <top/>
      <bottom style="thin">
        <color rgb="FF000000"/>
      </bottom>
      <diagonal/>
    </border>
    <border diagonalUp="1" diagonalDown="1">
      <left/>
      <right style="hair">
        <color auto="1"/>
      </right>
      <top/>
      <bottom style="thin">
        <color rgb="FF000000"/>
      </bottom>
      <diagonal/>
    </border>
    <border diagonalUp="1" diagonalDown="1">
      <left/>
      <right style="thin">
        <color rgb="FF000000"/>
      </right>
      <top/>
      <bottom style="thin">
        <color rgb="FF000000"/>
      </bottom>
      <diagonal/>
    </border>
    <border diagonalUp="1" diagonalDown="1">
      <left style="hair">
        <color auto="1"/>
      </left>
      <right/>
      <top style="thin">
        <color rgb="FF000000"/>
      </top>
      <bottom style="thin">
        <color rgb="FF000000"/>
      </bottom>
      <diagonal/>
    </border>
    <border diagonalUp="1" diagonalDown="1">
      <left/>
      <right style="hair">
        <color auto="1"/>
      </right>
      <top style="thin">
        <color rgb="FF000000"/>
      </top>
      <bottom style="thin">
        <color rgb="FF000000"/>
      </bottom>
      <diagonal/>
    </border>
    <border diagonalUp="1" diagonalDown="1">
      <left style="hair">
        <color auto="1"/>
      </left>
      <right/>
      <top style="thin">
        <color rgb="FF000000"/>
      </top>
      <bottom/>
      <diagonal/>
    </border>
    <border diagonalUp="1" diagonalDown="1">
      <left/>
      <right style="hair">
        <color auto="1"/>
      </right>
      <top style="thin">
        <color rgb="FF000000"/>
      </top>
      <bottom/>
      <diagonal/>
    </border>
    <border diagonalUp="1" diagonalDown="1">
      <left style="hair">
        <color auto="1"/>
      </left>
      <right/>
      <top/>
      <bottom/>
      <diagonal/>
    </border>
    <border diagonalUp="1" diagonalDown="1">
      <left/>
      <right style="hair">
        <color auto="1"/>
      </right>
      <top/>
      <bottom/>
      <diagonal/>
    </border>
    <border diagonalUp="1" diagonalDown="1">
      <left style="hair">
        <color auto="1"/>
      </left>
      <right/>
      <top style="thin">
        <color auto="1"/>
      </top>
      <bottom style="hair">
        <color auto="1"/>
      </bottom>
      <diagonal/>
    </border>
    <border diagonalUp="1" diagonalDown="1">
      <left/>
      <right/>
      <top style="thin">
        <color auto="1"/>
      </top>
      <bottom style="hair">
        <color auto="1"/>
      </bottom>
      <diagonal/>
    </border>
    <border diagonalUp="1" diagonalDown="1">
      <left/>
      <right style="hair">
        <color auto="1"/>
      </right>
      <top style="thin">
        <color auto="1"/>
      </top>
      <bottom style="hair">
        <color auto="1"/>
      </bottom>
      <diagonal/>
    </border>
    <border diagonalUp="1" diagonalDown="1">
      <left style="thin">
        <color rgb="FF000000"/>
      </left>
      <right/>
      <top/>
      <bottom style="thin">
        <color rgb="FF000000"/>
      </bottom>
      <diagonal/>
    </border>
    <border diagonalUp="1" diagonalDown="1">
      <left style="hair">
        <color auto="1"/>
      </left>
      <right/>
      <top style="hair">
        <color auto="1"/>
      </top>
      <bottom style="thin">
        <color rgb="FF000000"/>
      </bottom>
      <diagonal/>
    </border>
    <border diagonalUp="1" diagonalDown="1">
      <left/>
      <right/>
      <top style="hair">
        <color auto="1"/>
      </top>
      <bottom style="thin">
        <color rgb="FF000000"/>
      </bottom>
      <diagonal/>
    </border>
    <border diagonalUp="1" diagonalDown="1">
      <left/>
      <right style="hair">
        <color auto="1"/>
      </right>
      <top style="hair">
        <color auto="1"/>
      </top>
      <bottom style="thin">
        <color rgb="FF000000"/>
      </bottom>
      <diagonal/>
    </border>
    <border diagonalUp="1" diagonalDown="1">
      <left/>
      <right style="thin">
        <color rgb="FF000000"/>
      </right>
      <top style="hair">
        <color auto="1"/>
      </top>
      <bottom style="thin">
        <color rgb="FF000000"/>
      </bottom>
      <diagonal/>
    </border>
    <border diagonalUp="1" diagonalDown="1">
      <left style="thin">
        <color rgb="FF000000"/>
      </left>
      <right/>
      <top/>
      <bottom/>
      <diagonal/>
    </border>
    <border diagonalUp="1" diagonalDown="1">
      <left/>
      <right style="thin">
        <color rgb="FF000000"/>
      </right>
      <top style="thin">
        <color auto="1"/>
      </top>
      <bottom style="hair">
        <color auto="1"/>
      </bottom>
      <diagonal/>
    </border>
    <border diagonalUp="1" diagonalDown="1">
      <left/>
      <right style="hair">
        <color auto="1"/>
      </right>
      <top/>
      <bottom style="thin">
        <color auto="1"/>
      </bottom>
      <diagonal/>
    </border>
    <border diagonalUp="1" diagonalDown="1"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 diagonalUp="1" diagonalDown="1">
      <left style="thin">
        <color rgb="FF000000"/>
      </left>
      <right style="thin">
        <color rgb="FF000000"/>
      </right>
      <top style="thin">
        <color rgb="FF000000"/>
      </top>
      <bottom/>
      <diagonal/>
    </border>
    <border diagonalUp="1" diagonalDown="1">
      <left style="thin">
        <color rgb="FF000000"/>
      </left>
      <right style="thin">
        <color rgb="FF000000"/>
      </right>
      <top/>
      <bottom/>
      <diagonal/>
    </border>
    <border diagonalUp="1" diagonalDown="1"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4">
    <xf numFmtId="0" fontId="0" fillId="0" borderId="0" xfId="0"/>
    <xf numFmtId="0" fontId="0" fillId="0" borderId="0" xfId="0" applyFont="1" applyFill="1"/>
    <xf numFmtId="0" fontId="0" fillId="2" borderId="1" xfId="0" applyFont="1" applyFill="1" applyBorder="1"/>
    <xf numFmtId="0" fontId="0" fillId="2" borderId="2" xfId="0" applyFont="1" applyFill="1" applyBorder="1"/>
    <xf numFmtId="0" fontId="0" fillId="2" borderId="3" xfId="0" applyFont="1" applyFill="1" applyBorder="1"/>
    <xf numFmtId="0" fontId="0" fillId="0" borderId="1" xfId="0" applyFont="1" applyFill="1" applyBorder="1"/>
    <xf numFmtId="0" fontId="0" fillId="0" borderId="2" xfId="0" applyFont="1" applyFill="1" applyBorder="1"/>
    <xf numFmtId="0" fontId="0" fillId="0" borderId="3" xfId="0" applyFont="1" applyFill="1" applyBorder="1"/>
    <xf numFmtId="0" fontId="0" fillId="0" borderId="4" xfId="0" applyFont="1" applyFill="1" applyBorder="1"/>
    <xf numFmtId="0" fontId="1" fillId="0" borderId="1" xfId="0" applyFont="1" applyFill="1" applyBorder="1" applyAlignment="1">
      <alignment horizontal="left"/>
    </xf>
    <xf numFmtId="0" fontId="0" fillId="0" borderId="3" xfId="0" applyFont="1" applyFill="1" applyBorder="1" applyAlignment="1">
      <alignment horizontal="left"/>
    </xf>
    <xf numFmtId="0" fontId="4" fillId="0" borderId="5" xfId="0" applyFont="1" applyFill="1" applyBorder="1"/>
    <xf numFmtId="1" fontId="5" fillId="0" borderId="6" xfId="0" applyNumberFormat="1" applyFont="1" applyFill="1" applyBorder="1" applyAlignment="1" applyProtection="1">
      <alignment horizontal="left" vertical="top"/>
      <protection locked="0"/>
    </xf>
    <xf numFmtId="1" fontId="5" fillId="0" borderId="7" xfId="0" applyNumberFormat="1" applyFont="1" applyFill="1" applyBorder="1" applyAlignment="1" applyProtection="1">
      <alignment horizontal="left" vertical="top"/>
      <protection locked="0"/>
    </xf>
    <xf numFmtId="0" fontId="4" fillId="0" borderId="8" xfId="0" applyFont="1" applyFill="1" applyBorder="1"/>
    <xf numFmtId="1" fontId="5" fillId="0" borderId="9" xfId="0" applyNumberFormat="1" applyFont="1" applyFill="1" applyBorder="1" applyAlignment="1" applyProtection="1">
      <alignment horizontal="left" vertical="top"/>
      <protection locked="0"/>
    </xf>
    <xf numFmtId="0" fontId="7" fillId="0" borderId="0" xfId="0" applyFont="1" applyFill="1" applyBorder="1" applyAlignment="1" applyProtection="1">
      <alignment vertical="top" wrapText="1"/>
      <protection locked="0"/>
    </xf>
    <xf numFmtId="0" fontId="9" fillId="0" borderId="0" xfId="0" applyFont="1" applyFill="1" applyAlignment="1">
      <alignment horizontal="right"/>
    </xf>
    <xf numFmtId="0" fontId="10" fillId="0" borderId="0" xfId="0" applyFont="1" applyFill="1" applyBorder="1"/>
    <xf numFmtId="0" fontId="10" fillId="0" borderId="10" xfId="0" applyFont="1" applyFill="1" applyBorder="1" applyAlignment="1">
      <alignment horizontal="right"/>
    </xf>
    <xf numFmtId="0" fontId="10" fillId="0" borderId="11" xfId="0" applyFont="1" applyFill="1" applyBorder="1" applyAlignment="1">
      <alignment horizontal="right"/>
    </xf>
    <xf numFmtId="0" fontId="10" fillId="0" borderId="12" xfId="0" applyFont="1" applyFill="1" applyBorder="1" applyAlignment="1">
      <alignment horizontal="right"/>
    </xf>
    <xf numFmtId="0" fontId="11" fillId="0" borderId="0" xfId="0" applyFont="1" applyFill="1"/>
    <xf numFmtId="0" fontId="12" fillId="0" borderId="0" xfId="0" applyFont="1" applyFill="1" applyBorder="1"/>
    <xf numFmtId="0" fontId="12" fillId="0" borderId="10" xfId="0" applyFont="1" applyFill="1" applyBorder="1" applyAlignment="1">
      <alignment horizontal="right"/>
    </xf>
    <xf numFmtId="0" fontId="12" fillId="0" borderId="11" xfId="0" applyFont="1" applyFill="1" applyBorder="1" applyAlignment="1">
      <alignment horizontal="right"/>
    </xf>
    <xf numFmtId="0" fontId="11" fillId="0" borderId="11" xfId="0" applyFont="1" applyFill="1" applyBorder="1" applyAlignment="1">
      <alignment horizontal="right" wrapText="1"/>
    </xf>
    <xf numFmtId="0" fontId="11" fillId="0" borderId="11" xfId="0" applyFont="1" applyFill="1" applyBorder="1" applyAlignment="1">
      <alignment horizontal="right"/>
    </xf>
    <xf numFmtId="0" fontId="11" fillId="0" borderId="12" xfId="0" applyFont="1" applyFill="1" applyBorder="1" applyAlignment="1">
      <alignment horizontal="right"/>
    </xf>
    <xf numFmtId="0" fontId="0" fillId="0" borderId="0" xfId="0" applyFont="1" applyFill="1" applyBorder="1"/>
    <xf numFmtId="0" fontId="0" fillId="0" borderId="5" xfId="0" applyFont="1" applyFill="1" applyBorder="1"/>
    <xf numFmtId="0" fontId="1" fillId="0" borderId="13" xfId="0" applyFont="1" applyFill="1" applyBorder="1" applyAlignment="1">
      <alignment horizontal="right" wrapText="1"/>
    </xf>
    <xf numFmtId="0" fontId="1" fillId="0" borderId="14" xfId="0" applyFont="1" applyFill="1" applyBorder="1" applyAlignment="1">
      <alignment horizontal="right" wrapText="1"/>
    </xf>
    <xf numFmtId="0" fontId="9" fillId="0" borderId="0" xfId="0" applyFont="1" applyFill="1" applyAlignment="1">
      <alignment vertical="center"/>
    </xf>
    <xf numFmtId="0" fontId="9" fillId="0" borderId="0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right" vertical="center"/>
    </xf>
    <xf numFmtId="0" fontId="9" fillId="0" borderId="11" xfId="0" applyFont="1" applyFill="1" applyBorder="1" applyAlignment="1">
      <alignment horizontal="right" vertical="center" wrapText="1"/>
    </xf>
    <xf numFmtId="0" fontId="13" fillId="0" borderId="11" xfId="0" applyFont="1" applyFill="1" applyBorder="1" applyAlignment="1">
      <alignment horizontal="right" vertical="center" wrapText="1"/>
    </xf>
    <xf numFmtId="0" fontId="13" fillId="0" borderId="12" xfId="0" applyFont="1" applyFill="1" applyBorder="1" applyAlignment="1">
      <alignment horizontal="right" vertical="center" wrapText="1"/>
    </xf>
    <xf numFmtId="0" fontId="14" fillId="0" borderId="10" xfId="0" applyFont="1" applyFill="1" applyBorder="1" applyAlignment="1">
      <alignment horizontal="right" vertical="center"/>
    </xf>
    <xf numFmtId="0" fontId="14" fillId="0" borderId="11" xfId="0" applyFont="1" applyFill="1" applyBorder="1" applyAlignment="1">
      <alignment horizontal="right" vertical="center"/>
    </xf>
    <xf numFmtId="0" fontId="14" fillId="0" borderId="12" xfId="0" applyFont="1" applyFill="1" applyBorder="1" applyAlignment="1">
      <alignment horizontal="right" vertical="center"/>
    </xf>
    <xf numFmtId="0" fontId="0" fillId="0" borderId="15" xfId="0" applyFont="1" applyFill="1" applyBorder="1"/>
    <xf numFmtId="3" fontId="15" fillId="0" borderId="13" xfId="0" applyNumberFormat="1" applyFont="1" applyFill="1" applyBorder="1" applyProtection="1">
      <protection locked="0"/>
    </xf>
    <xf numFmtId="3" fontId="0" fillId="0" borderId="13" xfId="0" applyNumberFormat="1" applyFont="1" applyFill="1" applyBorder="1" applyProtection="1">
      <protection locked="0"/>
    </xf>
    <xf numFmtId="3" fontId="0" fillId="0" borderId="13" xfId="0" applyNumberFormat="1" applyFont="1" applyFill="1" applyBorder="1"/>
    <xf numFmtId="164" fontId="0" fillId="0" borderId="14" xfId="0" applyNumberFormat="1" applyFont="1" applyFill="1" applyBorder="1"/>
    <xf numFmtId="0" fontId="0" fillId="3" borderId="5" xfId="0" applyFont="1" applyFill="1" applyBorder="1"/>
    <xf numFmtId="3" fontId="15" fillId="3" borderId="0" xfId="0" applyNumberFormat="1" applyFont="1" applyFill="1" applyBorder="1" applyProtection="1">
      <protection locked="0"/>
    </xf>
    <xf numFmtId="3" fontId="0" fillId="3" borderId="0" xfId="0" applyNumberFormat="1" applyFont="1" applyFill="1" applyBorder="1" applyProtection="1">
      <protection locked="0"/>
    </xf>
    <xf numFmtId="3" fontId="0" fillId="3" borderId="0" xfId="0" applyNumberFormat="1" applyFont="1" applyFill="1" applyBorder="1"/>
    <xf numFmtId="164" fontId="0" fillId="3" borderId="16" xfId="0" applyNumberFormat="1" applyFont="1" applyFill="1" applyBorder="1"/>
    <xf numFmtId="3" fontId="15" fillId="0" borderId="0" xfId="0" applyNumberFormat="1" applyFont="1" applyFill="1" applyBorder="1" applyProtection="1">
      <protection locked="0"/>
    </xf>
    <xf numFmtId="3" fontId="0" fillId="0" borderId="0" xfId="0" applyNumberFormat="1" applyFont="1" applyFill="1" applyBorder="1" applyProtection="1">
      <protection locked="0"/>
    </xf>
    <xf numFmtId="3" fontId="0" fillId="0" borderId="0" xfId="0" applyNumberFormat="1" applyFont="1" applyFill="1" applyBorder="1"/>
    <xf numFmtId="164" fontId="0" fillId="0" borderId="16" xfId="0" applyNumberFormat="1" applyFont="1" applyFill="1" applyBorder="1"/>
    <xf numFmtId="0" fontId="1" fillId="0" borderId="0" xfId="0" applyFont="1" applyFill="1" applyBorder="1"/>
    <xf numFmtId="0" fontId="1" fillId="0" borderId="10" xfId="0" applyFont="1" applyFill="1" applyBorder="1"/>
    <xf numFmtId="3" fontId="1" fillId="0" borderId="11" xfId="0" applyNumberFormat="1" applyFont="1" applyFill="1" applyBorder="1"/>
    <xf numFmtId="164" fontId="1" fillId="0" borderId="12" xfId="0" applyNumberFormat="1" applyFont="1" applyFill="1" applyBorder="1"/>
    <xf numFmtId="0" fontId="7" fillId="0" borderId="17" xfId="0" applyFont="1" applyFill="1" applyBorder="1" applyAlignment="1" applyProtection="1">
      <alignment vertical="top"/>
      <protection locked="0"/>
    </xf>
    <xf numFmtId="0" fontId="7" fillId="0" borderId="17" xfId="0" applyFont="1" applyFill="1" applyBorder="1" applyAlignment="1" applyProtection="1">
      <alignment vertical="top" wrapText="1"/>
      <protection locked="0"/>
    </xf>
    <xf numFmtId="0" fontId="10" fillId="0" borderId="1" xfId="0" applyFont="1" applyFill="1" applyBorder="1" applyAlignment="1">
      <alignment horizontal="right"/>
    </xf>
    <xf numFmtId="0" fontId="10" fillId="0" borderId="2" xfId="0" applyFont="1" applyFill="1" applyBorder="1" applyAlignment="1">
      <alignment horizontal="right"/>
    </xf>
    <xf numFmtId="0" fontId="10" fillId="0" borderId="3" xfId="0" applyFont="1" applyFill="1" applyBorder="1" applyAlignment="1">
      <alignment horizontal="right"/>
    </xf>
    <xf numFmtId="0" fontId="9" fillId="0" borderId="0" xfId="0" applyFont="1" applyFill="1"/>
    <xf numFmtId="0" fontId="14" fillId="0" borderId="0" xfId="0" applyFont="1" applyFill="1" applyBorder="1"/>
    <xf numFmtId="0" fontId="12" fillId="0" borderId="1" xfId="0" applyFont="1" applyFill="1" applyBorder="1" applyAlignment="1">
      <alignment horizontal="right"/>
    </xf>
    <xf numFmtId="0" fontId="12" fillId="0" borderId="2" xfId="0" applyFont="1" applyFill="1" applyBorder="1" applyAlignment="1">
      <alignment horizontal="right"/>
    </xf>
    <xf numFmtId="0" fontId="11" fillId="0" borderId="3" xfId="0" applyFont="1" applyFill="1" applyBorder="1" applyAlignment="1">
      <alignment horizontal="right" wrapText="1"/>
    </xf>
    <xf numFmtId="0" fontId="6" fillId="0" borderId="15" xfId="0" applyFont="1" applyFill="1" applyBorder="1" applyAlignment="1">
      <alignment vertical="center" wrapText="1"/>
    </xf>
    <xf numFmtId="0" fontId="1" fillId="0" borderId="14" xfId="0" applyFont="1" applyFill="1" applyBorder="1" applyAlignment="1" applyProtection="1">
      <alignment horizontal="right" wrapText="1"/>
      <protection locked="0"/>
    </xf>
    <xf numFmtId="0" fontId="6" fillId="0" borderId="8" xfId="0" applyFont="1" applyFill="1" applyBorder="1" applyAlignment="1">
      <alignment vertical="center" wrapText="1"/>
    </xf>
    <xf numFmtId="1" fontId="1" fillId="0" borderId="18" xfId="0" applyNumberFormat="1" applyFont="1" applyFill="1" applyBorder="1" applyAlignment="1" applyProtection="1">
      <alignment horizontal="right" vertical="center"/>
      <protection locked="0"/>
    </xf>
    <xf numFmtId="1" fontId="1" fillId="0" borderId="19" xfId="0" applyNumberFormat="1" applyFont="1" applyFill="1" applyBorder="1" applyAlignment="1" applyProtection="1">
      <alignment horizontal="right" vertical="center"/>
      <protection locked="0"/>
    </xf>
    <xf numFmtId="1" fontId="1" fillId="0" borderId="20" xfId="0" applyNumberFormat="1" applyFont="1" applyFill="1" applyBorder="1" applyAlignment="1" applyProtection="1">
      <alignment horizontal="right" vertical="center"/>
      <protection locked="0"/>
    </xf>
    <xf numFmtId="1" fontId="1" fillId="0" borderId="21" xfId="0" applyNumberFormat="1" applyFont="1" applyFill="1" applyBorder="1" applyAlignment="1">
      <alignment horizontal="right"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Border="1" applyAlignment="1">
      <alignment vertical="center"/>
    </xf>
    <xf numFmtId="0" fontId="9" fillId="0" borderId="22" xfId="0" applyFont="1" applyFill="1" applyBorder="1" applyAlignment="1">
      <alignment horizontal="right" vertical="center"/>
    </xf>
    <xf numFmtId="0" fontId="9" fillId="0" borderId="11" xfId="0" applyFont="1" applyFill="1" applyBorder="1" applyAlignment="1">
      <alignment horizontal="right" vertical="center"/>
    </xf>
    <xf numFmtId="0" fontId="9" fillId="0" borderId="23" xfId="0" applyFont="1" applyFill="1" applyBorder="1" applyAlignment="1">
      <alignment horizontal="right" vertical="center"/>
    </xf>
    <xf numFmtId="0" fontId="9" fillId="0" borderId="12" xfId="0" applyFont="1" applyFill="1" applyBorder="1" applyAlignment="1">
      <alignment horizontal="right" vertical="center"/>
    </xf>
    <xf numFmtId="3" fontId="15" fillId="0" borderId="24" xfId="0" applyNumberFormat="1" applyFont="1" applyFill="1" applyBorder="1" applyProtection="1">
      <protection locked="0"/>
    </xf>
    <xf numFmtId="3" fontId="15" fillId="0" borderId="25" xfId="0" applyNumberFormat="1" applyFont="1" applyFill="1" applyBorder="1" applyProtection="1">
      <protection locked="0"/>
    </xf>
    <xf numFmtId="3" fontId="0" fillId="0" borderId="14" xfId="0" applyNumberFormat="1" applyFont="1" applyFill="1" applyBorder="1"/>
    <xf numFmtId="3" fontId="15" fillId="3" borderId="26" xfId="0" applyNumberFormat="1" applyFont="1" applyFill="1" applyBorder="1" applyProtection="1">
      <protection locked="0"/>
    </xf>
    <xf numFmtId="3" fontId="15" fillId="3" borderId="27" xfId="0" applyNumberFormat="1" applyFont="1" applyFill="1" applyBorder="1" applyProtection="1">
      <protection locked="0"/>
    </xf>
    <xf numFmtId="3" fontId="0" fillId="3" borderId="16" xfId="0" applyNumberFormat="1" applyFont="1" applyFill="1" applyBorder="1"/>
    <xf numFmtId="3" fontId="15" fillId="0" borderId="26" xfId="0" applyNumberFormat="1" applyFont="1" applyFill="1" applyBorder="1" applyProtection="1">
      <protection locked="0"/>
    </xf>
    <xf numFmtId="3" fontId="15" fillId="0" borderId="27" xfId="0" applyNumberFormat="1" applyFont="1" applyFill="1" applyBorder="1" applyProtection="1">
      <protection locked="0"/>
    </xf>
    <xf numFmtId="3" fontId="0" fillId="0" borderId="16" xfId="0" applyNumberFormat="1" applyFont="1" applyFill="1" applyBorder="1"/>
    <xf numFmtId="3" fontId="1" fillId="0" borderId="22" xfId="0" applyNumberFormat="1" applyFont="1" applyFill="1" applyBorder="1"/>
    <xf numFmtId="3" fontId="1" fillId="0" borderId="23" xfId="0" applyNumberFormat="1" applyFont="1" applyFill="1" applyBorder="1"/>
    <xf numFmtId="3" fontId="1" fillId="0" borderId="12" xfId="0" applyNumberFormat="1" applyFont="1" applyFill="1" applyBorder="1"/>
    <xf numFmtId="0" fontId="0" fillId="0" borderId="13" xfId="0" applyFont="1" applyFill="1" applyBorder="1"/>
    <xf numFmtId="0" fontId="0" fillId="0" borderId="31" xfId="0" applyFont="1" applyFill="1" applyBorder="1"/>
    <xf numFmtId="1" fontId="1" fillId="0" borderId="32" xfId="0" applyNumberFormat="1" applyFont="1" applyFill="1" applyBorder="1" applyAlignment="1" applyProtection="1">
      <alignment horizontal="right"/>
      <protection locked="0"/>
    </xf>
    <xf numFmtId="1" fontId="1" fillId="0" borderId="33" xfId="0" applyNumberFormat="1" applyFont="1" applyFill="1" applyBorder="1" applyAlignment="1" applyProtection="1">
      <alignment horizontal="right"/>
      <protection locked="0"/>
    </xf>
    <xf numFmtId="0" fontId="1" fillId="0" borderId="34" xfId="0" applyFont="1" applyFill="1" applyBorder="1" applyAlignment="1">
      <alignment horizontal="right" vertical="center" wrapText="1"/>
    </xf>
    <xf numFmtId="0" fontId="1" fillId="0" borderId="35" xfId="0" applyFont="1" applyFill="1" applyBorder="1" applyAlignment="1">
      <alignment horizontal="right" vertical="center" wrapText="1"/>
    </xf>
    <xf numFmtId="0" fontId="0" fillId="0" borderId="16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right" vertical="center"/>
    </xf>
    <xf numFmtId="0" fontId="14" fillId="0" borderId="22" xfId="0" applyFont="1" applyFill="1" applyBorder="1" applyAlignment="1">
      <alignment horizontal="right" vertical="center"/>
    </xf>
    <xf numFmtId="0" fontId="14" fillId="0" borderId="23" xfId="0" applyFont="1" applyFill="1" applyBorder="1" applyAlignment="1">
      <alignment horizontal="right" vertical="center"/>
    </xf>
    <xf numFmtId="0" fontId="9" fillId="0" borderId="16" xfId="0" applyFont="1" applyFill="1" applyBorder="1" applyAlignment="1">
      <alignment horizontal="right" vertical="center" wrapText="1"/>
    </xf>
    <xf numFmtId="0" fontId="0" fillId="0" borderId="16" xfId="0" applyFont="1" applyFill="1" applyBorder="1"/>
    <xf numFmtId="164" fontId="0" fillId="0" borderId="13" xfId="0" applyNumberFormat="1" applyFont="1" applyFill="1" applyBorder="1"/>
    <xf numFmtId="165" fontId="15" fillId="0" borderId="24" xfId="0" applyNumberFormat="1" applyFont="1" applyFill="1" applyBorder="1" applyAlignment="1" applyProtection="1">
      <alignment horizontal="right"/>
      <protection locked="0"/>
    </xf>
    <xf numFmtId="165" fontId="0" fillId="0" borderId="13" xfId="0" applyNumberFormat="1" applyFont="1" applyFill="1" applyBorder="1" applyAlignment="1">
      <alignment horizontal="right"/>
    </xf>
    <xf numFmtId="166" fontId="0" fillId="0" borderId="25" xfId="0" applyNumberFormat="1" applyFont="1" applyFill="1" applyBorder="1"/>
    <xf numFmtId="166" fontId="0" fillId="0" borderId="14" xfId="0" applyNumberFormat="1" applyFont="1" applyFill="1" applyBorder="1"/>
    <xf numFmtId="0" fontId="0" fillId="3" borderId="36" xfId="0" applyFont="1" applyFill="1" applyBorder="1"/>
    <xf numFmtId="164" fontId="0" fillId="3" borderId="0" xfId="0" applyNumberFormat="1" applyFont="1" applyFill="1" applyBorder="1"/>
    <xf numFmtId="165" fontId="15" fillId="3" borderId="26" xfId="0" applyNumberFormat="1" applyFont="1" applyFill="1" applyBorder="1" applyAlignment="1" applyProtection="1">
      <alignment horizontal="right"/>
      <protection locked="0"/>
    </xf>
    <xf numFmtId="165" fontId="0" fillId="3" borderId="0" xfId="0" applyNumberFormat="1" applyFont="1" applyFill="1" applyBorder="1" applyAlignment="1">
      <alignment horizontal="right"/>
    </xf>
    <xf numFmtId="166" fontId="0" fillId="3" borderId="27" xfId="0" applyNumberFormat="1" applyFont="1" applyFill="1" applyBorder="1"/>
    <xf numFmtId="166" fontId="0" fillId="3" borderId="16" xfId="0" applyNumberFormat="1" applyFont="1" applyFill="1" applyBorder="1"/>
    <xf numFmtId="0" fontId="0" fillId="0" borderId="36" xfId="0" applyFont="1" applyFill="1" applyBorder="1"/>
    <xf numFmtId="164" fontId="0" fillId="0" borderId="0" xfId="0" applyNumberFormat="1" applyFont="1" applyFill="1" applyBorder="1"/>
    <xf numFmtId="165" fontId="15" fillId="0" borderId="26" xfId="0" applyNumberFormat="1" applyFont="1" applyFill="1" applyBorder="1" applyAlignment="1" applyProtection="1">
      <alignment horizontal="right"/>
      <protection locked="0"/>
    </xf>
    <xf numFmtId="165" fontId="0" fillId="0" borderId="0" xfId="0" applyNumberFormat="1" applyFont="1" applyFill="1" applyBorder="1" applyAlignment="1">
      <alignment horizontal="right"/>
    </xf>
    <xf numFmtId="166" fontId="0" fillId="0" borderId="27" xfId="0" applyNumberFormat="1" applyFont="1" applyFill="1" applyBorder="1"/>
    <xf numFmtId="166" fontId="0" fillId="0" borderId="16" xfId="0" applyNumberFormat="1" applyFont="1" applyFill="1" applyBorder="1"/>
    <xf numFmtId="0" fontId="1" fillId="0" borderId="16" xfId="0" applyFont="1" applyFill="1" applyBorder="1"/>
    <xf numFmtId="0" fontId="0" fillId="3" borderId="31" xfId="0" applyFont="1" applyFill="1" applyBorder="1"/>
    <xf numFmtId="164" fontId="0" fillId="3" borderId="19" xfId="0" applyNumberFormat="1" applyFont="1" applyFill="1" applyBorder="1"/>
    <xf numFmtId="165" fontId="15" fillId="3" borderId="18" xfId="0" applyNumberFormat="1" applyFont="1" applyFill="1" applyBorder="1" applyAlignment="1" applyProtection="1">
      <alignment horizontal="right"/>
      <protection locked="0"/>
    </xf>
    <xf numFmtId="165" fontId="0" fillId="3" borderId="19" xfId="0" applyNumberFormat="1" applyFont="1" applyFill="1" applyBorder="1" applyAlignment="1">
      <alignment horizontal="right"/>
    </xf>
    <xf numFmtId="166" fontId="0" fillId="3" borderId="20" xfId="0" applyNumberFormat="1" applyFont="1" applyFill="1" applyBorder="1"/>
    <xf numFmtId="3" fontId="0" fillId="3" borderId="19" xfId="0" applyNumberFormat="1" applyFont="1" applyFill="1" applyBorder="1"/>
    <xf numFmtId="166" fontId="0" fillId="3" borderId="21" xfId="0" applyNumberFormat="1" applyFont="1" applyFill="1" applyBorder="1"/>
    <xf numFmtId="167" fontId="1" fillId="0" borderId="11" xfId="0" applyNumberFormat="1" applyFont="1" applyFill="1" applyBorder="1"/>
    <xf numFmtId="165" fontId="1" fillId="0" borderId="22" xfId="0" applyNumberFormat="1" applyFont="1" applyFill="1" applyBorder="1" applyAlignment="1" applyProtection="1">
      <alignment horizontal="right"/>
      <protection locked="0"/>
    </xf>
    <xf numFmtId="165" fontId="1" fillId="0" borderId="11" xfId="0" applyNumberFormat="1" applyFont="1" applyFill="1" applyBorder="1" applyAlignment="1">
      <alignment horizontal="right"/>
    </xf>
    <xf numFmtId="166" fontId="1" fillId="4" borderId="23" xfId="0" applyNumberFormat="1" applyFont="1" applyFill="1" applyBorder="1"/>
    <xf numFmtId="166" fontId="1" fillId="4" borderId="12" xfId="0" applyNumberFormat="1" applyFont="1" applyFill="1" applyBorder="1"/>
    <xf numFmtId="0" fontId="16" fillId="0" borderId="0" xfId="0" applyFont="1" applyFill="1" applyAlignment="1">
      <alignment horizontal="left" vertical="top"/>
    </xf>
    <xf numFmtId="0" fontId="6" fillId="0" borderId="0" xfId="0" applyFont="1" applyFill="1"/>
    <xf numFmtId="0" fontId="17" fillId="0" borderId="0" xfId="0" applyFont="1" applyFill="1" applyBorder="1"/>
    <xf numFmtId="0" fontId="1" fillId="3" borderId="10" xfId="0" applyFont="1" applyFill="1" applyBorder="1"/>
    <xf numFmtId="1" fontId="1" fillId="3" borderId="11" xfId="0" applyNumberFormat="1" applyFont="1" applyFill="1" applyBorder="1" applyAlignment="1">
      <alignment horizontal="right"/>
    </xf>
    <xf numFmtId="0" fontId="0" fillId="3" borderId="11" xfId="0" applyFont="1" applyFill="1" applyBorder="1" applyAlignment="1">
      <alignment horizontal="right"/>
    </xf>
    <xf numFmtId="0" fontId="0" fillId="3" borderId="11" xfId="0" applyFont="1" applyFill="1" applyBorder="1" applyAlignment="1">
      <alignment horizontal="right" wrapText="1"/>
    </xf>
    <xf numFmtId="1" fontId="1" fillId="3" borderId="12" xfId="0" applyNumberFormat="1" applyFont="1" applyFill="1" applyBorder="1"/>
    <xf numFmtId="166" fontId="0" fillId="0" borderId="13" xfId="0" applyNumberFormat="1" applyFont="1" applyFill="1" applyBorder="1"/>
    <xf numFmtId="3" fontId="1" fillId="0" borderId="14" xfId="0" applyNumberFormat="1" applyFont="1" applyFill="1" applyBorder="1"/>
    <xf numFmtId="3" fontId="15" fillId="0" borderId="19" xfId="0" applyNumberFormat="1" applyFont="1" applyFill="1" applyBorder="1" applyProtection="1">
      <protection locked="0"/>
    </xf>
    <xf numFmtId="166" fontId="0" fillId="0" borderId="19" xfId="0" applyNumberFormat="1" applyFont="1" applyFill="1" applyBorder="1"/>
    <xf numFmtId="3" fontId="0" fillId="0" borderId="19" xfId="0" applyNumberFormat="1" applyFont="1" applyFill="1" applyBorder="1"/>
    <xf numFmtId="3" fontId="1" fillId="0" borderId="21" xfId="0" applyNumberFormat="1" applyFont="1" applyFill="1" applyBorder="1"/>
    <xf numFmtId="0" fontId="0" fillId="0" borderId="0" xfId="0" applyFont="1" applyFill="1" applyAlignment="1">
      <alignment horizontal="right"/>
    </xf>
    <xf numFmtId="166" fontId="0" fillId="0" borderId="0" xfId="0" applyNumberFormat="1" applyFont="1" applyFill="1" applyBorder="1"/>
    <xf numFmtId="3" fontId="0" fillId="0" borderId="0" xfId="0" applyNumberFormat="1" applyFont="1" applyFill="1"/>
    <xf numFmtId="0" fontId="1" fillId="3" borderId="11" xfId="0" applyFont="1" applyFill="1" applyBorder="1" applyAlignment="1">
      <alignment horizontal="right"/>
    </xf>
    <xf numFmtId="1" fontId="1" fillId="3" borderId="12" xfId="0" applyNumberFormat="1" applyFont="1" applyFill="1" applyBorder="1" applyAlignment="1">
      <alignment horizontal="right"/>
    </xf>
    <xf numFmtId="0" fontId="3" fillId="0" borderId="36" xfId="0" applyFont="1" applyFill="1" applyBorder="1" applyAlignment="1">
      <alignment horizontal="left" indent="2"/>
    </xf>
    <xf numFmtId="166" fontId="3" fillId="0" borderId="0" xfId="0" applyNumberFormat="1" applyFont="1" applyFill="1" applyBorder="1"/>
    <xf numFmtId="166" fontId="3" fillId="0" borderId="16" xfId="0" applyNumberFormat="1" applyFont="1" applyFill="1" applyBorder="1"/>
    <xf numFmtId="3" fontId="0" fillId="0" borderId="21" xfId="0" applyNumberFormat="1" applyFont="1" applyFill="1" applyBorder="1"/>
    <xf numFmtId="0" fontId="9" fillId="0" borderId="0" xfId="0" applyFont="1" applyFill="1" applyAlignment="1">
      <alignment horizontal="left" indent="1"/>
    </xf>
    <xf numFmtId="0" fontId="9" fillId="0" borderId="0" xfId="0" applyFont="1" applyFill="1" applyBorder="1" applyAlignment="1">
      <alignment horizontal="left" indent="1"/>
    </xf>
    <xf numFmtId="0" fontId="18" fillId="5" borderId="10" xfId="0" applyFont="1" applyFill="1" applyBorder="1"/>
    <xf numFmtId="0" fontId="19" fillId="5" borderId="11" xfId="0" applyFont="1" applyFill="1" applyBorder="1"/>
    <xf numFmtId="0" fontId="18" fillId="5" borderId="12" xfId="0" applyFont="1" applyFill="1" applyBorder="1" applyAlignment="1">
      <alignment horizontal="center"/>
    </xf>
    <xf numFmtId="0" fontId="20" fillId="4" borderId="36" xfId="0" applyFont="1" applyFill="1" applyBorder="1"/>
    <xf numFmtId="0" fontId="20" fillId="4" borderId="0" xfId="0" applyFont="1" applyFill="1" applyBorder="1"/>
    <xf numFmtId="3" fontId="21" fillId="4" borderId="16" xfId="0" applyNumberFormat="1" applyFont="1" applyFill="1" applyBorder="1"/>
    <xf numFmtId="0" fontId="20" fillId="4" borderId="10" xfId="0" applyFont="1" applyFill="1" applyBorder="1"/>
    <xf numFmtId="0" fontId="20" fillId="4" borderId="11" xfId="0" applyFont="1" applyFill="1" applyBorder="1"/>
    <xf numFmtId="3" fontId="21" fillId="4" borderId="12" xfId="0" applyNumberFormat="1" applyFont="1" applyFill="1" applyBorder="1"/>
    <xf numFmtId="0" fontId="0" fillId="0" borderId="15" xfId="0" applyFont="1" applyFill="1" applyBorder="1" applyAlignment="1">
      <alignment horizontal="left" indent="1"/>
    </xf>
    <xf numFmtId="0" fontId="0" fillId="0" borderId="31" xfId="0" applyFont="1" applyFill="1" applyBorder="1" applyAlignment="1">
      <alignment horizontal="left" indent="1"/>
    </xf>
    <xf numFmtId="166" fontId="0" fillId="0" borderId="21" xfId="0" applyNumberFormat="1" applyFont="1" applyFill="1" applyBorder="1"/>
    <xf numFmtId="0" fontId="0" fillId="0" borderId="10" xfId="0" applyFont="1" applyFill="1" applyBorder="1" applyAlignment="1">
      <alignment horizontal="left" indent="1"/>
    </xf>
    <xf numFmtId="166" fontId="0" fillId="0" borderId="12" xfId="0" applyNumberFormat="1" applyFont="1" applyFill="1" applyBorder="1"/>
    <xf numFmtId="0" fontId="0" fillId="0" borderId="2" xfId="0" applyFont="1" applyFill="1" applyBorder="1" applyAlignment="1">
      <alignment horizontal="right"/>
    </xf>
    <xf numFmtId="0" fontId="12" fillId="0" borderId="8" xfId="0" applyFont="1" applyFill="1" applyBorder="1" applyAlignment="1">
      <alignment horizontal="right"/>
    </xf>
    <xf numFmtId="0" fontId="11" fillId="0" borderId="0" xfId="0" applyFont="1" applyFill="1" applyBorder="1"/>
    <xf numFmtId="0" fontId="12" fillId="0" borderId="17" xfId="0" applyFont="1" applyFill="1" applyBorder="1" applyAlignment="1">
      <alignment horizontal="right"/>
    </xf>
    <xf numFmtId="0" fontId="11" fillId="0" borderId="9" xfId="0" applyFont="1" applyFill="1" applyBorder="1" applyAlignment="1">
      <alignment horizontal="right" wrapText="1"/>
    </xf>
    <xf numFmtId="0" fontId="0" fillId="0" borderId="10" xfId="0" applyFont="1" applyFill="1" applyBorder="1"/>
    <xf numFmtId="0" fontId="0" fillId="0" borderId="11" xfId="0" applyFont="1" applyFill="1" applyBorder="1" applyAlignment="1" applyProtection="1">
      <alignment horizontal="right" vertical="center" wrapText="1"/>
      <protection locked="0"/>
    </xf>
    <xf numFmtId="0" fontId="0" fillId="0" borderId="11" xfId="0" applyFont="1" applyFill="1" applyBorder="1" applyAlignment="1">
      <alignment horizontal="right" vertical="center" wrapText="1"/>
    </xf>
    <xf numFmtId="0" fontId="1" fillId="0" borderId="12" xfId="0" applyFont="1" applyFill="1" applyBorder="1" applyAlignment="1">
      <alignment horizontal="right" vertical="center" wrapText="1"/>
    </xf>
    <xf numFmtId="0" fontId="2" fillId="0" borderId="0" xfId="0" applyFont="1" applyFill="1" applyAlignment="1">
      <alignment vertical="center"/>
    </xf>
    <xf numFmtId="0" fontId="9" fillId="0" borderId="2" xfId="0" applyFont="1" applyFill="1" applyBorder="1" applyAlignment="1">
      <alignment horizontal="right" vertical="center"/>
    </xf>
    <xf numFmtId="0" fontId="0" fillId="0" borderId="36" xfId="0" applyFont="1" applyFill="1" applyBorder="1" applyAlignment="1">
      <alignment vertical="center" wrapText="1"/>
    </xf>
    <xf numFmtId="167" fontId="0" fillId="0" borderId="0" xfId="0" applyNumberFormat="1" applyFont="1" applyFill="1" applyBorder="1" applyAlignment="1" applyProtection="1">
      <alignment vertical="center"/>
      <protection locked="0"/>
    </xf>
    <xf numFmtId="3" fontId="0" fillId="0" borderId="0" xfId="0" applyNumberFormat="1" applyFont="1" applyFill="1" applyBorder="1" applyAlignment="1" applyProtection="1">
      <alignment vertical="center"/>
      <protection locked="0"/>
    </xf>
    <xf numFmtId="3" fontId="0" fillId="0" borderId="0" xfId="0" applyNumberFormat="1" applyFont="1" applyFill="1" applyBorder="1" applyAlignment="1">
      <alignment vertical="center"/>
    </xf>
    <xf numFmtId="3" fontId="1" fillId="0" borderId="16" xfId="0" applyNumberFormat="1" applyFont="1" applyFill="1" applyBorder="1" applyAlignment="1">
      <alignment vertical="center"/>
    </xf>
    <xf numFmtId="0" fontId="0" fillId="3" borderId="36" xfId="0" applyFont="1" applyFill="1" applyBorder="1" applyAlignment="1">
      <alignment vertical="center" wrapText="1"/>
    </xf>
    <xf numFmtId="167" fontId="0" fillId="3" borderId="0" xfId="0" applyNumberFormat="1" applyFont="1" applyFill="1" applyBorder="1" applyAlignment="1" applyProtection="1">
      <alignment vertical="center"/>
      <protection locked="0"/>
    </xf>
    <xf numFmtId="3" fontId="0" fillId="3" borderId="0" xfId="0" applyNumberFormat="1" applyFont="1" applyFill="1" applyBorder="1" applyAlignment="1" applyProtection="1">
      <alignment vertical="center"/>
      <protection locked="0"/>
    </xf>
    <xf numFmtId="3" fontId="0" fillId="3" borderId="0" xfId="0" applyNumberFormat="1" applyFont="1" applyFill="1" applyBorder="1" applyAlignment="1">
      <alignment vertical="center"/>
    </xf>
    <xf numFmtId="3" fontId="1" fillId="3" borderId="16" xfId="0" applyNumberFormat="1" applyFont="1" applyFill="1" applyBorder="1" applyAlignment="1">
      <alignment vertical="center"/>
    </xf>
    <xf numFmtId="0" fontId="1" fillId="0" borderId="10" xfId="0" applyFont="1" applyFill="1" applyBorder="1" applyAlignment="1">
      <alignment vertical="center"/>
    </xf>
    <xf numFmtId="167" fontId="1" fillId="0" borderId="11" xfId="0" applyNumberFormat="1" applyFont="1" applyFill="1" applyBorder="1" applyAlignment="1" applyProtection="1">
      <alignment vertical="center"/>
      <protection locked="0"/>
    </xf>
    <xf numFmtId="3" fontId="1" fillId="0" borderId="11" xfId="0" applyNumberFormat="1" applyFont="1" applyFill="1" applyBorder="1" applyAlignment="1">
      <alignment vertical="center"/>
    </xf>
    <xf numFmtId="3" fontId="1" fillId="0" borderId="12" xfId="0" applyNumberFormat="1" applyFont="1" applyFill="1" applyBorder="1" applyAlignment="1">
      <alignment vertical="center"/>
    </xf>
    <xf numFmtId="0" fontId="1" fillId="0" borderId="11" xfId="0" applyFont="1" applyFill="1" applyBorder="1" applyAlignment="1">
      <alignment horizontal="right" vertical="center" wrapText="1"/>
    </xf>
    <xf numFmtId="0" fontId="11" fillId="0" borderId="11" xfId="0" applyFont="1" applyFill="1" applyBorder="1" applyAlignment="1">
      <alignment horizontal="right" vertical="center" wrapText="1"/>
    </xf>
    <xf numFmtId="0" fontId="11" fillId="0" borderId="12" xfId="0" applyFont="1" applyFill="1" applyBorder="1" applyAlignment="1">
      <alignment horizontal="right" vertical="center" wrapText="1"/>
    </xf>
    <xf numFmtId="0" fontId="11" fillId="0" borderId="39" xfId="0" applyFont="1" applyFill="1" applyBorder="1" applyAlignment="1">
      <alignment vertical="center"/>
    </xf>
    <xf numFmtId="168" fontId="22" fillId="0" borderId="4" xfId="0" applyNumberFormat="1" applyFont="1" applyFill="1" applyBorder="1" applyProtection="1">
      <protection locked="0"/>
    </xf>
    <xf numFmtId="0" fontId="1" fillId="0" borderId="0" xfId="0" applyFont="1" applyFill="1" applyAlignment="1">
      <alignment vertical="center"/>
    </xf>
    <xf numFmtId="0" fontId="0" fillId="0" borderId="15" xfId="0" applyFont="1" applyFill="1" applyBorder="1" applyAlignment="1">
      <alignment vertical="center" wrapText="1"/>
    </xf>
    <xf numFmtId="167" fontId="0" fillId="0" borderId="0" xfId="0" applyNumberFormat="1" applyFont="1" applyFill="1" applyBorder="1" applyAlignment="1">
      <alignment vertical="center"/>
    </xf>
    <xf numFmtId="3" fontId="1" fillId="0" borderId="0" xfId="0" applyNumberFormat="1" applyFont="1" applyFill="1" applyBorder="1" applyAlignment="1">
      <alignment vertical="center"/>
    </xf>
    <xf numFmtId="3" fontId="11" fillId="0" borderId="0" xfId="0" applyNumberFormat="1" applyFont="1" applyFill="1" applyBorder="1" applyAlignment="1">
      <alignment vertical="center"/>
    </xf>
    <xf numFmtId="3" fontId="11" fillId="0" borderId="16" xfId="0" applyNumberFormat="1" applyFont="1" applyFill="1" applyBorder="1" applyAlignment="1">
      <alignment vertical="center"/>
    </xf>
    <xf numFmtId="169" fontId="11" fillId="0" borderId="39" xfId="0" applyNumberFormat="1" applyFont="1" applyFill="1" applyBorder="1" applyAlignment="1">
      <alignment vertical="center"/>
    </xf>
    <xf numFmtId="167" fontId="0" fillId="3" borderId="0" xfId="0" applyNumberFormat="1" applyFont="1" applyFill="1" applyBorder="1" applyAlignment="1">
      <alignment vertical="center"/>
    </xf>
    <xf numFmtId="3" fontId="1" fillId="3" borderId="0" xfId="0" applyNumberFormat="1" applyFont="1" applyFill="1" applyBorder="1" applyAlignment="1">
      <alignment vertical="center"/>
    </xf>
    <xf numFmtId="3" fontId="11" fillId="3" borderId="0" xfId="0" applyNumberFormat="1" applyFont="1" applyFill="1" applyBorder="1" applyAlignment="1">
      <alignment vertical="center"/>
    </xf>
    <xf numFmtId="3" fontId="11" fillId="3" borderId="16" xfId="0" applyNumberFormat="1" applyFont="1" applyFill="1" applyBorder="1" applyAlignment="1">
      <alignment vertical="center"/>
    </xf>
    <xf numFmtId="164" fontId="11" fillId="0" borderId="39" xfId="0" applyNumberFormat="1" applyFont="1" applyFill="1" applyBorder="1" applyAlignment="1">
      <alignment vertical="center"/>
    </xf>
    <xf numFmtId="0" fontId="11" fillId="0" borderId="5" xfId="0" applyFont="1" applyFill="1" applyBorder="1" applyAlignment="1">
      <alignment vertical="center"/>
    </xf>
    <xf numFmtId="0" fontId="11" fillId="0" borderId="7" xfId="0" applyFont="1" applyFill="1" applyBorder="1" applyAlignment="1">
      <alignment vertical="center"/>
    </xf>
    <xf numFmtId="3" fontId="11" fillId="0" borderId="39" xfId="0" applyNumberFormat="1" applyFont="1" applyFill="1" applyBorder="1" applyAlignment="1">
      <alignment vertical="center"/>
    </xf>
    <xf numFmtId="167" fontId="1" fillId="0" borderId="11" xfId="0" applyNumberFormat="1" applyFont="1" applyFill="1" applyBorder="1" applyAlignment="1">
      <alignment vertical="center"/>
    </xf>
    <xf numFmtId="3" fontId="23" fillId="0" borderId="11" xfId="0" applyNumberFormat="1" applyFont="1" applyFill="1" applyBorder="1" applyAlignment="1">
      <alignment vertical="center"/>
    </xf>
    <xf numFmtId="3" fontId="23" fillId="0" borderId="12" xfId="0" applyNumberFormat="1" applyFont="1" applyFill="1" applyBorder="1" applyAlignment="1">
      <alignment vertical="center"/>
    </xf>
    <xf numFmtId="0" fontId="0" fillId="0" borderId="4" xfId="0" applyFont="1" applyFill="1" applyBorder="1" applyAlignment="1">
      <alignment horizontal="right"/>
    </xf>
    <xf numFmtId="0" fontId="11" fillId="0" borderId="2" xfId="0" applyFont="1" applyFill="1" applyBorder="1" applyAlignment="1">
      <alignment horizontal="right"/>
    </xf>
    <xf numFmtId="0" fontId="12" fillId="0" borderId="3" xfId="0" applyFont="1" applyFill="1" applyBorder="1" applyAlignment="1">
      <alignment horizontal="right"/>
    </xf>
    <xf numFmtId="0" fontId="12" fillId="0" borderId="4" xfId="0" applyFont="1" applyFill="1" applyBorder="1" applyAlignment="1">
      <alignment horizontal="right"/>
    </xf>
    <xf numFmtId="167" fontId="1" fillId="0" borderId="11" xfId="0" applyNumberFormat="1" applyFont="1" applyFill="1" applyBorder="1" applyAlignment="1">
      <alignment horizontal="right" vertical="center" wrapText="1"/>
    </xf>
    <xf numFmtId="0" fontId="1" fillId="0" borderId="0" xfId="0" applyFont="1" applyFill="1" applyAlignment="1">
      <alignment horizontal="center" vertical="center"/>
    </xf>
    <xf numFmtId="0" fontId="1" fillId="0" borderId="39" xfId="0" applyFont="1" applyFill="1" applyBorder="1" applyAlignment="1">
      <alignment horizontal="right" vertical="center" wrapText="1"/>
    </xf>
    <xf numFmtId="0" fontId="9" fillId="0" borderId="13" xfId="0" applyFont="1" applyFill="1" applyBorder="1" applyAlignment="1">
      <alignment horizontal="right" vertical="center" wrapText="1"/>
    </xf>
    <xf numFmtId="167" fontId="9" fillId="0" borderId="13" xfId="0" applyNumberFormat="1" applyFont="1" applyFill="1" applyBorder="1" applyAlignment="1">
      <alignment horizontal="right" vertical="center" wrapText="1"/>
    </xf>
    <xf numFmtId="0" fontId="9" fillId="0" borderId="14" xfId="0" applyFont="1" applyFill="1" applyBorder="1" applyAlignment="1">
      <alignment horizontal="right" vertical="center" wrapText="1"/>
    </xf>
    <xf numFmtId="0" fontId="9" fillId="0" borderId="0" xfId="0" applyFont="1" applyFill="1" applyAlignment="1">
      <alignment horizontal="center" vertical="center"/>
    </xf>
    <xf numFmtId="0" fontId="9" fillId="0" borderId="40" xfId="0" applyFont="1" applyFill="1" applyBorder="1" applyAlignment="1">
      <alignment horizontal="right" vertical="center" wrapText="1"/>
    </xf>
    <xf numFmtId="0" fontId="0" fillId="0" borderId="15" xfId="0" applyFont="1" applyFill="1" applyBorder="1" applyAlignment="1">
      <alignment wrapText="1"/>
    </xf>
    <xf numFmtId="167" fontId="0" fillId="0" borderId="13" xfId="0" applyNumberFormat="1" applyFont="1" applyFill="1" applyBorder="1"/>
    <xf numFmtId="3" fontId="0" fillId="0" borderId="13" xfId="0" applyNumberFormat="1" applyFont="1" applyFill="1" applyBorder="1" applyAlignment="1">
      <alignment horizontal="right"/>
    </xf>
    <xf numFmtId="3" fontId="0" fillId="0" borderId="40" xfId="0" applyNumberFormat="1" applyFont="1" applyFill="1" applyBorder="1"/>
    <xf numFmtId="0" fontId="0" fillId="3" borderId="36" xfId="0" applyFont="1" applyFill="1" applyBorder="1" applyAlignment="1">
      <alignment wrapText="1"/>
    </xf>
    <xf numFmtId="167" fontId="0" fillId="3" borderId="0" xfId="0" applyNumberFormat="1" applyFont="1" applyFill="1" applyBorder="1"/>
    <xf numFmtId="3" fontId="0" fillId="3" borderId="0" xfId="0" applyNumberFormat="1" applyFont="1" applyFill="1" applyBorder="1" applyAlignment="1">
      <alignment horizontal="right"/>
    </xf>
    <xf numFmtId="3" fontId="0" fillId="3" borderId="41" xfId="0" applyNumberFormat="1" applyFont="1" applyFill="1" applyBorder="1"/>
    <xf numFmtId="0" fontId="0" fillId="0" borderId="36" xfId="0" applyFont="1" applyFill="1" applyBorder="1" applyAlignment="1">
      <alignment wrapText="1"/>
    </xf>
    <xf numFmtId="167" fontId="0" fillId="0" borderId="0" xfId="0" applyNumberFormat="1" applyFont="1" applyFill="1" applyBorder="1"/>
    <xf numFmtId="3" fontId="0" fillId="0" borderId="0" xfId="0" applyNumberFormat="1" applyFont="1" applyFill="1" applyBorder="1" applyAlignment="1">
      <alignment horizontal="right"/>
    </xf>
    <xf numFmtId="3" fontId="0" fillId="0" borderId="41" xfId="0" applyNumberFormat="1" applyFont="1" applyFill="1" applyBorder="1"/>
    <xf numFmtId="167" fontId="0" fillId="3" borderId="19" xfId="0" applyNumberFormat="1" applyFont="1" applyFill="1" applyBorder="1"/>
    <xf numFmtId="3" fontId="0" fillId="3" borderId="19" xfId="0" applyNumberFormat="1" applyFont="1" applyFill="1" applyBorder="1" applyAlignment="1">
      <alignment horizontal="right"/>
    </xf>
    <xf numFmtId="164" fontId="0" fillId="3" borderId="21" xfId="0" applyNumberFormat="1" applyFont="1" applyFill="1" applyBorder="1"/>
    <xf numFmtId="3" fontId="0" fillId="3" borderId="42" xfId="0" applyNumberFormat="1" applyFont="1" applyFill="1" applyBorder="1"/>
    <xf numFmtId="3" fontId="1" fillId="0" borderId="11" xfId="0" applyNumberFormat="1" applyFont="1" applyFill="1" applyBorder="1" applyAlignment="1">
      <alignment horizontal="right" vertical="center"/>
    </xf>
    <xf numFmtId="0" fontId="1" fillId="0" borderId="12" xfId="0" applyFont="1" applyFill="1" applyBorder="1" applyAlignment="1">
      <alignment vertical="center"/>
    </xf>
    <xf numFmtId="3" fontId="1" fillId="0" borderId="39" xfId="0" applyNumberFormat="1" applyFont="1" applyFill="1" applyBorder="1" applyAlignment="1">
      <alignment vertical="center"/>
    </xf>
    <xf numFmtId="0" fontId="2" fillId="0" borderId="0" xfId="0" applyFont="1" applyFill="1"/>
    <xf numFmtId="0" fontId="2" fillId="0" borderId="10" xfId="0" applyFont="1" applyFill="1" applyBorder="1"/>
    <xf numFmtId="164" fontId="2" fillId="0" borderId="11" xfId="0" applyNumberFormat="1" applyFont="1" applyFill="1" applyBorder="1"/>
    <xf numFmtId="0" fontId="2" fillId="0" borderId="11" xfId="0" applyFont="1" applyFill="1" applyBorder="1" applyAlignment="1">
      <alignment horizontal="center"/>
    </xf>
    <xf numFmtId="0" fontId="2" fillId="0" borderId="11" xfId="0" applyFont="1" applyFill="1" applyBorder="1"/>
    <xf numFmtId="164" fontId="2" fillId="0" borderId="12" xfId="0" applyNumberFormat="1" applyFont="1" applyFill="1" applyBorder="1"/>
    <xf numFmtId="164" fontId="1" fillId="0" borderId="0" xfId="0" applyNumberFormat="1" applyFont="1" applyFill="1" applyBorder="1"/>
    <xf numFmtId="0" fontId="1" fillId="0" borderId="0" xfId="0" applyFont="1" applyFill="1" applyBorder="1" applyAlignment="1">
      <alignment horizontal="center"/>
    </xf>
    <xf numFmtId="0" fontId="0" fillId="0" borderId="11" xfId="0" applyFont="1" applyFill="1" applyBorder="1"/>
    <xf numFmtId="0" fontId="9" fillId="0" borderId="4" xfId="0" applyFont="1" applyFill="1" applyBorder="1" applyAlignment="1">
      <alignment horizontal="right"/>
    </xf>
    <xf numFmtId="0" fontId="11" fillId="0" borderId="39" xfId="0" applyFont="1" applyFill="1" applyBorder="1" applyAlignment="1">
      <alignment horizontal="right"/>
    </xf>
    <xf numFmtId="1" fontId="1" fillId="0" borderId="10" xfId="0" applyNumberFormat="1" applyFont="1" applyFill="1" applyBorder="1" applyAlignment="1" applyProtection="1">
      <alignment horizontal="right"/>
      <protection locked="0"/>
    </xf>
    <xf numFmtId="1" fontId="1" fillId="0" borderId="11" xfId="0" applyNumberFormat="1" applyFont="1" applyFill="1" applyBorder="1" applyAlignment="1" applyProtection="1">
      <alignment horizontal="right"/>
      <protection locked="0"/>
    </xf>
    <xf numFmtId="1" fontId="1" fillId="0" borderId="12" xfId="0" applyNumberFormat="1" applyFont="1" applyFill="1" applyBorder="1" applyAlignment="1" applyProtection="1">
      <alignment horizontal="right"/>
      <protection locked="0"/>
    </xf>
    <xf numFmtId="0" fontId="0" fillId="0" borderId="10" xfId="0" applyFont="1" applyFill="1" applyBorder="1" applyAlignment="1">
      <alignment horizontal="right"/>
    </xf>
    <xf numFmtId="0" fontId="1" fillId="0" borderId="12" xfId="0" applyFont="1" applyFill="1" applyBorder="1" applyAlignment="1">
      <alignment horizontal="right"/>
    </xf>
    <xf numFmtId="3" fontId="15" fillId="0" borderId="10" xfId="0" applyNumberFormat="1" applyFont="1" applyFill="1" applyBorder="1" applyAlignment="1" applyProtection="1">
      <alignment horizontal="right"/>
      <protection locked="0"/>
    </xf>
    <xf numFmtId="3" fontId="15" fillId="0" borderId="11" xfId="0" applyNumberFormat="1" applyFont="1" applyFill="1" applyBorder="1" applyAlignment="1" applyProtection="1">
      <alignment horizontal="right"/>
      <protection locked="0"/>
    </xf>
    <xf numFmtId="3" fontId="15" fillId="0" borderId="12" xfId="0" applyNumberFormat="1" applyFont="1" applyFill="1" applyBorder="1" applyAlignment="1" applyProtection="1">
      <alignment horizontal="right"/>
      <protection locked="0"/>
    </xf>
    <xf numFmtId="0" fontId="0" fillId="0" borderId="15" xfId="0" applyFont="1" applyFill="1" applyBorder="1" applyAlignment="1">
      <alignment horizontal="right"/>
    </xf>
    <xf numFmtId="3" fontId="0" fillId="0" borderId="14" xfId="0" applyNumberFormat="1" applyFont="1" applyFill="1" applyBorder="1" applyAlignment="1">
      <alignment horizontal="right"/>
    </xf>
    <xf numFmtId="0" fontId="0" fillId="0" borderId="36" xfId="0" applyFont="1" applyFill="1" applyBorder="1" applyAlignment="1">
      <alignment horizontal="right"/>
    </xf>
    <xf numFmtId="3" fontId="0" fillId="0" borderId="16" xfId="0" applyNumberFormat="1" applyFont="1" applyFill="1" applyBorder="1" applyAlignment="1">
      <alignment horizontal="right"/>
    </xf>
    <xf numFmtId="3" fontId="0" fillId="0" borderId="10" xfId="0" applyNumberFormat="1" applyFont="1" applyFill="1" applyBorder="1" applyAlignment="1">
      <alignment horizontal="right"/>
    </xf>
    <xf numFmtId="3" fontId="0" fillId="0" borderId="11" xfId="0" applyNumberFormat="1" applyFont="1" applyFill="1" applyBorder="1" applyAlignment="1">
      <alignment horizontal="right"/>
    </xf>
    <xf numFmtId="3" fontId="0" fillId="0" borderId="12" xfId="0" applyNumberFormat="1" applyFont="1" applyFill="1" applyBorder="1" applyAlignment="1">
      <alignment horizontal="right"/>
    </xf>
    <xf numFmtId="0" fontId="0" fillId="0" borderId="31" xfId="0" applyFont="1" applyFill="1" applyBorder="1" applyAlignment="1">
      <alignment horizontal="right"/>
    </xf>
    <xf numFmtId="0" fontId="0" fillId="0" borderId="21" xfId="0" applyFont="1" applyFill="1" applyBorder="1" applyAlignment="1">
      <alignment horizontal="right"/>
    </xf>
    <xf numFmtId="0" fontId="0" fillId="3" borderId="10" xfId="0" applyFont="1" applyFill="1" applyBorder="1"/>
    <xf numFmtId="0" fontId="0" fillId="3" borderId="11" xfId="0" applyFont="1" applyFill="1" applyBorder="1"/>
    <xf numFmtId="0" fontId="9" fillId="3" borderId="4" xfId="0" applyFont="1" applyFill="1" applyBorder="1" applyAlignment="1">
      <alignment horizontal="right"/>
    </xf>
    <xf numFmtId="0" fontId="11" fillId="3" borderId="39" xfId="0" applyFont="1" applyFill="1" applyBorder="1" applyAlignment="1">
      <alignment horizontal="right"/>
    </xf>
    <xf numFmtId="3" fontId="1" fillId="3" borderId="10" xfId="0" applyNumberFormat="1" applyFont="1" applyFill="1" applyBorder="1" applyAlignment="1">
      <alignment horizontal="right"/>
    </xf>
    <xf numFmtId="3" fontId="1" fillId="3" borderId="11" xfId="0" applyNumberFormat="1" applyFont="1" applyFill="1" applyBorder="1" applyAlignment="1">
      <alignment horizontal="right"/>
    </xf>
    <xf numFmtId="3" fontId="0" fillId="3" borderId="12" xfId="0" applyNumberFormat="1" applyFont="1" applyFill="1" applyBorder="1" applyAlignment="1">
      <alignment horizontal="right"/>
    </xf>
    <xf numFmtId="0" fontId="0" fillId="0" borderId="11" xfId="0" applyFont="1" applyFill="1" applyBorder="1" applyAlignment="1">
      <alignment horizontal="right"/>
    </xf>
    <xf numFmtId="0" fontId="0" fillId="3" borderId="10" xfId="0" applyFont="1" applyFill="1" applyBorder="1" applyAlignment="1">
      <alignment horizontal="right"/>
    </xf>
    <xf numFmtId="3" fontId="1" fillId="3" borderId="12" xfId="0" applyNumberFormat="1" applyFont="1" applyFill="1" applyBorder="1" applyAlignment="1">
      <alignment horizontal="right"/>
    </xf>
    <xf numFmtId="166" fontId="1" fillId="3" borderId="12" xfId="0" applyNumberFormat="1" applyFont="1" applyFill="1" applyBorder="1" applyAlignment="1">
      <alignment horizontal="right"/>
    </xf>
    <xf numFmtId="43" fontId="0" fillId="0" borderId="0" xfId="0" applyNumberFormat="1" applyFont="1" applyFill="1"/>
    <xf numFmtId="0" fontId="6" fillId="0" borderId="0" xfId="0" applyFont="1" applyFill="1" applyAlignment="1">
      <alignment horizontal="center"/>
    </xf>
    <xf numFmtId="0" fontId="7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/>
    </xf>
    <xf numFmtId="0" fontId="7" fillId="0" borderId="17" xfId="0" applyFont="1" applyFill="1" applyBorder="1" applyAlignment="1" applyProtection="1">
      <alignment horizontal="left" vertical="top" wrapText="1"/>
      <protection locked="0"/>
    </xf>
    <xf numFmtId="0" fontId="1" fillId="0" borderId="28" xfId="0" applyFont="1" applyFill="1" applyBorder="1" applyAlignment="1" applyProtection="1">
      <alignment horizontal="center" vertical="center" wrapText="1"/>
      <protection locked="0"/>
    </xf>
    <xf numFmtId="0" fontId="1" fillId="0" borderId="29" xfId="0" applyFont="1" applyFill="1" applyBorder="1" applyAlignment="1" applyProtection="1">
      <alignment horizontal="center" vertical="center" wrapText="1"/>
      <protection locked="0"/>
    </xf>
    <xf numFmtId="0" fontId="1" fillId="0" borderId="30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Fill="1" applyBorder="1" applyAlignment="1" applyProtection="1">
      <alignment horizontal="left" vertical="top" wrapText="1"/>
      <protection locked="0"/>
    </xf>
    <xf numFmtId="0" fontId="1" fillId="0" borderId="25" xfId="0" applyFont="1" applyFill="1" applyBorder="1" applyAlignment="1">
      <alignment horizontal="right" vertical="center" wrapText="1"/>
    </xf>
    <xf numFmtId="0" fontId="1" fillId="0" borderId="38" xfId="0" applyFont="1" applyFill="1" applyBorder="1" applyAlignment="1">
      <alignment horizontal="right" vertical="center" wrapText="1"/>
    </xf>
    <xf numFmtId="0" fontId="1" fillId="0" borderId="29" xfId="0" applyFont="1" applyFill="1" applyBorder="1" applyAlignment="1">
      <alignment horizontal="center" vertical="center" wrapText="1"/>
    </xf>
    <xf numFmtId="0" fontId="1" fillId="0" borderId="37" xfId="0" applyFont="1" applyFill="1" applyBorder="1" applyAlignment="1">
      <alignment horizontal="center" vertical="center" wrapText="1"/>
    </xf>
    <xf numFmtId="0" fontId="1" fillId="0" borderId="28" xfId="0" applyFont="1" applyFill="1" applyBorder="1" applyAlignment="1">
      <alignment horizontal="center" vertical="center"/>
    </xf>
    <xf numFmtId="0" fontId="1" fillId="0" borderId="29" xfId="0" applyFont="1" applyFill="1" applyBorder="1" applyAlignment="1">
      <alignment horizontal="center" vertical="center"/>
    </xf>
    <xf numFmtId="0" fontId="1" fillId="0" borderId="30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left"/>
    </xf>
    <xf numFmtId="0" fontId="1" fillId="3" borderId="12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left" vertical="center" wrapText="1" indent="1"/>
    </xf>
    <xf numFmtId="0" fontId="0" fillId="0" borderId="3" xfId="0" applyFont="1" applyFill="1" applyBorder="1" applyAlignment="1">
      <alignment horizontal="left" vertical="center" wrapText="1" indent="1"/>
    </xf>
  </cellXfs>
  <cellStyles count="1">
    <cellStyle name="Standard" xfId="0" builtinId="0"/>
  </cellStyles>
  <dxfs count="9">
    <dxf>
      <fill>
        <patternFill patternType="lightUp">
          <fgColor indexed="39"/>
          <bgColor indexed="1"/>
        </patternFill>
      </fill>
    </dxf>
    <dxf>
      <fill>
        <patternFill patternType="lightUp">
          <fgColor indexed="39"/>
          <bgColor indexed="1"/>
        </patternFill>
      </fill>
    </dxf>
    <dxf>
      <fill>
        <patternFill patternType="lightUp">
          <fgColor indexed="39"/>
          <bgColor indexed="1"/>
        </patternFill>
      </fill>
    </dxf>
    <dxf>
      <fill>
        <patternFill patternType="lightUp">
          <fgColor indexed="39"/>
          <bgColor indexed="1"/>
        </patternFill>
      </fill>
    </dxf>
    <dxf>
      <fill>
        <patternFill patternType="lightUp">
          <fgColor indexed="39"/>
          <bgColor indexed="1"/>
        </patternFill>
      </fill>
    </dxf>
    <dxf>
      <fill>
        <patternFill patternType="lightUp">
          <fgColor indexed="39"/>
          <bgColor indexed="1"/>
        </patternFill>
      </fill>
    </dxf>
    <dxf>
      <fill>
        <patternFill patternType="lightUp">
          <fgColor indexed="39"/>
          <bgColor indexed="1"/>
        </patternFill>
      </fill>
    </dxf>
    <dxf>
      <fill>
        <patternFill patternType="lightUp">
          <fgColor indexed="39"/>
          <bgColor indexed="1"/>
        </patternFill>
      </fill>
    </dxf>
    <dxf>
      <fill>
        <patternFill patternType="lightUp">
          <fgColor indexed="39"/>
          <bgColor indexed="1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300456</xdr:colOff>
      <xdr:row>6</xdr:row>
      <xdr:rowOff>0</xdr:rowOff>
    </xdr:from>
    <xdr:to>
      <xdr:col>2</xdr:col>
      <xdr:colOff>785728</xdr:colOff>
      <xdr:row>10</xdr:row>
      <xdr:rowOff>149274</xdr:rowOff>
    </xdr:to>
    <xdr:sp macro="" textlink="">
      <xdr:nvSpPr>
        <xdr:cNvPr id="2059" name="AutoShape 2"/>
        <xdr:cNvSpPr>
          <a:spLocks noChangeArrowheads="1"/>
        </xdr:cNvSpPr>
      </xdr:nvSpPr>
      <xdr:spPr bwMode="auto">
        <a:xfrm>
          <a:off x="2552700" y="1190625"/>
          <a:ext cx="485775" cy="800100"/>
        </a:xfrm>
        <a:prstGeom prst="downArrow">
          <a:avLst>
            <a:gd name="adj1" fmla="val 50000"/>
            <a:gd name="adj2" fmla="val 41176"/>
          </a:avLst>
        </a:prstGeom>
        <a:solidFill>
          <a:srgbClr val="3366FF"/>
        </a:solidFill>
        <a:ln w="9525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384748</xdr:colOff>
      <xdr:row>15</xdr:row>
      <xdr:rowOff>0</xdr:rowOff>
    </xdr:from>
    <xdr:to>
      <xdr:col>3</xdr:col>
      <xdr:colOff>870942</xdr:colOff>
      <xdr:row>21</xdr:row>
      <xdr:rowOff>149274</xdr:rowOff>
    </xdr:to>
    <xdr:sp macro="" textlink="">
      <xdr:nvSpPr>
        <xdr:cNvPr id="2060" name="AutoShape 3"/>
        <xdr:cNvSpPr>
          <a:spLocks noChangeArrowheads="1"/>
        </xdr:cNvSpPr>
      </xdr:nvSpPr>
      <xdr:spPr bwMode="auto">
        <a:xfrm>
          <a:off x="3695700" y="2647950"/>
          <a:ext cx="485775" cy="1123950"/>
        </a:xfrm>
        <a:prstGeom prst="downArrow">
          <a:avLst>
            <a:gd name="adj1" fmla="val 50000"/>
            <a:gd name="adj2" fmla="val 57843"/>
          </a:avLst>
        </a:prstGeom>
        <a:solidFill>
          <a:srgbClr val="3366FF"/>
        </a:solidFill>
        <a:ln w="9525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374851</xdr:colOff>
      <xdr:row>6</xdr:row>
      <xdr:rowOff>111323</xdr:rowOff>
    </xdr:from>
    <xdr:to>
      <xdr:col>3</xdr:col>
      <xdr:colOff>861045</xdr:colOff>
      <xdr:row>11</xdr:row>
      <xdr:rowOff>6957</xdr:rowOff>
    </xdr:to>
    <xdr:sp macro="" textlink="">
      <xdr:nvSpPr>
        <xdr:cNvPr id="2061" name="AutoShape 4"/>
        <xdr:cNvSpPr>
          <a:spLocks noChangeArrowheads="1"/>
        </xdr:cNvSpPr>
      </xdr:nvSpPr>
      <xdr:spPr bwMode="auto">
        <a:xfrm>
          <a:off x="3686175" y="1304925"/>
          <a:ext cx="485775" cy="704850"/>
        </a:xfrm>
        <a:prstGeom prst="downArrow">
          <a:avLst>
            <a:gd name="adj1" fmla="val 50000"/>
            <a:gd name="adj2" fmla="val 36275"/>
          </a:avLst>
        </a:prstGeom>
        <a:solidFill>
          <a:srgbClr val="3366FF"/>
        </a:solidFill>
        <a:ln w="9525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508461</xdr:colOff>
      <xdr:row>6</xdr:row>
      <xdr:rowOff>101835</xdr:rowOff>
    </xdr:from>
    <xdr:to>
      <xdr:col>6</xdr:col>
      <xdr:colOff>680777</xdr:colOff>
      <xdr:row>7</xdr:row>
      <xdr:rowOff>54396</xdr:rowOff>
    </xdr:to>
    <xdr:sp macro="" textlink="">
      <xdr:nvSpPr>
        <xdr:cNvPr id="2062" name="Rectangle 5"/>
        <xdr:cNvSpPr>
          <a:spLocks noChangeArrowheads="1"/>
        </xdr:cNvSpPr>
      </xdr:nvSpPr>
      <xdr:spPr bwMode="auto">
        <a:xfrm>
          <a:off x="3819525" y="1295400"/>
          <a:ext cx="3552825" cy="114300"/>
        </a:xfrm>
        <a:prstGeom prst="rect">
          <a:avLst/>
        </a:prstGeom>
        <a:solidFill>
          <a:srgbClr val="3366FF"/>
        </a:solidFill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452790</xdr:colOff>
      <xdr:row>6</xdr:row>
      <xdr:rowOff>0</xdr:rowOff>
    </xdr:from>
    <xdr:to>
      <xdr:col>6</xdr:col>
      <xdr:colOff>680777</xdr:colOff>
      <xdr:row>6</xdr:row>
      <xdr:rowOff>111323</xdr:rowOff>
    </xdr:to>
    <xdr:sp macro="" textlink="">
      <xdr:nvSpPr>
        <xdr:cNvPr id="2063" name="Rectangle 6"/>
        <xdr:cNvSpPr>
          <a:spLocks noChangeArrowheads="1"/>
        </xdr:cNvSpPr>
      </xdr:nvSpPr>
      <xdr:spPr bwMode="auto">
        <a:xfrm>
          <a:off x="7143750" y="1190625"/>
          <a:ext cx="228600" cy="114300"/>
        </a:xfrm>
        <a:prstGeom prst="rect">
          <a:avLst/>
        </a:prstGeom>
        <a:solidFill>
          <a:srgbClr val="3366FF"/>
        </a:solidFill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E30"/>
  <sheetViews>
    <sheetView showGridLines="0" tabSelected="1" workbookViewId="0">
      <selection activeCell="A5" sqref="A5:E5"/>
    </sheetView>
  </sheetViews>
  <sheetFormatPr baseColWidth="10" defaultColWidth="11.42578125" defaultRowHeight="12.75"/>
  <cols>
    <col min="1" max="1" width="15.140625" style="1" customWidth="1"/>
    <col min="2" max="2" width="15.5703125" style="1" customWidth="1"/>
    <col min="3" max="3" width="22" style="1" customWidth="1"/>
    <col min="4" max="5" width="12.85546875" style="1" customWidth="1"/>
    <col min="6" max="6" width="11.42578125" style="1" customWidth="1"/>
    <col min="7" max="16384" width="11.42578125" style="1"/>
  </cols>
  <sheetData>
    <row r="1" spans="1:5" ht="27.75" customHeight="1">
      <c r="A1" s="297" t="s">
        <v>0</v>
      </c>
      <c r="B1" s="297"/>
      <c r="C1" s="297"/>
      <c r="D1" s="297"/>
      <c r="E1" s="297"/>
    </row>
    <row r="2" spans="1:5" ht="27.75" customHeight="1">
      <c r="A2" s="297" t="s">
        <v>1</v>
      </c>
      <c r="B2" s="297"/>
      <c r="C2" s="297"/>
      <c r="D2" s="297"/>
      <c r="E2" s="297"/>
    </row>
    <row r="3" spans="1:5" ht="24.75" customHeight="1">
      <c r="A3" s="296"/>
      <c r="B3" s="296"/>
      <c r="C3" s="296"/>
      <c r="D3" s="296"/>
      <c r="E3" s="296"/>
    </row>
    <row r="4" spans="1:5" ht="18" customHeight="1">
      <c r="A4" s="295"/>
      <c r="B4" s="295"/>
      <c r="C4" s="295"/>
      <c r="D4" s="295"/>
      <c r="E4" s="295"/>
    </row>
    <row r="5" spans="1:5" ht="18" customHeight="1">
      <c r="A5" s="295" t="str">
        <f>"Referenzjahr "&amp;C30</f>
        <v>Referenzjahr 2014</v>
      </c>
      <c r="B5" s="295"/>
      <c r="C5" s="295"/>
      <c r="D5" s="295"/>
      <c r="E5" s="295"/>
    </row>
    <row r="11" spans="1:5">
      <c r="A11" s="2" t="s">
        <v>2</v>
      </c>
      <c r="B11" s="2" t="s">
        <v>3</v>
      </c>
      <c r="C11" s="3"/>
      <c r="D11" s="3"/>
      <c r="E11" s="4"/>
    </row>
    <row r="12" spans="1:5">
      <c r="A12" s="5" t="s">
        <v>4</v>
      </c>
      <c r="B12" s="5" t="s">
        <v>5</v>
      </c>
      <c r="C12" s="6"/>
      <c r="D12" s="6"/>
      <c r="E12" s="7"/>
    </row>
    <row r="13" spans="1:5">
      <c r="A13" s="5" t="s">
        <v>6</v>
      </c>
      <c r="B13" s="5" t="s">
        <v>7</v>
      </c>
      <c r="C13" s="6"/>
      <c r="D13" s="6"/>
      <c r="E13" s="7"/>
    </row>
    <row r="14" spans="1:5">
      <c r="A14" s="5" t="s">
        <v>8</v>
      </c>
      <c r="B14" s="5" t="s">
        <v>9</v>
      </c>
      <c r="C14" s="6"/>
      <c r="D14" s="6"/>
      <c r="E14" s="7"/>
    </row>
    <row r="15" spans="1:5">
      <c r="A15" s="5" t="s">
        <v>10</v>
      </c>
      <c r="B15" s="5" t="s">
        <v>11</v>
      </c>
      <c r="C15" s="6"/>
      <c r="D15" s="6"/>
      <c r="E15" s="7"/>
    </row>
    <row r="16" spans="1:5">
      <c r="A16" s="5" t="s">
        <v>12</v>
      </c>
      <c r="B16" s="5" t="s">
        <v>13</v>
      </c>
      <c r="C16" s="6"/>
      <c r="D16" s="6"/>
      <c r="E16" s="7"/>
    </row>
    <row r="17" spans="1:5">
      <c r="A17" s="8" t="s">
        <v>14</v>
      </c>
      <c r="B17" s="6" t="s">
        <v>15</v>
      </c>
      <c r="C17" s="6"/>
      <c r="D17" s="6"/>
      <c r="E17" s="7"/>
    </row>
    <row r="18" spans="1:5">
      <c r="A18" s="8" t="s">
        <v>16</v>
      </c>
      <c r="B18" s="6" t="s">
        <v>17</v>
      </c>
      <c r="C18" s="6"/>
      <c r="D18" s="6"/>
      <c r="E18" s="7"/>
    </row>
    <row r="25" spans="1:5">
      <c r="B25" s="9" t="s">
        <v>18</v>
      </c>
      <c r="C25" s="10"/>
    </row>
    <row r="26" spans="1:5">
      <c r="B26" s="11" t="s">
        <v>19</v>
      </c>
      <c r="C26" s="12" t="s">
        <v>18</v>
      </c>
    </row>
    <row r="27" spans="1:5">
      <c r="B27" s="11" t="s">
        <v>20</v>
      </c>
      <c r="C27" s="13" t="s">
        <v>21</v>
      </c>
    </row>
    <row r="28" spans="1:5">
      <c r="B28" s="11" t="s">
        <v>22</v>
      </c>
      <c r="C28" s="13" t="s">
        <v>23</v>
      </c>
    </row>
    <row r="29" spans="1:5">
      <c r="B29" s="11" t="s">
        <v>24</v>
      </c>
      <c r="C29" s="13" t="s">
        <v>25</v>
      </c>
    </row>
    <row r="30" spans="1:5">
      <c r="B30" s="14" t="s">
        <v>26</v>
      </c>
      <c r="C30" s="15">
        <v>2014</v>
      </c>
    </row>
  </sheetData>
  <mergeCells count="5">
    <mergeCell ref="A4:E4"/>
    <mergeCell ref="A3:E3"/>
    <mergeCell ref="A2:E2"/>
    <mergeCell ref="A1:E1"/>
    <mergeCell ref="A5:E5"/>
  </mergeCells>
  <conditionalFormatting sqref="C26:C30">
    <cfRule type="expression" dxfId="8" priority="1" stopIfTrue="1">
      <formula>ISBLANK(C26)</formula>
    </cfRule>
  </conditionalFormatting>
  <printOptions verticalCentered="1"/>
  <pageMargins left="1.1417322834645669" right="0.78740157480314965" top="1.8897637795275593" bottom="0.82677165354330717" header="0.47244094488188981" footer="0.19685039370078741"/>
  <pageSetup paperSize="9" r:id="rId1"/>
  <headerFooter>
    <oddHeader>&amp;L&amp;G</oddHeader>
    <oddFooter>&amp;CPage &amp;P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I33"/>
  <sheetViews>
    <sheetView showGridLines="0" workbookViewId="0"/>
  </sheetViews>
  <sheetFormatPr baseColWidth="10" defaultColWidth="9.140625" defaultRowHeight="12.75"/>
  <cols>
    <col min="1" max="1" width="1.42578125" style="1" customWidth="1"/>
    <col min="2" max="2" width="15.28515625" style="1" customWidth="1"/>
    <col min="3" max="5" width="16.42578125" style="1" customWidth="1"/>
    <col min="6" max="9" width="17.5703125" style="1" customWidth="1"/>
  </cols>
  <sheetData>
    <row r="1" spans="1:9" ht="39.75" customHeight="1">
      <c r="B1" s="298" t="str">
        <f>"Berechnung Ressourcenpotenzial und -index "&amp;Info!C30</f>
        <v>Berechnung Ressourcenpotenzial und -index 2014</v>
      </c>
      <c r="C1" s="298"/>
      <c r="D1" s="298"/>
      <c r="E1" s="298"/>
      <c r="F1" s="298"/>
      <c r="G1" s="298"/>
      <c r="H1" s="16"/>
      <c r="I1" s="17" t="str">
        <f>Info!$C$28</f>
        <v>FA_2014_20130902</v>
      </c>
    </row>
    <row r="2" spans="1:9" s="1" customFormat="1">
      <c r="A2" s="18"/>
      <c r="B2" s="19" t="s">
        <v>27</v>
      </c>
      <c r="C2" s="20" t="s">
        <v>28</v>
      </c>
      <c r="D2" s="20" t="s">
        <v>29</v>
      </c>
      <c r="E2" s="20" t="s">
        <v>30</v>
      </c>
      <c r="F2" s="20" t="s">
        <v>31</v>
      </c>
      <c r="G2" s="20" t="s">
        <v>32</v>
      </c>
      <c r="H2" s="20" t="s">
        <v>33</v>
      </c>
      <c r="I2" s="21" t="s">
        <v>34</v>
      </c>
    </row>
    <row r="3" spans="1:9" s="22" customFormat="1" ht="11.25" customHeight="1">
      <c r="A3" s="23"/>
      <c r="B3" s="24" t="s">
        <v>35</v>
      </c>
      <c r="C3" s="25"/>
      <c r="D3" s="25"/>
      <c r="E3" s="25"/>
      <c r="F3" s="26" t="s">
        <v>36</v>
      </c>
      <c r="G3" s="27"/>
      <c r="H3" s="26" t="s">
        <v>37</v>
      </c>
      <c r="I3" s="28" t="s">
        <v>38</v>
      </c>
    </row>
    <row r="4" spans="1:9" ht="38.25" customHeight="1">
      <c r="A4" s="29"/>
      <c r="B4" s="30"/>
      <c r="C4" s="31" t="str">
        <f>"ASG "&amp;BEV!C5</f>
        <v>ASG 2008</v>
      </c>
      <c r="D4" s="31" t="str">
        <f>"ASG "&amp;BEV!D5</f>
        <v>ASG 2009</v>
      </c>
      <c r="E4" s="31" t="str">
        <f>"ASG "&amp;BEV!E5</f>
        <v>ASG 2010</v>
      </c>
      <c r="F4" s="31" t="s">
        <v>39</v>
      </c>
      <c r="G4" s="31" t="s">
        <v>7</v>
      </c>
      <c r="H4" s="31" t="s">
        <v>40</v>
      </c>
      <c r="I4" s="32" t="s">
        <v>41</v>
      </c>
    </row>
    <row r="5" spans="1:9" s="33" customFormat="1" ht="11.25" customHeight="1">
      <c r="A5" s="34"/>
      <c r="B5" s="35" t="s">
        <v>42</v>
      </c>
      <c r="C5" s="36" t="str">
        <f>"ASG_"&amp;Info!$C$30&amp;"_"&amp;Info!$C$30-6</f>
        <v>ASG_2014_2008</v>
      </c>
      <c r="D5" s="36" t="str">
        <f>"ASG_"&amp;Info!$C$30&amp;"_"&amp;Info!$C$30-5</f>
        <v>ASG_2014_2009</v>
      </c>
      <c r="E5" s="36" t="str">
        <f>"ASG_"&amp;Info!$C$30&amp;"_"&amp;Info!$C$30-4</f>
        <v>ASG_2014_2010</v>
      </c>
      <c r="F5" s="37"/>
      <c r="G5" s="37"/>
      <c r="H5" s="37"/>
      <c r="I5" s="38"/>
    </row>
    <row r="6" spans="1:9" s="33" customFormat="1" ht="11.25" customHeight="1">
      <c r="A6" s="34"/>
      <c r="B6" s="39" t="s">
        <v>43</v>
      </c>
      <c r="C6" s="40" t="s">
        <v>44</v>
      </c>
      <c r="D6" s="40" t="s">
        <v>44</v>
      </c>
      <c r="E6" s="40" t="s">
        <v>44</v>
      </c>
      <c r="F6" s="40" t="s">
        <v>44</v>
      </c>
      <c r="G6" s="40" t="s">
        <v>45</v>
      </c>
      <c r="H6" s="40" t="s">
        <v>46</v>
      </c>
      <c r="I6" s="41"/>
    </row>
    <row r="7" spans="1:9">
      <c r="A7" s="29"/>
      <c r="B7" s="42" t="s">
        <v>47</v>
      </c>
      <c r="C7" s="43">
        <v>47002246.962177798</v>
      </c>
      <c r="D7" s="43">
        <v>48888240.3827902</v>
      </c>
      <c r="E7" s="43">
        <v>50510677.326871499</v>
      </c>
      <c r="F7" s="44">
        <f t="shared" ref="F7:F32" si="0">AVERAGE(C7:E7)</f>
        <v>48800388.223946489</v>
      </c>
      <c r="G7" s="45">
        <f>BEV!F7</f>
        <v>1365944.3333333333</v>
      </c>
      <c r="H7" s="45">
        <f t="shared" ref="H7:H33" si="1">F7/G7*1000</f>
        <v>35726.483893277124</v>
      </c>
      <c r="I7" s="46">
        <f t="shared" ref="I7:I33" si="2">H7/H$33*100</f>
        <v>117.65226099207595</v>
      </c>
    </row>
    <row r="8" spans="1:9">
      <c r="A8" s="29"/>
      <c r="B8" s="47" t="s">
        <v>48</v>
      </c>
      <c r="C8" s="48">
        <v>21018210.225441199</v>
      </c>
      <c r="D8" s="48">
        <v>22426141.2989388</v>
      </c>
      <c r="E8" s="48">
        <v>22992837.659435499</v>
      </c>
      <c r="F8" s="49">
        <f t="shared" si="0"/>
        <v>22145729.727938499</v>
      </c>
      <c r="G8" s="50">
        <f>BEV!F8</f>
        <v>979199.33333333337</v>
      </c>
      <c r="H8" s="50">
        <f t="shared" si="1"/>
        <v>22616.160953205814</v>
      </c>
      <c r="I8" s="51">
        <f t="shared" si="2"/>
        <v>74.478151251992514</v>
      </c>
    </row>
    <row r="9" spans="1:9">
      <c r="A9" s="29"/>
      <c r="B9" s="30" t="s">
        <v>49</v>
      </c>
      <c r="C9" s="52">
        <v>8450069.0876884293</v>
      </c>
      <c r="D9" s="52">
        <v>8909057.3876278307</v>
      </c>
      <c r="E9" s="52">
        <v>9292837.5717226397</v>
      </c>
      <c r="F9" s="53">
        <f t="shared" si="0"/>
        <v>8883988.0156796332</v>
      </c>
      <c r="G9" s="54">
        <f>BEV!F9</f>
        <v>370837</v>
      </c>
      <c r="H9" s="54">
        <f t="shared" si="1"/>
        <v>23956.584741219547</v>
      </c>
      <c r="I9" s="55">
        <f t="shared" si="2"/>
        <v>78.892352487649362</v>
      </c>
    </row>
    <row r="10" spans="1:9">
      <c r="A10" s="29"/>
      <c r="B10" s="47" t="s">
        <v>50</v>
      </c>
      <c r="C10" s="48">
        <v>618499.67158351606</v>
      </c>
      <c r="D10" s="48">
        <v>645989.35862983996</v>
      </c>
      <c r="E10" s="48">
        <v>671558.60106607096</v>
      </c>
      <c r="F10" s="49">
        <f t="shared" si="0"/>
        <v>645349.21042647574</v>
      </c>
      <c r="G10" s="50">
        <f>BEV!F10</f>
        <v>34723.333333333336</v>
      </c>
      <c r="H10" s="50">
        <f t="shared" si="1"/>
        <v>18585.462525481686</v>
      </c>
      <c r="I10" s="51">
        <f t="shared" si="2"/>
        <v>61.204502918292746</v>
      </c>
    </row>
    <row r="11" spans="1:9">
      <c r="A11" s="29"/>
      <c r="B11" s="30" t="s">
        <v>51</v>
      </c>
      <c r="C11" s="52">
        <v>6537421.2370701199</v>
      </c>
      <c r="D11" s="52">
        <v>7070491.1169994604</v>
      </c>
      <c r="E11" s="52">
        <v>7180411.8813955197</v>
      </c>
      <c r="F11" s="53">
        <f t="shared" si="0"/>
        <v>6929441.4118216997</v>
      </c>
      <c r="G11" s="54">
        <f>BEV!F11</f>
        <v>143647</v>
      </c>
      <c r="H11" s="54">
        <f t="shared" si="1"/>
        <v>48239.374381794951</v>
      </c>
      <c r="I11" s="55">
        <f t="shared" si="2"/>
        <v>158.85894290116224</v>
      </c>
    </row>
    <row r="12" spans="1:9">
      <c r="A12" s="29"/>
      <c r="B12" s="47" t="s">
        <v>52</v>
      </c>
      <c r="C12" s="48">
        <v>831985.73736089701</v>
      </c>
      <c r="D12" s="48">
        <v>893246.71248769795</v>
      </c>
      <c r="E12" s="48">
        <v>958289.62173860206</v>
      </c>
      <c r="F12" s="49">
        <f t="shared" si="0"/>
        <v>894507.3571957323</v>
      </c>
      <c r="G12" s="50">
        <f>BEV!F12</f>
        <v>34668.666666666664</v>
      </c>
      <c r="H12" s="50">
        <f t="shared" si="1"/>
        <v>25801.608287860287</v>
      </c>
      <c r="I12" s="51">
        <f t="shared" si="2"/>
        <v>84.968270635495685</v>
      </c>
    </row>
    <row r="13" spans="1:9">
      <c r="A13" s="29"/>
      <c r="B13" s="30" t="s">
        <v>53</v>
      </c>
      <c r="C13" s="52">
        <v>1533729.15895468</v>
      </c>
      <c r="D13" s="52">
        <v>1544488.9301690999</v>
      </c>
      <c r="E13" s="52">
        <v>1571755.3599783799</v>
      </c>
      <c r="F13" s="53">
        <f t="shared" si="0"/>
        <v>1549991.1497007199</v>
      </c>
      <c r="G13" s="54">
        <f>BEV!F13</f>
        <v>40105</v>
      </c>
      <c r="H13" s="54">
        <f t="shared" si="1"/>
        <v>38648.326884446324</v>
      </c>
      <c r="I13" s="55">
        <f t="shared" si="2"/>
        <v>127.27429475285123</v>
      </c>
    </row>
    <row r="14" spans="1:9">
      <c r="A14" s="29"/>
      <c r="B14" s="47" t="s">
        <v>54</v>
      </c>
      <c r="C14" s="48">
        <v>753899.32196958701</v>
      </c>
      <c r="D14" s="48">
        <v>762036.25906889304</v>
      </c>
      <c r="E14" s="48">
        <v>870447.19881938305</v>
      </c>
      <c r="F14" s="49">
        <f t="shared" si="0"/>
        <v>795460.9266192877</v>
      </c>
      <c r="G14" s="50">
        <f>BEV!F14</f>
        <v>38290.666666666664</v>
      </c>
      <c r="H14" s="50">
        <f t="shared" si="1"/>
        <v>20774.277281303217</v>
      </c>
      <c r="I14" s="51">
        <f t="shared" si="2"/>
        <v>68.41257314665576</v>
      </c>
    </row>
    <row r="15" spans="1:9">
      <c r="A15" s="29"/>
      <c r="B15" s="30" t="s">
        <v>55</v>
      </c>
      <c r="C15" s="52">
        <v>8302246.8052296098</v>
      </c>
      <c r="D15" s="52">
        <v>8112709.0333069898</v>
      </c>
      <c r="E15" s="52">
        <v>8267273.4277929598</v>
      </c>
      <c r="F15" s="53">
        <f t="shared" si="0"/>
        <v>8227409.7554431865</v>
      </c>
      <c r="G15" s="54">
        <f>BEV!F15</f>
        <v>111153</v>
      </c>
      <c r="H15" s="54">
        <f t="shared" si="1"/>
        <v>74018.782717904032</v>
      </c>
      <c r="I15" s="55">
        <f t="shared" si="2"/>
        <v>243.75410601996953</v>
      </c>
    </row>
    <row r="16" spans="1:9">
      <c r="A16" s="29"/>
      <c r="B16" s="47" t="s">
        <v>56</v>
      </c>
      <c r="C16" s="48">
        <v>5927986.5243781405</v>
      </c>
      <c r="D16" s="48">
        <v>6522159.55016822</v>
      </c>
      <c r="E16" s="48">
        <v>6375103.2310805703</v>
      </c>
      <c r="F16" s="49">
        <f t="shared" si="0"/>
        <v>6275083.1018756432</v>
      </c>
      <c r="G16" s="50">
        <f>BEV!F16</f>
        <v>273758.66666666669</v>
      </c>
      <c r="H16" s="50">
        <f t="shared" si="1"/>
        <v>22921.952310340163</v>
      </c>
      <c r="I16" s="51">
        <f t="shared" si="2"/>
        <v>75.485164555237318</v>
      </c>
    </row>
    <row r="17" spans="1:9">
      <c r="A17" s="29"/>
      <c r="B17" s="30" t="s">
        <v>57</v>
      </c>
      <c r="C17" s="52">
        <v>5871318.1644394398</v>
      </c>
      <c r="D17" s="52">
        <v>6070950.7648067996</v>
      </c>
      <c r="E17" s="52">
        <v>6296086.3066090904</v>
      </c>
      <c r="F17" s="53">
        <f t="shared" si="0"/>
        <v>6079451.7452851096</v>
      </c>
      <c r="G17" s="54">
        <f>BEV!F17</f>
        <v>252014.33333333334</v>
      </c>
      <c r="H17" s="54">
        <f t="shared" si="1"/>
        <v>24123.4364128169</v>
      </c>
      <c r="I17" s="55">
        <f t="shared" si="2"/>
        <v>79.441818157777348</v>
      </c>
    </row>
    <row r="18" spans="1:9">
      <c r="A18" s="29"/>
      <c r="B18" s="47" t="s">
        <v>58</v>
      </c>
      <c r="C18" s="48">
        <v>8326130.7003875896</v>
      </c>
      <c r="D18" s="48">
        <v>8721665.2908586208</v>
      </c>
      <c r="E18" s="48">
        <v>8511258.3530783392</v>
      </c>
      <c r="F18" s="49">
        <f t="shared" si="0"/>
        <v>8519684.7814415153</v>
      </c>
      <c r="G18" s="50">
        <f>BEV!F18</f>
        <v>192075.33333333334</v>
      </c>
      <c r="H18" s="50">
        <f t="shared" si="1"/>
        <v>44355.954685009958</v>
      </c>
      <c r="I18" s="51">
        <f t="shared" si="2"/>
        <v>146.07030383237625</v>
      </c>
    </row>
    <row r="19" spans="1:9">
      <c r="A19" s="29"/>
      <c r="B19" s="30" t="s">
        <v>59</v>
      </c>
      <c r="C19" s="52">
        <v>8045907.5598536702</v>
      </c>
      <c r="D19" s="52">
        <v>8416050.1861920301</v>
      </c>
      <c r="E19" s="52">
        <v>8619384.9535853192</v>
      </c>
      <c r="F19" s="53">
        <f t="shared" si="0"/>
        <v>8360447.5665436732</v>
      </c>
      <c r="G19" s="54">
        <f>BEV!F19</f>
        <v>270960</v>
      </c>
      <c r="H19" s="54">
        <f t="shared" si="1"/>
        <v>30854.914255032745</v>
      </c>
      <c r="I19" s="55">
        <f t="shared" si="2"/>
        <v>101.60950726820184</v>
      </c>
    </row>
    <row r="20" spans="1:9">
      <c r="A20" s="29"/>
      <c r="B20" s="47" t="s">
        <v>60</v>
      </c>
      <c r="C20" s="48">
        <v>2354568.73299585</v>
      </c>
      <c r="D20" s="48">
        <v>2422166.8081501499</v>
      </c>
      <c r="E20" s="48">
        <v>2382029.9546286901</v>
      </c>
      <c r="F20" s="49">
        <f t="shared" si="0"/>
        <v>2386255.1652582302</v>
      </c>
      <c r="G20" s="50">
        <f>BEV!F20</f>
        <v>75614</v>
      </c>
      <c r="H20" s="50">
        <f t="shared" si="1"/>
        <v>31558.377618671548</v>
      </c>
      <c r="I20" s="51">
        <f t="shared" si="2"/>
        <v>103.92610958217234</v>
      </c>
    </row>
    <row r="21" spans="1:9">
      <c r="A21" s="29"/>
      <c r="B21" s="30" t="s">
        <v>61</v>
      </c>
      <c r="C21" s="52">
        <v>1302728.02143561</v>
      </c>
      <c r="D21" s="52">
        <v>1360845.49104239</v>
      </c>
      <c r="E21" s="52">
        <v>1400505.4277519099</v>
      </c>
      <c r="F21" s="53">
        <f t="shared" si="0"/>
        <v>1354692.9800766367</v>
      </c>
      <c r="G21" s="54">
        <f>BEV!F21</f>
        <v>52596</v>
      </c>
      <c r="H21" s="54">
        <f t="shared" si="1"/>
        <v>25756.578068230217</v>
      </c>
      <c r="I21" s="55">
        <f t="shared" si="2"/>
        <v>84.819979883786871</v>
      </c>
    </row>
    <row r="22" spans="1:9">
      <c r="A22" s="29"/>
      <c r="B22" s="47" t="s">
        <v>62</v>
      </c>
      <c r="C22" s="48">
        <v>390179.76609598799</v>
      </c>
      <c r="D22" s="48">
        <v>402931.29903385998</v>
      </c>
      <c r="E22" s="48">
        <v>392456.107870935</v>
      </c>
      <c r="F22" s="49">
        <f t="shared" si="0"/>
        <v>395189.05766692763</v>
      </c>
      <c r="G22" s="50">
        <f>BEV!F22</f>
        <v>15492.333333333334</v>
      </c>
      <c r="H22" s="50">
        <f t="shared" si="1"/>
        <v>25508.685435823805</v>
      </c>
      <c r="I22" s="51">
        <f t="shared" si="2"/>
        <v>84.003635102335252</v>
      </c>
    </row>
    <row r="23" spans="1:9">
      <c r="A23" s="29"/>
      <c r="B23" s="30" t="s">
        <v>63</v>
      </c>
      <c r="C23" s="52">
        <v>11252144.675481301</v>
      </c>
      <c r="D23" s="52">
        <v>11416440.9034425</v>
      </c>
      <c r="E23" s="52">
        <v>11646843.918100201</v>
      </c>
      <c r="F23" s="53">
        <f t="shared" si="0"/>
        <v>11438476.499008</v>
      </c>
      <c r="G23" s="54">
        <f>BEV!F23</f>
        <v>473926.66666666669</v>
      </c>
      <c r="H23" s="54">
        <f t="shared" si="1"/>
        <v>24135.541009877757</v>
      </c>
      <c r="I23" s="55">
        <f t="shared" si="2"/>
        <v>79.481680272864352</v>
      </c>
    </row>
    <row r="24" spans="1:9">
      <c r="A24" s="29"/>
      <c r="B24" s="47" t="s">
        <v>64</v>
      </c>
      <c r="C24" s="48">
        <v>5043635.5938453497</v>
      </c>
      <c r="D24" s="48">
        <v>4902723.36213734</v>
      </c>
      <c r="E24" s="48">
        <v>4997538.0375395296</v>
      </c>
      <c r="F24" s="49">
        <f t="shared" si="0"/>
        <v>4981298.9978407398</v>
      </c>
      <c r="G24" s="50">
        <f>BEV!F24</f>
        <v>194396.33333333334</v>
      </c>
      <c r="H24" s="50">
        <f t="shared" si="1"/>
        <v>25624.449352649342</v>
      </c>
      <c r="I24" s="51">
        <f t="shared" si="2"/>
        <v>84.384861718324359</v>
      </c>
    </row>
    <row r="25" spans="1:9">
      <c r="A25" s="29"/>
      <c r="B25" s="30" t="s">
        <v>65</v>
      </c>
      <c r="C25" s="52">
        <v>15452798.309449701</v>
      </c>
      <c r="D25" s="52">
        <v>16434822.108152799</v>
      </c>
      <c r="E25" s="52">
        <v>16511087.4922041</v>
      </c>
      <c r="F25" s="53">
        <f t="shared" si="0"/>
        <v>16132902.636602201</v>
      </c>
      <c r="G25" s="54">
        <f>BEV!F25</f>
        <v>596198.33333333337</v>
      </c>
      <c r="H25" s="54">
        <f t="shared" si="1"/>
        <v>27059.623844306061</v>
      </c>
      <c r="I25" s="55">
        <f t="shared" si="2"/>
        <v>89.111090147798762</v>
      </c>
    </row>
    <row r="26" spans="1:9">
      <c r="A26" s="29"/>
      <c r="B26" s="47" t="s">
        <v>66</v>
      </c>
      <c r="C26" s="48">
        <v>5643476.4988535596</v>
      </c>
      <c r="D26" s="48">
        <v>5720873.3565699495</v>
      </c>
      <c r="E26" s="48">
        <v>5973674.0447484497</v>
      </c>
      <c r="F26" s="49">
        <f t="shared" si="0"/>
        <v>5779341.300057319</v>
      </c>
      <c r="G26" s="50">
        <f>BEV!F26</f>
        <v>243860.33333333334</v>
      </c>
      <c r="H26" s="50">
        <f t="shared" si="1"/>
        <v>23699.3906350383</v>
      </c>
      <c r="I26" s="51">
        <f t="shared" si="2"/>
        <v>78.045376664435096</v>
      </c>
    </row>
    <row r="27" spans="1:9">
      <c r="A27" s="29"/>
      <c r="B27" s="30" t="s">
        <v>67</v>
      </c>
      <c r="C27" s="52">
        <v>9965355.9511781707</v>
      </c>
      <c r="D27" s="52">
        <v>10488436.8634384</v>
      </c>
      <c r="E27" s="52">
        <v>10210692.504530501</v>
      </c>
      <c r="F27" s="53">
        <f t="shared" si="0"/>
        <v>10221495.106382357</v>
      </c>
      <c r="G27" s="54">
        <f>BEV!F27</f>
        <v>334021</v>
      </c>
      <c r="H27" s="54">
        <f t="shared" si="1"/>
        <v>30601.354724350735</v>
      </c>
      <c r="I27" s="55">
        <f t="shared" si="2"/>
        <v>100.77450060563903</v>
      </c>
    </row>
    <row r="28" spans="1:9">
      <c r="A28" s="29"/>
      <c r="B28" s="47" t="s">
        <v>68</v>
      </c>
      <c r="C28" s="48">
        <v>22504518.667265199</v>
      </c>
      <c r="D28" s="48">
        <v>23323506.855751</v>
      </c>
      <c r="E28" s="48">
        <v>23707454.542151298</v>
      </c>
      <c r="F28" s="49">
        <f t="shared" si="0"/>
        <v>23178493.355055835</v>
      </c>
      <c r="G28" s="50">
        <f>BEV!F28</f>
        <v>704089.66666666663</v>
      </c>
      <c r="H28" s="50">
        <f t="shared" si="1"/>
        <v>32919.803332420022</v>
      </c>
      <c r="I28" s="51">
        <f t="shared" si="2"/>
        <v>108.40947306887134</v>
      </c>
    </row>
    <row r="29" spans="1:9">
      <c r="A29" s="29"/>
      <c r="B29" s="30" t="s">
        <v>69</v>
      </c>
      <c r="C29" s="52">
        <v>6304888.1530262204</v>
      </c>
      <c r="D29" s="52">
        <v>6497313.7891356796</v>
      </c>
      <c r="E29" s="52">
        <v>6779064.0381141398</v>
      </c>
      <c r="F29" s="53">
        <f t="shared" si="0"/>
        <v>6527088.6600920139</v>
      </c>
      <c r="G29" s="54">
        <f>BEV!F29</f>
        <v>305182.66666666669</v>
      </c>
      <c r="H29" s="54">
        <f t="shared" si="1"/>
        <v>21387.481574178568</v>
      </c>
      <c r="I29" s="55">
        <f t="shared" si="2"/>
        <v>70.431939836149894</v>
      </c>
    </row>
    <row r="30" spans="1:9">
      <c r="A30" s="29"/>
      <c r="B30" s="47" t="s">
        <v>70</v>
      </c>
      <c r="C30" s="48">
        <v>5022900.1270300196</v>
      </c>
      <c r="D30" s="48">
        <v>4447495.5050191795</v>
      </c>
      <c r="E30" s="48">
        <v>4659260.7658313997</v>
      </c>
      <c r="F30" s="49">
        <f t="shared" si="0"/>
        <v>4709885.4659601999</v>
      </c>
      <c r="G30" s="50">
        <f>BEV!F30</f>
        <v>171912</v>
      </c>
      <c r="H30" s="50">
        <f t="shared" si="1"/>
        <v>27397.072141329285</v>
      </c>
      <c r="I30" s="51">
        <f t="shared" si="2"/>
        <v>90.222354139836298</v>
      </c>
    </row>
    <row r="31" spans="1:9">
      <c r="A31" s="29"/>
      <c r="B31" s="30" t="s">
        <v>71</v>
      </c>
      <c r="C31" s="52">
        <v>20019436.941714801</v>
      </c>
      <c r="D31" s="52">
        <v>19977332.843610901</v>
      </c>
      <c r="E31" s="52">
        <v>20715680.1972817</v>
      </c>
      <c r="F31" s="53">
        <f t="shared" si="0"/>
        <v>20237483.327535804</v>
      </c>
      <c r="G31" s="54">
        <f>BEV!F31</f>
        <v>453280.33333333331</v>
      </c>
      <c r="H31" s="54">
        <f t="shared" si="1"/>
        <v>44646.727067802356</v>
      </c>
      <c r="I31" s="55">
        <f t="shared" si="2"/>
        <v>147.02785757239084</v>
      </c>
    </row>
    <row r="32" spans="1:9">
      <c r="A32" s="29"/>
      <c r="B32" s="47" t="s">
        <v>72</v>
      </c>
      <c r="C32" s="48">
        <v>1306912.59826289</v>
      </c>
      <c r="D32" s="48">
        <v>1274368.28169987</v>
      </c>
      <c r="E32" s="48">
        <v>1331910.49081667</v>
      </c>
      <c r="F32" s="49">
        <f t="shared" si="0"/>
        <v>1304397.1235931434</v>
      </c>
      <c r="G32" s="50">
        <f>BEV!F32</f>
        <v>68688.666666666672</v>
      </c>
      <c r="H32" s="50">
        <f t="shared" si="1"/>
        <v>18989.990443738559</v>
      </c>
      <c r="I32" s="51">
        <f t="shared" si="2"/>
        <v>62.536669396234188</v>
      </c>
    </row>
    <row r="33" spans="1:9">
      <c r="A33" s="56"/>
      <c r="B33" s="57" t="s">
        <v>73</v>
      </c>
      <c r="C33" s="58">
        <f>SUM(C7:C32)</f>
        <v>229783195.1931693</v>
      </c>
      <c r="D33" s="58">
        <f>SUM(D7:D32)</f>
        <v>237652483.73922855</v>
      </c>
      <c r="E33" s="58">
        <f>SUM(E7:E32)</f>
        <v>242826119.01474339</v>
      </c>
      <c r="F33" s="58">
        <f>SUM(F7:F32)</f>
        <v>236753932.64904711</v>
      </c>
      <c r="G33" s="58">
        <f>SUM(G7:G32)</f>
        <v>7796634.9999999991</v>
      </c>
      <c r="H33" s="58">
        <f t="shared" si="1"/>
        <v>30366.168564906162</v>
      </c>
      <c r="I33" s="59">
        <f t="shared" si="2"/>
        <v>100</v>
      </c>
    </row>
  </sheetData>
  <mergeCells count="1">
    <mergeCell ref="B1:G1"/>
  </mergeCells>
  <conditionalFormatting sqref="C7:F32">
    <cfRule type="expression" dxfId="7" priority="1" stopIfTrue="1">
      <formula>ISBLANK(C7)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scale="96" orientation="landscape" r:id="rId1"/>
  <headerFooter>
    <oddHeader>&amp;L&amp;F&amp;R&amp;A</oddHeader>
    <oddFooter>&amp;CSeite &amp;P von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2">
    <pageSetUpPr fitToPage="1"/>
  </sheetPr>
  <dimension ref="A1:F34"/>
  <sheetViews>
    <sheetView showGridLines="0" workbookViewId="0"/>
  </sheetViews>
  <sheetFormatPr baseColWidth="10" defaultColWidth="11.42578125" defaultRowHeight="12.75"/>
  <cols>
    <col min="1" max="1" width="1.42578125" style="1" customWidth="1"/>
    <col min="2" max="2" width="18.85546875" style="1" customWidth="1"/>
    <col min="3" max="3" width="16.28515625" style="1" customWidth="1"/>
    <col min="4" max="6" width="18.5703125" style="1" customWidth="1"/>
  </cols>
  <sheetData>
    <row r="1" spans="1:6" ht="38.25" customHeight="1">
      <c r="B1" s="60" t="str">
        <f>"Massgebende Wohnbevölkerung "&amp;Info!C30</f>
        <v>Massgebende Wohnbevölkerung 2014</v>
      </c>
      <c r="C1" s="60"/>
      <c r="D1" s="60"/>
      <c r="E1" s="61"/>
      <c r="F1" s="17" t="str">
        <f>Info!$C$28</f>
        <v>FA_2014_20130902</v>
      </c>
    </row>
    <row r="2" spans="1:6" s="1" customFormat="1">
      <c r="A2" s="18"/>
      <c r="B2" s="62" t="s">
        <v>27</v>
      </c>
      <c r="C2" s="63" t="s">
        <v>28</v>
      </c>
      <c r="D2" s="63" t="s">
        <v>29</v>
      </c>
      <c r="E2" s="63" t="s">
        <v>30</v>
      </c>
      <c r="F2" s="64" t="s">
        <v>31</v>
      </c>
    </row>
    <row r="3" spans="1:6" s="65" customFormat="1" ht="11.25" customHeight="1">
      <c r="A3" s="66"/>
      <c r="B3" s="67" t="s">
        <v>35</v>
      </c>
      <c r="C3" s="68"/>
      <c r="D3" s="68"/>
      <c r="E3" s="68"/>
      <c r="F3" s="69" t="s">
        <v>36</v>
      </c>
    </row>
    <row r="4" spans="1:6" ht="26.25" customHeight="1">
      <c r="A4" s="29"/>
      <c r="B4" s="70"/>
      <c r="C4" s="299" t="s">
        <v>138</v>
      </c>
      <c r="D4" s="300"/>
      <c r="E4" s="301"/>
      <c r="F4" s="71" t="s">
        <v>7</v>
      </c>
    </row>
    <row r="5" spans="1:6" ht="16.5" customHeight="1">
      <c r="A5" s="29"/>
      <c r="B5" s="72"/>
      <c r="C5" s="73">
        <v>2008</v>
      </c>
      <c r="D5" s="74">
        <v>2009</v>
      </c>
      <c r="E5" s="75">
        <v>2010</v>
      </c>
      <c r="F5" s="76">
        <f>Info!C30</f>
        <v>2014</v>
      </c>
    </row>
    <row r="6" spans="1:6" s="77" customFormat="1">
      <c r="A6" s="78"/>
      <c r="B6" s="39" t="s">
        <v>42</v>
      </c>
      <c r="C6" s="79" t="s">
        <v>74</v>
      </c>
      <c r="D6" s="80" t="s">
        <v>74</v>
      </c>
      <c r="E6" s="81" t="s">
        <v>74</v>
      </c>
      <c r="F6" s="82"/>
    </row>
    <row r="7" spans="1:6">
      <c r="A7" s="29"/>
      <c r="B7" s="42" t="s">
        <v>47</v>
      </c>
      <c r="C7" s="83">
        <v>1347351</v>
      </c>
      <c r="D7" s="43">
        <v>1366821</v>
      </c>
      <c r="E7" s="84">
        <v>1383661</v>
      </c>
      <c r="F7" s="85">
        <f t="shared" ref="F7:F32" si="0">AVERAGE(C7:E7)</f>
        <v>1365944.3333333333</v>
      </c>
    </row>
    <row r="8" spans="1:6">
      <c r="A8" s="29"/>
      <c r="B8" s="47" t="s">
        <v>48</v>
      </c>
      <c r="C8" s="86">
        <v>974591</v>
      </c>
      <c r="D8" s="48">
        <v>979554</v>
      </c>
      <c r="E8" s="87">
        <v>983453</v>
      </c>
      <c r="F8" s="88">
        <f t="shared" si="0"/>
        <v>979199.33333333337</v>
      </c>
    </row>
    <row r="9" spans="1:6">
      <c r="A9" s="29"/>
      <c r="B9" s="30" t="s">
        <v>49</v>
      </c>
      <c r="C9" s="89">
        <v>366425</v>
      </c>
      <c r="D9" s="52">
        <v>370931</v>
      </c>
      <c r="E9" s="90">
        <v>375155</v>
      </c>
      <c r="F9" s="91">
        <f t="shared" si="0"/>
        <v>370837</v>
      </c>
    </row>
    <row r="10" spans="1:6">
      <c r="A10" s="29"/>
      <c r="B10" s="47" t="s">
        <v>50</v>
      </c>
      <c r="C10" s="86">
        <v>34648</v>
      </c>
      <c r="D10" s="48">
        <v>34772</v>
      </c>
      <c r="E10" s="87">
        <v>34750</v>
      </c>
      <c r="F10" s="88">
        <f t="shared" si="0"/>
        <v>34723.333333333336</v>
      </c>
    </row>
    <row r="11" spans="1:6">
      <c r="A11" s="29"/>
      <c r="B11" s="30" t="s">
        <v>51</v>
      </c>
      <c r="C11" s="89">
        <v>142033</v>
      </c>
      <c r="D11" s="52">
        <v>143699</v>
      </c>
      <c r="E11" s="90">
        <v>145209</v>
      </c>
      <c r="F11" s="91">
        <f t="shared" si="0"/>
        <v>143647</v>
      </c>
    </row>
    <row r="12" spans="1:6">
      <c r="A12" s="29"/>
      <c r="B12" s="47" t="s">
        <v>52</v>
      </c>
      <c r="C12" s="86">
        <v>34137</v>
      </c>
      <c r="D12" s="48">
        <v>34667</v>
      </c>
      <c r="E12" s="87">
        <v>35202</v>
      </c>
      <c r="F12" s="88">
        <f t="shared" si="0"/>
        <v>34668.666666666664</v>
      </c>
    </row>
    <row r="13" spans="1:6">
      <c r="A13" s="29"/>
      <c r="B13" s="30" t="s">
        <v>53</v>
      </c>
      <c r="C13" s="89">
        <v>39913</v>
      </c>
      <c r="D13" s="52">
        <v>40164</v>
      </c>
      <c r="E13" s="90">
        <v>40238</v>
      </c>
      <c r="F13" s="91">
        <f t="shared" si="0"/>
        <v>40105</v>
      </c>
    </row>
    <row r="14" spans="1:6">
      <c r="A14" s="29"/>
      <c r="B14" s="47" t="s">
        <v>54</v>
      </c>
      <c r="C14" s="86">
        <v>38165</v>
      </c>
      <c r="D14" s="48">
        <v>38259</v>
      </c>
      <c r="E14" s="87">
        <v>38448</v>
      </c>
      <c r="F14" s="88">
        <f t="shared" si="0"/>
        <v>38290.666666666664</v>
      </c>
    </row>
    <row r="15" spans="1:6">
      <c r="A15" s="29"/>
      <c r="B15" s="30" t="s">
        <v>55</v>
      </c>
      <c r="C15" s="89">
        <v>110390</v>
      </c>
      <c r="D15" s="52">
        <v>111151</v>
      </c>
      <c r="E15" s="90">
        <v>111918</v>
      </c>
      <c r="F15" s="91">
        <f t="shared" si="0"/>
        <v>111153</v>
      </c>
    </row>
    <row r="16" spans="1:6">
      <c r="A16" s="29"/>
      <c r="B16" s="47" t="s">
        <v>56</v>
      </c>
      <c r="C16" s="86">
        <v>268830</v>
      </c>
      <c r="D16" s="48">
        <v>273855</v>
      </c>
      <c r="E16" s="87">
        <v>278591</v>
      </c>
      <c r="F16" s="88">
        <f t="shared" si="0"/>
        <v>273758.66666666669</v>
      </c>
    </row>
    <row r="17" spans="1:6">
      <c r="A17" s="29"/>
      <c r="B17" s="30" t="s">
        <v>57</v>
      </c>
      <c r="C17" s="89">
        <v>250590</v>
      </c>
      <c r="D17" s="52">
        <v>252083</v>
      </c>
      <c r="E17" s="90">
        <v>253370</v>
      </c>
      <c r="F17" s="91">
        <f t="shared" si="0"/>
        <v>252014.33333333334</v>
      </c>
    </row>
    <row r="18" spans="1:6">
      <c r="A18" s="29"/>
      <c r="B18" s="47" t="s">
        <v>58</v>
      </c>
      <c r="C18" s="86">
        <v>190531</v>
      </c>
      <c r="D18" s="48">
        <v>192068</v>
      </c>
      <c r="E18" s="87">
        <v>193627</v>
      </c>
      <c r="F18" s="88">
        <f t="shared" si="0"/>
        <v>192075.33333333334</v>
      </c>
    </row>
    <row r="19" spans="1:6">
      <c r="A19" s="29"/>
      <c r="B19" s="30" t="s">
        <v>59</v>
      </c>
      <c r="C19" s="89">
        <v>269249</v>
      </c>
      <c r="D19" s="52">
        <v>271125</v>
      </c>
      <c r="E19" s="90">
        <v>272506</v>
      </c>
      <c r="F19" s="91">
        <f t="shared" si="0"/>
        <v>270960</v>
      </c>
    </row>
    <row r="20" spans="1:6">
      <c r="A20" s="29"/>
      <c r="B20" s="47" t="s">
        <v>60</v>
      </c>
      <c r="C20" s="86">
        <v>75045</v>
      </c>
      <c r="D20" s="48">
        <v>75691</v>
      </c>
      <c r="E20" s="87">
        <v>76106</v>
      </c>
      <c r="F20" s="88">
        <f t="shared" si="0"/>
        <v>75614</v>
      </c>
    </row>
    <row r="21" spans="1:6">
      <c r="A21" s="29"/>
      <c r="B21" s="30" t="s">
        <v>61</v>
      </c>
      <c r="C21" s="89">
        <v>52517</v>
      </c>
      <c r="D21" s="52">
        <v>52681</v>
      </c>
      <c r="E21" s="90">
        <v>52590</v>
      </c>
      <c r="F21" s="91">
        <f t="shared" si="0"/>
        <v>52596</v>
      </c>
    </row>
    <row r="22" spans="1:6">
      <c r="A22" s="29"/>
      <c r="B22" s="47" t="s">
        <v>62</v>
      </c>
      <c r="C22" s="86">
        <v>15147</v>
      </c>
      <c r="D22" s="48">
        <v>15517</v>
      </c>
      <c r="E22" s="87">
        <v>15813</v>
      </c>
      <c r="F22" s="88">
        <f t="shared" si="0"/>
        <v>15492.333333333334</v>
      </c>
    </row>
    <row r="23" spans="1:6">
      <c r="A23" s="29"/>
      <c r="B23" s="30" t="s">
        <v>63</v>
      </c>
      <c r="C23" s="89">
        <v>470268</v>
      </c>
      <c r="D23" s="52">
        <v>474316</v>
      </c>
      <c r="E23" s="90">
        <v>477196</v>
      </c>
      <c r="F23" s="91">
        <f t="shared" si="0"/>
        <v>473926.66666666669</v>
      </c>
    </row>
    <row r="24" spans="1:6">
      <c r="A24" s="29"/>
      <c r="B24" s="47" t="s">
        <v>64</v>
      </c>
      <c r="C24" s="86">
        <v>193035</v>
      </c>
      <c r="D24" s="48">
        <v>194753</v>
      </c>
      <c r="E24" s="87">
        <v>195401</v>
      </c>
      <c r="F24" s="88">
        <f t="shared" si="0"/>
        <v>194396.33333333334</v>
      </c>
    </row>
    <row r="25" spans="1:6">
      <c r="A25" s="29"/>
      <c r="B25" s="30" t="s">
        <v>65</v>
      </c>
      <c r="C25" s="89">
        <v>587471</v>
      </c>
      <c r="D25" s="52">
        <v>596795</v>
      </c>
      <c r="E25" s="90">
        <v>604329</v>
      </c>
      <c r="F25" s="91">
        <f t="shared" si="0"/>
        <v>596198.33333333337</v>
      </c>
    </row>
    <row r="26" spans="1:6">
      <c r="A26" s="29"/>
      <c r="B26" s="47" t="s">
        <v>66</v>
      </c>
      <c r="C26" s="86">
        <v>240656</v>
      </c>
      <c r="D26" s="48">
        <v>244069</v>
      </c>
      <c r="E26" s="87">
        <v>246856</v>
      </c>
      <c r="F26" s="88">
        <f t="shared" si="0"/>
        <v>243860.33333333334</v>
      </c>
    </row>
    <row r="27" spans="1:6">
      <c r="A27" s="29"/>
      <c r="B27" s="30" t="s">
        <v>67</v>
      </c>
      <c r="C27" s="89">
        <v>331600</v>
      </c>
      <c r="D27" s="52">
        <v>333567</v>
      </c>
      <c r="E27" s="90">
        <v>336896</v>
      </c>
      <c r="F27" s="91">
        <f t="shared" si="0"/>
        <v>334021</v>
      </c>
    </row>
    <row r="28" spans="1:6">
      <c r="A28" s="29"/>
      <c r="B28" s="47" t="s">
        <v>68</v>
      </c>
      <c r="C28" s="86">
        <v>690870</v>
      </c>
      <c r="D28" s="48">
        <v>704916</v>
      </c>
      <c r="E28" s="87">
        <v>716483</v>
      </c>
      <c r="F28" s="88">
        <f t="shared" si="0"/>
        <v>704089.66666666663</v>
      </c>
    </row>
    <row r="29" spans="1:6">
      <c r="A29" s="29"/>
      <c r="B29" s="30" t="s">
        <v>69</v>
      </c>
      <c r="C29" s="89">
        <v>301045</v>
      </c>
      <c r="D29" s="52">
        <v>305178</v>
      </c>
      <c r="E29" s="90">
        <v>309325</v>
      </c>
      <c r="F29" s="91">
        <f t="shared" si="0"/>
        <v>305182.66666666669</v>
      </c>
    </row>
    <row r="30" spans="1:6">
      <c r="A30" s="29"/>
      <c r="B30" s="47" t="s">
        <v>70</v>
      </c>
      <c r="C30" s="86">
        <v>171095</v>
      </c>
      <c r="D30" s="48">
        <v>172263</v>
      </c>
      <c r="E30" s="87">
        <v>172378</v>
      </c>
      <c r="F30" s="88">
        <f t="shared" si="0"/>
        <v>171912</v>
      </c>
    </row>
    <row r="31" spans="1:6">
      <c r="A31" s="29"/>
      <c r="B31" s="30" t="s">
        <v>71</v>
      </c>
      <c r="C31" s="89">
        <v>446957</v>
      </c>
      <c r="D31" s="52">
        <v>453674</v>
      </c>
      <c r="E31" s="90">
        <v>459210</v>
      </c>
      <c r="F31" s="91">
        <f t="shared" si="0"/>
        <v>453280.33333333331</v>
      </c>
    </row>
    <row r="32" spans="1:6">
      <c r="A32" s="29"/>
      <c r="B32" s="47" t="s">
        <v>72</v>
      </c>
      <c r="C32" s="86">
        <v>68497</v>
      </c>
      <c r="D32" s="48">
        <v>68709</v>
      </c>
      <c r="E32" s="87">
        <v>68860</v>
      </c>
      <c r="F32" s="88">
        <f t="shared" si="0"/>
        <v>68688.666666666672</v>
      </c>
    </row>
    <row r="33" spans="1:6">
      <c r="A33" s="56"/>
      <c r="B33" s="57" t="s">
        <v>73</v>
      </c>
      <c r="C33" s="92">
        <f>SUM(C7:C32)</f>
        <v>7711056</v>
      </c>
      <c r="D33" s="58">
        <f>SUM(D7:D32)</f>
        <v>7801278</v>
      </c>
      <c r="E33" s="93">
        <f>SUM(E7:E32)</f>
        <v>7877571</v>
      </c>
      <c r="F33" s="94">
        <f>SUM(F7:F32)</f>
        <v>7796634.9999999991</v>
      </c>
    </row>
    <row r="34" spans="1:6">
      <c r="B34" s="95"/>
      <c r="C34" s="95"/>
      <c r="D34" s="95"/>
      <c r="E34" s="95"/>
      <c r="F34" s="95"/>
    </row>
  </sheetData>
  <mergeCells count="1">
    <mergeCell ref="C4:E4"/>
  </mergeCells>
  <conditionalFormatting sqref="C7:E32 C5:F5">
    <cfRule type="expression" dxfId="6" priority="1" stopIfTrue="1">
      <formula>ISBLANK(C5)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scale="98" orientation="landscape" r:id="rId1"/>
  <headerFooter>
    <oddHeader>&amp;L&amp;F&amp;R&amp;A</oddHeader>
    <oddFooter>&amp;CSeite &amp;P von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3">
    <pageSetUpPr fitToPage="1"/>
  </sheetPr>
  <dimension ref="A1:I35"/>
  <sheetViews>
    <sheetView showGridLines="0" workbookViewId="0">
      <selection activeCell="C7" sqref="C7"/>
    </sheetView>
  </sheetViews>
  <sheetFormatPr baseColWidth="10" defaultColWidth="11.42578125" defaultRowHeight="12.75"/>
  <cols>
    <col min="1" max="1" width="1.42578125" style="1" customWidth="1"/>
    <col min="2" max="2" width="15.85546875" style="1" customWidth="1"/>
    <col min="3" max="3" width="12.42578125" style="1" customWidth="1"/>
    <col min="4" max="5" width="13.28515625" style="1" customWidth="1"/>
    <col min="6" max="6" width="13.7109375" style="1" customWidth="1"/>
    <col min="7" max="8" width="13.28515625" style="1" customWidth="1"/>
    <col min="9" max="9" width="14" style="1" customWidth="1"/>
  </cols>
  <sheetData>
    <row r="1" spans="1:9" ht="26.25" customHeight="1">
      <c r="B1" s="302" t="str">
        <f>"Wachstumsraten der Ressourcenpotenziale "&amp;Info!C30</f>
        <v>Wachstumsraten der Ressourcenpotenziale 2014</v>
      </c>
      <c r="C1" s="302"/>
      <c r="D1" s="302"/>
      <c r="E1" s="302"/>
      <c r="F1" s="302"/>
      <c r="G1" s="302"/>
      <c r="H1" s="16"/>
    </row>
    <row r="2" spans="1:9" ht="18.75" customHeight="1">
      <c r="I2" s="17" t="str">
        <f>Info!$C$28</f>
        <v>FA_2014_20130902</v>
      </c>
    </row>
    <row r="3" spans="1:9">
      <c r="B3" s="62" t="s">
        <v>27</v>
      </c>
      <c r="C3" s="63" t="s">
        <v>28</v>
      </c>
      <c r="D3" s="63" t="s">
        <v>29</v>
      </c>
      <c r="E3" s="63" t="s">
        <v>30</v>
      </c>
      <c r="F3" s="63" t="s">
        <v>31</v>
      </c>
      <c r="G3" s="63" t="s">
        <v>32</v>
      </c>
      <c r="H3" s="63" t="s">
        <v>33</v>
      </c>
      <c r="I3" s="64" t="s">
        <v>34</v>
      </c>
    </row>
    <row r="4" spans="1:9" ht="27.75" customHeight="1">
      <c r="A4" s="29"/>
      <c r="B4" s="42"/>
      <c r="C4" s="303" t="str">
        <f>"Ressourcen-index "&amp;Info!C30</f>
        <v>Ressourcen-index 2014</v>
      </c>
      <c r="D4" s="307" t="s">
        <v>75</v>
      </c>
      <c r="E4" s="308"/>
      <c r="F4" s="309"/>
      <c r="G4" s="305" t="s">
        <v>76</v>
      </c>
      <c r="H4" s="305"/>
      <c r="I4" s="306"/>
    </row>
    <row r="5" spans="1:9" ht="15.75" customHeight="1">
      <c r="A5" s="29"/>
      <c r="B5" s="96"/>
      <c r="C5" s="304"/>
      <c r="D5" s="97">
        <f>Info!C30-1</f>
        <v>2013</v>
      </c>
      <c r="E5" s="98">
        <f>Info!C30</f>
        <v>2014</v>
      </c>
      <c r="F5" s="99" t="s">
        <v>77</v>
      </c>
      <c r="G5" s="98">
        <f>D5</f>
        <v>2013</v>
      </c>
      <c r="H5" s="98">
        <f>E5</f>
        <v>2014</v>
      </c>
      <c r="I5" s="100" t="s">
        <v>77</v>
      </c>
    </row>
    <row r="6" spans="1:9" s="77" customFormat="1" ht="14.45" customHeight="1">
      <c r="A6" s="101"/>
      <c r="B6" s="39" t="s">
        <v>43</v>
      </c>
      <c r="C6" s="102" t="s">
        <v>78</v>
      </c>
      <c r="D6" s="103" t="s">
        <v>44</v>
      </c>
      <c r="E6" s="40" t="s">
        <v>44</v>
      </c>
      <c r="F6" s="104" t="s">
        <v>79</v>
      </c>
      <c r="G6" s="40" t="s">
        <v>44</v>
      </c>
      <c r="H6" s="40" t="s">
        <v>44</v>
      </c>
      <c r="I6" s="105" t="s">
        <v>79</v>
      </c>
    </row>
    <row r="7" spans="1:9">
      <c r="A7" s="106"/>
      <c r="B7" s="42" t="s">
        <v>47</v>
      </c>
      <c r="C7" s="107">
        <f>RP!I7</f>
        <v>117.65226099207595</v>
      </c>
      <c r="D7" s="108">
        <v>48693848.267281502</v>
      </c>
      <c r="E7" s="109">
        <f>RP!F7</f>
        <v>48800388.223946489</v>
      </c>
      <c r="F7" s="110">
        <f t="shared" ref="F7:F33" si="0">E7/D7-1</f>
        <v>2.1879551618140258E-3</v>
      </c>
      <c r="G7" s="45">
        <f t="shared" ref="G7:G32" si="1">IF($C7&gt;100,D7,"")</f>
        <v>48693848.267281502</v>
      </c>
      <c r="H7" s="45">
        <f t="shared" ref="H7:H32" si="2">IF($C7&gt;100,E7,"")</f>
        <v>48800388.223946489</v>
      </c>
      <c r="I7" s="111">
        <f t="shared" ref="I7:I32" si="3">IF(C7&gt;=100,H7/G7-1,"")</f>
        <v>2.1879551618140258E-3</v>
      </c>
    </row>
    <row r="8" spans="1:9">
      <c r="A8" s="106"/>
      <c r="B8" s="112" t="s">
        <v>48</v>
      </c>
      <c r="C8" s="113">
        <f>RP!I8</f>
        <v>74.478151251992514</v>
      </c>
      <c r="D8" s="114">
        <v>22077800.653689999</v>
      </c>
      <c r="E8" s="115">
        <f>RP!F8</f>
        <v>22145729.727938499</v>
      </c>
      <c r="F8" s="116">
        <f t="shared" si="0"/>
        <v>3.0768044024869212E-3</v>
      </c>
      <c r="G8" s="50" t="str">
        <f t="shared" si="1"/>
        <v/>
      </c>
      <c r="H8" s="50" t="str">
        <f t="shared" si="2"/>
        <v/>
      </c>
      <c r="I8" s="117" t="str">
        <f t="shared" si="3"/>
        <v/>
      </c>
    </row>
    <row r="9" spans="1:9">
      <c r="A9" s="106"/>
      <c r="B9" s="118" t="s">
        <v>49</v>
      </c>
      <c r="C9" s="119">
        <f>RP!I9</f>
        <v>78.892352487649362</v>
      </c>
      <c r="D9" s="120">
        <v>8570160.6381777003</v>
      </c>
      <c r="E9" s="121">
        <f>RP!F9</f>
        <v>8883988.0156796332</v>
      </c>
      <c r="F9" s="122">
        <f t="shared" si="0"/>
        <v>3.6618610869896484E-2</v>
      </c>
      <c r="G9" s="54" t="str">
        <f t="shared" si="1"/>
        <v/>
      </c>
      <c r="H9" s="54" t="str">
        <f t="shared" si="2"/>
        <v/>
      </c>
      <c r="I9" s="123" t="str">
        <f t="shared" si="3"/>
        <v/>
      </c>
    </row>
    <row r="10" spans="1:9">
      <c r="A10" s="106"/>
      <c r="B10" s="112" t="s">
        <v>50</v>
      </c>
      <c r="C10" s="113">
        <f>RP!I10</f>
        <v>61.204502918292746</v>
      </c>
      <c r="D10" s="114">
        <v>633645.83135051699</v>
      </c>
      <c r="E10" s="115">
        <f>RP!F10</f>
        <v>645349.21042647574</v>
      </c>
      <c r="F10" s="116">
        <f t="shared" si="0"/>
        <v>1.8469906210879294E-2</v>
      </c>
      <c r="G10" s="50" t="str">
        <f t="shared" si="1"/>
        <v/>
      </c>
      <c r="H10" s="50" t="str">
        <f t="shared" si="2"/>
        <v/>
      </c>
      <c r="I10" s="117" t="str">
        <f t="shared" si="3"/>
        <v/>
      </c>
    </row>
    <row r="11" spans="1:9">
      <c r="A11" s="106"/>
      <c r="B11" s="118" t="s">
        <v>51</v>
      </c>
      <c r="C11" s="119">
        <f>RP!I11</f>
        <v>158.85894290116224</v>
      </c>
      <c r="D11" s="120">
        <v>6769937.4056496704</v>
      </c>
      <c r="E11" s="121">
        <f>RP!F11</f>
        <v>6929441.4118216997</v>
      </c>
      <c r="F11" s="122">
        <f t="shared" si="0"/>
        <v>2.356063233892236E-2</v>
      </c>
      <c r="G11" s="54">
        <f t="shared" si="1"/>
        <v>6769937.4056496704</v>
      </c>
      <c r="H11" s="54">
        <f t="shared" si="2"/>
        <v>6929441.4118216997</v>
      </c>
      <c r="I11" s="123">
        <f t="shared" si="3"/>
        <v>2.356063233892236E-2</v>
      </c>
    </row>
    <row r="12" spans="1:9">
      <c r="A12" s="106"/>
      <c r="B12" s="112" t="s">
        <v>52</v>
      </c>
      <c r="C12" s="113">
        <f>RP!I12</f>
        <v>84.968270635495685</v>
      </c>
      <c r="D12" s="114">
        <v>853446.54560454597</v>
      </c>
      <c r="E12" s="115">
        <f>RP!F12</f>
        <v>894507.3571957323</v>
      </c>
      <c r="F12" s="116">
        <f t="shared" si="0"/>
        <v>4.8111755566484282E-2</v>
      </c>
      <c r="G12" s="50" t="str">
        <f t="shared" si="1"/>
        <v/>
      </c>
      <c r="H12" s="50" t="str">
        <f t="shared" si="2"/>
        <v/>
      </c>
      <c r="I12" s="117" t="str">
        <f t="shared" si="3"/>
        <v/>
      </c>
    </row>
    <row r="13" spans="1:9">
      <c r="A13" s="106"/>
      <c r="B13" s="118" t="s">
        <v>53</v>
      </c>
      <c r="C13" s="119">
        <f>RP!I13</f>
        <v>127.27429475285123</v>
      </c>
      <c r="D13" s="120">
        <v>1529545.4013664699</v>
      </c>
      <c r="E13" s="121">
        <f>RP!F13</f>
        <v>1549991.1497007199</v>
      </c>
      <c r="F13" s="122">
        <f t="shared" si="0"/>
        <v>1.3367205913589864E-2</v>
      </c>
      <c r="G13" s="54">
        <f t="shared" si="1"/>
        <v>1529545.4013664699</v>
      </c>
      <c r="H13" s="54">
        <f t="shared" si="2"/>
        <v>1549991.1497007199</v>
      </c>
      <c r="I13" s="123">
        <f t="shared" si="3"/>
        <v>1.3367205913589864E-2</v>
      </c>
    </row>
    <row r="14" spans="1:9">
      <c r="A14" s="106"/>
      <c r="B14" s="112" t="s">
        <v>54</v>
      </c>
      <c r="C14" s="113">
        <f>RP!I14</f>
        <v>68.41257314665576</v>
      </c>
      <c r="D14" s="114">
        <v>761886.30727283005</v>
      </c>
      <c r="E14" s="115">
        <f>RP!F14</f>
        <v>795460.9266192877</v>
      </c>
      <c r="F14" s="116">
        <f t="shared" si="0"/>
        <v>4.4067755288368371E-2</v>
      </c>
      <c r="G14" s="50" t="str">
        <f t="shared" si="1"/>
        <v/>
      </c>
      <c r="H14" s="50" t="str">
        <f t="shared" si="2"/>
        <v/>
      </c>
      <c r="I14" s="117" t="str">
        <f t="shared" si="3"/>
        <v/>
      </c>
    </row>
    <row r="15" spans="1:9">
      <c r="A15" s="106"/>
      <c r="B15" s="118" t="s">
        <v>55</v>
      </c>
      <c r="C15" s="119">
        <f>RP!I15</f>
        <v>243.75410601996953</v>
      </c>
      <c r="D15" s="120">
        <v>8283824.32172962</v>
      </c>
      <c r="E15" s="121">
        <f>RP!F15</f>
        <v>8227409.7554431865</v>
      </c>
      <c r="F15" s="122">
        <f t="shared" si="0"/>
        <v>-6.8102079541270122E-3</v>
      </c>
      <c r="G15" s="54">
        <f t="shared" si="1"/>
        <v>8283824.32172962</v>
      </c>
      <c r="H15" s="54">
        <f t="shared" si="2"/>
        <v>8227409.7554431865</v>
      </c>
      <c r="I15" s="123">
        <f t="shared" si="3"/>
        <v>-6.8102079541270122E-3</v>
      </c>
    </row>
    <row r="16" spans="1:9">
      <c r="A16" s="106"/>
      <c r="B16" s="112" t="s">
        <v>56</v>
      </c>
      <c r="C16" s="113">
        <f>RP!I16</f>
        <v>75.485164555237318</v>
      </c>
      <c r="D16" s="114">
        <v>6024878.0264073396</v>
      </c>
      <c r="E16" s="115">
        <f>RP!F16</f>
        <v>6275083.1018756432</v>
      </c>
      <c r="F16" s="116">
        <f t="shared" si="0"/>
        <v>4.1528654085882355E-2</v>
      </c>
      <c r="G16" s="50" t="str">
        <f t="shared" si="1"/>
        <v/>
      </c>
      <c r="H16" s="50" t="str">
        <f t="shared" si="2"/>
        <v/>
      </c>
      <c r="I16" s="117" t="str">
        <f t="shared" si="3"/>
        <v/>
      </c>
    </row>
    <row r="17" spans="1:9">
      <c r="A17" s="106"/>
      <c r="B17" s="118" t="s">
        <v>57</v>
      </c>
      <c r="C17" s="119">
        <f>RP!I17</f>
        <v>79.441818157777348</v>
      </c>
      <c r="D17" s="120">
        <v>5994685.5294718398</v>
      </c>
      <c r="E17" s="121">
        <f>RP!F17</f>
        <v>6079451.7452851096</v>
      </c>
      <c r="F17" s="122">
        <f t="shared" si="0"/>
        <v>1.4140227272395167E-2</v>
      </c>
      <c r="G17" s="54" t="str">
        <f t="shared" si="1"/>
        <v/>
      </c>
      <c r="H17" s="54" t="str">
        <f t="shared" si="2"/>
        <v/>
      </c>
      <c r="I17" s="123" t="str">
        <f t="shared" si="3"/>
        <v/>
      </c>
    </row>
    <row r="18" spans="1:9">
      <c r="A18" s="106"/>
      <c r="B18" s="112" t="s">
        <v>58</v>
      </c>
      <c r="C18" s="113">
        <f>RP!I18</f>
        <v>146.07030383237625</v>
      </c>
      <c r="D18" s="114">
        <v>8754648.2812253702</v>
      </c>
      <c r="E18" s="115">
        <f>RP!F18</f>
        <v>8519684.7814415153</v>
      </c>
      <c r="F18" s="116">
        <f t="shared" si="0"/>
        <v>-2.6838713816492388E-2</v>
      </c>
      <c r="G18" s="50">
        <f t="shared" si="1"/>
        <v>8754648.2812253702</v>
      </c>
      <c r="H18" s="50">
        <f t="shared" si="2"/>
        <v>8519684.7814415153</v>
      </c>
      <c r="I18" s="117">
        <f t="shared" si="3"/>
        <v>-2.6838713816492388E-2</v>
      </c>
    </row>
    <row r="19" spans="1:9">
      <c r="A19" s="106"/>
      <c r="B19" s="118" t="s">
        <v>59</v>
      </c>
      <c r="C19" s="119">
        <f>RP!I19</f>
        <v>101.60950726820184</v>
      </c>
      <c r="D19" s="120">
        <v>8137519.4161804803</v>
      </c>
      <c r="E19" s="121">
        <f>RP!F19</f>
        <v>8360447.5665436732</v>
      </c>
      <c r="F19" s="122">
        <f t="shared" si="0"/>
        <v>2.7395099042089699E-2</v>
      </c>
      <c r="G19" s="54">
        <f t="shared" si="1"/>
        <v>8137519.4161804803</v>
      </c>
      <c r="H19" s="54">
        <f t="shared" si="2"/>
        <v>8360447.5665436732</v>
      </c>
      <c r="I19" s="123">
        <f t="shared" si="3"/>
        <v>2.7395099042089699E-2</v>
      </c>
    </row>
    <row r="20" spans="1:9">
      <c r="A20" s="106"/>
      <c r="B20" s="112" t="s">
        <v>60</v>
      </c>
      <c r="C20" s="113">
        <f>RP!I20</f>
        <v>103.92610958217234</v>
      </c>
      <c r="D20" s="114">
        <v>2341676.5899483901</v>
      </c>
      <c r="E20" s="115">
        <f>RP!F20</f>
        <v>2386255.1652582302</v>
      </c>
      <c r="F20" s="116">
        <f t="shared" si="0"/>
        <v>1.903703333807627E-2</v>
      </c>
      <c r="G20" s="50">
        <f t="shared" si="1"/>
        <v>2341676.5899483901</v>
      </c>
      <c r="H20" s="50">
        <f t="shared" si="2"/>
        <v>2386255.1652582302</v>
      </c>
      <c r="I20" s="117">
        <f t="shared" si="3"/>
        <v>1.903703333807627E-2</v>
      </c>
    </row>
    <row r="21" spans="1:9">
      <c r="A21" s="106"/>
      <c r="B21" s="118" t="s">
        <v>61</v>
      </c>
      <c r="C21" s="119">
        <f>RP!I21</f>
        <v>84.819979883786871</v>
      </c>
      <c r="D21" s="120">
        <v>1295854.8424708</v>
      </c>
      <c r="E21" s="121">
        <f>RP!F21</f>
        <v>1354692.9800766367</v>
      </c>
      <c r="F21" s="122">
        <f t="shared" si="0"/>
        <v>4.5404883075985669E-2</v>
      </c>
      <c r="G21" s="54" t="str">
        <f t="shared" si="1"/>
        <v/>
      </c>
      <c r="H21" s="54" t="str">
        <f t="shared" si="2"/>
        <v/>
      </c>
      <c r="I21" s="123" t="str">
        <f t="shared" si="3"/>
        <v/>
      </c>
    </row>
    <row r="22" spans="1:9">
      <c r="A22" s="106"/>
      <c r="B22" s="112" t="s">
        <v>62</v>
      </c>
      <c r="C22" s="113">
        <f>RP!I22</f>
        <v>84.003635102335252</v>
      </c>
      <c r="D22" s="114">
        <v>392875.78034372098</v>
      </c>
      <c r="E22" s="115">
        <f>RP!F22</f>
        <v>395189.05766692763</v>
      </c>
      <c r="F22" s="116">
        <f t="shared" si="0"/>
        <v>5.8880629423956332E-3</v>
      </c>
      <c r="G22" s="50" t="str">
        <f t="shared" si="1"/>
        <v/>
      </c>
      <c r="H22" s="50" t="str">
        <f t="shared" si="2"/>
        <v/>
      </c>
      <c r="I22" s="117" t="str">
        <f t="shared" si="3"/>
        <v/>
      </c>
    </row>
    <row r="23" spans="1:9">
      <c r="A23" s="106"/>
      <c r="B23" s="118" t="s">
        <v>63</v>
      </c>
      <c r="C23" s="119">
        <f>RP!I23</f>
        <v>79.481680272864352</v>
      </c>
      <c r="D23" s="120">
        <v>11243215.975257499</v>
      </c>
      <c r="E23" s="121">
        <f>RP!F23</f>
        <v>11438476.499008</v>
      </c>
      <c r="F23" s="122">
        <f t="shared" si="0"/>
        <v>1.7366963703285831E-2</v>
      </c>
      <c r="G23" s="54" t="str">
        <f t="shared" si="1"/>
        <v/>
      </c>
      <c r="H23" s="54" t="str">
        <f t="shared" si="2"/>
        <v/>
      </c>
      <c r="I23" s="123" t="str">
        <f t="shared" si="3"/>
        <v/>
      </c>
    </row>
    <row r="24" spans="1:9">
      <c r="A24" s="106"/>
      <c r="B24" s="112" t="s">
        <v>64</v>
      </c>
      <c r="C24" s="113">
        <f>RP!I24</f>
        <v>84.384861718324359</v>
      </c>
      <c r="D24" s="114">
        <v>4784537.1484794701</v>
      </c>
      <c r="E24" s="115">
        <f>RP!F24</f>
        <v>4981298.9978407398</v>
      </c>
      <c r="F24" s="116">
        <f t="shared" si="0"/>
        <v>4.1124531643317086E-2</v>
      </c>
      <c r="G24" s="50" t="str">
        <f t="shared" si="1"/>
        <v/>
      </c>
      <c r="H24" s="50" t="str">
        <f t="shared" si="2"/>
        <v/>
      </c>
      <c r="I24" s="117" t="str">
        <f t="shared" si="3"/>
        <v/>
      </c>
    </row>
    <row r="25" spans="1:9">
      <c r="A25" s="106"/>
      <c r="B25" s="118" t="s">
        <v>65</v>
      </c>
      <c r="C25" s="119">
        <f>RP!I25</f>
        <v>89.111090147798762</v>
      </c>
      <c r="D25" s="120">
        <v>15798605.829623001</v>
      </c>
      <c r="E25" s="121">
        <f>RP!F25</f>
        <v>16132902.636602201</v>
      </c>
      <c r="F25" s="122">
        <f t="shared" si="0"/>
        <v>2.1159892878166442E-2</v>
      </c>
      <c r="G25" s="54" t="str">
        <f t="shared" si="1"/>
        <v/>
      </c>
      <c r="H25" s="54" t="str">
        <f t="shared" si="2"/>
        <v/>
      </c>
      <c r="I25" s="123" t="str">
        <f t="shared" si="3"/>
        <v/>
      </c>
    </row>
    <row r="26" spans="1:9">
      <c r="A26" s="106"/>
      <c r="B26" s="112" t="s">
        <v>66</v>
      </c>
      <c r="C26" s="113">
        <f>RP!I26</f>
        <v>78.045376664435096</v>
      </c>
      <c r="D26" s="114">
        <v>5662754.9985044301</v>
      </c>
      <c r="E26" s="115">
        <f>RP!F26</f>
        <v>5779341.300057319</v>
      </c>
      <c r="F26" s="116">
        <f t="shared" si="0"/>
        <v>2.0588265178995035E-2</v>
      </c>
      <c r="G26" s="50" t="str">
        <f t="shared" si="1"/>
        <v/>
      </c>
      <c r="H26" s="50" t="str">
        <f t="shared" si="2"/>
        <v/>
      </c>
      <c r="I26" s="117" t="str">
        <f t="shared" si="3"/>
        <v/>
      </c>
    </row>
    <row r="27" spans="1:9">
      <c r="A27" s="106"/>
      <c r="B27" s="118" t="s">
        <v>67</v>
      </c>
      <c r="C27" s="119">
        <f>RP!I27</f>
        <v>100.77450060563903</v>
      </c>
      <c r="D27" s="120">
        <v>10172636.396899801</v>
      </c>
      <c r="E27" s="121">
        <f>RP!F27</f>
        <v>10221495.106382357</v>
      </c>
      <c r="F27" s="122">
        <f t="shared" si="0"/>
        <v>4.8029544727898887E-3</v>
      </c>
      <c r="G27" s="54">
        <f t="shared" si="1"/>
        <v>10172636.396899801</v>
      </c>
      <c r="H27" s="54">
        <f t="shared" si="2"/>
        <v>10221495.106382357</v>
      </c>
      <c r="I27" s="123">
        <f t="shared" si="3"/>
        <v>4.8029544727898887E-3</v>
      </c>
    </row>
    <row r="28" spans="1:9">
      <c r="A28" s="106"/>
      <c r="B28" s="112" t="s">
        <v>68</v>
      </c>
      <c r="C28" s="113">
        <f>RP!I28</f>
        <v>108.40947306887134</v>
      </c>
      <c r="D28" s="114">
        <v>22942495.138265301</v>
      </c>
      <c r="E28" s="115">
        <f>RP!F28</f>
        <v>23178493.355055835</v>
      </c>
      <c r="F28" s="116">
        <f t="shared" si="0"/>
        <v>1.0286510484943667E-2</v>
      </c>
      <c r="G28" s="50">
        <f t="shared" si="1"/>
        <v>22942495.138265301</v>
      </c>
      <c r="H28" s="50">
        <f t="shared" si="2"/>
        <v>23178493.355055835</v>
      </c>
      <c r="I28" s="117">
        <f t="shared" si="3"/>
        <v>1.0286510484943667E-2</v>
      </c>
    </row>
    <row r="29" spans="1:9">
      <c r="A29" s="106"/>
      <c r="B29" s="118" t="s">
        <v>69</v>
      </c>
      <c r="C29" s="119">
        <f>RP!I29</f>
        <v>70.431939836149894</v>
      </c>
      <c r="D29" s="120">
        <v>6280146.4995812904</v>
      </c>
      <c r="E29" s="121">
        <f>RP!F29</f>
        <v>6527088.6600920139</v>
      </c>
      <c r="F29" s="122">
        <f t="shared" si="0"/>
        <v>3.9321082800725771E-2</v>
      </c>
      <c r="G29" s="54" t="str">
        <f t="shared" si="1"/>
        <v/>
      </c>
      <c r="H29" s="54" t="str">
        <f t="shared" si="2"/>
        <v/>
      </c>
      <c r="I29" s="123" t="str">
        <f t="shared" si="3"/>
        <v/>
      </c>
    </row>
    <row r="30" spans="1:9">
      <c r="A30" s="106"/>
      <c r="B30" s="112" t="s">
        <v>70</v>
      </c>
      <c r="C30" s="113">
        <f>RP!I30</f>
        <v>90.222354139836298</v>
      </c>
      <c r="D30" s="114">
        <v>4861728.2562095299</v>
      </c>
      <c r="E30" s="115">
        <f>RP!F30</f>
        <v>4709885.4659601999</v>
      </c>
      <c r="F30" s="116">
        <f t="shared" si="0"/>
        <v>-3.1232266027084621E-2</v>
      </c>
      <c r="G30" s="50" t="str">
        <f t="shared" si="1"/>
        <v/>
      </c>
      <c r="H30" s="50" t="str">
        <f t="shared" si="2"/>
        <v/>
      </c>
      <c r="I30" s="117" t="str">
        <f t="shared" si="3"/>
        <v/>
      </c>
    </row>
    <row r="31" spans="1:9">
      <c r="A31" s="106"/>
      <c r="B31" s="118" t="s">
        <v>71</v>
      </c>
      <c r="C31" s="119">
        <f>RP!I31</f>
        <v>147.02785757239084</v>
      </c>
      <c r="D31" s="120">
        <v>20075146.115346201</v>
      </c>
      <c r="E31" s="121">
        <f>RP!F31</f>
        <v>20237483.327535804</v>
      </c>
      <c r="F31" s="122">
        <f t="shared" si="0"/>
        <v>8.0864772419020348E-3</v>
      </c>
      <c r="G31" s="54">
        <f t="shared" si="1"/>
        <v>20075146.115346201</v>
      </c>
      <c r="H31" s="54">
        <f t="shared" si="2"/>
        <v>20237483.327535804</v>
      </c>
      <c r="I31" s="123">
        <f t="shared" si="3"/>
        <v>8.0864772419020348E-3</v>
      </c>
    </row>
    <row r="32" spans="1:9">
      <c r="A32" s="124"/>
      <c r="B32" s="125" t="s">
        <v>72</v>
      </c>
      <c r="C32" s="126">
        <f>RP!I32</f>
        <v>62.536669396234188</v>
      </c>
      <c r="D32" s="127">
        <v>1305483.0446347201</v>
      </c>
      <c r="E32" s="128">
        <f>RP!F32</f>
        <v>1304397.1235931434</v>
      </c>
      <c r="F32" s="129">
        <f t="shared" si="0"/>
        <v>-8.3181550770772272E-4</v>
      </c>
      <c r="G32" s="130" t="str">
        <f t="shared" si="1"/>
        <v/>
      </c>
      <c r="H32" s="130" t="str">
        <f t="shared" si="2"/>
        <v/>
      </c>
      <c r="I32" s="131" t="str">
        <f t="shared" si="3"/>
        <v/>
      </c>
    </row>
    <row r="33" spans="1:9">
      <c r="B33" s="57" t="s">
        <v>73</v>
      </c>
      <c r="C33" s="132">
        <f>RP!I33</f>
        <v>100</v>
      </c>
      <c r="D33" s="133">
        <f>SUM(D7:D32)</f>
        <v>234242983.24097204</v>
      </c>
      <c r="E33" s="134">
        <f>SUM(E7:E32)</f>
        <v>236753932.64904711</v>
      </c>
      <c r="F33" s="135">
        <f t="shared" si="0"/>
        <v>1.0719422086133523E-2</v>
      </c>
      <c r="G33" s="58">
        <f>SUM(G7:G32)</f>
        <v>137701277.33389279</v>
      </c>
      <c r="H33" s="58">
        <f>SUM(H7:H32)</f>
        <v>138411089.84312949</v>
      </c>
      <c r="I33" s="136">
        <f>IF(H33&gt;0,H33/G33-1,0)</f>
        <v>5.1547271236676018E-3</v>
      </c>
    </row>
    <row r="34" spans="1:9">
      <c r="A34" s="137"/>
      <c r="B34" s="29"/>
      <c r="C34" s="29"/>
      <c r="D34" s="29"/>
    </row>
    <row r="35" spans="1:9">
      <c r="B35" s="29"/>
      <c r="C35" s="29"/>
      <c r="D35" s="29"/>
    </row>
  </sheetData>
  <mergeCells count="4">
    <mergeCell ref="B1:G1"/>
    <mergeCell ref="C4:C5"/>
    <mergeCell ref="G4:I4"/>
    <mergeCell ref="D4:F4"/>
  </mergeCells>
  <conditionalFormatting sqref="G5:H5 D5:E5 C33 D7:E33">
    <cfRule type="expression" dxfId="5" priority="1" stopIfTrue="1">
      <formula>ISBLANK(C5)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>
    <oddHeader>&amp;L&amp;F&amp;R&amp;A</oddHeader>
    <oddFooter>&amp;CSeite &amp;P von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4">
    <pageSetUpPr fitToPage="1"/>
  </sheetPr>
  <dimension ref="A1:H32"/>
  <sheetViews>
    <sheetView showGridLines="0" workbookViewId="0">
      <selection activeCell="A27" sqref="A27:XFD27"/>
    </sheetView>
  </sheetViews>
  <sheetFormatPr baseColWidth="10" defaultColWidth="11.42578125" defaultRowHeight="12.75"/>
  <cols>
    <col min="1" max="1" width="1.7109375" style="1" customWidth="1"/>
    <col min="2" max="2" width="32" style="1" customWidth="1"/>
    <col min="3" max="3" width="15.85546875" style="1" customWidth="1"/>
    <col min="4" max="4" width="19" style="1" customWidth="1"/>
    <col min="5" max="5" width="17.140625" style="1" customWidth="1"/>
    <col min="6" max="6" width="14.5703125" style="1" customWidth="1"/>
    <col min="7" max="7" width="16.28515625" style="1" customWidth="1"/>
    <col min="8" max="8" width="6.140625" style="1" customWidth="1"/>
  </cols>
  <sheetData>
    <row r="1" spans="2:8" ht="18" customHeight="1">
      <c r="B1" s="138" t="str">
        <f>"Fortschreibung der Dotationen im Ressourcenausgleich "&amp;G4</f>
        <v>Fortschreibung der Dotationen im Ressourcenausgleich 2014</v>
      </c>
    </row>
    <row r="2" spans="2:8">
      <c r="B2" s="139" t="s">
        <v>80</v>
      </c>
      <c r="H2" s="29"/>
    </row>
    <row r="3" spans="2:8">
      <c r="G3" s="17" t="str">
        <f>Info!C28</f>
        <v>FA_2014_20130902</v>
      </c>
      <c r="H3" s="29"/>
    </row>
    <row r="4" spans="2:8" ht="24.75" customHeight="1">
      <c r="B4" s="140" t="s">
        <v>81</v>
      </c>
      <c r="C4" s="141">
        <f>G4-1</f>
        <v>2013</v>
      </c>
      <c r="D4" s="142" t="s">
        <v>82</v>
      </c>
      <c r="E4" s="143" t="s">
        <v>83</v>
      </c>
      <c r="F4" s="143" t="s">
        <v>84</v>
      </c>
      <c r="G4" s="144">
        <f>Info!C30</f>
        <v>2014</v>
      </c>
      <c r="H4" s="29"/>
    </row>
    <row r="5" spans="2:8">
      <c r="B5" s="42" t="s">
        <v>85</v>
      </c>
      <c r="C5" s="43">
        <v>2196465268.5748901</v>
      </c>
      <c r="D5" s="145">
        <f>Wachstum_RP!F33</f>
        <v>1.0719422086133523E-2</v>
      </c>
      <c r="E5" s="45">
        <f>C5*(1+D5)</f>
        <v>2220010106.8862772</v>
      </c>
      <c r="F5" s="43">
        <v>0</v>
      </c>
      <c r="G5" s="146">
        <f>E5+F5</f>
        <v>2220010106.8862772</v>
      </c>
      <c r="H5" s="29"/>
    </row>
    <row r="6" spans="2:8">
      <c r="B6" s="96" t="s">
        <v>86</v>
      </c>
      <c r="C6" s="147">
        <v>1500218846.1758101</v>
      </c>
      <c r="D6" s="148">
        <f>Wachstum_RP!I33</f>
        <v>5.1547271236676018E-3</v>
      </c>
      <c r="E6" s="149">
        <f>C6*(1+D6)</f>
        <v>1507952064.95363</v>
      </c>
      <c r="F6" s="147">
        <v>0</v>
      </c>
      <c r="G6" s="150">
        <f>E6+F6</f>
        <v>1507952064.95363</v>
      </c>
      <c r="H6" s="29"/>
    </row>
    <row r="7" spans="2:8">
      <c r="B7" s="95"/>
      <c r="C7" s="29"/>
      <c r="D7" s="29"/>
      <c r="H7" s="29"/>
    </row>
    <row r="10" spans="2:8">
      <c r="E10" s="151"/>
    </row>
    <row r="11" spans="2:8">
      <c r="B11" s="139"/>
      <c r="C11" s="152"/>
      <c r="D11" s="152"/>
      <c r="E11" s="151"/>
      <c r="F11" s="153"/>
      <c r="G11" s="153"/>
    </row>
    <row r="12" spans="2:8">
      <c r="B12" s="140" t="s">
        <v>87</v>
      </c>
      <c r="C12" s="154">
        <f>C4</f>
        <v>2013</v>
      </c>
      <c r="D12" s="155">
        <f>G4</f>
        <v>2014</v>
      </c>
      <c r="E12" s="151"/>
      <c r="F12" s="153"/>
      <c r="G12" s="153"/>
    </row>
    <row r="13" spans="2:8">
      <c r="B13" s="118" t="s">
        <v>88</v>
      </c>
      <c r="C13" s="54">
        <f>0.8*C$5</f>
        <v>1757172214.8599122</v>
      </c>
      <c r="D13" s="91">
        <f>0.8*G5</f>
        <v>1776008085.5090218</v>
      </c>
      <c r="E13" s="151"/>
      <c r="F13" s="153"/>
      <c r="G13" s="153"/>
    </row>
    <row r="14" spans="2:8">
      <c r="B14" s="156" t="s">
        <v>89</v>
      </c>
      <c r="C14" s="157">
        <f>C6/C5</f>
        <v>0.68301505497930393</v>
      </c>
      <c r="D14" s="158">
        <f>G6/G5</f>
        <v>0.67925459450661718</v>
      </c>
    </row>
    <row r="15" spans="2:8">
      <c r="B15" s="96" t="s">
        <v>90</v>
      </c>
      <c r="C15" s="149">
        <f>(2/3)*C$5</f>
        <v>1464310179.0499268</v>
      </c>
      <c r="D15" s="159">
        <f>(2/3)*G5</f>
        <v>1480006737.9241848</v>
      </c>
    </row>
    <row r="16" spans="2:8">
      <c r="B16" s="160" t="s">
        <v>91</v>
      </c>
    </row>
    <row r="17" spans="2:4">
      <c r="B17" s="161" t="s">
        <v>92</v>
      </c>
    </row>
    <row r="22" spans="2:4">
      <c r="B22" s="139"/>
    </row>
    <row r="23" spans="2:4" ht="15.75" customHeight="1">
      <c r="B23" s="162" t="str">
        <f>"Dotationen "&amp;G4</f>
        <v>Dotationen 2014</v>
      </c>
      <c r="C23" s="163"/>
      <c r="D23" s="164"/>
    </row>
    <row r="24" spans="2:4" ht="15.75" customHeight="1">
      <c r="B24" s="165" t="s">
        <v>85</v>
      </c>
      <c r="C24" s="166"/>
      <c r="D24" s="167">
        <f>G5</f>
        <v>2220010106.8862772</v>
      </c>
    </row>
    <row r="25" spans="2:4" ht="15.75" customHeight="1">
      <c r="B25" s="165" t="s">
        <v>86</v>
      </c>
      <c r="C25" s="166"/>
      <c r="D25" s="167">
        <f>IF(G6&gt;D13,D13,IF(G6&lt;D15,D15,G6))</f>
        <v>1507952064.95363</v>
      </c>
    </row>
    <row r="26" spans="2:4" ht="20.25" customHeight="1">
      <c r="B26" s="168" t="s">
        <v>93</v>
      </c>
      <c r="C26" s="169"/>
      <c r="D26" s="170">
        <f>D24+D25</f>
        <v>3727962171.8399072</v>
      </c>
    </row>
    <row r="27" spans="2:4" ht="25.5" customHeight="1"/>
    <row r="28" spans="2:4">
      <c r="B28" s="310" t="str">
        <f>"Effektive Wachstumsraten* "&amp;C4&amp;"-"&amp;G4</f>
        <v>Effektive Wachstumsraten* 2013-2014</v>
      </c>
      <c r="C28" s="311"/>
    </row>
    <row r="29" spans="2:4">
      <c r="B29" s="171" t="s">
        <v>85</v>
      </c>
      <c r="C29" s="111">
        <f>D24/C5-1</f>
        <v>1.0719422086133523E-2</v>
      </c>
    </row>
    <row r="30" spans="2:4">
      <c r="B30" s="172" t="s">
        <v>86</v>
      </c>
      <c r="C30" s="173">
        <f>D25/C6-1</f>
        <v>5.1547271236676018E-3</v>
      </c>
    </row>
    <row r="31" spans="2:4" ht="17.25" customHeight="1">
      <c r="B31" s="174" t="s">
        <v>94</v>
      </c>
      <c r="C31" s="175">
        <f>D26/(C5+C6)-1</f>
        <v>8.4611116661008623E-3</v>
      </c>
    </row>
    <row r="32" spans="2:4">
      <c r="B32" s="65" t="s">
        <v>95</v>
      </c>
    </row>
  </sheetData>
  <mergeCells count="1">
    <mergeCell ref="B28:C28"/>
  </mergeCells>
  <conditionalFormatting sqref="C5:C6 F5:F6">
    <cfRule type="expression" dxfId="4" priority="1" stopIfTrue="1">
      <formula>ISBLANK(C5)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>
    <oddHeader>&amp;L&amp;F&amp;R&amp;A</oddHeader>
    <oddFooter>&amp;CSeite &amp;P von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5">
    <tabColor indexed="13"/>
    <pageSetUpPr fitToPage="1"/>
  </sheetPr>
  <dimension ref="A1:F33"/>
  <sheetViews>
    <sheetView showGridLines="0" workbookViewId="0">
      <selection activeCell="A3" sqref="A3"/>
    </sheetView>
  </sheetViews>
  <sheetFormatPr baseColWidth="10" defaultColWidth="11.42578125" defaultRowHeight="12.75"/>
  <cols>
    <col min="1" max="1" width="16.5703125" style="1" customWidth="1"/>
    <col min="2" max="2" width="11.7109375" style="1" customWidth="1"/>
    <col min="3" max="3" width="14.28515625" style="1" customWidth="1"/>
    <col min="4" max="4" width="15.42578125" style="1" customWidth="1"/>
    <col min="5" max="5" width="17.7109375" style="1" customWidth="1"/>
    <col min="6" max="6" width="13" style="1" customWidth="1"/>
  </cols>
  <sheetData>
    <row r="1" spans="1:6" ht="26.25" customHeight="1">
      <c r="A1" s="302" t="str">
        <f>"Einzahlungen der ressourcenstarken Kantone "&amp;Info!C30</f>
        <v>Einzahlungen der ressourcenstarken Kantone 2014</v>
      </c>
      <c r="B1" s="302"/>
      <c r="C1" s="302"/>
      <c r="D1" s="302"/>
      <c r="E1" s="302"/>
      <c r="F1" s="302"/>
    </row>
    <row r="2" spans="1:6" ht="18.75" customHeight="1">
      <c r="F2" s="17" t="str">
        <f>Info!$C$28</f>
        <v>FA_2014_20130902</v>
      </c>
    </row>
    <row r="3" spans="1:6" s="1" customFormat="1">
      <c r="A3" s="62" t="s">
        <v>27</v>
      </c>
      <c r="B3" s="176" t="s">
        <v>96</v>
      </c>
      <c r="C3" s="63" t="s">
        <v>28</v>
      </c>
      <c r="D3" s="63" t="s">
        <v>29</v>
      </c>
      <c r="E3" s="63" t="s">
        <v>30</v>
      </c>
      <c r="F3" s="64" t="s">
        <v>31</v>
      </c>
    </row>
    <row r="4" spans="1:6" s="65" customFormat="1" ht="11.25" customHeight="1">
      <c r="A4" s="177" t="s">
        <v>35</v>
      </c>
      <c r="B4" s="178"/>
      <c r="C4" s="179"/>
      <c r="D4" s="179" t="s">
        <v>97</v>
      </c>
      <c r="E4" s="179" t="s">
        <v>98</v>
      </c>
      <c r="F4" s="180" t="s">
        <v>99</v>
      </c>
    </row>
    <row r="5" spans="1:6" ht="42.75" customHeight="1">
      <c r="A5" s="181"/>
      <c r="B5" s="182" t="s">
        <v>100</v>
      </c>
      <c r="C5" s="182" t="s">
        <v>101</v>
      </c>
      <c r="D5" s="183" t="s">
        <v>102</v>
      </c>
      <c r="E5" s="183" t="s">
        <v>103</v>
      </c>
      <c r="F5" s="184" t="s">
        <v>104</v>
      </c>
    </row>
    <row r="6" spans="1:6" s="185" customFormat="1">
      <c r="A6" s="39" t="s">
        <v>43</v>
      </c>
      <c r="B6" s="186" t="s">
        <v>78</v>
      </c>
      <c r="C6" s="40" t="s">
        <v>105</v>
      </c>
      <c r="D6" s="40"/>
      <c r="E6" s="40" t="s">
        <v>46</v>
      </c>
      <c r="F6" s="41" t="s">
        <v>46</v>
      </c>
    </row>
    <row r="7" spans="1:6" s="77" customFormat="1" ht="15" customHeight="1">
      <c r="A7" s="187" t="s">
        <v>47</v>
      </c>
      <c r="B7" s="188">
        <f>RP!I7</f>
        <v>117.65226099207595</v>
      </c>
      <c r="C7" s="189">
        <f>RP!G7</f>
        <v>1365944.3333333333</v>
      </c>
      <c r="D7" s="190">
        <f t="shared" ref="D7:D32" si="0">IF(B7&gt;100,(B7-100)*C7,0)</f>
        <v>24112005.872647189</v>
      </c>
      <c r="E7" s="190">
        <f t="shared" ref="E7:E32" si="1">IF(B7&gt;100,A/$D$33*(B7-100),0)</f>
        <v>306.95802069023654</v>
      </c>
      <c r="F7" s="191">
        <f t="shared" ref="F7:F32" si="2">E7*C7</f>
        <v>419287568.93304467</v>
      </c>
    </row>
    <row r="8" spans="1:6" s="77" customFormat="1" ht="15" customHeight="1">
      <c r="A8" s="192" t="s">
        <v>48</v>
      </c>
      <c r="B8" s="193">
        <f>RP!I8</f>
        <v>74.478151251992514</v>
      </c>
      <c r="C8" s="194">
        <f>RP!G8</f>
        <v>979199.33333333337</v>
      </c>
      <c r="D8" s="195">
        <f t="shared" si="0"/>
        <v>0</v>
      </c>
      <c r="E8" s="195">
        <f t="shared" si="1"/>
        <v>0</v>
      </c>
      <c r="F8" s="196">
        <f t="shared" si="2"/>
        <v>0</v>
      </c>
    </row>
    <row r="9" spans="1:6" s="77" customFormat="1" ht="15" customHeight="1">
      <c r="A9" s="187" t="s">
        <v>49</v>
      </c>
      <c r="B9" s="188">
        <f>RP!I9</f>
        <v>78.892352487649362</v>
      </c>
      <c r="C9" s="189">
        <f>RP!G9</f>
        <v>370837</v>
      </c>
      <c r="D9" s="190">
        <f t="shared" si="0"/>
        <v>0</v>
      </c>
      <c r="E9" s="190">
        <f t="shared" si="1"/>
        <v>0</v>
      </c>
      <c r="F9" s="191">
        <f t="shared" si="2"/>
        <v>0</v>
      </c>
    </row>
    <row r="10" spans="1:6" s="77" customFormat="1" ht="15" customHeight="1">
      <c r="A10" s="192" t="s">
        <v>50</v>
      </c>
      <c r="B10" s="193">
        <f>RP!I10</f>
        <v>61.204502918292746</v>
      </c>
      <c r="C10" s="194">
        <f>RP!G10</f>
        <v>34723.333333333336</v>
      </c>
      <c r="D10" s="195">
        <f t="shared" si="0"/>
        <v>0</v>
      </c>
      <c r="E10" s="195">
        <f t="shared" si="1"/>
        <v>0</v>
      </c>
      <c r="F10" s="196">
        <f t="shared" si="2"/>
        <v>0</v>
      </c>
    </row>
    <row r="11" spans="1:6" s="77" customFormat="1" ht="15" customHeight="1">
      <c r="A11" s="187" t="s">
        <v>51</v>
      </c>
      <c r="B11" s="188">
        <f>RP!I11</f>
        <v>158.85894290116224</v>
      </c>
      <c r="C11" s="189">
        <f>RP!G11</f>
        <v>143647</v>
      </c>
      <c r="D11" s="190">
        <f t="shared" si="0"/>
        <v>8454910.570923252</v>
      </c>
      <c r="E11" s="190">
        <f t="shared" si="1"/>
        <v>1023.5076753607219</v>
      </c>
      <c r="F11" s="191">
        <f t="shared" si="2"/>
        <v>147023807.04254162</v>
      </c>
    </row>
    <row r="12" spans="1:6" s="77" customFormat="1" ht="15" customHeight="1">
      <c r="A12" s="192" t="s">
        <v>52</v>
      </c>
      <c r="B12" s="193">
        <f>RP!I12</f>
        <v>84.968270635495685</v>
      </c>
      <c r="C12" s="194">
        <f>RP!G12</f>
        <v>34668.666666666664</v>
      </c>
      <c r="D12" s="195">
        <f t="shared" si="0"/>
        <v>0</v>
      </c>
      <c r="E12" s="195">
        <f t="shared" si="1"/>
        <v>0</v>
      </c>
      <c r="F12" s="196">
        <f t="shared" si="2"/>
        <v>0</v>
      </c>
    </row>
    <row r="13" spans="1:6" s="77" customFormat="1" ht="15" customHeight="1">
      <c r="A13" s="187" t="s">
        <v>53</v>
      </c>
      <c r="B13" s="188">
        <f>RP!I13</f>
        <v>127.27429475285123</v>
      </c>
      <c r="C13" s="189">
        <f>RP!G13</f>
        <v>40105</v>
      </c>
      <c r="D13" s="190">
        <f t="shared" si="0"/>
        <v>1093835.5910630987</v>
      </c>
      <c r="E13" s="190">
        <f t="shared" si="1"/>
        <v>474.27712160020258</v>
      </c>
      <c r="F13" s="191">
        <f t="shared" si="2"/>
        <v>19020883.961776126</v>
      </c>
    </row>
    <row r="14" spans="1:6" s="77" customFormat="1" ht="15" customHeight="1">
      <c r="A14" s="192" t="s">
        <v>54</v>
      </c>
      <c r="B14" s="193">
        <f>RP!I14</f>
        <v>68.41257314665576</v>
      </c>
      <c r="C14" s="194">
        <f>RP!G14</f>
        <v>38290.666666666664</v>
      </c>
      <c r="D14" s="195">
        <f t="shared" si="0"/>
        <v>0</v>
      </c>
      <c r="E14" s="195">
        <f t="shared" si="1"/>
        <v>0</v>
      </c>
      <c r="F14" s="196">
        <f t="shared" si="2"/>
        <v>0</v>
      </c>
    </row>
    <row r="15" spans="1:6" s="77" customFormat="1" ht="15" customHeight="1">
      <c r="A15" s="187" t="s">
        <v>55</v>
      </c>
      <c r="B15" s="188">
        <f>RP!I15</f>
        <v>243.75410601996953</v>
      </c>
      <c r="C15" s="189">
        <f>RP!G15</f>
        <v>111153</v>
      </c>
      <c r="D15" s="190">
        <f t="shared" si="0"/>
        <v>15978700.146437673</v>
      </c>
      <c r="E15" s="190">
        <f t="shared" si="1"/>
        <v>2499.7633940373139</v>
      </c>
      <c r="F15" s="191">
        <f t="shared" si="2"/>
        <v>277856200.53742957</v>
      </c>
    </row>
    <row r="16" spans="1:6" s="77" customFormat="1" ht="15" customHeight="1">
      <c r="A16" s="192" t="s">
        <v>56</v>
      </c>
      <c r="B16" s="193">
        <f>RP!I16</f>
        <v>75.485164555237318</v>
      </c>
      <c r="C16" s="194">
        <f>RP!G16</f>
        <v>273758.66666666669</v>
      </c>
      <c r="D16" s="195">
        <f t="shared" si="0"/>
        <v>0</v>
      </c>
      <c r="E16" s="195">
        <f t="shared" si="1"/>
        <v>0</v>
      </c>
      <c r="F16" s="196">
        <f t="shared" si="2"/>
        <v>0</v>
      </c>
    </row>
    <row r="17" spans="1:6" s="77" customFormat="1" ht="15" customHeight="1">
      <c r="A17" s="187" t="s">
        <v>57</v>
      </c>
      <c r="B17" s="188">
        <f>RP!I17</f>
        <v>79.441818157777348</v>
      </c>
      <c r="C17" s="189">
        <f>RP!G17</f>
        <v>252014.33333333334</v>
      </c>
      <c r="D17" s="190">
        <f t="shared" si="0"/>
        <v>0</v>
      </c>
      <c r="E17" s="190">
        <f t="shared" si="1"/>
        <v>0</v>
      </c>
      <c r="F17" s="191">
        <f t="shared" si="2"/>
        <v>0</v>
      </c>
    </row>
    <row r="18" spans="1:6" s="77" customFormat="1" ht="15" customHeight="1">
      <c r="A18" s="192" t="s">
        <v>58</v>
      </c>
      <c r="B18" s="193">
        <f>RP!I18</f>
        <v>146.07030383237625</v>
      </c>
      <c r="C18" s="194">
        <f>RP!G18</f>
        <v>192075.33333333334</v>
      </c>
      <c r="D18" s="195">
        <f t="shared" si="0"/>
        <v>8848968.9653716143</v>
      </c>
      <c r="E18" s="195">
        <f t="shared" si="1"/>
        <v>801.1239627225192</v>
      </c>
      <c r="F18" s="196">
        <f t="shared" si="2"/>
        <v>153876152.18124878</v>
      </c>
    </row>
    <row r="19" spans="1:6" s="77" customFormat="1" ht="15" customHeight="1">
      <c r="A19" s="187" t="s">
        <v>59</v>
      </c>
      <c r="B19" s="188">
        <f>RP!I19</f>
        <v>101.60950726820184</v>
      </c>
      <c r="C19" s="189">
        <f>RP!G19</f>
        <v>270960</v>
      </c>
      <c r="D19" s="190">
        <f t="shared" si="0"/>
        <v>436112.08939197013</v>
      </c>
      <c r="E19" s="190">
        <f t="shared" si="1"/>
        <v>27.987982137560966</v>
      </c>
      <c r="F19" s="191">
        <f t="shared" si="2"/>
        <v>7583623.6399935195</v>
      </c>
    </row>
    <row r="20" spans="1:6" s="77" customFormat="1" ht="15" customHeight="1">
      <c r="A20" s="192" t="s">
        <v>60</v>
      </c>
      <c r="B20" s="193">
        <f>RP!I20</f>
        <v>103.92610958217234</v>
      </c>
      <c r="C20" s="194">
        <f>RP!G20</f>
        <v>75614</v>
      </c>
      <c r="D20" s="195">
        <f t="shared" si="0"/>
        <v>296868.84994637966</v>
      </c>
      <c r="E20" s="195">
        <f t="shared" si="1"/>
        <v>68.271754360395136</v>
      </c>
      <c r="F20" s="196">
        <f t="shared" si="2"/>
        <v>5162300.4342069179</v>
      </c>
    </row>
    <row r="21" spans="1:6" s="77" customFormat="1" ht="15" customHeight="1">
      <c r="A21" s="187" t="s">
        <v>61</v>
      </c>
      <c r="B21" s="188">
        <f>RP!I21</f>
        <v>84.819979883786871</v>
      </c>
      <c r="C21" s="189">
        <f>RP!G21</f>
        <v>52596</v>
      </c>
      <c r="D21" s="190">
        <f t="shared" si="0"/>
        <v>0</v>
      </c>
      <c r="E21" s="190">
        <f t="shared" si="1"/>
        <v>0</v>
      </c>
      <c r="F21" s="191">
        <f t="shared" si="2"/>
        <v>0</v>
      </c>
    </row>
    <row r="22" spans="1:6" s="77" customFormat="1" ht="15" customHeight="1">
      <c r="A22" s="192" t="s">
        <v>62</v>
      </c>
      <c r="B22" s="193">
        <f>RP!I22</f>
        <v>84.003635102335252</v>
      </c>
      <c r="C22" s="194">
        <f>RP!G22</f>
        <v>15492.333333333334</v>
      </c>
      <c r="D22" s="195">
        <f t="shared" si="0"/>
        <v>0</v>
      </c>
      <c r="E22" s="195">
        <f t="shared" si="1"/>
        <v>0</v>
      </c>
      <c r="F22" s="196">
        <f t="shared" si="2"/>
        <v>0</v>
      </c>
    </row>
    <row r="23" spans="1:6" s="77" customFormat="1" ht="15" customHeight="1">
      <c r="A23" s="187" t="s">
        <v>63</v>
      </c>
      <c r="B23" s="188">
        <f>RP!I23</f>
        <v>79.481680272864352</v>
      </c>
      <c r="C23" s="189">
        <f>RP!G23</f>
        <v>473926.66666666669</v>
      </c>
      <c r="D23" s="190">
        <f t="shared" si="0"/>
        <v>0</v>
      </c>
      <c r="E23" s="190">
        <f t="shared" si="1"/>
        <v>0</v>
      </c>
      <c r="F23" s="191">
        <f t="shared" si="2"/>
        <v>0</v>
      </c>
    </row>
    <row r="24" spans="1:6" s="77" customFormat="1" ht="15" customHeight="1">
      <c r="A24" s="192" t="s">
        <v>64</v>
      </c>
      <c r="B24" s="193">
        <f>RP!I24</f>
        <v>84.384861718324359</v>
      </c>
      <c r="C24" s="194">
        <f>RP!G24</f>
        <v>194396.33333333334</v>
      </c>
      <c r="D24" s="195">
        <f t="shared" si="0"/>
        <v>0</v>
      </c>
      <c r="E24" s="195">
        <f t="shared" si="1"/>
        <v>0</v>
      </c>
      <c r="F24" s="196">
        <f t="shared" si="2"/>
        <v>0</v>
      </c>
    </row>
    <row r="25" spans="1:6" s="77" customFormat="1" ht="15" customHeight="1">
      <c r="A25" s="187" t="s">
        <v>65</v>
      </c>
      <c r="B25" s="188">
        <f>RP!I25</f>
        <v>89.111090147798762</v>
      </c>
      <c r="C25" s="189">
        <f>RP!G25</f>
        <v>596198.33333333337</v>
      </c>
      <c r="D25" s="190">
        <f t="shared" si="0"/>
        <v>0</v>
      </c>
      <c r="E25" s="190">
        <f t="shared" si="1"/>
        <v>0</v>
      </c>
      <c r="F25" s="191">
        <f t="shared" si="2"/>
        <v>0</v>
      </c>
    </row>
    <row r="26" spans="1:6" s="77" customFormat="1" ht="15" customHeight="1">
      <c r="A26" s="192" t="s">
        <v>66</v>
      </c>
      <c r="B26" s="193">
        <f>RP!I26</f>
        <v>78.045376664435096</v>
      </c>
      <c r="C26" s="194">
        <f>RP!G26</f>
        <v>243860.33333333334</v>
      </c>
      <c r="D26" s="195">
        <f t="shared" si="0"/>
        <v>0</v>
      </c>
      <c r="E26" s="195">
        <f t="shared" si="1"/>
        <v>0</v>
      </c>
      <c r="F26" s="196">
        <f t="shared" si="2"/>
        <v>0</v>
      </c>
    </row>
    <row r="27" spans="1:6" s="77" customFormat="1" ht="15" customHeight="1">
      <c r="A27" s="187" t="s">
        <v>67</v>
      </c>
      <c r="B27" s="188">
        <f>RP!I27</f>
        <v>100.77450060563903</v>
      </c>
      <c r="C27" s="189">
        <f>RP!G27</f>
        <v>334021</v>
      </c>
      <c r="D27" s="190">
        <f t="shared" si="0"/>
        <v>258699.4667961557</v>
      </c>
      <c r="E27" s="190">
        <f t="shared" si="1"/>
        <v>13.467916265064723</v>
      </c>
      <c r="F27" s="191">
        <f t="shared" si="2"/>
        <v>4498566.858773184</v>
      </c>
    </row>
    <row r="28" spans="1:6" s="77" customFormat="1" ht="15" customHeight="1">
      <c r="A28" s="192" t="s">
        <v>68</v>
      </c>
      <c r="B28" s="193">
        <f>RP!I28</f>
        <v>108.40947306887134</v>
      </c>
      <c r="C28" s="194">
        <f>RP!G28</f>
        <v>704089.66666666663</v>
      </c>
      <c r="D28" s="195">
        <f t="shared" si="0"/>
        <v>5921023.0899039283</v>
      </c>
      <c r="E28" s="195">
        <f t="shared" si="1"/>
        <v>146.233686972301</v>
      </c>
      <c r="F28" s="196">
        <f t="shared" si="2"/>
        <v>102961627.91576508</v>
      </c>
    </row>
    <row r="29" spans="1:6" s="77" customFormat="1" ht="15" customHeight="1">
      <c r="A29" s="187" t="s">
        <v>69</v>
      </c>
      <c r="B29" s="188">
        <f>RP!I29</f>
        <v>70.431939836149894</v>
      </c>
      <c r="C29" s="189">
        <f>RP!G29</f>
        <v>305182.66666666669</v>
      </c>
      <c r="D29" s="190">
        <f t="shared" si="0"/>
        <v>0</v>
      </c>
      <c r="E29" s="190">
        <f t="shared" si="1"/>
        <v>0</v>
      </c>
      <c r="F29" s="191">
        <f t="shared" si="2"/>
        <v>0</v>
      </c>
    </row>
    <row r="30" spans="1:6" s="77" customFormat="1" ht="15" customHeight="1">
      <c r="A30" s="192" t="s">
        <v>70</v>
      </c>
      <c r="B30" s="193">
        <f>RP!I30</f>
        <v>90.222354139836298</v>
      </c>
      <c r="C30" s="194">
        <f>RP!G30</f>
        <v>171912</v>
      </c>
      <c r="D30" s="195">
        <f t="shared" si="0"/>
        <v>0</v>
      </c>
      <c r="E30" s="195">
        <f t="shared" si="1"/>
        <v>0</v>
      </c>
      <c r="F30" s="196">
        <f t="shared" si="2"/>
        <v>0</v>
      </c>
    </row>
    <row r="31" spans="1:6" s="77" customFormat="1" ht="15" customHeight="1">
      <c r="A31" s="187" t="s">
        <v>71</v>
      </c>
      <c r="B31" s="188">
        <f>RP!I31</f>
        <v>147.02785757239084</v>
      </c>
      <c r="C31" s="189">
        <f>RP!G31</f>
        <v>453280.33333333331</v>
      </c>
      <c r="D31" s="190">
        <f t="shared" si="0"/>
        <v>21316802.956365846</v>
      </c>
      <c r="E31" s="190">
        <f t="shared" si="1"/>
        <v>817.77501954018999</v>
      </c>
      <c r="F31" s="191">
        <f t="shared" si="2"/>
        <v>370681333.44885045</v>
      </c>
    </row>
    <row r="32" spans="1:6" s="77" customFormat="1" ht="15" customHeight="1">
      <c r="A32" s="192" t="s">
        <v>72</v>
      </c>
      <c r="B32" s="193">
        <f>RP!I32</f>
        <v>62.536669396234188</v>
      </c>
      <c r="C32" s="194">
        <f>RP!G32</f>
        <v>68688.666666666672</v>
      </c>
      <c r="D32" s="195">
        <f t="shared" si="0"/>
        <v>0</v>
      </c>
      <c r="E32" s="195">
        <f t="shared" si="1"/>
        <v>0</v>
      </c>
      <c r="F32" s="196">
        <f t="shared" si="2"/>
        <v>0</v>
      </c>
    </row>
    <row r="33" spans="1:6" s="77" customFormat="1" ht="15" customHeight="1">
      <c r="A33" s="197" t="s">
        <v>73</v>
      </c>
      <c r="B33" s="198">
        <f>RP!I33</f>
        <v>100</v>
      </c>
      <c r="C33" s="199">
        <f>SUM(BEV)</f>
        <v>7796634.9999999991</v>
      </c>
      <c r="D33" s="199">
        <f>SUM(D7:D32)</f>
        <v>86717927.598847106</v>
      </c>
      <c r="E33" s="199"/>
      <c r="F33" s="200">
        <f>SUM(F7:F32)</f>
        <v>1507952064.95363</v>
      </c>
    </row>
  </sheetData>
  <mergeCells count="1">
    <mergeCell ref="A1:F1"/>
  </mergeCells>
  <conditionalFormatting sqref="B33">
    <cfRule type="expression" dxfId="3" priority="1" stopIfTrue="1">
      <formula>ISBLANK(B33)</formula>
    </cfRule>
  </conditionalFormatting>
  <printOptions horizontalCentered="1"/>
  <pageMargins left="0.78740157480314965" right="0.78740157480314965" top="0.74803149606299213" bottom="0.78740157480314965" header="0.51181102362204722" footer="0.51181102362204722"/>
  <pageSetup paperSize="9" scale="94" orientation="landscape" r:id="rId1"/>
  <headerFooter>
    <oddHeader>&amp;L&amp;F&amp;R&amp;A</oddHeader>
    <oddFooter>&amp;CSeite &amp;P von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6">
    <tabColor indexed="52"/>
    <pageSetUpPr fitToPage="1"/>
  </sheetPr>
  <dimension ref="A1:L32"/>
  <sheetViews>
    <sheetView showGridLines="0" workbookViewId="0">
      <selection activeCell="A3" sqref="A3"/>
    </sheetView>
  </sheetViews>
  <sheetFormatPr baseColWidth="10" defaultColWidth="11.42578125" defaultRowHeight="12.75"/>
  <cols>
    <col min="1" max="1" width="17.28515625" style="1" customWidth="1"/>
    <col min="2" max="2" width="11.85546875" style="1" customWidth="1"/>
    <col min="3" max="3" width="13.5703125" style="1" customWidth="1"/>
    <col min="4" max="4" width="15.140625" style="1" customWidth="1"/>
    <col min="5" max="5" width="13" style="1" customWidth="1"/>
    <col min="6" max="8" width="13.7109375" style="1" customWidth="1"/>
    <col min="9" max="9" width="5" style="1" customWidth="1"/>
    <col min="10" max="10" width="11.28515625" style="1" customWidth="1"/>
    <col min="11" max="11" width="12.42578125" style="1" customWidth="1"/>
  </cols>
  <sheetData>
    <row r="1" spans="1:12" ht="26.25" customHeight="1">
      <c r="A1" s="302" t="str">
        <f>"Auszahlungen an die ressourcenschwachen Kantone "&amp;Info!C30</f>
        <v>Auszahlungen an die ressourcenschwachen Kantone 2014</v>
      </c>
      <c r="B1" s="302"/>
      <c r="C1" s="302"/>
      <c r="D1" s="302"/>
      <c r="E1" s="302"/>
      <c r="F1" s="302"/>
      <c r="G1" s="302"/>
      <c r="H1" s="302"/>
    </row>
    <row r="2" spans="1:12" ht="18.75" customHeight="1">
      <c r="H2" s="17" t="str">
        <f>Info!$C$28</f>
        <v>FA_2014_20130902</v>
      </c>
    </row>
    <row r="3" spans="1:12" s="1" customFormat="1">
      <c r="A3" s="62" t="s">
        <v>27</v>
      </c>
      <c r="B3" s="176" t="s">
        <v>96</v>
      </c>
      <c r="C3" s="63" t="s">
        <v>28</v>
      </c>
      <c r="D3" s="63" t="s">
        <v>29</v>
      </c>
      <c r="E3" s="63" t="s">
        <v>30</v>
      </c>
      <c r="F3" s="63" t="s">
        <v>31</v>
      </c>
      <c r="G3" s="63" t="s">
        <v>32</v>
      </c>
      <c r="H3" s="64" t="s">
        <v>33</v>
      </c>
    </row>
    <row r="4" spans="1:12" ht="45" customHeight="1">
      <c r="A4" s="181"/>
      <c r="B4" s="183" t="s">
        <v>100</v>
      </c>
      <c r="C4" s="183" t="s">
        <v>101</v>
      </c>
      <c r="D4" s="183" t="s">
        <v>102</v>
      </c>
      <c r="E4" s="183" t="s">
        <v>103</v>
      </c>
      <c r="F4" s="201" t="s">
        <v>104</v>
      </c>
      <c r="G4" s="202" t="s">
        <v>106</v>
      </c>
      <c r="H4" s="203" t="s">
        <v>107</v>
      </c>
      <c r="J4" s="312" t="s">
        <v>108</v>
      </c>
      <c r="K4" s="313"/>
    </row>
    <row r="5" spans="1:12" s="77" customFormat="1">
      <c r="A5" s="39" t="s">
        <v>43</v>
      </c>
      <c r="B5" s="186" t="s">
        <v>78</v>
      </c>
      <c r="C5" s="40" t="s">
        <v>105</v>
      </c>
      <c r="D5" s="40"/>
      <c r="E5" s="40" t="s">
        <v>46</v>
      </c>
      <c r="F5" s="40" t="s">
        <v>46</v>
      </c>
      <c r="G5" s="40" t="s">
        <v>46</v>
      </c>
      <c r="H5" s="41" t="s">
        <v>46</v>
      </c>
      <c r="J5" s="204" t="s">
        <v>109</v>
      </c>
      <c r="K5" s="205">
        <v>0.50556194315580505</v>
      </c>
      <c r="L5" s="206"/>
    </row>
    <row r="6" spans="1:12" s="77" customFormat="1" ht="15" customHeight="1">
      <c r="A6" s="207" t="s">
        <v>47</v>
      </c>
      <c r="B6" s="208">
        <f>RP!I7</f>
        <v>117.65226099207595</v>
      </c>
      <c r="C6" s="190">
        <f>RP!G7</f>
        <v>1365944.3333333333</v>
      </c>
      <c r="D6" s="190">
        <f>IF(B6&lt;100,(100-RI)^(1+p)*BEV,0)</f>
        <v>0</v>
      </c>
      <c r="E6" s="190">
        <f t="shared" ref="E6:E31" si="0">IF(B6&lt;100,B/SUM*(100-RI)^(1+p),0)</f>
        <v>0</v>
      </c>
      <c r="F6" s="209">
        <f t="shared" ref="F6:F31" si="1">E6*BEV</f>
        <v>0</v>
      </c>
      <c r="G6" s="210">
        <f>Dotation_RA!$D$25/Dotation_RA!$D$26*F6</f>
        <v>0</v>
      </c>
      <c r="H6" s="211">
        <f t="shared" ref="H6:H31" si="2">F6-G6</f>
        <v>0</v>
      </c>
      <c r="J6" s="204" t="s">
        <v>110</v>
      </c>
      <c r="K6" s="212">
        <f>(RI_26/RI_MIN)*p</f>
        <v>0.50556194315580683</v>
      </c>
    </row>
    <row r="7" spans="1:12" s="77" customFormat="1" ht="15" customHeight="1">
      <c r="A7" s="192" t="s">
        <v>48</v>
      </c>
      <c r="B7" s="213">
        <f>RP!I8</f>
        <v>74.478151251992514</v>
      </c>
      <c r="C7" s="195">
        <f>RP!G8</f>
        <v>979199.33333333337</v>
      </c>
      <c r="D7" s="195">
        <f>IF(B7&lt;100,(100-B7)^(1+p)*BEV,0)</f>
        <v>128547747.26195414</v>
      </c>
      <c r="E7" s="195">
        <f t="shared" si="0"/>
        <v>1164.8350198415801</v>
      </c>
      <c r="F7" s="214">
        <f t="shared" si="1"/>
        <v>1140605674.8721955</v>
      </c>
      <c r="G7" s="215">
        <f>Dotation_RA!$D$25/Dotation_RA!$D$26*F7</f>
        <v>461372353.96690565</v>
      </c>
      <c r="H7" s="216">
        <f t="shared" si="2"/>
        <v>679233320.90528989</v>
      </c>
      <c r="J7" s="204" t="s">
        <v>111</v>
      </c>
      <c r="K7" s="217">
        <f>MIN(B6:B31)</f>
        <v>61.204502918292746</v>
      </c>
    </row>
    <row r="8" spans="1:12" s="77" customFormat="1" ht="15" customHeight="1">
      <c r="A8" s="187" t="s">
        <v>49</v>
      </c>
      <c r="B8" s="208">
        <f>RP!I9</f>
        <v>78.892352487649362</v>
      </c>
      <c r="C8" s="190">
        <f>RP!G9</f>
        <v>370837</v>
      </c>
      <c r="D8" s="190">
        <f t="shared" ref="D8:D31" si="3">IF(B8&lt;100,(100-RI)^(1+p)*BEV,0)</f>
        <v>36577099.836351484</v>
      </c>
      <c r="E8" s="190">
        <f t="shared" si="0"/>
        <v>875.17976220561206</v>
      </c>
      <c r="F8" s="209">
        <f t="shared" si="1"/>
        <v>324549037.47704256</v>
      </c>
      <c r="G8" s="210">
        <f>Dotation_RA!$D$25/Dotation_RA!$D$26*F8</f>
        <v>131279334.03913206</v>
      </c>
      <c r="H8" s="211">
        <f t="shared" si="2"/>
        <v>193269703.4379105</v>
      </c>
      <c r="J8" s="204" t="s">
        <v>112</v>
      </c>
      <c r="K8" s="217">
        <f>100-((sse*SUM)/((1+p)*B*100))^(1/p)</f>
        <v>61.204502918292533</v>
      </c>
    </row>
    <row r="9" spans="1:12" s="77" customFormat="1" ht="15" customHeight="1">
      <c r="A9" s="192" t="s">
        <v>50</v>
      </c>
      <c r="B9" s="213">
        <f>RP!I10</f>
        <v>61.204502918292746</v>
      </c>
      <c r="C9" s="195">
        <f>RP!G10</f>
        <v>34723.333333333336</v>
      </c>
      <c r="D9" s="195">
        <f t="shared" si="3"/>
        <v>8563081.9840626791</v>
      </c>
      <c r="E9" s="195">
        <f t="shared" si="0"/>
        <v>2188.1634038408633</v>
      </c>
      <c r="F9" s="214">
        <f t="shared" si="1"/>
        <v>75980327.259367585</v>
      </c>
      <c r="G9" s="215">
        <f>Dotation_RA!$D$25/Dotation_RA!$D$26*F9</f>
        <v>30733866.414226107</v>
      </c>
      <c r="H9" s="216">
        <f t="shared" si="2"/>
        <v>45246460.845141478</v>
      </c>
      <c r="J9" s="218"/>
      <c r="K9" s="219"/>
    </row>
    <row r="10" spans="1:12" s="77" customFormat="1" ht="15" customHeight="1">
      <c r="A10" s="187" t="s">
        <v>51</v>
      </c>
      <c r="B10" s="208">
        <f>RP!I11</f>
        <v>158.85894290116224</v>
      </c>
      <c r="C10" s="190">
        <f>RP!G11</f>
        <v>143647</v>
      </c>
      <c r="D10" s="190">
        <f t="shared" si="3"/>
        <v>0</v>
      </c>
      <c r="E10" s="190">
        <f t="shared" si="0"/>
        <v>0</v>
      </c>
      <c r="F10" s="209">
        <f t="shared" si="1"/>
        <v>0</v>
      </c>
      <c r="G10" s="210">
        <f>Dotation_RA!$D$25/Dotation_RA!$D$26*F10</f>
        <v>0</v>
      </c>
      <c r="H10" s="211">
        <f t="shared" si="2"/>
        <v>0</v>
      </c>
      <c r="J10" s="218"/>
      <c r="K10" s="219"/>
    </row>
    <row r="11" spans="1:12" s="77" customFormat="1" ht="15" customHeight="1">
      <c r="A11" s="192" t="s">
        <v>52</v>
      </c>
      <c r="B11" s="213">
        <f>RP!I12</f>
        <v>84.968270635495685</v>
      </c>
      <c r="C11" s="195">
        <f>RP!G12</f>
        <v>34668.666666666664</v>
      </c>
      <c r="D11" s="195">
        <f t="shared" si="3"/>
        <v>2051148.0957813982</v>
      </c>
      <c r="E11" s="195">
        <f t="shared" si="0"/>
        <v>524.96570974045108</v>
      </c>
      <c r="F11" s="214">
        <f t="shared" si="1"/>
        <v>18199861.202421784</v>
      </c>
      <c r="G11" s="215">
        <f>Dotation_RA!$D$25/Dotation_RA!$D$26*F11</f>
        <v>7361801.7074771859</v>
      </c>
      <c r="H11" s="216">
        <f t="shared" si="2"/>
        <v>10838059.494944599</v>
      </c>
      <c r="J11" s="218"/>
      <c r="K11" s="219"/>
    </row>
    <row r="12" spans="1:12" s="77" customFormat="1" ht="15" customHeight="1">
      <c r="A12" s="187" t="s">
        <v>53</v>
      </c>
      <c r="B12" s="208">
        <f>RP!I13</f>
        <v>127.27429475285123</v>
      </c>
      <c r="C12" s="190">
        <f>RP!G13</f>
        <v>40105</v>
      </c>
      <c r="D12" s="190">
        <f t="shared" si="3"/>
        <v>0</v>
      </c>
      <c r="E12" s="190">
        <f t="shared" si="0"/>
        <v>0</v>
      </c>
      <c r="F12" s="209">
        <f t="shared" si="1"/>
        <v>0</v>
      </c>
      <c r="G12" s="210">
        <f>Dotation_RA!$D$25/Dotation_RA!$D$26*F12</f>
        <v>0</v>
      </c>
      <c r="H12" s="211">
        <f t="shared" si="2"/>
        <v>0</v>
      </c>
      <c r="J12" s="204" t="s">
        <v>96</v>
      </c>
      <c r="K12" s="220">
        <f>Dotation_RA!D26</f>
        <v>3727962171.8399072</v>
      </c>
    </row>
    <row r="13" spans="1:12" s="77" customFormat="1" ht="15" customHeight="1">
      <c r="A13" s="192" t="s">
        <v>54</v>
      </c>
      <c r="B13" s="213">
        <f>RP!I14</f>
        <v>68.41257314665576</v>
      </c>
      <c r="C13" s="195">
        <f>RP!G14</f>
        <v>38290.666666666664</v>
      </c>
      <c r="D13" s="195">
        <f t="shared" si="3"/>
        <v>6929541.73317267</v>
      </c>
      <c r="E13" s="195">
        <f t="shared" si="0"/>
        <v>1605.7674293450893</v>
      </c>
      <c r="F13" s="214">
        <f t="shared" si="1"/>
        <v>61485905.381243028</v>
      </c>
      <c r="G13" s="215">
        <f>Dotation_RA!$D$25/Dotation_RA!$D$26*F13</f>
        <v>24870906.332032006</v>
      </c>
      <c r="H13" s="216">
        <f t="shared" si="2"/>
        <v>36614999.049211025</v>
      </c>
      <c r="J13" s="204" t="s">
        <v>16</v>
      </c>
      <c r="K13" s="220">
        <f>SSE!E32</f>
        <v>8491.7472233715816</v>
      </c>
    </row>
    <row r="14" spans="1:12" s="77" customFormat="1" ht="15" customHeight="1">
      <c r="A14" s="187" t="s">
        <v>55</v>
      </c>
      <c r="B14" s="208">
        <f>RP!I15</f>
        <v>243.75410601996953</v>
      </c>
      <c r="C14" s="190">
        <f>RP!G15</f>
        <v>111153</v>
      </c>
      <c r="D14" s="190">
        <f t="shared" si="3"/>
        <v>0</v>
      </c>
      <c r="E14" s="190">
        <f t="shared" si="0"/>
        <v>0</v>
      </c>
      <c r="F14" s="209">
        <f t="shared" si="1"/>
        <v>0</v>
      </c>
      <c r="G14" s="210">
        <f>Dotation_RA!$D$25/Dotation_RA!$D$26*F14</f>
        <v>0</v>
      </c>
      <c r="H14" s="211">
        <f t="shared" si="2"/>
        <v>0</v>
      </c>
    </row>
    <row r="15" spans="1:12" s="77" customFormat="1" ht="15" customHeight="1">
      <c r="A15" s="192" t="s">
        <v>56</v>
      </c>
      <c r="B15" s="213">
        <f>RP!I16</f>
        <v>75.485164555237318</v>
      </c>
      <c r="C15" s="195">
        <f>RP!G16</f>
        <v>273758.66666666669</v>
      </c>
      <c r="D15" s="195">
        <f t="shared" si="3"/>
        <v>33825114.517125614</v>
      </c>
      <c r="E15" s="195">
        <f t="shared" si="0"/>
        <v>1096.332923426141</v>
      </c>
      <c r="F15" s="214">
        <f t="shared" si="1"/>
        <v>300130639.33990914</v>
      </c>
      <c r="G15" s="215">
        <f>Dotation_RA!$D$25/Dotation_RA!$D$26*F15</f>
        <v>121402148.54302035</v>
      </c>
      <c r="H15" s="216">
        <f t="shared" si="2"/>
        <v>178728490.79688877</v>
      </c>
    </row>
    <row r="16" spans="1:12" s="77" customFormat="1" ht="15" customHeight="1">
      <c r="A16" s="187" t="s">
        <v>57</v>
      </c>
      <c r="B16" s="208">
        <f>RP!I17</f>
        <v>79.441818157777348</v>
      </c>
      <c r="C16" s="190">
        <f>RP!G17</f>
        <v>252014.33333333334</v>
      </c>
      <c r="D16" s="190">
        <f t="shared" si="3"/>
        <v>23889389.043245304</v>
      </c>
      <c r="E16" s="190">
        <f t="shared" si="0"/>
        <v>841.10624753485843</v>
      </c>
      <c r="F16" s="209">
        <f t="shared" si="1"/>
        <v>211970830.234999</v>
      </c>
      <c r="G16" s="210">
        <f>Dotation_RA!$D$25/Dotation_RA!$D$26*F16</f>
        <v>85741709.928629801</v>
      </c>
      <c r="H16" s="211">
        <f t="shared" si="2"/>
        <v>126229120.3063692</v>
      </c>
    </row>
    <row r="17" spans="1:8" s="77" customFormat="1" ht="15" customHeight="1">
      <c r="A17" s="192" t="s">
        <v>58</v>
      </c>
      <c r="B17" s="213">
        <f>RP!I18</f>
        <v>146.07030383237625</v>
      </c>
      <c r="C17" s="195">
        <f>RP!G18</f>
        <v>192075.33333333334</v>
      </c>
      <c r="D17" s="195">
        <f t="shared" si="3"/>
        <v>0</v>
      </c>
      <c r="E17" s="195">
        <f t="shared" si="0"/>
        <v>0</v>
      </c>
      <c r="F17" s="214">
        <f t="shared" si="1"/>
        <v>0</v>
      </c>
      <c r="G17" s="215">
        <f>Dotation_RA!$D$25/Dotation_RA!$D$26*F17</f>
        <v>0</v>
      </c>
      <c r="H17" s="216">
        <f t="shared" si="2"/>
        <v>0</v>
      </c>
    </row>
    <row r="18" spans="1:8" s="77" customFormat="1" ht="15" customHeight="1">
      <c r="A18" s="187" t="s">
        <v>59</v>
      </c>
      <c r="B18" s="208">
        <f>RP!I19</f>
        <v>101.60950726820184</v>
      </c>
      <c r="C18" s="190">
        <f>RP!G19</f>
        <v>270960</v>
      </c>
      <c r="D18" s="190">
        <f t="shared" si="3"/>
        <v>0</v>
      </c>
      <c r="E18" s="190">
        <f t="shared" si="0"/>
        <v>0</v>
      </c>
      <c r="F18" s="209">
        <f t="shared" si="1"/>
        <v>0</v>
      </c>
      <c r="G18" s="210">
        <f>Dotation_RA!$D$25/Dotation_RA!$D$26*F18</f>
        <v>0</v>
      </c>
      <c r="H18" s="211">
        <f t="shared" si="2"/>
        <v>0</v>
      </c>
    </row>
    <row r="19" spans="1:8" s="77" customFormat="1" ht="15" customHeight="1">
      <c r="A19" s="192" t="s">
        <v>60</v>
      </c>
      <c r="B19" s="213">
        <f>RP!I20</f>
        <v>103.92610958217234</v>
      </c>
      <c r="C19" s="195">
        <f>RP!G20</f>
        <v>75614</v>
      </c>
      <c r="D19" s="195">
        <f t="shared" si="3"/>
        <v>0</v>
      </c>
      <c r="E19" s="195">
        <f t="shared" si="0"/>
        <v>0</v>
      </c>
      <c r="F19" s="214">
        <f t="shared" si="1"/>
        <v>0</v>
      </c>
      <c r="G19" s="215">
        <f>Dotation_RA!$D$25/Dotation_RA!$D$26*F19</f>
        <v>0</v>
      </c>
      <c r="H19" s="216">
        <f t="shared" si="2"/>
        <v>0</v>
      </c>
    </row>
    <row r="20" spans="1:8" s="77" customFormat="1" ht="15" customHeight="1">
      <c r="A20" s="187" t="s">
        <v>61</v>
      </c>
      <c r="B20" s="208">
        <f>RP!I21</f>
        <v>84.819979883786871</v>
      </c>
      <c r="C20" s="190">
        <f>RP!G21</f>
        <v>52596</v>
      </c>
      <c r="D20" s="190">
        <f t="shared" si="3"/>
        <v>3158140.2082457263</v>
      </c>
      <c r="E20" s="190">
        <f t="shared" si="0"/>
        <v>532.7822505351113</v>
      </c>
      <c r="F20" s="209">
        <f t="shared" si="1"/>
        <v>28022215.249144714</v>
      </c>
      <c r="G20" s="210">
        <f>Dotation_RA!$D$25/Dotation_RA!$D$26*F20</f>
        <v>11334921.171871139</v>
      </c>
      <c r="H20" s="211">
        <f t="shared" si="2"/>
        <v>16687294.077273576</v>
      </c>
    </row>
    <row r="21" spans="1:8" s="77" customFormat="1" ht="15" customHeight="1">
      <c r="A21" s="192" t="s">
        <v>62</v>
      </c>
      <c r="B21" s="213">
        <f>RP!I22</f>
        <v>84.003635102335252</v>
      </c>
      <c r="C21" s="195">
        <f>RP!G22</f>
        <v>15492.333333333334</v>
      </c>
      <c r="D21" s="195">
        <f t="shared" si="3"/>
        <v>1006573.4809105429</v>
      </c>
      <c r="E21" s="195">
        <f t="shared" si="0"/>
        <v>576.5005280051663</v>
      </c>
      <c r="F21" s="214">
        <f t="shared" si="1"/>
        <v>8931338.3466987051</v>
      </c>
      <c r="G21" s="215">
        <f>Dotation_RA!$D$25/Dotation_RA!$D$26*F21</f>
        <v>3612705.6772297691</v>
      </c>
      <c r="H21" s="216">
        <f t="shared" si="2"/>
        <v>5318632.6694689356</v>
      </c>
    </row>
    <row r="22" spans="1:8" s="77" customFormat="1" ht="15" customHeight="1">
      <c r="A22" s="187" t="s">
        <v>63</v>
      </c>
      <c r="B22" s="208">
        <f>RP!I23</f>
        <v>79.481680272864352</v>
      </c>
      <c r="C22" s="190">
        <f>RP!G23</f>
        <v>473926.66666666669</v>
      </c>
      <c r="D22" s="190">
        <f t="shared" si="3"/>
        <v>44794211.220260426</v>
      </c>
      <c r="E22" s="190">
        <f t="shared" si="0"/>
        <v>838.65203518421038</v>
      </c>
      <c r="F22" s="209">
        <f t="shared" si="1"/>
        <v>397459563.5280689</v>
      </c>
      <c r="G22" s="210">
        <f>Dotation_RA!$D$25/Dotation_RA!$D$26*F22</f>
        <v>160771472.97391042</v>
      </c>
      <c r="H22" s="211">
        <f t="shared" si="2"/>
        <v>236688090.55415848</v>
      </c>
    </row>
    <row r="23" spans="1:8" s="77" customFormat="1" ht="15" customHeight="1">
      <c r="A23" s="192" t="s">
        <v>64</v>
      </c>
      <c r="B23" s="213">
        <f>RP!I24</f>
        <v>84.384861718324359</v>
      </c>
      <c r="C23" s="195">
        <f>RP!G24</f>
        <v>194396.33333333334</v>
      </c>
      <c r="D23" s="195">
        <f t="shared" si="3"/>
        <v>12179942.974380609</v>
      </c>
      <c r="E23" s="195">
        <f t="shared" si="0"/>
        <v>555.94041078507269</v>
      </c>
      <c r="F23" s="214">
        <f t="shared" si="1"/>
        <v>108072777.40844525</v>
      </c>
      <c r="G23" s="215">
        <f>Dotation_RA!$D$25/Dotation_RA!$D$26*F23</f>
        <v>43715188.17689804</v>
      </c>
      <c r="H23" s="216">
        <f t="shared" si="2"/>
        <v>64357589.231547214</v>
      </c>
    </row>
    <row r="24" spans="1:8" s="77" customFormat="1" ht="15" customHeight="1">
      <c r="A24" s="187" t="s">
        <v>65</v>
      </c>
      <c r="B24" s="208">
        <f>RP!I25</f>
        <v>89.111090147798762</v>
      </c>
      <c r="C24" s="190">
        <f>RP!G25</f>
        <v>596198.33333333337</v>
      </c>
      <c r="D24" s="190">
        <f t="shared" si="3"/>
        <v>21708759.605993178</v>
      </c>
      <c r="E24" s="190">
        <f t="shared" si="0"/>
        <v>323.08389473072299</v>
      </c>
      <c r="F24" s="209">
        <f t="shared" si="1"/>
        <v>192622079.56529918</v>
      </c>
      <c r="G24" s="210">
        <f>Dotation_RA!$D$25/Dotation_RA!$D$26*F24</f>
        <v>77915185.092341915</v>
      </c>
      <c r="H24" s="211">
        <f t="shared" si="2"/>
        <v>114706894.47295727</v>
      </c>
    </row>
    <row r="25" spans="1:8" s="77" customFormat="1" ht="15" customHeight="1">
      <c r="A25" s="192" t="s">
        <v>66</v>
      </c>
      <c r="B25" s="213">
        <f>RP!I26</f>
        <v>78.045376664435096</v>
      </c>
      <c r="C25" s="195">
        <f>RP!G26</f>
        <v>243860.33333333334</v>
      </c>
      <c r="D25" s="195">
        <f t="shared" si="3"/>
        <v>25520644.63605326</v>
      </c>
      <c r="E25" s="195">
        <f t="shared" si="0"/>
        <v>928.58472396794252</v>
      </c>
      <c r="F25" s="214">
        <f t="shared" si="1"/>
        <v>226444980.3150638</v>
      </c>
      <c r="G25" s="215">
        <f>Dotation_RA!$D$25/Dotation_RA!$D$26*F25</f>
        <v>91596470.115456015</v>
      </c>
      <c r="H25" s="216">
        <f t="shared" si="2"/>
        <v>134848510.19960779</v>
      </c>
    </row>
    <row r="26" spans="1:8" s="77" customFormat="1" ht="15" customHeight="1">
      <c r="A26" s="187" t="s">
        <v>67</v>
      </c>
      <c r="B26" s="208">
        <f>RP!I27</f>
        <v>100.77450060563903</v>
      </c>
      <c r="C26" s="190">
        <f>RP!G27</f>
        <v>334021</v>
      </c>
      <c r="D26" s="190">
        <f t="shared" si="3"/>
        <v>0</v>
      </c>
      <c r="E26" s="190">
        <f t="shared" si="0"/>
        <v>0</v>
      </c>
      <c r="F26" s="209">
        <f t="shared" si="1"/>
        <v>0</v>
      </c>
      <c r="G26" s="210">
        <f>Dotation_RA!$D$25/Dotation_RA!$D$26*F26</f>
        <v>0</v>
      </c>
      <c r="H26" s="211">
        <f t="shared" si="2"/>
        <v>0</v>
      </c>
    </row>
    <row r="27" spans="1:8" s="77" customFormat="1" ht="15" customHeight="1">
      <c r="A27" s="192" t="s">
        <v>68</v>
      </c>
      <c r="B27" s="213">
        <f>RP!I28</f>
        <v>108.40947306887134</v>
      </c>
      <c r="C27" s="195">
        <f>RP!G28</f>
        <v>704089.66666666663</v>
      </c>
      <c r="D27" s="195">
        <f t="shared" si="3"/>
        <v>0</v>
      </c>
      <c r="E27" s="195">
        <f t="shared" si="0"/>
        <v>0</v>
      </c>
      <c r="F27" s="214">
        <f t="shared" si="1"/>
        <v>0</v>
      </c>
      <c r="G27" s="215">
        <f>Dotation_RA!$D$25/Dotation_RA!$D$26*F27</f>
        <v>0</v>
      </c>
      <c r="H27" s="216">
        <f t="shared" si="2"/>
        <v>0</v>
      </c>
    </row>
    <row r="28" spans="1:8" s="77" customFormat="1" ht="15" customHeight="1">
      <c r="A28" s="187" t="s">
        <v>69</v>
      </c>
      <c r="B28" s="208">
        <f>RP!I29</f>
        <v>70.431939836149894</v>
      </c>
      <c r="C28" s="190">
        <f>RP!G29</f>
        <v>305182.66666666669</v>
      </c>
      <c r="D28" s="190">
        <f t="shared" si="3"/>
        <v>50000545.949600093</v>
      </c>
      <c r="E28" s="190">
        <f t="shared" si="0"/>
        <v>1453.7373230349274</v>
      </c>
      <c r="F28" s="209">
        <f t="shared" si="1"/>
        <v>443655432.87666059</v>
      </c>
      <c r="G28" s="210">
        <f>Dotation_RA!$D$25/Dotation_RA!$D$26*F28</f>
        <v>179457595.14079824</v>
      </c>
      <c r="H28" s="211">
        <f t="shared" si="2"/>
        <v>264197837.73586234</v>
      </c>
    </row>
    <row r="29" spans="1:8" s="77" customFormat="1" ht="15" customHeight="1">
      <c r="A29" s="192" t="s">
        <v>70</v>
      </c>
      <c r="B29" s="213">
        <f>RP!I30</f>
        <v>90.222354139836298</v>
      </c>
      <c r="C29" s="195">
        <f>RP!G30</f>
        <v>171912</v>
      </c>
      <c r="D29" s="195">
        <f t="shared" si="3"/>
        <v>5323107.9655593047</v>
      </c>
      <c r="E29" s="195">
        <f t="shared" si="0"/>
        <v>274.74521643842127</v>
      </c>
      <c r="F29" s="214">
        <f t="shared" si="1"/>
        <v>47231999.648361877</v>
      </c>
      <c r="G29" s="215">
        <f>Dotation_RA!$D$25/Dotation_RA!$D$26*F29</f>
        <v>19105234.473579586</v>
      </c>
      <c r="H29" s="216">
        <f t="shared" si="2"/>
        <v>28126765.174782291</v>
      </c>
    </row>
    <row r="30" spans="1:8" s="77" customFormat="1" ht="15" customHeight="1">
      <c r="A30" s="187" t="s">
        <v>71</v>
      </c>
      <c r="B30" s="208">
        <f>RP!I31</f>
        <v>147.02785757239084</v>
      </c>
      <c r="C30" s="190">
        <f>RP!G31</f>
        <v>453280.33333333331</v>
      </c>
      <c r="D30" s="190">
        <f t="shared" si="3"/>
        <v>0</v>
      </c>
      <c r="E30" s="190">
        <f t="shared" si="0"/>
        <v>0</v>
      </c>
      <c r="F30" s="209">
        <f t="shared" si="1"/>
        <v>0</v>
      </c>
      <c r="G30" s="210">
        <f>Dotation_RA!$D$25/Dotation_RA!$D$26*F30</f>
        <v>0</v>
      </c>
      <c r="H30" s="211">
        <f t="shared" si="2"/>
        <v>0</v>
      </c>
    </row>
    <row r="31" spans="1:8" s="77" customFormat="1" ht="15" customHeight="1">
      <c r="A31" s="192" t="s">
        <v>72</v>
      </c>
      <c r="B31" s="213">
        <f>RP!I32</f>
        <v>62.536669396234188</v>
      </c>
      <c r="C31" s="195">
        <f>RP!G32</f>
        <v>68688.666666666672</v>
      </c>
      <c r="D31" s="195">
        <f t="shared" si="3"/>
        <v>16071150.673537441</v>
      </c>
      <c r="E31" s="195">
        <f t="shared" si="0"/>
        <v>2076.0267458239505</v>
      </c>
      <c r="F31" s="214">
        <f t="shared" si="1"/>
        <v>142599509.13498607</v>
      </c>
      <c r="G31" s="215">
        <f>Dotation_RA!$D$25/Dotation_RA!$D$26*F31</f>
        <v>57681171.200121991</v>
      </c>
      <c r="H31" s="216">
        <f t="shared" si="2"/>
        <v>84918337.934864074</v>
      </c>
    </row>
    <row r="32" spans="1:8">
      <c r="A32" s="197" t="s">
        <v>113</v>
      </c>
      <c r="B32" s="221">
        <f>RP!I33</f>
        <v>100</v>
      </c>
      <c r="C32" s="199">
        <f>RP!G33</f>
        <v>7796634.9999999991</v>
      </c>
      <c r="D32" s="199">
        <f>SUM(D6:D31)</f>
        <v>420146199.18623382</v>
      </c>
      <c r="E32" s="199"/>
      <c r="F32" s="199">
        <f>SUM(F6:F31)</f>
        <v>3727962171.8399072</v>
      </c>
      <c r="G32" s="222">
        <f>SUM(G6:G31)</f>
        <v>1507952064.9536304</v>
      </c>
      <c r="H32" s="223">
        <f>SUM(H6:H31)</f>
        <v>2220010106.8862777</v>
      </c>
    </row>
  </sheetData>
  <mergeCells count="2">
    <mergeCell ref="A1:H1"/>
    <mergeCell ref="J4:K4"/>
  </mergeCells>
  <conditionalFormatting sqref="K5">
    <cfRule type="expression" dxfId="2" priority="1" stopIfTrue="1">
      <formula>ISBLANK(K5)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scale="90" orientation="landscape" r:id="rId1"/>
  <headerFooter>
    <oddHeader>&amp;L&amp;F&amp;R&amp;A</oddHeader>
    <oddFooter>&amp;CSeite &amp;P von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7">
    <pageSetUpPr fitToPage="1"/>
  </sheetPr>
  <dimension ref="A1:J48"/>
  <sheetViews>
    <sheetView showGridLines="0" workbookViewId="0">
      <selection activeCell="A2" sqref="A2"/>
    </sheetView>
  </sheetViews>
  <sheetFormatPr baseColWidth="10" defaultColWidth="11.42578125" defaultRowHeight="12.75"/>
  <cols>
    <col min="1" max="2" width="15.28515625" style="1" customWidth="1"/>
    <col min="3" max="3" width="17.42578125" style="1" customWidth="1"/>
    <col min="4" max="4" width="16.7109375" style="1" customWidth="1"/>
    <col min="5" max="5" width="19.140625" style="1" customWidth="1"/>
    <col min="6" max="6" width="15.140625" style="1" customWidth="1"/>
    <col min="7" max="7" width="18.5703125" style="1" customWidth="1"/>
    <col min="8" max="8" width="13.42578125" style="1" customWidth="1"/>
    <col min="9" max="9" width="2.42578125" style="1" customWidth="1"/>
    <col min="10" max="10" width="16.7109375" style="1" customWidth="1"/>
  </cols>
  <sheetData>
    <row r="1" spans="1:10" ht="27" customHeight="1">
      <c r="A1" s="298" t="str">
        <f>"Standardisierte Steuererträge (SSE) "&amp;Info!C30</f>
        <v>Standardisierte Steuererträge (SSE) 2014</v>
      </c>
      <c r="B1" s="298"/>
      <c r="C1" s="298"/>
      <c r="D1" s="298"/>
      <c r="E1" s="298"/>
      <c r="F1" s="61"/>
      <c r="G1" s="61"/>
      <c r="H1" s="61"/>
      <c r="J1" s="17" t="str">
        <f>Info!$C$28</f>
        <v>FA_2014_20130902</v>
      </c>
    </row>
    <row r="2" spans="1:10" s="1" customFormat="1">
      <c r="A2" s="62" t="s">
        <v>27</v>
      </c>
      <c r="B2" s="176" t="s">
        <v>96</v>
      </c>
      <c r="C2" s="63" t="s">
        <v>28</v>
      </c>
      <c r="D2" s="63" t="s">
        <v>29</v>
      </c>
      <c r="E2" s="63" t="s">
        <v>30</v>
      </c>
      <c r="F2" s="63" t="s">
        <v>31</v>
      </c>
      <c r="G2" s="63" t="s">
        <v>32</v>
      </c>
      <c r="H2" s="64" t="s">
        <v>33</v>
      </c>
      <c r="J2" s="224" t="s">
        <v>114</v>
      </c>
    </row>
    <row r="3" spans="1:10" s="22" customFormat="1" ht="11.25" customHeight="1">
      <c r="A3" s="67" t="s">
        <v>35</v>
      </c>
      <c r="B3" s="225"/>
      <c r="C3" s="68"/>
      <c r="D3" s="68"/>
      <c r="E3" s="68" t="s">
        <v>115</v>
      </c>
      <c r="F3" s="68"/>
      <c r="G3" s="68" t="s">
        <v>116</v>
      </c>
      <c r="H3" s="226" t="s">
        <v>117</v>
      </c>
      <c r="J3" s="227" t="s">
        <v>118</v>
      </c>
    </row>
    <row r="4" spans="1:10" ht="63.75" customHeight="1">
      <c r="A4" s="181"/>
      <c r="B4" s="228" t="s">
        <v>100</v>
      </c>
      <c r="C4" s="228" t="s">
        <v>119</v>
      </c>
      <c r="D4" s="201" t="s">
        <v>101</v>
      </c>
      <c r="E4" s="228" t="s">
        <v>120</v>
      </c>
      <c r="F4" s="201" t="s">
        <v>121</v>
      </c>
      <c r="G4" s="228" t="s">
        <v>122</v>
      </c>
      <c r="H4" s="184" t="s">
        <v>123</v>
      </c>
      <c r="I4" s="229"/>
      <c r="J4" s="230" t="s">
        <v>124</v>
      </c>
    </row>
    <row r="5" spans="1:10" s="33" customFormat="1" ht="13.5" customHeight="1">
      <c r="A5" s="39" t="s">
        <v>43</v>
      </c>
      <c r="B5" s="186" t="s">
        <v>78</v>
      </c>
      <c r="C5" s="40" t="s">
        <v>46</v>
      </c>
      <c r="D5" s="40" t="s">
        <v>105</v>
      </c>
      <c r="E5" s="40" t="s">
        <v>46</v>
      </c>
      <c r="F5" s="231" t="s">
        <v>46</v>
      </c>
      <c r="G5" s="232" t="s">
        <v>46</v>
      </c>
      <c r="H5" s="233" t="s">
        <v>78</v>
      </c>
      <c r="I5" s="234"/>
      <c r="J5" s="235" t="s">
        <v>46</v>
      </c>
    </row>
    <row r="6" spans="1:10">
      <c r="A6" s="236" t="s">
        <v>47</v>
      </c>
      <c r="B6" s="237">
        <f>RP!I7</f>
        <v>117.65226099207595</v>
      </c>
      <c r="C6" s="45">
        <f>RP!H7/RP!$H$33*sse*D6</f>
        <v>13646784589.053192</v>
      </c>
      <c r="D6" s="238">
        <f>RP!G7</f>
        <v>1365944.3333333333</v>
      </c>
      <c r="E6" s="45">
        <f t="shared" ref="E6:E32" si="0">C6/D6</f>
        <v>9990.7326060284977</v>
      </c>
      <c r="F6" s="45">
        <f>IF(B6&gt;100,-Einzahlungen!F7,Auszahlungen!F6)/D6</f>
        <v>-306.95802069023654</v>
      </c>
      <c r="G6" s="45">
        <f t="shared" ref="G6:G31" si="1">E6+F6</f>
        <v>9683.7745853382603</v>
      </c>
      <c r="H6" s="46">
        <f t="shared" ref="H6:H31" si="2">ROUND(G6/E$32*100,1)</f>
        <v>114</v>
      </c>
      <c r="J6" s="239">
        <f t="shared" ref="J6:J32" si="3">E6-E$32</f>
        <v>1498.985382656916</v>
      </c>
    </row>
    <row r="7" spans="1:10">
      <c r="A7" s="240" t="s">
        <v>48</v>
      </c>
      <c r="B7" s="241">
        <f>RP!I8</f>
        <v>74.478151251992514</v>
      </c>
      <c r="C7" s="50">
        <f>RP!H8/RP!$H$33*sse*D7</f>
        <v>6192942600.7367096</v>
      </c>
      <c r="D7" s="242">
        <f>RP!G8</f>
        <v>979199.33333333337</v>
      </c>
      <c r="E7" s="50">
        <f t="shared" si="0"/>
        <v>6324.4963409595621</v>
      </c>
      <c r="F7" s="50">
        <f>IF(B7&gt;100,-Einzahlungen!F8,Auszahlungen!F7)/D7</f>
        <v>1164.8350198415801</v>
      </c>
      <c r="G7" s="50">
        <f t="shared" si="1"/>
        <v>7489.3313608011422</v>
      </c>
      <c r="H7" s="51">
        <f t="shared" si="2"/>
        <v>88.2</v>
      </c>
      <c r="J7" s="243">
        <f t="shared" si="3"/>
        <v>-2167.2508824120196</v>
      </c>
    </row>
    <row r="8" spans="1:10">
      <c r="A8" s="244" t="s">
        <v>49</v>
      </c>
      <c r="B8" s="245">
        <f>RP!I9</f>
        <v>78.892352487649362</v>
      </c>
      <c r="C8" s="54">
        <f>RP!H9/RP!$H$33*sse*D8</f>
        <v>2484362833.0443954</v>
      </c>
      <c r="D8" s="246">
        <f>RP!G9</f>
        <v>370837</v>
      </c>
      <c r="E8" s="54">
        <f t="shared" si="0"/>
        <v>6699.3391518224862</v>
      </c>
      <c r="F8" s="54">
        <f>IF(B8&gt;100,-Einzahlungen!F9,Auszahlungen!F8)/D8</f>
        <v>875.17976220561206</v>
      </c>
      <c r="G8" s="54">
        <f t="shared" si="1"/>
        <v>7574.5189140280982</v>
      </c>
      <c r="H8" s="55">
        <f t="shared" si="2"/>
        <v>89.2</v>
      </c>
      <c r="J8" s="247">
        <f t="shared" si="3"/>
        <v>-1792.4080715490954</v>
      </c>
    </row>
    <row r="9" spans="1:10">
      <c r="A9" s="240" t="s">
        <v>50</v>
      </c>
      <c r="B9" s="241">
        <f>RP!I10</f>
        <v>61.204502918292746</v>
      </c>
      <c r="C9" s="50">
        <f>RP!H10/RP!$H$33*sse*D9</f>
        <v>180468680.26931158</v>
      </c>
      <c r="D9" s="242">
        <f>RP!G10</f>
        <v>34723.333333333336</v>
      </c>
      <c r="E9" s="50">
        <f t="shared" si="0"/>
        <v>5197.3316771425043</v>
      </c>
      <c r="F9" s="50">
        <f>IF(B9&gt;100,-Einzahlungen!F10,Auszahlungen!F9)/D9</f>
        <v>2188.1634038408633</v>
      </c>
      <c r="G9" s="50">
        <f t="shared" si="1"/>
        <v>7385.4950809833681</v>
      </c>
      <c r="H9" s="51">
        <f t="shared" si="2"/>
        <v>87</v>
      </c>
      <c r="J9" s="243">
        <f t="shared" si="3"/>
        <v>-3294.4155462290773</v>
      </c>
    </row>
    <row r="10" spans="1:10">
      <c r="A10" s="244" t="s">
        <v>51</v>
      </c>
      <c r="B10" s="245">
        <f>RP!I11</f>
        <v>158.85894290116224</v>
      </c>
      <c r="C10" s="54">
        <f>RP!H11/RP!$H$33*sse*D10</f>
        <v>1937783647.0405834</v>
      </c>
      <c r="D10" s="246">
        <f>RP!G11</f>
        <v>143647</v>
      </c>
      <c r="E10" s="54">
        <f t="shared" si="0"/>
        <v>13489.899872886892</v>
      </c>
      <c r="F10" s="54">
        <f>IF(B10&gt;100,-Einzahlungen!F11,Auszahlungen!F10)/D10</f>
        <v>-1023.5076753607219</v>
      </c>
      <c r="G10" s="54">
        <f t="shared" si="1"/>
        <v>12466.392197526169</v>
      </c>
      <c r="H10" s="55">
        <f t="shared" si="2"/>
        <v>146.80000000000001</v>
      </c>
      <c r="J10" s="247">
        <f t="shared" si="3"/>
        <v>4998.1526495153103</v>
      </c>
    </row>
    <row r="11" spans="1:10">
      <c r="A11" s="240" t="s">
        <v>52</v>
      </c>
      <c r="B11" s="241">
        <f>RP!I12</f>
        <v>84.968270635495685</v>
      </c>
      <c r="C11" s="50">
        <f>RP!H12/RP!$H$33*sse*D11</f>
        <v>250144510.34599221</v>
      </c>
      <c r="D11" s="242">
        <f>RP!G12</f>
        <v>34668.666666666664</v>
      </c>
      <c r="E11" s="50">
        <f t="shared" si="0"/>
        <v>7215.290762436558</v>
      </c>
      <c r="F11" s="50">
        <f>IF(B11&gt;100,-Einzahlungen!F12,Auszahlungen!F11)/D11</f>
        <v>524.96570974045108</v>
      </c>
      <c r="G11" s="50">
        <f t="shared" si="1"/>
        <v>7740.2564721770086</v>
      </c>
      <c r="H11" s="51">
        <f t="shared" si="2"/>
        <v>91.2</v>
      </c>
      <c r="J11" s="243">
        <f t="shared" si="3"/>
        <v>-1276.4564609350236</v>
      </c>
    </row>
    <row r="12" spans="1:10">
      <c r="A12" s="244" t="s">
        <v>53</v>
      </c>
      <c r="B12" s="245">
        <f>RP!I13</f>
        <v>127.27429475285123</v>
      </c>
      <c r="C12" s="54">
        <f>RP!H13/RP!$H$33*sse*D12</f>
        <v>433447275.82566822</v>
      </c>
      <c r="D12" s="246">
        <f>RP!G13</f>
        <v>40105</v>
      </c>
      <c r="E12" s="54">
        <f t="shared" si="0"/>
        <v>10807.81139074101</v>
      </c>
      <c r="F12" s="54">
        <f>IF(B12&gt;100,-Einzahlungen!F13,Auszahlungen!F12)/D12</f>
        <v>-474.27712160020263</v>
      </c>
      <c r="G12" s="54">
        <f t="shared" si="1"/>
        <v>10333.534269140808</v>
      </c>
      <c r="H12" s="55">
        <f t="shared" si="2"/>
        <v>121.7</v>
      </c>
      <c r="J12" s="247">
        <f t="shared" si="3"/>
        <v>2316.0641673694281</v>
      </c>
    </row>
    <row r="13" spans="1:10">
      <c r="A13" s="240" t="s">
        <v>54</v>
      </c>
      <c r="B13" s="241">
        <f>RP!I14</f>
        <v>68.41257314665576</v>
      </c>
      <c r="C13" s="50">
        <f>RP!H14/RP!$H$33*sse*D13</f>
        <v>222446671.21839106</v>
      </c>
      <c r="D13" s="242">
        <f>RP!G14</f>
        <v>38290.666666666664</v>
      </c>
      <c r="E13" s="50">
        <f t="shared" si="0"/>
        <v>5809.4227806181943</v>
      </c>
      <c r="F13" s="50">
        <f>IF(B13&gt;100,-Einzahlungen!F14,Auszahlungen!F13)/D13</f>
        <v>1605.7674293450893</v>
      </c>
      <c r="G13" s="50">
        <f t="shared" si="1"/>
        <v>7415.1902099632835</v>
      </c>
      <c r="H13" s="51">
        <f t="shared" si="2"/>
        <v>87.3</v>
      </c>
      <c r="J13" s="243">
        <f t="shared" si="3"/>
        <v>-2682.3244427533873</v>
      </c>
    </row>
    <row r="14" spans="1:10">
      <c r="A14" s="244" t="s">
        <v>55</v>
      </c>
      <c r="B14" s="245">
        <f>RP!I15</f>
        <v>243.75410601996953</v>
      </c>
      <c r="C14" s="54">
        <f>RP!H15/RP!$H$33*sse*D14</f>
        <v>2300754005.1354141</v>
      </c>
      <c r="D14" s="246">
        <f>RP!G15</f>
        <v>111153</v>
      </c>
      <c r="E14" s="54">
        <f t="shared" si="0"/>
        <v>20698.982529804991</v>
      </c>
      <c r="F14" s="54">
        <f>IF(B14&gt;100,-Einzahlungen!F15,Auszahlungen!F14)/D14</f>
        <v>-2499.7633940373139</v>
      </c>
      <c r="G14" s="54">
        <f t="shared" si="1"/>
        <v>18199.219135767678</v>
      </c>
      <c r="H14" s="55">
        <f t="shared" si="2"/>
        <v>214.3</v>
      </c>
      <c r="J14" s="247">
        <f t="shared" si="3"/>
        <v>12207.235306433409</v>
      </c>
    </row>
    <row r="15" spans="1:10">
      <c r="A15" s="240" t="s">
        <v>56</v>
      </c>
      <c r="B15" s="241">
        <f>RP!I16</f>
        <v>75.485164555237318</v>
      </c>
      <c r="C15" s="50">
        <f>RP!H16/RP!$H$33*sse*D15</f>
        <v>1754795617.1316571</v>
      </c>
      <c r="D15" s="242">
        <f>RP!G16</f>
        <v>273758.66666666669</v>
      </c>
      <c r="E15" s="50">
        <f t="shared" si="0"/>
        <v>6410.0093651768357</v>
      </c>
      <c r="F15" s="50">
        <f>IF(B15&gt;100,-Einzahlungen!F16,Auszahlungen!F15)/D15</f>
        <v>1096.332923426141</v>
      </c>
      <c r="G15" s="50">
        <f t="shared" si="1"/>
        <v>7506.3422886029766</v>
      </c>
      <c r="H15" s="51">
        <f t="shared" si="2"/>
        <v>88.4</v>
      </c>
      <c r="J15" s="243">
        <f t="shared" si="3"/>
        <v>-2081.737858194746</v>
      </c>
    </row>
    <row r="16" spans="1:10">
      <c r="A16" s="244" t="s">
        <v>57</v>
      </c>
      <c r="B16" s="245">
        <f>RP!I17</f>
        <v>79.441818157777348</v>
      </c>
      <c r="C16" s="54">
        <f>RP!H17/RP!$H$33*sse*D16</f>
        <v>1700088286.3210137</v>
      </c>
      <c r="D16" s="246">
        <f>RP!G17</f>
        <v>252014.33333333334</v>
      </c>
      <c r="E16" s="54">
        <f t="shared" si="0"/>
        <v>6745.99838760896</v>
      </c>
      <c r="F16" s="54">
        <f>IF(B16&gt;100,-Einzahlungen!F17,Auszahlungen!F16)/D16</f>
        <v>841.10624753485843</v>
      </c>
      <c r="G16" s="54">
        <f t="shared" si="1"/>
        <v>7587.1046351438181</v>
      </c>
      <c r="H16" s="55">
        <f t="shared" si="2"/>
        <v>89.3</v>
      </c>
      <c r="J16" s="247">
        <f t="shared" si="3"/>
        <v>-1745.7488357626216</v>
      </c>
    </row>
    <row r="17" spans="1:10">
      <c r="A17" s="240" t="s">
        <v>58</v>
      </c>
      <c r="B17" s="241">
        <f>RP!I18</f>
        <v>146.07030383237625</v>
      </c>
      <c r="C17" s="50">
        <f>RP!H18/RP!$H$33*sse*D17</f>
        <v>2382487254.9254618</v>
      </c>
      <c r="D17" s="242">
        <f>RP!G18</f>
        <v>192075.33333333334</v>
      </c>
      <c r="E17" s="50">
        <f t="shared" si="0"/>
        <v>12403.920969856246</v>
      </c>
      <c r="F17" s="50">
        <f>IF(B17&gt;100,-Einzahlungen!F18,Auszahlungen!F17)/D17</f>
        <v>-801.1239627225192</v>
      </c>
      <c r="G17" s="50">
        <f t="shared" si="1"/>
        <v>11602.797007133728</v>
      </c>
      <c r="H17" s="51">
        <f t="shared" si="2"/>
        <v>136.6</v>
      </c>
      <c r="J17" s="243">
        <f t="shared" si="3"/>
        <v>3912.1737464846647</v>
      </c>
    </row>
    <row r="18" spans="1:10">
      <c r="A18" s="244" t="s">
        <v>59</v>
      </c>
      <c r="B18" s="245">
        <f>RP!I19</f>
        <v>101.60950726820184</v>
      </c>
      <c r="C18" s="54">
        <f>RP!H19/RP!$H$33*sse*D18</f>
        <v>2337957363.8864946</v>
      </c>
      <c r="D18" s="246">
        <f>RP!G19</f>
        <v>270960</v>
      </c>
      <c r="E18" s="54">
        <f t="shared" si="0"/>
        <v>8628.4225121290765</v>
      </c>
      <c r="F18" s="54">
        <f>IF(B18&gt;100,-Einzahlungen!F19,Auszahlungen!F18)/D18</f>
        <v>-27.987982137560966</v>
      </c>
      <c r="G18" s="54">
        <f t="shared" si="1"/>
        <v>8600.4345299915149</v>
      </c>
      <c r="H18" s="55">
        <f t="shared" si="2"/>
        <v>101.3</v>
      </c>
      <c r="J18" s="247">
        <f t="shared" si="3"/>
        <v>136.67528875749485</v>
      </c>
    </row>
    <row r="19" spans="1:10">
      <c r="A19" s="240" t="s">
        <v>60</v>
      </c>
      <c r="B19" s="241">
        <f>RP!I20</f>
        <v>103.92610958217234</v>
      </c>
      <c r="C19" s="50">
        <f>RP!H20/RP!$H$33*sse*D19</f>
        <v>667304326.87039578</v>
      </c>
      <c r="D19" s="242">
        <f>RP!G20</f>
        <v>75614</v>
      </c>
      <c r="E19" s="50">
        <f t="shared" si="0"/>
        <v>8825.1425248022297</v>
      </c>
      <c r="F19" s="50">
        <f>IF(B19&gt;100,-Einzahlungen!F20,Auszahlungen!F19)/D19</f>
        <v>-68.271754360395136</v>
      </c>
      <c r="G19" s="50">
        <f t="shared" si="1"/>
        <v>8756.8707704418339</v>
      </c>
      <c r="H19" s="51">
        <f t="shared" si="2"/>
        <v>103.1</v>
      </c>
      <c r="J19" s="243">
        <f t="shared" si="3"/>
        <v>333.39530143064803</v>
      </c>
    </row>
    <row r="20" spans="1:10">
      <c r="A20" s="244" t="s">
        <v>61</v>
      </c>
      <c r="B20" s="245">
        <f>RP!I21</f>
        <v>84.819979883786871</v>
      </c>
      <c r="C20" s="54">
        <f>RP!H21/RP!$H$33*sse*D20</f>
        <v>378833119.08442283</v>
      </c>
      <c r="D20" s="246">
        <f>RP!G21</f>
        <v>52596</v>
      </c>
      <c r="E20" s="54">
        <f t="shared" si="0"/>
        <v>7202.6982866458065</v>
      </c>
      <c r="F20" s="54">
        <f>IF(B20&gt;100,-Einzahlungen!F21,Auszahlungen!F20)/D20</f>
        <v>532.7822505351113</v>
      </c>
      <c r="G20" s="54">
        <f t="shared" si="1"/>
        <v>7735.480537180918</v>
      </c>
      <c r="H20" s="55">
        <f t="shared" si="2"/>
        <v>91.1</v>
      </c>
      <c r="J20" s="247">
        <f t="shared" si="3"/>
        <v>-1289.0489367257751</v>
      </c>
    </row>
    <row r="21" spans="1:10">
      <c r="A21" s="240" t="s">
        <v>62</v>
      </c>
      <c r="B21" s="241">
        <f>RP!I22</f>
        <v>84.003635102335252</v>
      </c>
      <c r="C21" s="50">
        <f>RP!H22/RP!$H$33*sse*D21</f>
        <v>110512644.22697958</v>
      </c>
      <c r="D21" s="242">
        <f>RP!G22</f>
        <v>15492.333333333334</v>
      </c>
      <c r="E21" s="50">
        <f t="shared" si="0"/>
        <v>7133.3763513337508</v>
      </c>
      <c r="F21" s="50">
        <f>IF(B21&gt;100,-Einzahlungen!F22,Auszahlungen!F21)/D21</f>
        <v>576.5005280051663</v>
      </c>
      <c r="G21" s="50">
        <f t="shared" si="1"/>
        <v>7709.8768793389172</v>
      </c>
      <c r="H21" s="51">
        <f t="shared" si="2"/>
        <v>90.8</v>
      </c>
      <c r="J21" s="243">
        <f t="shared" si="3"/>
        <v>-1358.3708720378308</v>
      </c>
    </row>
    <row r="22" spans="1:10">
      <c r="A22" s="244" t="s">
        <v>63</v>
      </c>
      <c r="B22" s="245">
        <f>RP!I23</f>
        <v>79.481680272864352</v>
      </c>
      <c r="C22" s="54">
        <f>RP!H23/RP!$H$33*sse*D22</f>
        <v>3198712766.2298298</v>
      </c>
      <c r="D22" s="246">
        <f>RP!G23</f>
        <v>473926.66666666669</v>
      </c>
      <c r="E22" s="54">
        <f t="shared" si="0"/>
        <v>6749.3833776600377</v>
      </c>
      <c r="F22" s="54">
        <f>IF(B22&gt;100,-Einzahlungen!F23,Auszahlungen!F22)/D22</f>
        <v>838.65203518421038</v>
      </c>
      <c r="G22" s="54">
        <f t="shared" si="1"/>
        <v>7588.0354128442477</v>
      </c>
      <c r="H22" s="55">
        <f t="shared" si="2"/>
        <v>89.4</v>
      </c>
      <c r="J22" s="247">
        <f t="shared" si="3"/>
        <v>-1742.3638457115439</v>
      </c>
    </row>
    <row r="23" spans="1:10">
      <c r="A23" s="240" t="s">
        <v>64</v>
      </c>
      <c r="B23" s="241">
        <f>RP!I24</f>
        <v>84.384861718324359</v>
      </c>
      <c r="C23" s="50">
        <f>RP!H24/RP!$H$33*sse*D23</f>
        <v>1392995360.7180889</v>
      </c>
      <c r="D23" s="242">
        <f>RP!G24</f>
        <v>194396.33333333334</v>
      </c>
      <c r="E23" s="50">
        <f t="shared" si="0"/>
        <v>7165.7491519117584</v>
      </c>
      <c r="F23" s="50">
        <f>IF(B23&gt;100,-Einzahlungen!F24,Auszahlungen!F23)/D23</f>
        <v>555.94041078507269</v>
      </c>
      <c r="G23" s="50">
        <f t="shared" si="1"/>
        <v>7721.6895626968308</v>
      </c>
      <c r="H23" s="51">
        <f t="shared" si="2"/>
        <v>90.9</v>
      </c>
      <c r="J23" s="243">
        <f t="shared" si="3"/>
        <v>-1325.9980714598232</v>
      </c>
    </row>
    <row r="24" spans="1:10">
      <c r="A24" s="244" t="s">
        <v>65</v>
      </c>
      <c r="B24" s="245">
        <f>RP!I25</f>
        <v>89.111090147798762</v>
      </c>
      <c r="C24" s="54">
        <f>RP!H25/RP!$H$33*sse*D24</f>
        <v>4511485565.802206</v>
      </c>
      <c r="D24" s="246">
        <f>RP!G25</f>
        <v>596198.33333333337</v>
      </c>
      <c r="E24" s="54">
        <f t="shared" si="0"/>
        <v>7567.0885233418503</v>
      </c>
      <c r="F24" s="54">
        <f>IF(B24&gt;100,-Einzahlungen!F25,Auszahlungen!F24)/D24</f>
        <v>323.08389473072299</v>
      </c>
      <c r="G24" s="54">
        <f t="shared" si="1"/>
        <v>7890.1724180725732</v>
      </c>
      <c r="H24" s="55">
        <f t="shared" si="2"/>
        <v>92.9</v>
      </c>
      <c r="J24" s="247">
        <f t="shared" si="3"/>
        <v>-924.65870002973134</v>
      </c>
    </row>
    <row r="25" spans="1:10">
      <c r="A25" s="240" t="s">
        <v>66</v>
      </c>
      <c r="B25" s="241">
        <f>RP!I26</f>
        <v>78.045376664435096</v>
      </c>
      <c r="C25" s="50">
        <f>RP!H26/RP!$H$33*sse*D25</f>
        <v>1616163900.7166629</v>
      </c>
      <c r="D25" s="242">
        <f>RP!G26</f>
        <v>243860.33333333334</v>
      </c>
      <c r="E25" s="50">
        <f t="shared" si="0"/>
        <v>6627.4161058720611</v>
      </c>
      <c r="F25" s="50">
        <f>IF(B25&gt;100,-Einzahlungen!F26,Auszahlungen!F25)/D25</f>
        <v>928.58472396794252</v>
      </c>
      <c r="G25" s="50">
        <f t="shared" si="1"/>
        <v>7556.0008298400035</v>
      </c>
      <c r="H25" s="51">
        <f t="shared" si="2"/>
        <v>89</v>
      </c>
      <c r="J25" s="243">
        <f t="shared" si="3"/>
        <v>-1864.3311174995206</v>
      </c>
    </row>
    <row r="26" spans="1:10">
      <c r="A26" s="244" t="s">
        <v>67</v>
      </c>
      <c r="B26" s="245">
        <f>RP!I27</f>
        <v>100.77450060563903</v>
      </c>
      <c r="C26" s="54">
        <f>RP!H27/RP!$H$33*sse*D26</f>
        <v>2858390004.08634</v>
      </c>
      <c r="D26" s="246">
        <f>RP!G27</f>
        <v>334021</v>
      </c>
      <c r="E26" s="54">
        <f t="shared" si="0"/>
        <v>8557.5158570459334</v>
      </c>
      <c r="F26" s="54">
        <f>IF(B26&gt;100,-Einzahlungen!F27,Auszahlungen!F26)/D26</f>
        <v>-13.467916265064723</v>
      </c>
      <c r="G26" s="54">
        <f t="shared" si="1"/>
        <v>8544.0479407808689</v>
      </c>
      <c r="H26" s="55">
        <f t="shared" si="2"/>
        <v>100.6</v>
      </c>
      <c r="J26" s="247">
        <f t="shared" si="3"/>
        <v>65.768633674351804</v>
      </c>
    </row>
    <row r="27" spans="1:10">
      <c r="A27" s="240" t="s">
        <v>68</v>
      </c>
      <c r="B27" s="241">
        <f>RP!I28</f>
        <v>108.40947306887134</v>
      </c>
      <c r="C27" s="50">
        <f>RP!H28/RP!$H$33*sse*D27</f>
        <v>6481749785.753397</v>
      </c>
      <c r="D27" s="242">
        <f>RP!G28</f>
        <v>704089.66666666663</v>
      </c>
      <c r="E27" s="50">
        <f t="shared" si="0"/>
        <v>9205.8584191976461</v>
      </c>
      <c r="F27" s="50">
        <f>IF(B27&gt;100,-Einzahlungen!F28,Auszahlungen!F27)/D27</f>
        <v>-146.233686972301</v>
      </c>
      <c r="G27" s="50">
        <f t="shared" si="1"/>
        <v>9059.6247322253457</v>
      </c>
      <c r="H27" s="51">
        <f t="shared" si="2"/>
        <v>106.7</v>
      </c>
      <c r="J27" s="243">
        <f t="shared" si="3"/>
        <v>714.11119582606443</v>
      </c>
    </row>
    <row r="28" spans="1:10">
      <c r="A28" s="244" t="s">
        <v>69</v>
      </c>
      <c r="B28" s="245">
        <f>RP!I29</f>
        <v>70.431939836149894</v>
      </c>
      <c r="C28" s="54">
        <f>RP!H29/RP!$H$33*sse*D28</f>
        <v>1825267711.5838761</v>
      </c>
      <c r="D28" s="246">
        <f>RP!G29</f>
        <v>305182.66666666669</v>
      </c>
      <c r="E28" s="54">
        <f t="shared" si="0"/>
        <v>5980.9022954030024</v>
      </c>
      <c r="F28" s="54">
        <f>IF(B28&gt;100,-Einzahlungen!F29,Auszahlungen!F28)/D28</f>
        <v>1453.7373230349274</v>
      </c>
      <c r="G28" s="54">
        <f t="shared" si="1"/>
        <v>7434.63961843793</v>
      </c>
      <c r="H28" s="55">
        <f t="shared" si="2"/>
        <v>87.6</v>
      </c>
      <c r="J28" s="247">
        <f t="shared" si="3"/>
        <v>-2510.8449279685792</v>
      </c>
    </row>
    <row r="29" spans="1:10">
      <c r="A29" s="240" t="s">
        <v>70</v>
      </c>
      <c r="B29" s="241">
        <f>RP!I30</f>
        <v>90.222354139836298</v>
      </c>
      <c r="C29" s="50">
        <f>RP!H30/RP!$H$33*sse*D29</f>
        <v>1317095923.4609418</v>
      </c>
      <c r="D29" s="242">
        <f>RP!G30</f>
        <v>171912</v>
      </c>
      <c r="E29" s="50">
        <f t="shared" si="0"/>
        <v>7661.4542525300258</v>
      </c>
      <c r="F29" s="50">
        <f>IF(B29&gt;100,-Einzahlungen!F30,Auszahlungen!F29)/D29</f>
        <v>274.74521643842127</v>
      </c>
      <c r="G29" s="50">
        <f t="shared" si="1"/>
        <v>7936.199468968447</v>
      </c>
      <c r="H29" s="51">
        <f t="shared" si="2"/>
        <v>93.5</v>
      </c>
      <c r="J29" s="243">
        <f t="shared" si="3"/>
        <v>-830.29297084155587</v>
      </c>
    </row>
    <row r="30" spans="1:10">
      <c r="A30" s="244" t="s">
        <v>71</v>
      </c>
      <c r="B30" s="245">
        <f>RP!I31</f>
        <v>147.02785757239084</v>
      </c>
      <c r="C30" s="54">
        <f>RP!H31/RP!$H$33*sse*D30</f>
        <v>5659311035.1510668</v>
      </c>
      <c r="D30" s="246">
        <f>RP!G31</f>
        <v>453280.33333333331</v>
      </c>
      <c r="E30" s="54">
        <f t="shared" si="0"/>
        <v>12485.234012986224</v>
      </c>
      <c r="F30" s="54">
        <f>IF(B30&gt;100,-Einzahlungen!F31,Auszahlungen!F30)/D30</f>
        <v>-817.77501954018987</v>
      </c>
      <c r="G30" s="54">
        <f t="shared" si="1"/>
        <v>11667.458993446035</v>
      </c>
      <c r="H30" s="55">
        <f t="shared" si="2"/>
        <v>137.4</v>
      </c>
      <c r="J30" s="247">
        <f t="shared" si="3"/>
        <v>3993.4867896146425</v>
      </c>
    </row>
    <row r="31" spans="1:10">
      <c r="A31" s="240" t="s">
        <v>72</v>
      </c>
      <c r="B31" s="248">
        <f>RP!I32</f>
        <v>62.536669396234188</v>
      </c>
      <c r="C31" s="130">
        <f>RP!H32/RP!$H$33*sse*D31</f>
        <v>364768134.27318817</v>
      </c>
      <c r="D31" s="249">
        <f>RP!G32</f>
        <v>68688.666666666672</v>
      </c>
      <c r="E31" s="130">
        <f t="shared" si="0"/>
        <v>5310.4558870437841</v>
      </c>
      <c r="F31" s="130">
        <f>IF(B31&gt;100,-Einzahlungen!F32,Auszahlungen!F31)/D31</f>
        <v>2076.0267458239505</v>
      </c>
      <c r="G31" s="130">
        <f t="shared" si="1"/>
        <v>7386.4826328677345</v>
      </c>
      <c r="H31" s="250">
        <f t="shared" si="2"/>
        <v>87</v>
      </c>
      <c r="J31" s="251">
        <f t="shared" si="3"/>
        <v>-3181.2913363277976</v>
      </c>
    </row>
    <row r="32" spans="1:10" s="77" customFormat="1" ht="15" customHeight="1">
      <c r="A32" s="197" t="s">
        <v>113</v>
      </c>
      <c r="B32" s="221">
        <f>RP!I33</f>
        <v>100</v>
      </c>
      <c r="C32" s="199">
        <f>SUM(C6:C31)</f>
        <v>66207053612.891685</v>
      </c>
      <c r="D32" s="252">
        <f>SUM(D6:D31)</f>
        <v>7796634.9999999991</v>
      </c>
      <c r="E32" s="199">
        <f t="shared" si="0"/>
        <v>8491.7472233715816</v>
      </c>
      <c r="F32" s="199"/>
      <c r="G32" s="199"/>
      <c r="H32" s="253"/>
      <c r="J32" s="254">
        <f t="shared" si="3"/>
        <v>0</v>
      </c>
    </row>
    <row r="33" spans="1:10" s="255" customFormat="1" ht="18.75" customHeight="1">
      <c r="A33" s="256" t="s">
        <v>125</v>
      </c>
      <c r="B33" s="257">
        <f>MIN(B6:B31)</f>
        <v>61.204502918292746</v>
      </c>
      <c r="C33" s="257"/>
      <c r="D33" s="258"/>
      <c r="E33" s="259"/>
      <c r="F33" s="259"/>
      <c r="G33" s="259"/>
      <c r="H33" s="260">
        <f>MIN(H6:H31)</f>
        <v>87</v>
      </c>
    </row>
    <row r="34" spans="1:10" s="1" customFormat="1" ht="14.25" customHeight="1">
      <c r="A34" s="56"/>
      <c r="B34" s="261"/>
      <c r="C34" s="261"/>
      <c r="D34" s="262"/>
      <c r="E34" s="29"/>
      <c r="F34" s="29"/>
      <c r="G34" s="29"/>
      <c r="H34" s="261"/>
    </row>
    <row r="35" spans="1:10" ht="26.25" customHeight="1">
      <c r="A35" s="302" t="str">
        <f>"Standardisierter Steuersatz "&amp;Info!C30</f>
        <v>Standardisierter Steuersatz 2014</v>
      </c>
      <c r="B35" s="302"/>
      <c r="C35" s="302"/>
      <c r="D35" s="302"/>
      <c r="E35" s="302"/>
      <c r="F35" s="302"/>
      <c r="G35" s="302"/>
      <c r="H35" s="302"/>
    </row>
    <row r="36" spans="1:10" ht="15.75" customHeight="1">
      <c r="A36" s="181"/>
      <c r="B36" s="263"/>
      <c r="C36" s="263"/>
      <c r="D36" s="264" t="s">
        <v>43</v>
      </c>
      <c r="E36" s="265" t="s">
        <v>35</v>
      </c>
      <c r="F36" s="266">
        <v>2008</v>
      </c>
      <c r="G36" s="267">
        <v>2009</v>
      </c>
      <c r="H36" s="268">
        <v>2010</v>
      </c>
      <c r="I36" s="269"/>
      <c r="J36" s="270" t="str">
        <f>F36&amp;" - "&amp;H36</f>
        <v>2008 - 2010</v>
      </c>
    </row>
    <row r="37" spans="1:10" ht="15" customHeight="1">
      <c r="A37" s="256" t="s">
        <v>126</v>
      </c>
      <c r="B37" s="263"/>
      <c r="C37" s="263"/>
      <c r="D37" s="264" t="s">
        <v>44</v>
      </c>
      <c r="E37" s="265"/>
      <c r="F37" s="271">
        <v>62753030.612740003</v>
      </c>
      <c r="G37" s="272">
        <v>63132563.661569998</v>
      </c>
      <c r="H37" s="273">
        <v>63678656.8441597</v>
      </c>
      <c r="I37" s="274"/>
      <c r="J37" s="275"/>
    </row>
    <row r="38" spans="1:10" ht="15" customHeight="1">
      <c r="A38" s="256" t="s">
        <v>127</v>
      </c>
      <c r="B38" s="263"/>
      <c r="C38" s="263"/>
      <c r="D38" s="264" t="s">
        <v>44</v>
      </c>
      <c r="E38" s="265"/>
      <c r="F38" s="271">
        <v>17512559.552239999</v>
      </c>
      <c r="G38" s="272">
        <v>17877366.595260002</v>
      </c>
      <c r="H38" s="273">
        <v>17886013.38312</v>
      </c>
      <c r="I38" s="276"/>
      <c r="J38" s="277"/>
    </row>
    <row r="39" spans="1:10" ht="15" customHeight="1">
      <c r="A39" s="256" t="s">
        <v>128</v>
      </c>
      <c r="B39" s="263"/>
      <c r="C39" s="263"/>
      <c r="D39" s="264" t="s">
        <v>44</v>
      </c>
      <c r="E39" s="265" t="s">
        <v>129</v>
      </c>
      <c r="F39" s="278">
        <f>0.17*F38</f>
        <v>2977135.1238807999</v>
      </c>
      <c r="G39" s="279">
        <f>0.17*G38</f>
        <v>3039152.3211942003</v>
      </c>
      <c r="H39" s="280">
        <f>0.17*H38</f>
        <v>3040622.2751304004</v>
      </c>
      <c r="I39" s="281"/>
      <c r="J39" s="282"/>
    </row>
    <row r="40" spans="1:10" ht="15.75" customHeight="1">
      <c r="A40" s="283" t="s">
        <v>130</v>
      </c>
      <c r="B40" s="284"/>
      <c r="C40" s="284"/>
      <c r="D40" s="285" t="s">
        <v>44</v>
      </c>
      <c r="E40" s="286" t="s">
        <v>131</v>
      </c>
      <c r="F40" s="287">
        <f>F37+F39</f>
        <v>65730165.736620799</v>
      </c>
      <c r="G40" s="288">
        <f>G37+G39</f>
        <v>66171715.982764199</v>
      </c>
      <c r="H40" s="288">
        <f>H37+H39</f>
        <v>66719279.119290099</v>
      </c>
      <c r="I40" s="142"/>
      <c r="J40" s="289">
        <f>AVERAGE(F40:H40)</f>
        <v>66207053.612891696</v>
      </c>
    </row>
    <row r="41" spans="1:10" ht="15" customHeight="1">
      <c r="A41" s="181" t="s">
        <v>132</v>
      </c>
      <c r="B41" s="263"/>
      <c r="C41" s="263"/>
      <c r="D41" s="264" t="s">
        <v>105</v>
      </c>
      <c r="E41" s="265"/>
      <c r="F41" s="278"/>
      <c r="G41" s="279"/>
      <c r="H41" s="279"/>
      <c r="I41" s="290"/>
      <c r="J41" s="280">
        <f>BEV!F33</f>
        <v>7796634.9999999991</v>
      </c>
    </row>
    <row r="42" spans="1:10" ht="15.75" customHeight="1">
      <c r="A42" s="283" t="s">
        <v>133</v>
      </c>
      <c r="B42" s="284"/>
      <c r="C42" s="284"/>
      <c r="D42" s="285" t="s">
        <v>46</v>
      </c>
      <c r="E42" s="286" t="s">
        <v>134</v>
      </c>
      <c r="F42" s="291"/>
      <c r="G42" s="142"/>
      <c r="H42" s="142"/>
      <c r="I42" s="142"/>
      <c r="J42" s="292">
        <f>J40/J41*1000</f>
        <v>8491.7472233715835</v>
      </c>
    </row>
    <row r="43" spans="1:10" ht="15" customHeight="1">
      <c r="A43" s="181" t="s">
        <v>135</v>
      </c>
      <c r="B43" s="263"/>
      <c r="C43" s="263"/>
      <c r="D43" s="264" t="s">
        <v>46</v>
      </c>
      <c r="E43" s="265"/>
      <c r="F43" s="269"/>
      <c r="G43" s="290"/>
      <c r="H43" s="290"/>
      <c r="I43" s="290"/>
      <c r="J43" s="280">
        <f>RP!H33</f>
        <v>30366.168564906162</v>
      </c>
    </row>
    <row r="44" spans="1:10" ht="15.75" customHeight="1">
      <c r="A44" s="283" t="s">
        <v>136</v>
      </c>
      <c r="B44" s="284"/>
      <c r="C44" s="284"/>
      <c r="D44" s="285" t="s">
        <v>79</v>
      </c>
      <c r="E44" s="286" t="s">
        <v>137</v>
      </c>
      <c r="F44" s="291"/>
      <c r="G44" s="142"/>
      <c r="H44" s="142"/>
      <c r="I44" s="142"/>
      <c r="J44" s="293">
        <f>sse/J43</f>
        <v>0.27964500049523533</v>
      </c>
    </row>
    <row r="48" spans="1:10">
      <c r="A48" s="294"/>
    </row>
  </sheetData>
  <mergeCells count="2">
    <mergeCell ref="A1:E1"/>
    <mergeCell ref="A35:H35"/>
  </mergeCells>
  <conditionalFormatting sqref="J43">
    <cfRule type="expression" dxfId="1" priority="1" stopIfTrue="1">
      <formula>ISBLANK($F$12)</formula>
    </cfRule>
  </conditionalFormatting>
  <conditionalFormatting sqref="F36:H38">
    <cfRule type="expression" dxfId="0" priority="2" stopIfTrue="1">
      <formula>ISBLANK(F36)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3" orientation="landscape" r:id="rId1"/>
  <headerFooter>
    <oddHeader>&amp;L&amp;F&amp;R&amp;A</oddHeader>
    <oddFooter>&amp;CSeite &amp;P von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8</vt:i4>
      </vt:variant>
      <vt:variant>
        <vt:lpstr>Benannte Bereiche</vt:lpstr>
      </vt:variant>
      <vt:variant>
        <vt:i4>14</vt:i4>
      </vt:variant>
    </vt:vector>
  </HeadingPairs>
  <TitlesOfParts>
    <vt:vector size="22" baseType="lpstr">
      <vt:lpstr>Info</vt:lpstr>
      <vt:lpstr>RP</vt:lpstr>
      <vt:lpstr>BEV</vt:lpstr>
      <vt:lpstr>Wachstum_RP</vt:lpstr>
      <vt:lpstr>Dotation_RA</vt:lpstr>
      <vt:lpstr>Einzahlungen</vt:lpstr>
      <vt:lpstr>Auszahlungen</vt:lpstr>
      <vt:lpstr>SSE</vt:lpstr>
      <vt:lpstr>A</vt:lpstr>
      <vt:lpstr>B</vt:lpstr>
      <vt:lpstr>BEV</vt:lpstr>
      <vt:lpstr>Druckbereich</vt:lpstr>
      <vt:lpstr>p</vt:lpstr>
      <vt:lpstr>RI</vt:lpstr>
      <vt:lpstr>RI_26</vt:lpstr>
      <vt:lpstr>RI_MIN</vt:lpstr>
      <vt:lpstr>solver_adj</vt:lpstr>
      <vt:lpstr>solver_lhs1</vt:lpstr>
      <vt:lpstr>solver_opt</vt:lpstr>
      <vt:lpstr>solver_rhs1</vt:lpstr>
      <vt:lpstr>sse</vt:lpstr>
      <vt:lpstr>SUM</vt:lpstr>
    </vt:vector>
  </TitlesOfParts>
  <Company>BIT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Utz Pascal EFV</dc:creator>
  <cp:lastModifiedBy>Svetlana Taboga</cp:lastModifiedBy>
  <cp:lastPrinted>2012-02-23T07:29:53Z</cp:lastPrinted>
  <dcterms:created xsi:type="dcterms:W3CDTF">2010-11-03T16:06:04Z</dcterms:created>
  <dcterms:modified xsi:type="dcterms:W3CDTF">2013-10-09T12:55:59Z</dcterms:modified>
</cp:coreProperties>
</file>