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15" windowWidth="20730" windowHeight="6060"/>
  </bookViews>
  <sheets>
    <sheet name="Info" sheetId="1" r:id="rId1"/>
    <sheet name="RP" sheetId="2" r:id="rId2"/>
    <sheet name="BEV" sheetId="3" r:id="rId3"/>
    <sheet name="Wachstum_RP" sheetId="4" r:id="rId4"/>
    <sheet name="Dotation_RA" sheetId="5" r:id="rId5"/>
    <sheet name="Einzahlungen" sheetId="6" r:id="rId6"/>
    <sheet name="Auszahlungen" sheetId="7" r:id="rId7"/>
    <sheet name="SSE" sheetId="8" r:id="rId8"/>
  </sheets>
  <definedNames>
    <definedName name="A">Dotation_RA!$D$25</definedName>
    <definedName name="B">Auszahlungen!$K$12</definedName>
    <definedName name="BEV">Auszahlungen!$C$6:$C$31</definedName>
    <definedName name="_xlnm.Print_Area">Auszahlungen!$A$1:$H$32</definedName>
    <definedName name="p">Auszahlungen!$K$5</definedName>
    <definedName name="RI">Auszahlungen!$B$6:$B$31</definedName>
    <definedName name="RI_26">Auszahlungen!$K$7</definedName>
    <definedName name="RI_MIN">Auszahlungen!$K$8</definedName>
    <definedName name="solver_adj">Auszahlungen!$K$5</definedName>
    <definedName name="solver_cvg">0.0001</definedName>
    <definedName name="solver_drv">1</definedName>
    <definedName name="solver_est">1</definedName>
    <definedName name="solver_itr">1000</definedName>
    <definedName name="solver_lhs1">Auszahlungen!$K$8</definedName>
    <definedName name="solver_lin">2</definedName>
    <definedName name="solver_neg">2</definedName>
    <definedName name="solver_num">1</definedName>
    <definedName name="solver_nwt">1</definedName>
    <definedName name="solver_opt">Auszahlungen!$K$6</definedName>
    <definedName name="solver_pre">0.00000000000001</definedName>
    <definedName name="solver_rel1">2</definedName>
    <definedName name="solver_rhs1">Auszahlungen!$K$7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SSE!$J$42</definedName>
    <definedName name="SUM">Auszahlungen!$D$32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B23" s="1"/>
  <c r="G3"/>
  <c r="D33" i="4"/>
  <c r="E5"/>
  <c r="H5" s="1"/>
  <c r="D5"/>
  <c r="G5" s="1"/>
  <c r="C4"/>
  <c r="I2"/>
  <c r="B1"/>
  <c r="E33" i="3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33" s="1"/>
  <c r="J41" i="8" s="1"/>
  <c r="F5" i="3"/>
  <c r="F1"/>
  <c r="B1"/>
  <c r="E33" i="2"/>
  <c r="D33"/>
  <c r="C33"/>
  <c r="G32"/>
  <c r="F32"/>
  <c r="E32" i="4" s="1"/>
  <c r="F32" s="1"/>
  <c r="G31" i="2"/>
  <c r="F31"/>
  <c r="E31" i="4" s="1"/>
  <c r="F31" s="1"/>
  <c r="G30" i="2"/>
  <c r="F30"/>
  <c r="E30" i="4" s="1"/>
  <c r="F30" s="1"/>
  <c r="G29" i="2"/>
  <c r="F29"/>
  <c r="E29" i="4" s="1"/>
  <c r="F29" s="1"/>
  <c r="G28" i="2"/>
  <c r="F28"/>
  <c r="E28" i="4" s="1"/>
  <c r="F28" s="1"/>
  <c r="G27" i="2"/>
  <c r="F27"/>
  <c r="E27" i="4" s="1"/>
  <c r="F27" s="1"/>
  <c r="G26" i="2"/>
  <c r="F26"/>
  <c r="E26" i="4" s="1"/>
  <c r="F26" s="1"/>
  <c r="G25" i="2"/>
  <c r="F25"/>
  <c r="E25" i="4" s="1"/>
  <c r="F25" s="1"/>
  <c r="G24" i="2"/>
  <c r="F24"/>
  <c r="E24" i="4" s="1"/>
  <c r="F24" s="1"/>
  <c r="G23" i="2"/>
  <c r="F23"/>
  <c r="E23" i="4" s="1"/>
  <c r="F23" s="1"/>
  <c r="G22" i="2"/>
  <c r="F22"/>
  <c r="E22" i="4" s="1"/>
  <c r="F22" s="1"/>
  <c r="G21" i="2"/>
  <c r="F21"/>
  <c r="E21" i="4" s="1"/>
  <c r="F21" s="1"/>
  <c r="G20" i="2"/>
  <c r="F20"/>
  <c r="E20" i="4" s="1"/>
  <c r="F20" s="1"/>
  <c r="G19" i="2"/>
  <c r="F19"/>
  <c r="E19" i="4" s="1"/>
  <c r="F19" s="1"/>
  <c r="G18" i="2"/>
  <c r="F18"/>
  <c r="E18" i="4" s="1"/>
  <c r="F18" s="1"/>
  <c r="G17" i="2"/>
  <c r="F17"/>
  <c r="E17" i="4" s="1"/>
  <c r="F17" s="1"/>
  <c r="G16" i="2"/>
  <c r="F16"/>
  <c r="E16" i="4" s="1"/>
  <c r="F16" s="1"/>
  <c r="G15" i="2"/>
  <c r="F15"/>
  <c r="E15" i="4" s="1"/>
  <c r="F15" s="1"/>
  <c r="G14" i="2"/>
  <c r="F14"/>
  <c r="E14" i="4" s="1"/>
  <c r="F14" s="1"/>
  <c r="G13" i="2"/>
  <c r="F13"/>
  <c r="E13" i="4" s="1"/>
  <c r="F13" s="1"/>
  <c r="G12" i="2"/>
  <c r="F12"/>
  <c r="E12" i="4" s="1"/>
  <c r="F12" s="1"/>
  <c r="G11" i="2"/>
  <c r="F11"/>
  <c r="E11" i="4" s="1"/>
  <c r="F11" s="1"/>
  <c r="G10" i="2"/>
  <c r="F10"/>
  <c r="E10" i="4" s="1"/>
  <c r="F10" s="1"/>
  <c r="G9" i="2"/>
  <c r="F9"/>
  <c r="E9" i="4" s="1"/>
  <c r="F9" s="1"/>
  <c r="G8" i="2"/>
  <c r="F8"/>
  <c r="E8" i="4" s="1"/>
  <c r="F8" s="1"/>
  <c r="G7" i="2"/>
  <c r="F7"/>
  <c r="E5"/>
  <c r="D5"/>
  <c r="C5"/>
  <c r="E4"/>
  <c r="D4"/>
  <c r="C4"/>
  <c r="I1"/>
  <c r="B1"/>
  <c r="A5" i="1"/>
  <c r="D6" i="8" l="1"/>
  <c r="C6" i="7"/>
  <c r="G33" i="2"/>
  <c r="C32" i="7" s="1"/>
  <c r="C7" i="6"/>
  <c r="D7" i="8"/>
  <c r="C7" i="7"/>
  <c r="C8" i="6"/>
  <c r="D8" i="8"/>
  <c r="C8" i="7"/>
  <c r="C9" i="6"/>
  <c r="D9" i="8"/>
  <c r="C9" i="7"/>
  <c r="C10" i="6"/>
  <c r="D10" i="8"/>
  <c r="C10" i="7"/>
  <c r="C11" i="6"/>
  <c r="D11" i="8"/>
  <c r="C11" i="7"/>
  <c r="C12" i="6"/>
  <c r="D12" i="8"/>
  <c r="C12" i="7"/>
  <c r="C13" i="6"/>
  <c r="D13" i="8"/>
  <c r="C14" i="6"/>
  <c r="C13" i="7"/>
  <c r="D14" i="8"/>
  <c r="C15" i="6"/>
  <c r="C14" i="7"/>
  <c r="D15" i="8"/>
  <c r="C15" i="7"/>
  <c r="C16" i="6"/>
  <c r="D16" i="8"/>
  <c r="C17" i="6"/>
  <c r="C16" i="7"/>
  <c r="D18" i="8"/>
  <c r="C19" i="6"/>
  <c r="C18" i="7"/>
  <c r="E7" i="4"/>
  <c r="F33" i="2"/>
  <c r="H33" s="1"/>
  <c r="D17" i="8"/>
  <c r="C17" i="7"/>
  <c r="C18" i="6"/>
  <c r="D19" i="8"/>
  <c r="C19" i="7"/>
  <c r="C20" i="6"/>
  <c r="J42" i="8"/>
  <c r="H7" i="2"/>
  <c r="H8"/>
  <c r="H9"/>
  <c r="H10"/>
  <c r="H11"/>
  <c r="H12"/>
  <c r="H13"/>
  <c r="H14"/>
  <c r="H15"/>
  <c r="H16"/>
  <c r="D20" i="8"/>
  <c r="C21" i="6"/>
  <c r="D21" i="8"/>
  <c r="C21" i="7"/>
  <c r="D22" i="8"/>
  <c r="C23" i="6"/>
  <c r="D23" i="8"/>
  <c r="C23" i="7"/>
  <c r="D24" i="8"/>
  <c r="C25" i="6"/>
  <c r="D25" i="8"/>
  <c r="C25" i="7"/>
  <c r="D26" i="8"/>
  <c r="C27" i="6"/>
  <c r="D27" i="8"/>
  <c r="C27" i="7"/>
  <c r="D28" i="8"/>
  <c r="C29" i="6"/>
  <c r="D29" i="8"/>
  <c r="C29" i="7"/>
  <c r="D30" i="8"/>
  <c r="C31" i="6"/>
  <c r="D31" i="8"/>
  <c r="C31" i="7"/>
  <c r="D12" i="5"/>
  <c r="C22" i="6"/>
  <c r="C26"/>
  <c r="C30"/>
  <c r="C22" i="7"/>
  <c r="C26"/>
  <c r="C30"/>
  <c r="H17" i="2"/>
  <c r="H18"/>
  <c r="H19"/>
  <c r="H20"/>
  <c r="H21"/>
  <c r="H22"/>
  <c r="H23"/>
  <c r="H24"/>
  <c r="H25"/>
  <c r="H26"/>
  <c r="H27"/>
  <c r="H28"/>
  <c r="H29"/>
  <c r="H30"/>
  <c r="H31"/>
  <c r="H32"/>
  <c r="B1" i="5"/>
  <c r="C4"/>
  <c r="C24" i="6"/>
  <c r="C28"/>
  <c r="C32"/>
  <c r="C20" i="7"/>
  <c r="C24"/>
  <c r="C28"/>
  <c r="B28" i="5" l="1"/>
  <c r="C12"/>
  <c r="C31" i="8"/>
  <c r="E31" s="1"/>
  <c r="I32" i="2"/>
  <c r="C29" i="8"/>
  <c r="E29" s="1"/>
  <c r="I30" i="2"/>
  <c r="C27" i="8"/>
  <c r="E27" s="1"/>
  <c r="I28" i="2"/>
  <c r="C25" i="8"/>
  <c r="E25" s="1"/>
  <c r="I26" i="2"/>
  <c r="C23" i="8"/>
  <c r="E23" s="1"/>
  <c r="I24" i="2"/>
  <c r="C21" i="8"/>
  <c r="E21" s="1"/>
  <c r="I22" i="2"/>
  <c r="C19" i="8"/>
  <c r="E19" s="1"/>
  <c r="I20" i="2"/>
  <c r="C17" i="8"/>
  <c r="E17" s="1"/>
  <c r="I18" i="2"/>
  <c r="C14" i="8"/>
  <c r="E14" s="1"/>
  <c r="I15" i="2"/>
  <c r="C12" i="8"/>
  <c r="E12" s="1"/>
  <c r="I13" i="2"/>
  <c r="C10" i="8"/>
  <c r="E10" s="1"/>
  <c r="I11" i="2"/>
  <c r="C8" i="8"/>
  <c r="E8" s="1"/>
  <c r="I9" i="2"/>
  <c r="C6" i="8"/>
  <c r="I7" i="2"/>
  <c r="J43" i="8"/>
  <c r="J44" s="1"/>
  <c r="I33" i="2"/>
  <c r="D32" i="8"/>
  <c r="C30"/>
  <c r="E30" s="1"/>
  <c r="I31" i="2"/>
  <c r="C28" i="8"/>
  <c r="E28" s="1"/>
  <c r="I29" i="2"/>
  <c r="C26" i="8"/>
  <c r="E26" s="1"/>
  <c r="I27" i="2"/>
  <c r="C24" i="8"/>
  <c r="E24" s="1"/>
  <c r="I25" i="2"/>
  <c r="C22" i="8"/>
  <c r="E22" s="1"/>
  <c r="I23" i="2"/>
  <c r="C20" i="8"/>
  <c r="E20" s="1"/>
  <c r="I21" i="2"/>
  <c r="C18" i="8"/>
  <c r="E18" s="1"/>
  <c r="I19" i="2"/>
  <c r="C16" i="8"/>
  <c r="E16" s="1"/>
  <c r="I17" i="2"/>
  <c r="C15" i="8"/>
  <c r="E15" s="1"/>
  <c r="I16" i="2"/>
  <c r="C13" i="8"/>
  <c r="E13" s="1"/>
  <c r="I14" i="2"/>
  <c r="C11" i="8"/>
  <c r="E11" s="1"/>
  <c r="I12" i="2"/>
  <c r="C9" i="8"/>
  <c r="E9" s="1"/>
  <c r="I10" i="2"/>
  <c r="C7" i="8"/>
  <c r="E7" s="1"/>
  <c r="I8" i="2"/>
  <c r="E33" i="4"/>
  <c r="F33" s="1"/>
  <c r="D5" i="5" s="1"/>
  <c r="E5" s="1"/>
  <c r="G5" s="1"/>
  <c r="F7" i="4"/>
  <c r="C33" i="6"/>
  <c r="D24" i="5" l="1"/>
  <c r="D15"/>
  <c r="D13"/>
  <c r="B7" i="8"/>
  <c r="B7" i="7"/>
  <c r="B8" i="6"/>
  <c r="C8" i="4"/>
  <c r="B9" i="8"/>
  <c r="B9" i="7"/>
  <c r="B10" i="6"/>
  <c r="C10" i="4"/>
  <c r="B11" i="8"/>
  <c r="B11" i="7"/>
  <c r="B12" i="6"/>
  <c r="C12" i="4"/>
  <c r="B13" i="8"/>
  <c r="B13" i="7"/>
  <c r="B14" i="6"/>
  <c r="C14" i="4"/>
  <c r="B15" i="8"/>
  <c r="B16" i="6"/>
  <c r="B15" i="7"/>
  <c r="C16" i="4"/>
  <c r="B16" i="8"/>
  <c r="B16" i="7"/>
  <c r="B17" i="6"/>
  <c r="C17" i="4"/>
  <c r="B18" i="8"/>
  <c r="B18" i="7"/>
  <c r="B19" i="6"/>
  <c r="C19" i="4"/>
  <c r="B20" i="8"/>
  <c r="B20" i="7"/>
  <c r="B21" i="6"/>
  <c r="C21" i="4"/>
  <c r="B22" i="8"/>
  <c r="B22" i="7"/>
  <c r="B23" i="6"/>
  <c r="C23" i="4"/>
  <c r="B24" i="8"/>
  <c r="B24" i="7"/>
  <c r="B25" i="6"/>
  <c r="C25" i="4"/>
  <c r="B26" i="8"/>
  <c r="B26" i="7"/>
  <c r="B27" i="6"/>
  <c r="C27" i="4"/>
  <c r="B28" i="8"/>
  <c r="B28" i="7"/>
  <c r="B29" i="6"/>
  <c r="C29" i="4"/>
  <c r="B30" i="8"/>
  <c r="B30" i="7"/>
  <c r="B31" i="6"/>
  <c r="C31" i="4"/>
  <c r="E6" i="8"/>
  <c r="C32"/>
  <c r="E32" s="1"/>
  <c r="J8"/>
  <c r="J10"/>
  <c r="J12"/>
  <c r="J14"/>
  <c r="J17"/>
  <c r="J19"/>
  <c r="J21"/>
  <c r="J23"/>
  <c r="J25"/>
  <c r="J27"/>
  <c r="J29"/>
  <c r="J31"/>
  <c r="J7"/>
  <c r="J11"/>
  <c r="J15"/>
  <c r="J16"/>
  <c r="J18"/>
  <c r="J20"/>
  <c r="J22"/>
  <c r="J24"/>
  <c r="J26"/>
  <c r="J28"/>
  <c r="J30"/>
  <c r="B32"/>
  <c r="B32" i="7"/>
  <c r="B33" i="6"/>
  <c r="C33" i="4"/>
  <c r="B6" i="8"/>
  <c r="B6" i="7"/>
  <c r="B7" i="6"/>
  <c r="C7" i="4"/>
  <c r="B8" i="8"/>
  <c r="B8" i="7"/>
  <c r="B9" i="6"/>
  <c r="C9" i="4"/>
  <c r="B10" i="8"/>
  <c r="B10" i="7"/>
  <c r="B11" i="6"/>
  <c r="C11" i="4"/>
  <c r="B12" i="8"/>
  <c r="B12" i="7"/>
  <c r="B13" i="6"/>
  <c r="C13" i="4"/>
  <c r="B14" i="8"/>
  <c r="B14" i="7"/>
  <c r="B15" i="6"/>
  <c r="C15" i="4"/>
  <c r="B17" i="8"/>
  <c r="B18" i="6"/>
  <c r="B17" i="7"/>
  <c r="C18" i="4"/>
  <c r="B19" i="8"/>
  <c r="B20" i="6"/>
  <c r="B19" i="7"/>
  <c r="C20" i="4"/>
  <c r="B21" i="8"/>
  <c r="B22" i="6"/>
  <c r="B21" i="7"/>
  <c r="C22" i="4"/>
  <c r="B23" i="8"/>
  <c r="B24" i="6"/>
  <c r="B23" i="7"/>
  <c r="C24" i="4"/>
  <c r="B25" i="8"/>
  <c r="B26" i="6"/>
  <c r="B25" i="7"/>
  <c r="C26" i="4"/>
  <c r="B27" i="8"/>
  <c r="B28" i="6"/>
  <c r="B27" i="7"/>
  <c r="C28" i="4"/>
  <c r="B29" i="8"/>
  <c r="B30" i="6"/>
  <c r="B29" i="7"/>
  <c r="C30" i="4"/>
  <c r="B31" i="8"/>
  <c r="B32" i="6"/>
  <c r="B31" i="7"/>
  <c r="C32" i="4"/>
  <c r="D29" i="7" l="1"/>
  <c r="E27"/>
  <c r="F27" s="1"/>
  <c r="D27"/>
  <c r="D23"/>
  <c r="E19"/>
  <c r="F19" s="1"/>
  <c r="D19"/>
  <c r="D15" i="6"/>
  <c r="D13"/>
  <c r="B33" i="8"/>
  <c r="I32" i="4"/>
  <c r="G32"/>
  <c r="H32"/>
  <c r="D32" i="6"/>
  <c r="E32"/>
  <c r="F32" s="1"/>
  <c r="I30" i="4"/>
  <c r="G30"/>
  <c r="H30"/>
  <c r="D30" i="6"/>
  <c r="E30"/>
  <c r="F30" s="1"/>
  <c r="G28" i="4"/>
  <c r="H28"/>
  <c r="I28" s="1"/>
  <c r="D28" i="6"/>
  <c r="I26" i="4"/>
  <c r="G26"/>
  <c r="H26"/>
  <c r="D26" i="6"/>
  <c r="E26"/>
  <c r="F26" s="1"/>
  <c r="I24" i="4"/>
  <c r="G24"/>
  <c r="H24"/>
  <c r="D24" i="6"/>
  <c r="E24"/>
  <c r="F24" s="1"/>
  <c r="I22" i="4"/>
  <c r="G22"/>
  <c r="H22"/>
  <c r="D22" i="6"/>
  <c r="E22"/>
  <c r="F22" s="1"/>
  <c r="G20" i="4"/>
  <c r="H20"/>
  <c r="I20" s="1"/>
  <c r="D20" i="6"/>
  <c r="G18" i="4"/>
  <c r="H18"/>
  <c r="D18" i="6"/>
  <c r="G15" i="4"/>
  <c r="H15"/>
  <c r="I15" s="1"/>
  <c r="D14" i="7"/>
  <c r="E14"/>
  <c r="F14" s="1"/>
  <c r="G13" i="4"/>
  <c r="H13"/>
  <c r="I13" s="1"/>
  <c r="D12" i="7"/>
  <c r="E12"/>
  <c r="F12" s="1"/>
  <c r="G11" i="4"/>
  <c r="H11"/>
  <c r="I11" s="1"/>
  <c r="D10" i="7"/>
  <c r="E10"/>
  <c r="F10" s="1"/>
  <c r="I9" i="4"/>
  <c r="G9"/>
  <c r="H9"/>
  <c r="D8" i="7"/>
  <c r="G7" i="4"/>
  <c r="H7"/>
  <c r="K7" i="7"/>
  <c r="E6"/>
  <c r="F6" s="1"/>
  <c r="D6"/>
  <c r="J32" i="8"/>
  <c r="K13" i="7"/>
  <c r="G31" i="4"/>
  <c r="H31"/>
  <c r="D30" i="7"/>
  <c r="E30"/>
  <c r="F30" s="1"/>
  <c r="I29" i="4"/>
  <c r="G29"/>
  <c r="H29"/>
  <c r="D28" i="7"/>
  <c r="G27" i="4"/>
  <c r="H27"/>
  <c r="D26" i="7"/>
  <c r="E26"/>
  <c r="F26" s="1"/>
  <c r="I25" i="4"/>
  <c r="G25"/>
  <c r="H25"/>
  <c r="D24" i="7"/>
  <c r="I23" i="4"/>
  <c r="G23"/>
  <c r="H23"/>
  <c r="D22" i="7"/>
  <c r="I21" i="4"/>
  <c r="G21"/>
  <c r="H21"/>
  <c r="D20" i="7"/>
  <c r="I19" i="4"/>
  <c r="G19"/>
  <c r="H19"/>
  <c r="D18" i="7"/>
  <c r="I17" i="4"/>
  <c r="G17"/>
  <c r="H17"/>
  <c r="D16" i="7"/>
  <c r="I16" i="4"/>
  <c r="G16"/>
  <c r="H16"/>
  <c r="D16" i="6"/>
  <c r="E16"/>
  <c r="F16" s="1"/>
  <c r="I14" i="4"/>
  <c r="G14"/>
  <c r="H14"/>
  <c r="D13" i="7"/>
  <c r="I12" i="4"/>
  <c r="G12"/>
  <c r="H12"/>
  <c r="D11" i="7"/>
  <c r="I10" i="4"/>
  <c r="G10"/>
  <c r="H10"/>
  <c r="D9" i="7"/>
  <c r="I8" i="4"/>
  <c r="G8"/>
  <c r="H8"/>
  <c r="D7" i="7"/>
  <c r="C29" i="5"/>
  <c r="D31" i="7"/>
  <c r="D25"/>
  <c r="D21"/>
  <c r="E17"/>
  <c r="F17" s="1"/>
  <c r="D17"/>
  <c r="D11" i="6"/>
  <c r="D9"/>
  <c r="E9"/>
  <c r="F9" s="1"/>
  <c r="D7"/>
  <c r="J6" i="8"/>
  <c r="D31" i="6"/>
  <c r="E29"/>
  <c r="F29" s="1"/>
  <c r="D29"/>
  <c r="D27"/>
  <c r="E25"/>
  <c r="F25" s="1"/>
  <c r="D25"/>
  <c r="E23"/>
  <c r="F23" s="1"/>
  <c r="D23"/>
  <c r="E21"/>
  <c r="F21" s="1"/>
  <c r="D21"/>
  <c r="E19"/>
  <c r="F19" s="1"/>
  <c r="D19"/>
  <c r="E17"/>
  <c r="F17" s="1"/>
  <c r="D17"/>
  <c r="D15" i="7"/>
  <c r="E14" i="6"/>
  <c r="F14" s="1"/>
  <c r="D14"/>
  <c r="E12"/>
  <c r="F12" s="1"/>
  <c r="D12"/>
  <c r="E10"/>
  <c r="F10" s="1"/>
  <c r="D10"/>
  <c r="E8"/>
  <c r="F8" s="1"/>
  <c r="D8"/>
  <c r="J13" i="8"/>
  <c r="J9"/>
  <c r="D33" i="6" l="1"/>
  <c r="I27" i="4"/>
  <c r="I31"/>
  <c r="I18"/>
  <c r="H33"/>
  <c r="I7"/>
  <c r="D32" i="7"/>
  <c r="G33" i="4"/>
  <c r="I33" l="1"/>
  <c r="D6" i="5" s="1"/>
  <c r="E6" s="1"/>
  <c r="G6" s="1"/>
  <c r="D25" l="1"/>
  <c r="D14"/>
  <c r="C30" l="1"/>
  <c r="E13" i="6"/>
  <c r="F13" s="1"/>
  <c r="F12" i="8" s="1"/>
  <c r="G12" s="1"/>
  <c r="H12" s="1"/>
  <c r="E18" i="6"/>
  <c r="F18" s="1"/>
  <c r="F17" i="8" s="1"/>
  <c r="G17" s="1"/>
  <c r="H17" s="1"/>
  <c r="E11" i="6"/>
  <c r="F11" s="1"/>
  <c r="F10" i="8" s="1"/>
  <c r="G10" s="1"/>
  <c r="H10" s="1"/>
  <c r="E7" i="6"/>
  <c r="F7" s="1"/>
  <c r="D26" i="5"/>
  <c r="E31" i="6"/>
  <c r="F31" s="1"/>
  <c r="F30" i="8" s="1"/>
  <c r="G30" s="1"/>
  <c r="H30" s="1"/>
  <c r="E15" i="6"/>
  <c r="F15" s="1"/>
  <c r="F14" i="8" s="1"/>
  <c r="G14" s="1"/>
  <c r="H14" s="1"/>
  <c r="E28" i="6"/>
  <c r="F28" s="1"/>
  <c r="F27" i="8" s="1"/>
  <c r="G27" s="1"/>
  <c r="H27" s="1"/>
  <c r="E20" i="6"/>
  <c r="F20" s="1"/>
  <c r="F19" i="8" s="1"/>
  <c r="G19" s="1"/>
  <c r="H19" s="1"/>
  <c r="E27" i="6"/>
  <c r="F27" s="1"/>
  <c r="F26" i="8" s="1"/>
  <c r="G26" s="1"/>
  <c r="H26" s="1"/>
  <c r="K12" i="7" l="1"/>
  <c r="C31" i="5"/>
  <c r="F33" i="6"/>
  <c r="F6" i="8"/>
  <c r="G6" s="1"/>
  <c r="H6" s="1"/>
  <c r="G26" i="7"/>
  <c r="H26" s="1"/>
  <c r="G6"/>
  <c r="G17"/>
  <c r="H17" s="1"/>
  <c r="G12"/>
  <c r="H12" s="1"/>
  <c r="G14"/>
  <c r="H14" s="1"/>
  <c r="G30"/>
  <c r="H30" s="1"/>
  <c r="G10"/>
  <c r="H10" s="1"/>
  <c r="G19"/>
  <c r="H19" s="1"/>
  <c r="G27"/>
  <c r="H27" s="1"/>
  <c r="H6" l="1"/>
  <c r="E28"/>
  <c r="F28" s="1"/>
  <c r="E24"/>
  <c r="F24" s="1"/>
  <c r="E20"/>
  <c r="F20" s="1"/>
  <c r="E16"/>
  <c r="F16" s="1"/>
  <c r="E13"/>
  <c r="F13" s="1"/>
  <c r="E11"/>
  <c r="F11" s="1"/>
  <c r="E7"/>
  <c r="F7" s="1"/>
  <c r="E31"/>
  <c r="F31" s="1"/>
  <c r="E21"/>
  <c r="F21" s="1"/>
  <c r="E29"/>
  <c r="F29" s="1"/>
  <c r="E23"/>
  <c r="F23" s="1"/>
  <c r="E8"/>
  <c r="F8" s="1"/>
  <c r="E22"/>
  <c r="F22" s="1"/>
  <c r="E18"/>
  <c r="F18" s="1"/>
  <c r="E9"/>
  <c r="F9" s="1"/>
  <c r="E25"/>
  <c r="F25" s="1"/>
  <c r="E15"/>
  <c r="F15" s="1"/>
  <c r="K8"/>
  <c r="K6" s="1"/>
  <c r="F25" i="8" l="1"/>
  <c r="G25" s="1"/>
  <c r="H25" s="1"/>
  <c r="G25" i="7"/>
  <c r="H25" s="1"/>
  <c r="F18" i="8"/>
  <c r="G18" s="1"/>
  <c r="H18" s="1"/>
  <c r="G18" i="7"/>
  <c r="H18" s="1"/>
  <c r="F8" i="8"/>
  <c r="G8" s="1"/>
  <c r="H8" s="1"/>
  <c r="G8" i="7"/>
  <c r="H8" s="1"/>
  <c r="F29" i="8"/>
  <c r="G29" s="1"/>
  <c r="H29" s="1"/>
  <c r="G29" i="7"/>
  <c r="H29" s="1"/>
  <c r="F31" i="8"/>
  <c r="G31" s="1"/>
  <c r="H31" s="1"/>
  <c r="G31" i="7"/>
  <c r="H31" s="1"/>
  <c r="F11" i="8"/>
  <c r="G11" s="1"/>
  <c r="H11" s="1"/>
  <c r="G11" i="7"/>
  <c r="H11" s="1"/>
  <c r="F16" i="8"/>
  <c r="G16" s="1"/>
  <c r="H16" s="1"/>
  <c r="G16" i="7"/>
  <c r="H16" s="1"/>
  <c r="F24" i="8"/>
  <c r="G24" s="1"/>
  <c r="H24" s="1"/>
  <c r="G24" i="7"/>
  <c r="H24" s="1"/>
  <c r="F15" i="8"/>
  <c r="G15" s="1"/>
  <c r="H15" s="1"/>
  <c r="G15" i="7"/>
  <c r="H15" s="1"/>
  <c r="F9" i="8"/>
  <c r="G9" s="1"/>
  <c r="H9" s="1"/>
  <c r="G9" i="7"/>
  <c r="H9" s="1"/>
  <c r="F22" i="8"/>
  <c r="G22" s="1"/>
  <c r="H22" s="1"/>
  <c r="G22" i="7"/>
  <c r="H22" s="1"/>
  <c r="F23" i="8"/>
  <c r="G23" s="1"/>
  <c r="H23" s="1"/>
  <c r="G23" i="7"/>
  <c r="H23" s="1"/>
  <c r="F21" i="8"/>
  <c r="G21" s="1"/>
  <c r="H21" s="1"/>
  <c r="G21" i="7"/>
  <c r="H21" s="1"/>
  <c r="H7"/>
  <c r="F7" i="8"/>
  <c r="G7" s="1"/>
  <c r="H7" s="1"/>
  <c r="F32" i="7"/>
  <c r="G7"/>
  <c r="F13" i="8"/>
  <c r="G13" s="1"/>
  <c r="H13" s="1"/>
  <c r="G13" i="7"/>
  <c r="H13" s="1"/>
  <c r="F20" i="8"/>
  <c r="G20" s="1"/>
  <c r="H20" s="1"/>
  <c r="G20" i="7"/>
  <c r="H20" s="1"/>
  <c r="F28" i="8"/>
  <c r="G28" s="1"/>
  <c r="H28" s="1"/>
  <c r="G28" i="7"/>
  <c r="H28" s="1"/>
  <c r="H32" l="1"/>
  <c r="G32"/>
  <c r="H33" i="8"/>
</calcChain>
</file>

<file path=xl/sharedStrings.xml><?xml version="1.0" encoding="utf-8"?>
<sst xmlns="http://schemas.openxmlformats.org/spreadsheetml/2006/main" count="370" uniqueCount="139">
  <si>
    <t>Ressourcenausgleich</t>
  </si>
  <si>
    <t>(RA)</t>
  </si>
  <si>
    <t>Arbeitsblatt</t>
  </si>
  <si>
    <t>Inhalt</t>
  </si>
  <si>
    <t>RP</t>
  </si>
  <si>
    <t>Ressourcenpotenzial und -index</t>
  </si>
  <si>
    <t>BEV</t>
  </si>
  <si>
    <t>Massgebende Wohnbevölkerung</t>
  </si>
  <si>
    <t>Wachstum_RP</t>
  </si>
  <si>
    <t>Wachstumsraten der Ressourcenpotenziale</t>
  </si>
  <si>
    <t>Dotation_RA</t>
  </si>
  <si>
    <t>Fortschreibung der Dotationen im Ressourcenausgleich</t>
  </si>
  <si>
    <t>Einzahlungen</t>
  </si>
  <si>
    <t>Einzahlungen der ressourcenstarken Kantone</t>
  </si>
  <si>
    <t>Auszahlungen</t>
  </si>
  <si>
    <t>Auszahlungen an die ressourcenschwachen Kantone</t>
  </si>
  <si>
    <t>SSE</t>
  </si>
  <si>
    <t>Standardisierter Steuerertrag und -steuersatz</t>
  </si>
  <si>
    <t>Produktion</t>
  </si>
  <si>
    <t>Umgebung</t>
  </si>
  <si>
    <t>Typ</t>
  </si>
  <si>
    <t>Berechnung</t>
  </si>
  <si>
    <t>WS</t>
  </si>
  <si>
    <t>FA_2013_20120910</t>
  </si>
  <si>
    <t>SWS</t>
  </si>
  <si>
    <t>RA_2013_20120910</t>
  </si>
  <si>
    <t>RefJahr</t>
  </si>
  <si>
    <t>Spalte</t>
  </si>
  <si>
    <t>C</t>
  </si>
  <si>
    <t>D</t>
  </si>
  <si>
    <t>E</t>
  </si>
  <si>
    <t>F</t>
  </si>
  <si>
    <t>G</t>
  </si>
  <si>
    <t>H</t>
  </si>
  <si>
    <t>I</t>
  </si>
  <si>
    <t>Formel</t>
  </si>
  <si>
    <t>(C + D + E) / 3</t>
  </si>
  <si>
    <t>F / G * 1000</t>
  </si>
  <si>
    <t>H / H[total] * 100</t>
  </si>
  <si>
    <t>Ressourcen-potenzial</t>
  </si>
  <si>
    <t>Ressourcen-potenzial pro Einwohner</t>
  </si>
  <si>
    <t>Ressourcenindex</t>
  </si>
  <si>
    <t>Datenquelle</t>
  </si>
  <si>
    <t>Einheit</t>
  </si>
  <si>
    <t>CHF 1'000</t>
  </si>
  <si>
    <t>Personen</t>
  </si>
  <si>
    <t>CHF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</si>
  <si>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</si>
  <si>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</si>
  <si>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</si>
  <si>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</si>
  <si>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</si>
  <si>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</si>
  <si>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</si>
  <si>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</si>
  <si>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</si>
  <si>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</si>
  <si>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</si>
  <si>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</si>
  <si>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</si>
  <si>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</si>
  <si>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</si>
  <si>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</si>
  <si>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</si>
  <si>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</si>
  <si>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</si>
  <si>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</si>
  <si>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</si>
  <si>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</si>
  <si>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</si>
  <si>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</si>
  <si>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</si>
  <si>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</si>
  <si>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</si>
  <si>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Mittlere Wohnbevölkerung</t>
  </si>
  <si>
    <t>BFS</t>
  </si>
  <si>
    <t>Ressourcenpotenzial aller Kantone</t>
  </si>
  <si>
    <t>Ressourcenpotenzial der
ressourcenstarken Kantone</t>
  </si>
  <si>
    <t>Veränderung</t>
  </si>
  <si>
    <t>Punkte</t>
  </si>
  <si>
    <t>Prozent</t>
  </si>
  <si>
    <t>in CHF</t>
  </si>
  <si>
    <t>Dotationen gemäss Fortschreibung</t>
  </si>
  <si>
    <t>Wachstum</t>
  </si>
  <si>
    <t>ordentliche Fortschreibung</t>
  </si>
  <si>
    <t>Anpassung Dotation</t>
  </si>
  <si>
    <t>Vertikaler Ressourcenausgleich</t>
  </si>
  <si>
    <t>Horizontaler Ressourcenausgleich</t>
  </si>
  <si>
    <t>Bandbreite HRA</t>
  </si>
  <si>
    <t>Obere Grenze (80% des VRA)</t>
  </si>
  <si>
    <t>HRA in % des VRA</t>
  </si>
  <si>
    <t>Untere Grenze (2/3 des VRA)</t>
  </si>
  <si>
    <t>HRA: Horizontaler Ressourcenausgleich</t>
  </si>
  <si>
    <t>VRA: Vertikaler Ressourcenausgleich</t>
  </si>
  <si>
    <t>Ressourcenausgleich Total</t>
  </si>
  <si>
    <t>Gesamte Dotation</t>
  </si>
  <si>
    <t>* Nach Anpassung der Dotation</t>
  </si>
  <si>
    <t>B</t>
  </si>
  <si>
    <t>(B - 100) * C</t>
  </si>
  <si>
    <t>Dotation/D[total]*(B-100)</t>
  </si>
  <si>
    <t>E * C</t>
  </si>
  <si>
    <t>Ressourcen-index</t>
  </si>
  <si>
    <t>Massgebende Wohn-bevölkerung</t>
  </si>
  <si>
    <t>Summe der gewichteten Abweichungen</t>
  </si>
  <si>
    <t>Beitrag pro Einwohner</t>
  </si>
  <si>
    <t>Beitrag</t>
  </si>
  <si>
    <t>Einwohner</t>
  </si>
  <si>
    <t>davon horizontaler Ressourcen-ausgleich</t>
  </si>
  <si>
    <t>davon vertikaler Ressourcen-ausgleich</t>
  </si>
  <si>
    <t>Iterative Berechnung
von "p"</t>
  </si>
  <si>
    <t>p</t>
  </si>
  <si>
    <t>p_dach</t>
  </si>
  <si>
    <t>RI_26</t>
  </si>
  <si>
    <t>RI_MIN</t>
  </si>
  <si>
    <t>Schweiz</t>
  </si>
  <si>
    <t>J</t>
  </si>
  <si>
    <t>C / D</t>
  </si>
  <si>
    <t>E + F</t>
  </si>
  <si>
    <t>G / E[total]</t>
  </si>
  <si>
    <t>E - E[total]</t>
  </si>
  <si>
    <t>Standardisierter Steuerertrag</t>
  </si>
  <si>
    <t>Standardisierter Steuerertrag pro Einwohner vor Ausgleich</t>
  </si>
  <si>
    <t>Ressourcen-ausgleich pro Einwohner</t>
  </si>
  <si>
    <t>Standardisierter Steuerertrag pro Einwohner nach Ausgleich</t>
  </si>
  <si>
    <t>Index SSE nach Ausgleich</t>
  </si>
  <si>
    <t>Differenz SSE pro Einwohner vor Ausgleich zum Schweizer Mittel</t>
  </si>
  <si>
    <t>Minimum</t>
  </si>
  <si>
    <r>
      <rPr>
        <sz val="10"/>
        <rFont val="Arial"/>
        <family val="2"/>
      </rPr>
      <t>A   Steuereinnahmen der Kantone und Gemeinden</t>
    </r>
  </si>
  <si>
    <r>
      <rPr>
        <sz val="10"/>
        <rFont val="Arial"/>
        <family val="2"/>
      </rPr>
      <t>B   Einnahmen direkte Bundessteuer (DBSt)</t>
    </r>
  </si>
  <si>
    <r>
      <rPr>
        <sz val="10"/>
        <rFont val="Arial"/>
        <family val="2"/>
      </rPr>
      <t>C   17 % Kantonsanteil an DBSt</t>
    </r>
  </si>
  <si>
    <t>0,17 * B</t>
  </si>
  <si>
    <t>D   Standardisierte Steuerertäge (SSE) total</t>
  </si>
  <si>
    <t>A + C</t>
  </si>
  <si>
    <t>E   Massgebende Wohnbevölkerung</t>
  </si>
  <si>
    <t>F   Standardisierte Steuererträge pro Kopf</t>
  </si>
  <si>
    <t>D / E * 1000</t>
  </si>
  <si>
    <t>G   Ressourcenpotenzial pro Kopf</t>
  </si>
  <si>
    <t>H   Standardisierter Steuersatz (SST)</t>
  </si>
  <si>
    <t>F / G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</si>
</sst>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rgb="FF000000"/>
      <name val="Arial"/>
      <family val="2"/>
    </font>
    <font>
      <i/>
      <sz val="8"/>
      <color rgb="FF0000FF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4" fillId="0" borderId="5" xfId="0" applyFont="1" applyFill="1" applyBorder="1"/>
    <xf numFmtId="1" fontId="5" fillId="0" borderId="6" xfId="0" applyNumberFormat="1" applyFont="1" applyFill="1" applyBorder="1" applyAlignment="1" applyProtection="1">
      <alignment horizontal="left" vertical="top"/>
      <protection locked="0"/>
    </xf>
    <xf numFmtId="1" fontId="5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/>
    <xf numFmtId="1" fontId="5" fillId="0" borderId="9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0" fillId="0" borderId="0" xfId="0" applyFont="1" applyFill="1" applyBorder="1"/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/>
    <xf numFmtId="0" fontId="12" fillId="0" borderId="10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3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0" fontId="0" fillId="0" borderId="15" xfId="0" applyFont="1" applyFill="1" applyBorder="1"/>
    <xf numFmtId="3" fontId="15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1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1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3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7" fillId="0" borderId="17" xfId="0" applyFont="1" applyFill="1" applyBorder="1" applyAlignment="1" applyProtection="1">
      <alignment vertical="top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9" fillId="0" borderId="0" xfId="0" applyFont="1" applyFill="1"/>
    <xf numFmtId="0" fontId="14" fillId="0" borderId="0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" fontId="15" fillId="0" borderId="24" xfId="0" applyNumberFormat="1" applyFont="1" applyFill="1" applyBorder="1" applyProtection="1">
      <protection locked="0"/>
    </xf>
    <xf numFmtId="3" fontId="1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15" fillId="3" borderId="26" xfId="0" applyNumberFormat="1" applyFont="1" applyFill="1" applyBorder="1" applyProtection="1">
      <protection locked="0"/>
    </xf>
    <xf numFmtId="3" fontId="1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15" fillId="0" borderId="26" xfId="0" applyNumberFormat="1" applyFont="1" applyFill="1" applyBorder="1" applyProtection="1">
      <protection locked="0"/>
    </xf>
    <xf numFmtId="3" fontId="1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2" xfId="0" applyNumberFormat="1" applyFont="1" applyFill="1" applyBorder="1"/>
    <xf numFmtId="0" fontId="0" fillId="0" borderId="13" xfId="0" applyFont="1" applyFill="1" applyBorder="1"/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164" fontId="0" fillId="0" borderId="13" xfId="0" applyNumberFormat="1" applyFont="1" applyFill="1" applyBorder="1"/>
    <xf numFmtId="165" fontId="15" fillId="0" borderId="24" xfId="0" applyNumberFormat="1" applyFont="1" applyFill="1" applyBorder="1" applyAlignment="1" applyProtection="1">
      <alignment horizontal="right"/>
      <protection locked="0"/>
    </xf>
    <xf numFmtId="165" fontId="0" fillId="0" borderId="13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1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1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1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1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1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2" xfId="0" applyNumberFormat="1" applyFont="1" applyFill="1" applyBorder="1"/>
    <xf numFmtId="0" fontId="16" fillId="0" borderId="0" xfId="0" applyFont="1" applyFill="1" applyAlignment="1">
      <alignment horizontal="left" vertical="top"/>
    </xf>
    <xf numFmtId="0" fontId="6" fillId="0" borderId="0" xfId="0" applyFont="1" applyFill="1"/>
    <xf numFmtId="0" fontId="17" fillId="0" borderId="0" xfId="0" applyFont="1" applyFill="1" applyBorder="1"/>
    <xf numFmtId="0" fontId="1" fillId="3" borderId="10" xfId="0" applyFont="1" applyFill="1" applyBorder="1"/>
    <xf numFmtId="1" fontId="1" fillId="3" borderId="11" xfId="0" applyNumberFormat="1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 wrapText="1"/>
    </xf>
    <xf numFmtId="1" fontId="1" fillId="3" borderId="12" xfId="0" applyNumberFormat="1" applyFont="1" applyFill="1" applyBorder="1"/>
    <xf numFmtId="166" fontId="0" fillId="0" borderId="13" xfId="0" applyNumberFormat="1" applyFont="1" applyFill="1" applyBorder="1"/>
    <xf numFmtId="3" fontId="1" fillId="0" borderId="14" xfId="0" applyNumberFormat="1" applyFont="1" applyFill="1" applyBorder="1"/>
    <xf numFmtId="3" fontId="1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 applyAlignment="1">
      <alignment horizontal="right"/>
    </xf>
    <xf numFmtId="1" fontId="1" fillId="3" borderId="12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8" fillId="5" borderId="10" xfId="0" applyFont="1" applyFill="1" applyBorder="1"/>
    <xf numFmtId="0" fontId="19" fillId="5" borderId="11" xfId="0" applyFont="1" applyFill="1" applyBorder="1"/>
    <xf numFmtId="0" fontId="18" fillId="5" borderId="12" xfId="0" applyFont="1" applyFill="1" applyBorder="1" applyAlignment="1">
      <alignment horizontal="center"/>
    </xf>
    <xf numFmtId="0" fontId="20" fillId="4" borderId="36" xfId="0" applyFont="1" applyFill="1" applyBorder="1"/>
    <xf numFmtId="0" fontId="20" fillId="4" borderId="0" xfId="0" applyFont="1" applyFill="1" applyBorder="1"/>
    <xf numFmtId="3" fontId="21" fillId="4" borderId="16" xfId="0" applyNumberFormat="1" applyFont="1" applyFill="1" applyBorder="1"/>
    <xf numFmtId="0" fontId="20" fillId="4" borderId="10" xfId="0" applyFont="1" applyFill="1" applyBorder="1"/>
    <xf numFmtId="0" fontId="20" fillId="4" borderId="11" xfId="0" applyFont="1" applyFill="1" applyBorder="1"/>
    <xf numFmtId="3" fontId="21" fillId="4" borderId="12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0" xfId="0" applyFont="1" applyFill="1" applyBorder="1" applyAlignment="1">
      <alignment horizontal="left" indent="1"/>
    </xf>
    <xf numFmtId="166" fontId="0" fillId="0" borderId="12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1" fillId="0" borderId="0" xfId="0" applyFont="1" applyFill="1" applyBorder="1"/>
    <xf numFmtId="0" fontId="12" fillId="0" borderId="17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 wrapText="1"/>
    </xf>
    <xf numFmtId="0" fontId="0" fillId="0" borderId="10" xfId="0" applyFont="1" applyFill="1" applyBorder="1"/>
    <xf numFmtId="0" fontId="0" fillId="0" borderId="11" xfId="0" applyFont="1" applyFill="1" applyBorder="1" applyAlignment="1" applyProtection="1">
      <alignment horizontal="right" vertical="center" wrapText="1"/>
      <protection locked="0"/>
    </xf>
    <xf numFmtId="0" fontId="0" fillId="0" borderId="11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67" fontId="1" fillId="0" borderId="11" xfId="0" applyNumberFormat="1" applyFont="1" applyFill="1" applyBorder="1" applyAlignment="1" applyProtection="1">
      <alignment vertical="center"/>
      <protection locked="0"/>
    </xf>
    <xf numFmtId="3" fontId="1" fillId="0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169" fontId="11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164" fontId="11" fillId="0" borderId="39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vertical="center"/>
    </xf>
    <xf numFmtId="167" fontId="1" fillId="0" borderId="11" xfId="0" applyNumberFormat="1" applyFont="1" applyFill="1" applyBorder="1" applyAlignment="1">
      <alignment vertical="center"/>
    </xf>
    <xf numFmtId="3" fontId="23" fillId="0" borderId="11" xfId="0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167" fontId="1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67" fontId="9" fillId="0" borderId="13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13" xfId="0" applyNumberFormat="1" applyFont="1" applyFill="1" applyBorder="1"/>
    <xf numFmtId="3" fontId="0" fillId="0" borderId="13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0" xfId="0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164" fontId="2" fillId="0" borderId="12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1" xfId="0" applyFont="1" applyFill="1" applyBorder="1"/>
    <xf numFmtId="0" fontId="9" fillId="0" borderId="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0" fillId="0" borderId="10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3" fontId="15" fillId="0" borderId="10" xfId="0" applyNumberFormat="1" applyFont="1" applyFill="1" applyBorder="1" applyAlignment="1" applyProtection="1">
      <alignment horizontal="right"/>
      <protection locked="0"/>
    </xf>
    <xf numFmtId="3" fontId="15" fillId="0" borderId="11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0" xfId="0" applyFont="1" applyFill="1" applyBorder="1"/>
    <xf numFmtId="0" fontId="0" fillId="3" borderId="11" xfId="0" applyFont="1" applyFill="1" applyBorder="1"/>
    <xf numFmtId="0" fontId="9" fillId="3" borderId="4" xfId="0" applyFont="1" applyFill="1" applyBorder="1" applyAlignment="1">
      <alignment horizontal="right"/>
    </xf>
    <xf numFmtId="0" fontId="11" fillId="3" borderId="39" xfId="0" applyFont="1" applyFill="1" applyBorder="1" applyAlignment="1">
      <alignment horizontal="right"/>
    </xf>
    <xf numFmtId="3" fontId="1" fillId="3" borderId="10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0" fillId="3" borderId="12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9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300456</xdr:colOff>
      <xdr:row>6</xdr:row>
      <xdr:rowOff>0</xdr:rowOff>
    </xdr:from>
    <xdr:to>
      <xdr:col>2</xdr:col>
      <xdr:colOff>785728</xdr:colOff>
      <xdr:row>10</xdr:row>
      <xdr:rowOff>149274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384748</xdr:colOff>
      <xdr:row>15</xdr:row>
      <xdr:rowOff>0</xdr:rowOff>
    </xdr:from>
    <xdr:to>
      <xdr:col>3</xdr:col>
      <xdr:colOff>870942</xdr:colOff>
      <xdr:row>21</xdr:row>
      <xdr:rowOff>149274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374851</xdr:colOff>
      <xdr:row>6</xdr:row>
      <xdr:rowOff>111323</xdr:rowOff>
    </xdr:from>
    <xdr:to>
      <xdr:col>3</xdr:col>
      <xdr:colOff>861045</xdr:colOff>
      <xdr:row>11</xdr:row>
      <xdr:rowOff>6957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508461</xdr:colOff>
      <xdr:row>6</xdr:row>
      <xdr:rowOff>101835</xdr:rowOff>
    </xdr:from>
    <xdr:to>
      <xdr:col>6</xdr:col>
      <xdr:colOff>680777</xdr:colOff>
      <xdr:row>7</xdr:row>
      <xdr:rowOff>54396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452790</xdr:colOff>
      <xdr:row>6</xdr:row>
      <xdr:rowOff>0</xdr:rowOff>
    </xdr:from>
    <xdr:to>
      <xdr:col>6</xdr:col>
      <xdr:colOff>680777</xdr:colOff>
      <xdr:row>6</xdr:row>
      <xdr:rowOff>111323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15.140625" style="1" customWidth="1"/>
    <col min="2" max="2" width="15.5703125" style="1" customWidth="1"/>
    <col min="3" max="3" width="22" style="1" customWidth="1"/>
    <col min="4" max="5" width="12.85546875" style="1" customWidth="1"/>
    <col min="6" max="6" width="11.42578125" style="1" customWidth="1"/>
    <col min="7" max="16384" width="11.42578125" style="1"/>
  </cols>
  <sheetData>
    <row r="1" spans="1:5" ht="27.75" customHeight="1">
      <c r="A1" s="297" t="s">
        <v>0</v>
      </c>
      <c r="B1" s="297"/>
      <c r="C1" s="297"/>
      <c r="D1" s="297"/>
      <c r="E1" s="297"/>
    </row>
    <row r="2" spans="1:5" ht="27.75" customHeight="1">
      <c r="A2" s="297" t="s">
        <v>1</v>
      </c>
      <c r="B2" s="297"/>
      <c r="C2" s="297"/>
      <c r="D2" s="297"/>
      <c r="E2" s="297"/>
    </row>
    <row r="3" spans="1:5" ht="24.75" customHeight="1">
      <c r="A3" s="296"/>
      <c r="B3" s="296"/>
      <c r="C3" s="296"/>
      <c r="D3" s="296"/>
      <c r="E3" s="296"/>
    </row>
    <row r="4" spans="1:5" ht="18" customHeight="1">
      <c r="A4" s="295"/>
      <c r="B4" s="295"/>
      <c r="C4" s="295"/>
      <c r="D4" s="295"/>
      <c r="E4" s="295"/>
    </row>
    <row r="5" spans="1:5" ht="18" customHeight="1">
      <c r="A5" s="295" t="str">
        <f>"Referenzjahr "&amp;C30</f>
        <v>Referenzjahr 2013</v>
      </c>
      <c r="B5" s="295"/>
      <c r="C5" s="295"/>
      <c r="D5" s="295"/>
      <c r="E5" s="295"/>
    </row>
    <row r="11" spans="1:5">
      <c r="A11" s="2" t="s">
        <v>2</v>
      </c>
      <c r="B11" s="2" t="s">
        <v>3</v>
      </c>
      <c r="C11" s="3"/>
      <c r="D11" s="3"/>
      <c r="E11" s="4"/>
    </row>
    <row r="12" spans="1:5">
      <c r="A12" s="5" t="s">
        <v>4</v>
      </c>
      <c r="B12" s="5" t="s">
        <v>5</v>
      </c>
      <c r="C12" s="6"/>
      <c r="D12" s="6"/>
      <c r="E12" s="7"/>
    </row>
    <row r="13" spans="1:5">
      <c r="A13" s="5" t="s">
        <v>6</v>
      </c>
      <c r="B13" s="5" t="s">
        <v>7</v>
      </c>
      <c r="C13" s="6"/>
      <c r="D13" s="6"/>
      <c r="E13" s="7"/>
    </row>
    <row r="14" spans="1:5">
      <c r="A14" s="5" t="s">
        <v>8</v>
      </c>
      <c r="B14" s="5" t="s">
        <v>9</v>
      </c>
      <c r="C14" s="6"/>
      <c r="D14" s="6"/>
      <c r="E14" s="7"/>
    </row>
    <row r="15" spans="1:5">
      <c r="A15" s="5" t="s">
        <v>10</v>
      </c>
      <c r="B15" s="5" t="s">
        <v>11</v>
      </c>
      <c r="C15" s="6"/>
      <c r="D15" s="6"/>
      <c r="E15" s="7"/>
    </row>
    <row r="16" spans="1:5">
      <c r="A16" s="5" t="s">
        <v>12</v>
      </c>
      <c r="B16" s="5" t="s">
        <v>13</v>
      </c>
      <c r="C16" s="6"/>
      <c r="D16" s="6"/>
      <c r="E16" s="7"/>
    </row>
    <row r="17" spans="1:5">
      <c r="A17" s="8" t="s">
        <v>14</v>
      </c>
      <c r="B17" s="6" t="s">
        <v>15</v>
      </c>
      <c r="C17" s="6"/>
      <c r="D17" s="6"/>
      <c r="E17" s="7"/>
    </row>
    <row r="18" spans="1:5">
      <c r="A18" s="8" t="s">
        <v>16</v>
      </c>
      <c r="B18" s="6" t="s">
        <v>17</v>
      </c>
      <c r="C18" s="6"/>
      <c r="D18" s="6"/>
      <c r="E18" s="7"/>
    </row>
    <row r="25" spans="1:5">
      <c r="B25" s="9" t="s">
        <v>18</v>
      </c>
      <c r="C25" s="10"/>
    </row>
    <row r="26" spans="1:5">
      <c r="B26" s="11" t="s">
        <v>19</v>
      </c>
      <c r="C26" s="12" t="s">
        <v>18</v>
      </c>
    </row>
    <row r="27" spans="1:5">
      <c r="B27" s="11" t="s">
        <v>20</v>
      </c>
      <c r="C27" s="13" t="s">
        <v>21</v>
      </c>
    </row>
    <row r="28" spans="1:5">
      <c r="B28" s="11" t="s">
        <v>22</v>
      </c>
      <c r="C28" s="13" t="s">
        <v>23</v>
      </c>
    </row>
    <row r="29" spans="1:5">
      <c r="B29" s="11" t="s">
        <v>24</v>
      </c>
      <c r="C29" s="13" t="s">
        <v>25</v>
      </c>
    </row>
    <row r="30" spans="1:5">
      <c r="B30" s="14" t="s">
        <v>26</v>
      </c>
      <c r="C30" s="15">
        <v>2013</v>
      </c>
    </row>
  </sheetData>
  <mergeCells count="5">
    <mergeCell ref="A4:E4"/>
    <mergeCell ref="A3:E3"/>
    <mergeCell ref="A2:E2"/>
    <mergeCell ref="A1:E1"/>
    <mergeCell ref="A5:E5"/>
  </mergeCells>
  <conditionalFormatting sqref="C26:C30">
    <cfRule type="expression" dxfId="8" priority="1" stopIfTrue="1">
      <formula>ISBLANK(C26)</formula>
    </cfRule>
  </conditionalFormatting>
  <printOptions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1" customWidth="1"/>
    <col min="2" max="2" width="15.28515625" style="1" customWidth="1"/>
    <col min="3" max="5" width="16.42578125" style="1" customWidth="1"/>
    <col min="6" max="9" width="17.5703125" style="1" customWidth="1"/>
  </cols>
  <sheetData>
    <row r="1" spans="1:9" ht="39.75" customHeight="1">
      <c r="B1" s="298" t="str">
        <f>"Berechnung Ressourcenpotenzial und -index "&amp;Info!C30</f>
        <v>Berechnung Ressourcenpotenzial und -index 2013</v>
      </c>
      <c r="C1" s="298"/>
      <c r="D1" s="298"/>
      <c r="E1" s="298"/>
      <c r="F1" s="298"/>
      <c r="G1" s="298"/>
      <c r="H1" s="16"/>
      <c r="I1" s="17" t="str">
        <f>Info!$C$28</f>
        <v>FA_2013_20120910</v>
      </c>
    </row>
    <row r="2" spans="1:9" s="1" customFormat="1">
      <c r="A2" s="18"/>
      <c r="B2" s="19" t="s">
        <v>27</v>
      </c>
      <c r="C2" s="20" t="s">
        <v>28</v>
      </c>
      <c r="D2" s="20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1" t="s">
        <v>34</v>
      </c>
    </row>
    <row r="3" spans="1:9" s="22" customFormat="1" ht="11.25" customHeight="1">
      <c r="A3" s="23"/>
      <c r="B3" s="24" t="s">
        <v>35</v>
      </c>
      <c r="C3" s="25"/>
      <c r="D3" s="25"/>
      <c r="E3" s="25"/>
      <c r="F3" s="26" t="s">
        <v>36</v>
      </c>
      <c r="G3" s="27"/>
      <c r="H3" s="26" t="s">
        <v>37</v>
      </c>
      <c r="I3" s="28" t="s">
        <v>38</v>
      </c>
    </row>
    <row r="4" spans="1:9" ht="38.25" customHeight="1">
      <c r="A4" s="29"/>
      <c r="B4" s="30"/>
      <c r="C4" s="31" t="str">
        <f>"ASG "&amp;BEV!C5</f>
        <v>ASG 2007</v>
      </c>
      <c r="D4" s="31" t="str">
        <f>"ASG "&amp;BEV!D5</f>
        <v>ASG 2008</v>
      </c>
      <c r="E4" s="31" t="str">
        <f>"ASG "&amp;BEV!E5</f>
        <v>ASG 2009</v>
      </c>
      <c r="F4" s="31" t="s">
        <v>39</v>
      </c>
      <c r="G4" s="31" t="s">
        <v>7</v>
      </c>
      <c r="H4" s="31" t="s">
        <v>40</v>
      </c>
      <c r="I4" s="32" t="s">
        <v>41</v>
      </c>
    </row>
    <row r="5" spans="1:9" s="33" customFormat="1" ht="11.25" customHeight="1">
      <c r="A5" s="34"/>
      <c r="B5" s="35" t="s">
        <v>42</v>
      </c>
      <c r="C5" s="36" t="str">
        <f>"ASG_"&amp;Info!$C$30&amp;"_"&amp;Info!$C$30-6</f>
        <v>ASG_2013_2007</v>
      </c>
      <c r="D5" s="36" t="str">
        <f>"ASG_"&amp;Info!$C$30&amp;"_"&amp;Info!$C$30-5</f>
        <v>ASG_2013_2008</v>
      </c>
      <c r="E5" s="36" t="str">
        <f>"ASG_"&amp;Info!$C$30&amp;"_"&amp;Info!$C$30-4</f>
        <v>ASG_2013_2009</v>
      </c>
      <c r="F5" s="37"/>
      <c r="G5" s="37"/>
      <c r="H5" s="37"/>
      <c r="I5" s="38"/>
    </row>
    <row r="6" spans="1:9" s="33" customFormat="1" ht="11.25" customHeight="1">
      <c r="A6" s="34"/>
      <c r="B6" s="39" t="s">
        <v>43</v>
      </c>
      <c r="C6" s="40" t="s">
        <v>44</v>
      </c>
      <c r="D6" s="40" t="s">
        <v>44</v>
      </c>
      <c r="E6" s="40" t="s">
        <v>44</v>
      </c>
      <c r="F6" s="40" t="s">
        <v>44</v>
      </c>
      <c r="G6" s="40" t="s">
        <v>45</v>
      </c>
      <c r="H6" s="40" t="s">
        <v>46</v>
      </c>
      <c r="I6" s="41"/>
    </row>
    <row r="7" spans="1:9">
      <c r="A7" s="29"/>
      <c r="B7" s="42" t="s">
        <v>47</v>
      </c>
      <c r="C7" s="43">
        <v>50320207.965374798</v>
      </c>
      <c r="D7" s="43">
        <v>46929224.247552603</v>
      </c>
      <c r="E7" s="43">
        <v>48832112.588917099</v>
      </c>
      <c r="F7" s="44">
        <f t="shared" ref="F7:F32" si="0">AVERAGE(C7:E7)</f>
        <v>48693848.267281502</v>
      </c>
      <c r="G7" s="45">
        <f>BEV!F7</f>
        <v>1345671.3333333333</v>
      </c>
      <c r="H7" s="45">
        <f t="shared" ref="H7:H33" si="1">F7/G7*1000</f>
        <v>36185.543275758893</v>
      </c>
      <c r="I7" s="46">
        <f t="shared" ref="I7:I33" si="2">ROUND(H7/H$33*100,1)</f>
        <v>119.1</v>
      </c>
    </row>
    <row r="8" spans="1:9">
      <c r="A8" s="29"/>
      <c r="B8" s="47" t="s">
        <v>48</v>
      </c>
      <c r="C8" s="48">
        <v>22748332.953721602</v>
      </c>
      <c r="D8" s="48">
        <v>21036267.015518099</v>
      </c>
      <c r="E8" s="48">
        <v>22448801.991830301</v>
      </c>
      <c r="F8" s="49">
        <f t="shared" si="0"/>
        <v>22077800.653689999</v>
      </c>
      <c r="G8" s="50">
        <f>BEV!F8</f>
        <v>974684</v>
      </c>
      <c r="H8" s="50">
        <f t="shared" si="1"/>
        <v>22651.239431128444</v>
      </c>
      <c r="I8" s="51">
        <f t="shared" si="2"/>
        <v>74.599999999999994</v>
      </c>
    </row>
    <row r="9" spans="1:9">
      <c r="A9" s="29"/>
      <c r="B9" s="30" t="s">
        <v>49</v>
      </c>
      <c r="C9" s="52">
        <v>8334065.2732021902</v>
      </c>
      <c r="D9" s="52">
        <v>8457887.3325880505</v>
      </c>
      <c r="E9" s="52">
        <v>8918529.3087428603</v>
      </c>
      <c r="F9" s="53">
        <f t="shared" si="0"/>
        <v>8570160.6381777003</v>
      </c>
      <c r="G9" s="54">
        <f>BEV!F9</f>
        <v>366426.66666666669</v>
      </c>
      <c r="H9" s="54">
        <f t="shared" si="1"/>
        <v>23388.47419632223</v>
      </c>
      <c r="I9" s="55">
        <f t="shared" si="2"/>
        <v>77</v>
      </c>
    </row>
    <row r="10" spans="1:9">
      <c r="A10" s="29"/>
      <c r="B10" s="47" t="s">
        <v>50</v>
      </c>
      <c r="C10" s="48">
        <v>634379.361225973</v>
      </c>
      <c r="D10" s="48">
        <v>619329.98671012395</v>
      </c>
      <c r="E10" s="48">
        <v>647228.14611545496</v>
      </c>
      <c r="F10" s="49">
        <f t="shared" si="0"/>
        <v>633645.83135051734</v>
      </c>
      <c r="G10" s="50">
        <f>BEV!F10</f>
        <v>34622.333333333336</v>
      </c>
      <c r="H10" s="50">
        <f t="shared" si="1"/>
        <v>18301.650129988851</v>
      </c>
      <c r="I10" s="51">
        <f t="shared" si="2"/>
        <v>60.2</v>
      </c>
    </row>
    <row r="11" spans="1:9">
      <c r="A11" s="29"/>
      <c r="B11" s="30" t="s">
        <v>51</v>
      </c>
      <c r="C11" s="52">
        <v>6694001.3244084297</v>
      </c>
      <c r="D11" s="52">
        <v>6541158.1979289604</v>
      </c>
      <c r="E11" s="52">
        <v>7074652.6946116099</v>
      </c>
      <c r="F11" s="53">
        <f t="shared" si="0"/>
        <v>6769937.4056496667</v>
      </c>
      <c r="G11" s="54">
        <f>BEV!F11</f>
        <v>141868.66666666666</v>
      </c>
      <c r="H11" s="54">
        <f t="shared" si="1"/>
        <v>47719.750701233068</v>
      </c>
      <c r="I11" s="55">
        <f t="shared" si="2"/>
        <v>157.1</v>
      </c>
    </row>
    <row r="12" spans="1:9">
      <c r="A12" s="29"/>
      <c r="B12" s="47" t="s">
        <v>52</v>
      </c>
      <c r="C12" s="48">
        <v>833269.48894373095</v>
      </c>
      <c r="D12" s="48">
        <v>832809.56291917805</v>
      </c>
      <c r="E12" s="48">
        <v>894260.58495072904</v>
      </c>
      <c r="F12" s="49">
        <f t="shared" si="0"/>
        <v>853446.54560454597</v>
      </c>
      <c r="G12" s="50">
        <f>BEV!F12</f>
        <v>34196.333333333336</v>
      </c>
      <c r="H12" s="50">
        <f t="shared" si="1"/>
        <v>24957.253085746401</v>
      </c>
      <c r="I12" s="51">
        <f t="shared" si="2"/>
        <v>82.1</v>
      </c>
    </row>
    <row r="13" spans="1:9">
      <c r="A13" s="29"/>
      <c r="B13" s="30" t="s">
        <v>53</v>
      </c>
      <c r="C13" s="52">
        <v>1508784.0720043201</v>
      </c>
      <c r="D13" s="52">
        <v>1534466.0883658901</v>
      </c>
      <c r="E13" s="52">
        <v>1545386.04372921</v>
      </c>
      <c r="F13" s="53">
        <f t="shared" si="0"/>
        <v>1529545.4013664734</v>
      </c>
      <c r="G13" s="54">
        <f>BEV!F13</f>
        <v>39881</v>
      </c>
      <c r="H13" s="54">
        <f t="shared" si="1"/>
        <v>38352.734419058535</v>
      </c>
      <c r="I13" s="55">
        <f t="shared" si="2"/>
        <v>126.2</v>
      </c>
    </row>
    <row r="14" spans="1:9">
      <c r="A14" s="29"/>
      <c r="B14" s="47" t="s">
        <v>54</v>
      </c>
      <c r="C14" s="48">
        <v>767828.46671627404</v>
      </c>
      <c r="D14" s="48">
        <v>754762.51689058996</v>
      </c>
      <c r="E14" s="48">
        <v>763067.93821162602</v>
      </c>
      <c r="F14" s="49">
        <f t="shared" si="0"/>
        <v>761886.30727283005</v>
      </c>
      <c r="G14" s="50">
        <f>BEV!F14</f>
        <v>38152.666666666664</v>
      </c>
      <c r="H14" s="50">
        <f t="shared" si="1"/>
        <v>19969.411677807497</v>
      </c>
      <c r="I14" s="51">
        <f t="shared" si="2"/>
        <v>65.7</v>
      </c>
    </row>
    <row r="15" spans="1:9">
      <c r="A15" s="29"/>
      <c r="B15" s="30" t="s">
        <v>55</v>
      </c>
      <c r="C15" s="52">
        <v>8422020.8835749105</v>
      </c>
      <c r="D15" s="52">
        <v>8309013.3210277203</v>
      </c>
      <c r="E15" s="52">
        <v>8120438.7605862403</v>
      </c>
      <c r="F15" s="53">
        <f t="shared" si="0"/>
        <v>8283824.3217296237</v>
      </c>
      <c r="G15" s="54">
        <f>BEV!F15</f>
        <v>110122.33333333333</v>
      </c>
      <c r="H15" s="54">
        <f t="shared" si="1"/>
        <v>75223.835810443765</v>
      </c>
      <c r="I15" s="55">
        <f t="shared" si="2"/>
        <v>247.6</v>
      </c>
    </row>
    <row r="16" spans="1:9">
      <c r="A16" s="29"/>
      <c r="B16" s="47" t="s">
        <v>56</v>
      </c>
      <c r="C16" s="48">
        <v>5611591.6725852899</v>
      </c>
      <c r="D16" s="48">
        <v>5933744.5377714196</v>
      </c>
      <c r="E16" s="48">
        <v>6529297.8688653205</v>
      </c>
      <c r="F16" s="49">
        <f t="shared" si="0"/>
        <v>6024878.0264073433</v>
      </c>
      <c r="G16" s="50">
        <f>BEV!F16</f>
        <v>268945.33333333331</v>
      </c>
      <c r="H16" s="50">
        <f t="shared" si="1"/>
        <v>22401.868631570767</v>
      </c>
      <c r="I16" s="51">
        <f t="shared" si="2"/>
        <v>73.7</v>
      </c>
    </row>
    <row r="17" spans="1:9">
      <c r="A17" s="29"/>
      <c r="B17" s="30" t="s">
        <v>57</v>
      </c>
      <c r="C17" s="52">
        <v>6036336.6102981903</v>
      </c>
      <c r="D17" s="52">
        <v>5873738.0301297596</v>
      </c>
      <c r="E17" s="52">
        <v>6073981.9479875797</v>
      </c>
      <c r="F17" s="53">
        <f t="shared" si="0"/>
        <v>5994685.5294718435</v>
      </c>
      <c r="G17" s="54">
        <f>BEV!F17</f>
        <v>250559.33333333334</v>
      </c>
      <c r="H17" s="54">
        <f t="shared" si="1"/>
        <v>23925.213440350162</v>
      </c>
      <c r="I17" s="55">
        <f t="shared" si="2"/>
        <v>78.8</v>
      </c>
    </row>
    <row r="18" spans="1:9">
      <c r="A18" s="29"/>
      <c r="B18" s="47" t="s">
        <v>58</v>
      </c>
      <c r="C18" s="48">
        <v>9193060.8720274493</v>
      </c>
      <c r="D18" s="48">
        <v>8336633.2123851897</v>
      </c>
      <c r="E18" s="48">
        <v>8734250.7592634801</v>
      </c>
      <c r="F18" s="49">
        <f t="shared" si="0"/>
        <v>8754648.281225374</v>
      </c>
      <c r="G18" s="50">
        <f>BEV!F18</f>
        <v>190792</v>
      </c>
      <c r="H18" s="50">
        <f t="shared" si="1"/>
        <v>45885.824778949711</v>
      </c>
      <c r="I18" s="51">
        <f t="shared" si="2"/>
        <v>151</v>
      </c>
    </row>
    <row r="19" spans="1:9">
      <c r="A19" s="29"/>
      <c r="B19" s="30" t="s">
        <v>59</v>
      </c>
      <c r="C19" s="52">
        <v>7937623.5383185605</v>
      </c>
      <c r="D19" s="52">
        <v>8051804.7766670203</v>
      </c>
      <c r="E19" s="52">
        <v>8423129.9335558508</v>
      </c>
      <c r="F19" s="53">
        <f t="shared" si="0"/>
        <v>8137519.4161804765</v>
      </c>
      <c r="G19" s="54">
        <f>BEV!F19</f>
        <v>269207</v>
      </c>
      <c r="H19" s="54">
        <f t="shared" si="1"/>
        <v>30227.740794929094</v>
      </c>
      <c r="I19" s="55">
        <f t="shared" si="2"/>
        <v>99.5</v>
      </c>
    </row>
    <row r="20" spans="1:9">
      <c r="A20" s="29"/>
      <c r="B20" s="47" t="s">
        <v>60</v>
      </c>
      <c r="C20" s="48">
        <v>2240907.6943227798</v>
      </c>
      <c r="D20" s="48">
        <v>2357831.2892250801</v>
      </c>
      <c r="E20" s="48">
        <v>2426290.7862973101</v>
      </c>
      <c r="F20" s="49">
        <f t="shared" si="0"/>
        <v>2341676.5899483901</v>
      </c>
      <c r="G20" s="50">
        <f>BEV!F20</f>
        <v>75111.333333333328</v>
      </c>
      <c r="H20" s="50">
        <f t="shared" si="1"/>
        <v>31176.075380746675</v>
      </c>
      <c r="I20" s="51">
        <f t="shared" si="2"/>
        <v>102.6</v>
      </c>
    </row>
    <row r="21" spans="1:9">
      <c r="A21" s="29"/>
      <c r="B21" s="30" t="s">
        <v>61</v>
      </c>
      <c r="C21" s="52">
        <v>1221244.7810905599</v>
      </c>
      <c r="D21" s="52">
        <v>1303946.1240050599</v>
      </c>
      <c r="E21" s="52">
        <v>1362373.62231677</v>
      </c>
      <c r="F21" s="53">
        <f t="shared" si="0"/>
        <v>1295854.8424707968</v>
      </c>
      <c r="G21" s="54">
        <f>BEV!F21</f>
        <v>52514.333333333336</v>
      </c>
      <c r="H21" s="54">
        <f t="shared" si="1"/>
        <v>24676.212382729729</v>
      </c>
      <c r="I21" s="55">
        <f t="shared" si="2"/>
        <v>81.2</v>
      </c>
    </row>
    <row r="22" spans="1:9">
      <c r="A22" s="29"/>
      <c r="B22" s="47" t="s">
        <v>62</v>
      </c>
      <c r="C22" s="48">
        <v>384933.16830981802</v>
      </c>
      <c r="D22" s="48">
        <v>390451.67909379298</v>
      </c>
      <c r="E22" s="48">
        <v>403242.49362755299</v>
      </c>
      <c r="F22" s="49">
        <f t="shared" si="0"/>
        <v>392875.78034372133</v>
      </c>
      <c r="G22" s="50">
        <f>BEV!F22</f>
        <v>15230.666666666666</v>
      </c>
      <c r="H22" s="50">
        <f t="shared" si="1"/>
        <v>25795.048171040093</v>
      </c>
      <c r="I22" s="51">
        <f t="shared" si="2"/>
        <v>84.9</v>
      </c>
    </row>
    <row r="23" spans="1:9">
      <c r="A23" s="29"/>
      <c r="B23" s="30" t="s">
        <v>63</v>
      </c>
      <c r="C23" s="52">
        <v>11029371.0061082</v>
      </c>
      <c r="D23" s="52">
        <v>11266798.213028699</v>
      </c>
      <c r="E23" s="52">
        <v>11433478.7066356</v>
      </c>
      <c r="F23" s="53">
        <f t="shared" si="0"/>
        <v>11243215.975257501</v>
      </c>
      <c r="G23" s="54">
        <f>BEV!F23</f>
        <v>470145.33333333331</v>
      </c>
      <c r="H23" s="54">
        <f t="shared" si="1"/>
        <v>23914.341328335708</v>
      </c>
      <c r="I23" s="55">
        <f t="shared" si="2"/>
        <v>78.7</v>
      </c>
    </row>
    <row r="24" spans="1:9">
      <c r="A24" s="29"/>
      <c r="B24" s="47" t="s">
        <v>64</v>
      </c>
      <c r="C24" s="48">
        <v>4494178.1680634897</v>
      </c>
      <c r="D24" s="48">
        <v>5027776.5573577601</v>
      </c>
      <c r="E24" s="48">
        <v>4831656.72001715</v>
      </c>
      <c r="F24" s="49">
        <f t="shared" si="0"/>
        <v>4784537.1484794663</v>
      </c>
      <c r="G24" s="50">
        <f>BEV!F24</f>
        <v>193222</v>
      </c>
      <c r="H24" s="50">
        <f t="shared" si="1"/>
        <v>24761.865359428361</v>
      </c>
      <c r="I24" s="51">
        <f t="shared" si="2"/>
        <v>81.5</v>
      </c>
    </row>
    <row r="25" spans="1:9">
      <c r="A25" s="29"/>
      <c r="B25" s="30" t="s">
        <v>65</v>
      </c>
      <c r="C25" s="52">
        <v>15477431.2535237</v>
      </c>
      <c r="D25" s="52">
        <v>15466035.945706399</v>
      </c>
      <c r="E25" s="52">
        <v>16452350.289639</v>
      </c>
      <c r="F25" s="53">
        <f t="shared" si="0"/>
        <v>15798605.829623034</v>
      </c>
      <c r="G25" s="54">
        <f>BEV!F25</f>
        <v>587685.33333333337</v>
      </c>
      <c r="H25" s="54">
        <f t="shared" si="1"/>
        <v>26882.76350204934</v>
      </c>
      <c r="I25" s="55">
        <f t="shared" si="2"/>
        <v>88.5</v>
      </c>
    </row>
    <row r="26" spans="1:9">
      <c r="A26" s="29"/>
      <c r="B26" s="47" t="s">
        <v>66</v>
      </c>
      <c r="C26" s="48">
        <v>5609751.5632452797</v>
      </c>
      <c r="D26" s="48">
        <v>5649733.5587601596</v>
      </c>
      <c r="E26" s="48">
        <v>5728779.8735078601</v>
      </c>
      <c r="F26" s="49">
        <f t="shared" si="0"/>
        <v>5662754.9985044338</v>
      </c>
      <c r="G26" s="50">
        <f>BEV!F26</f>
        <v>240955.33333333334</v>
      </c>
      <c r="H26" s="50">
        <f t="shared" si="1"/>
        <v>23501.264405177862</v>
      </c>
      <c r="I26" s="51">
        <f t="shared" si="2"/>
        <v>77.400000000000006</v>
      </c>
    </row>
    <row r="27" spans="1:9">
      <c r="A27" s="29"/>
      <c r="B27" s="30" t="s">
        <v>67</v>
      </c>
      <c r="C27" s="52">
        <v>10009575.7538094</v>
      </c>
      <c r="D27" s="52">
        <v>9989903.01370221</v>
      </c>
      <c r="E27" s="52">
        <v>10518430.4231879</v>
      </c>
      <c r="F27" s="53">
        <f t="shared" si="0"/>
        <v>10172636.396899836</v>
      </c>
      <c r="G27" s="54">
        <f>BEV!F27</f>
        <v>330933</v>
      </c>
      <c r="H27" s="54">
        <f t="shared" si="1"/>
        <v>30739.262620832124</v>
      </c>
      <c r="I27" s="55">
        <f t="shared" si="2"/>
        <v>101.2</v>
      </c>
    </row>
    <row r="28" spans="1:9">
      <c r="A28" s="29"/>
      <c r="B28" s="47" t="s">
        <v>68</v>
      </c>
      <c r="C28" s="48">
        <v>22931491.126929499</v>
      </c>
      <c r="D28" s="48">
        <v>22532556.376998901</v>
      </c>
      <c r="E28" s="48">
        <v>23363437.910867602</v>
      </c>
      <c r="F28" s="49">
        <f t="shared" si="0"/>
        <v>22942495.13826533</v>
      </c>
      <c r="G28" s="50">
        <f>BEV!F28</f>
        <v>691309.66666666663</v>
      </c>
      <c r="H28" s="50">
        <f t="shared" si="1"/>
        <v>33187.001780097584</v>
      </c>
      <c r="I28" s="51">
        <f t="shared" si="2"/>
        <v>109.2</v>
      </c>
    </row>
    <row r="29" spans="1:9">
      <c r="A29" s="29"/>
      <c r="B29" s="30" t="s">
        <v>69</v>
      </c>
      <c r="C29" s="52">
        <v>6013270.5497523202</v>
      </c>
      <c r="D29" s="52">
        <v>6316133.9735879796</v>
      </c>
      <c r="E29" s="52">
        <v>6511034.9754035799</v>
      </c>
      <c r="F29" s="53">
        <f t="shared" si="0"/>
        <v>6280146.4995812932</v>
      </c>
      <c r="G29" s="54">
        <f>BEV!F29</f>
        <v>301048.66666666669</v>
      </c>
      <c r="H29" s="54">
        <f t="shared" si="1"/>
        <v>20860.901226096201</v>
      </c>
      <c r="I29" s="55">
        <f t="shared" si="2"/>
        <v>68.7</v>
      </c>
    </row>
    <row r="30" spans="1:9">
      <c r="A30" s="29"/>
      <c r="B30" s="47" t="s">
        <v>70</v>
      </c>
      <c r="C30" s="48">
        <v>5105210.1081498004</v>
      </c>
      <c r="D30" s="48">
        <v>5026788.1094221203</v>
      </c>
      <c r="E30" s="48">
        <v>4453186.55105667</v>
      </c>
      <c r="F30" s="49">
        <f t="shared" si="0"/>
        <v>4861728.2562095309</v>
      </c>
      <c r="G30" s="50">
        <f>BEV!F30</f>
        <v>171084.33333333334</v>
      </c>
      <c r="H30" s="50">
        <f t="shared" si="1"/>
        <v>28417.144699843142</v>
      </c>
      <c r="I30" s="51">
        <f t="shared" si="2"/>
        <v>93.5</v>
      </c>
    </row>
    <row r="31" spans="1:9">
      <c r="A31" s="29"/>
      <c r="B31" s="30" t="s">
        <v>71</v>
      </c>
      <c r="C31" s="52">
        <v>20049000.3296386</v>
      </c>
      <c r="D31" s="52">
        <v>20099588.2570519</v>
      </c>
      <c r="E31" s="52">
        <v>20076849.759348098</v>
      </c>
      <c r="F31" s="53">
        <f t="shared" si="0"/>
        <v>20075146.115346197</v>
      </c>
      <c r="G31" s="54">
        <f>BEV!F31</f>
        <v>447462.33333333331</v>
      </c>
      <c r="H31" s="54">
        <f t="shared" si="1"/>
        <v>44864.438009336045</v>
      </c>
      <c r="I31" s="55">
        <f t="shared" si="2"/>
        <v>147.69999999999999</v>
      </c>
    </row>
    <row r="32" spans="1:9">
      <c r="A32" s="29"/>
      <c r="B32" s="47" t="s">
        <v>72</v>
      </c>
      <c r="C32" s="48">
        <v>1332833.97583348</v>
      </c>
      <c r="D32" s="48">
        <v>1308032.7208384399</v>
      </c>
      <c r="E32" s="48">
        <v>1275582.4372322301</v>
      </c>
      <c r="F32" s="49">
        <f t="shared" si="0"/>
        <v>1305483.0446347166</v>
      </c>
      <c r="G32" s="50">
        <f>BEV!F32</f>
        <v>68479.666666666672</v>
      </c>
      <c r="H32" s="50">
        <f t="shared" si="1"/>
        <v>19063.805479505594</v>
      </c>
      <c r="I32" s="51">
        <f t="shared" si="2"/>
        <v>62.8</v>
      </c>
    </row>
    <row r="33" spans="1:9">
      <c r="A33" s="56"/>
      <c r="B33" s="57" t="s">
        <v>73</v>
      </c>
      <c r="C33" s="58">
        <f>SUM(C7:C32)</f>
        <v>234940701.96117863</v>
      </c>
      <c r="D33" s="58">
        <f>SUM(D7:D32)</f>
        <v>229946414.64523315</v>
      </c>
      <c r="E33" s="58">
        <f>SUM(E7:E32)</f>
        <v>237841833.1165047</v>
      </c>
      <c r="F33" s="58">
        <f>SUM(F7:F32)</f>
        <v>234242983.24097219</v>
      </c>
      <c r="G33" s="58">
        <f>SUM(G7:G32)</f>
        <v>7710311</v>
      </c>
      <c r="H33" s="58">
        <f t="shared" si="1"/>
        <v>30380.484424165534</v>
      </c>
      <c r="I33" s="59">
        <f t="shared" si="2"/>
        <v>100</v>
      </c>
    </row>
  </sheetData>
  <mergeCells count="1">
    <mergeCell ref="B1:G1"/>
  </mergeCells>
  <conditionalFormatting sqref="C7:F32">
    <cfRule type="expression" dxfId="7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4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8.85546875" style="1" customWidth="1"/>
    <col min="3" max="3" width="16.28515625" style="1" customWidth="1"/>
    <col min="4" max="6" width="18.5703125" style="1" customWidth="1"/>
  </cols>
  <sheetData>
    <row r="1" spans="1:6" ht="38.25" customHeight="1">
      <c r="B1" s="60" t="str">
        <f>"Massgebende Wohnbevölkerung "&amp;Info!C30</f>
        <v>Massgebende Wohnbevölkerung 2013</v>
      </c>
      <c r="C1" s="60"/>
      <c r="D1" s="60"/>
      <c r="E1" s="61"/>
      <c r="F1" s="17" t="str">
        <f>Info!$C$28</f>
        <v>FA_2013_20120910</v>
      </c>
    </row>
    <row r="2" spans="1:6" s="1" customFormat="1">
      <c r="A2" s="18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65" customFormat="1" ht="11.25" customHeight="1">
      <c r="A3" s="66"/>
      <c r="B3" s="67" t="s">
        <v>35</v>
      </c>
      <c r="C3" s="68"/>
      <c r="D3" s="68"/>
      <c r="E3" s="68"/>
      <c r="F3" s="69" t="s">
        <v>36</v>
      </c>
    </row>
    <row r="4" spans="1:6" ht="26.25" customHeight="1">
      <c r="A4" s="29"/>
      <c r="B4" s="70"/>
      <c r="C4" s="299" t="s">
        <v>74</v>
      </c>
      <c r="D4" s="300"/>
      <c r="E4" s="301"/>
      <c r="F4" s="71" t="s">
        <v>7</v>
      </c>
    </row>
    <row r="5" spans="1:6" ht="16.5" customHeight="1">
      <c r="A5" s="29"/>
      <c r="B5" s="72"/>
      <c r="C5" s="73">
        <v>2007</v>
      </c>
      <c r="D5" s="74">
        <v>2008</v>
      </c>
      <c r="E5" s="75">
        <v>2009</v>
      </c>
      <c r="F5" s="76">
        <f>Info!C30</f>
        <v>2013</v>
      </c>
    </row>
    <row r="6" spans="1:6" s="77" customFormat="1">
      <c r="A6" s="78"/>
      <c r="B6" s="39" t="s">
        <v>42</v>
      </c>
      <c r="C6" s="79" t="s">
        <v>75</v>
      </c>
      <c r="D6" s="80" t="s">
        <v>75</v>
      </c>
      <c r="E6" s="81" t="s">
        <v>75</v>
      </c>
      <c r="F6" s="82"/>
    </row>
    <row r="7" spans="1:6">
      <c r="A7" s="29"/>
      <c r="B7" s="42" t="s">
        <v>47</v>
      </c>
      <c r="C7" s="83">
        <v>1322842</v>
      </c>
      <c r="D7" s="43">
        <v>1347351</v>
      </c>
      <c r="E7" s="84">
        <v>1366821</v>
      </c>
      <c r="F7" s="85">
        <f t="shared" ref="F7:F32" si="0">AVERAGE(C7:E7)</f>
        <v>1345671.3333333333</v>
      </c>
    </row>
    <row r="8" spans="1:6">
      <c r="A8" s="29"/>
      <c r="B8" s="47" t="s">
        <v>48</v>
      </c>
      <c r="C8" s="86">
        <v>969907</v>
      </c>
      <c r="D8" s="48">
        <v>974591</v>
      </c>
      <c r="E8" s="87">
        <v>979554</v>
      </c>
      <c r="F8" s="88">
        <f t="shared" si="0"/>
        <v>974684</v>
      </c>
    </row>
    <row r="9" spans="1:6">
      <c r="A9" s="29"/>
      <c r="B9" s="30" t="s">
        <v>49</v>
      </c>
      <c r="C9" s="89">
        <v>361924</v>
      </c>
      <c r="D9" s="52">
        <v>366425</v>
      </c>
      <c r="E9" s="90">
        <v>370931</v>
      </c>
      <c r="F9" s="91">
        <f t="shared" si="0"/>
        <v>366426.66666666669</v>
      </c>
    </row>
    <row r="10" spans="1:6">
      <c r="A10" s="29"/>
      <c r="B10" s="47" t="s">
        <v>50</v>
      </c>
      <c r="C10" s="86">
        <v>34447</v>
      </c>
      <c r="D10" s="48">
        <v>34648</v>
      </c>
      <c r="E10" s="87">
        <v>34772</v>
      </c>
      <c r="F10" s="88">
        <f t="shared" si="0"/>
        <v>34622.333333333336</v>
      </c>
    </row>
    <row r="11" spans="1:6">
      <c r="A11" s="29"/>
      <c r="B11" s="30" t="s">
        <v>51</v>
      </c>
      <c r="C11" s="89">
        <v>139874</v>
      </c>
      <c r="D11" s="52">
        <v>142033</v>
      </c>
      <c r="E11" s="90">
        <v>143699</v>
      </c>
      <c r="F11" s="91">
        <f t="shared" si="0"/>
        <v>141868.66666666666</v>
      </c>
    </row>
    <row r="12" spans="1:6">
      <c r="A12" s="29"/>
      <c r="B12" s="47" t="s">
        <v>52</v>
      </c>
      <c r="C12" s="86">
        <v>33785</v>
      </c>
      <c r="D12" s="48">
        <v>34137</v>
      </c>
      <c r="E12" s="87">
        <v>34667</v>
      </c>
      <c r="F12" s="88">
        <f t="shared" si="0"/>
        <v>34196.333333333336</v>
      </c>
    </row>
    <row r="13" spans="1:6">
      <c r="A13" s="29"/>
      <c r="B13" s="30" t="s">
        <v>53</v>
      </c>
      <c r="C13" s="89">
        <v>39566</v>
      </c>
      <c r="D13" s="52">
        <v>39913</v>
      </c>
      <c r="E13" s="90">
        <v>40164</v>
      </c>
      <c r="F13" s="91">
        <f t="shared" si="0"/>
        <v>39881</v>
      </c>
    </row>
    <row r="14" spans="1:6">
      <c r="A14" s="29"/>
      <c r="B14" s="47" t="s">
        <v>54</v>
      </c>
      <c r="C14" s="86">
        <v>38034</v>
      </c>
      <c r="D14" s="48">
        <v>38165</v>
      </c>
      <c r="E14" s="87">
        <v>38259</v>
      </c>
      <c r="F14" s="88">
        <f t="shared" si="0"/>
        <v>38152.666666666664</v>
      </c>
    </row>
    <row r="15" spans="1:6">
      <c r="A15" s="29"/>
      <c r="B15" s="30" t="s">
        <v>55</v>
      </c>
      <c r="C15" s="89">
        <v>108826</v>
      </c>
      <c r="D15" s="52">
        <v>110390</v>
      </c>
      <c r="E15" s="90">
        <v>111151</v>
      </c>
      <c r="F15" s="91">
        <f t="shared" si="0"/>
        <v>110122.33333333333</v>
      </c>
    </row>
    <row r="16" spans="1:6">
      <c r="A16" s="29"/>
      <c r="B16" s="47" t="s">
        <v>56</v>
      </c>
      <c r="C16" s="86">
        <v>264151</v>
      </c>
      <c r="D16" s="48">
        <v>268830</v>
      </c>
      <c r="E16" s="87">
        <v>273855</v>
      </c>
      <c r="F16" s="88">
        <f t="shared" si="0"/>
        <v>268945.33333333331</v>
      </c>
    </row>
    <row r="17" spans="1:6">
      <c r="A17" s="29"/>
      <c r="B17" s="30" t="s">
        <v>57</v>
      </c>
      <c r="C17" s="89">
        <v>249005</v>
      </c>
      <c r="D17" s="52">
        <v>250590</v>
      </c>
      <c r="E17" s="90">
        <v>252083</v>
      </c>
      <c r="F17" s="91">
        <f t="shared" si="0"/>
        <v>250559.33333333334</v>
      </c>
    </row>
    <row r="18" spans="1:6">
      <c r="A18" s="29"/>
      <c r="B18" s="47" t="s">
        <v>58</v>
      </c>
      <c r="C18" s="86">
        <v>189777</v>
      </c>
      <c r="D18" s="48">
        <v>190531</v>
      </c>
      <c r="E18" s="87">
        <v>192068</v>
      </c>
      <c r="F18" s="88">
        <f t="shared" si="0"/>
        <v>190792</v>
      </c>
    </row>
    <row r="19" spans="1:6">
      <c r="A19" s="29"/>
      <c r="B19" s="30" t="s">
        <v>59</v>
      </c>
      <c r="C19" s="89">
        <v>267247</v>
      </c>
      <c r="D19" s="52">
        <v>269249</v>
      </c>
      <c r="E19" s="90">
        <v>271125</v>
      </c>
      <c r="F19" s="91">
        <f t="shared" si="0"/>
        <v>269207</v>
      </c>
    </row>
    <row r="20" spans="1:6">
      <c r="A20" s="29"/>
      <c r="B20" s="47" t="s">
        <v>60</v>
      </c>
      <c r="C20" s="86">
        <v>74598</v>
      </c>
      <c r="D20" s="48">
        <v>75045</v>
      </c>
      <c r="E20" s="87">
        <v>75691</v>
      </c>
      <c r="F20" s="88">
        <f t="shared" si="0"/>
        <v>75111.333333333328</v>
      </c>
    </row>
    <row r="21" spans="1:6">
      <c r="A21" s="29"/>
      <c r="B21" s="30" t="s">
        <v>61</v>
      </c>
      <c r="C21" s="89">
        <v>52345</v>
      </c>
      <c r="D21" s="52">
        <v>52517</v>
      </c>
      <c r="E21" s="90">
        <v>52681</v>
      </c>
      <c r="F21" s="91">
        <f t="shared" si="0"/>
        <v>52514.333333333336</v>
      </c>
    </row>
    <row r="22" spans="1:6">
      <c r="A22" s="29"/>
      <c r="B22" s="47" t="s">
        <v>62</v>
      </c>
      <c r="C22" s="86">
        <v>15028</v>
      </c>
      <c r="D22" s="48">
        <v>15147</v>
      </c>
      <c r="E22" s="87">
        <v>15517</v>
      </c>
      <c r="F22" s="88">
        <f t="shared" si="0"/>
        <v>15230.666666666666</v>
      </c>
    </row>
    <row r="23" spans="1:6">
      <c r="A23" s="29"/>
      <c r="B23" s="30" t="s">
        <v>63</v>
      </c>
      <c r="C23" s="89">
        <v>465852</v>
      </c>
      <c r="D23" s="52">
        <v>470268</v>
      </c>
      <c r="E23" s="90">
        <v>474316</v>
      </c>
      <c r="F23" s="91">
        <f t="shared" si="0"/>
        <v>470145.33333333331</v>
      </c>
    </row>
    <row r="24" spans="1:6">
      <c r="A24" s="29"/>
      <c r="B24" s="47" t="s">
        <v>64</v>
      </c>
      <c r="C24" s="86">
        <v>191878</v>
      </c>
      <c r="D24" s="48">
        <v>193035</v>
      </c>
      <c r="E24" s="87">
        <v>194753</v>
      </c>
      <c r="F24" s="88">
        <f t="shared" si="0"/>
        <v>193222</v>
      </c>
    </row>
    <row r="25" spans="1:6">
      <c r="A25" s="29"/>
      <c r="B25" s="30" t="s">
        <v>65</v>
      </c>
      <c r="C25" s="89">
        <v>578790</v>
      </c>
      <c r="D25" s="52">
        <v>587471</v>
      </c>
      <c r="E25" s="90">
        <v>596795</v>
      </c>
      <c r="F25" s="91">
        <f t="shared" si="0"/>
        <v>587685.33333333337</v>
      </c>
    </row>
    <row r="26" spans="1:6">
      <c r="A26" s="29"/>
      <c r="B26" s="47" t="s">
        <v>66</v>
      </c>
      <c r="C26" s="86">
        <v>238141</v>
      </c>
      <c r="D26" s="48">
        <v>240656</v>
      </c>
      <c r="E26" s="87">
        <v>244069</v>
      </c>
      <c r="F26" s="88">
        <f t="shared" si="0"/>
        <v>240955.33333333334</v>
      </c>
    </row>
    <row r="27" spans="1:6">
      <c r="A27" s="29"/>
      <c r="B27" s="30" t="s">
        <v>67</v>
      </c>
      <c r="C27" s="89">
        <v>327632</v>
      </c>
      <c r="D27" s="52">
        <v>331600</v>
      </c>
      <c r="E27" s="90">
        <v>333567</v>
      </c>
      <c r="F27" s="91">
        <f t="shared" si="0"/>
        <v>330933</v>
      </c>
    </row>
    <row r="28" spans="1:6">
      <c r="A28" s="29"/>
      <c r="B28" s="47" t="s">
        <v>68</v>
      </c>
      <c r="C28" s="86">
        <v>678143</v>
      </c>
      <c r="D28" s="48">
        <v>690870</v>
      </c>
      <c r="E28" s="87">
        <v>704916</v>
      </c>
      <c r="F28" s="88">
        <f t="shared" si="0"/>
        <v>691309.66666666663</v>
      </c>
    </row>
    <row r="29" spans="1:6">
      <c r="A29" s="29"/>
      <c r="B29" s="30" t="s">
        <v>69</v>
      </c>
      <c r="C29" s="89">
        <v>296923</v>
      </c>
      <c r="D29" s="52">
        <v>301045</v>
      </c>
      <c r="E29" s="90">
        <v>305178</v>
      </c>
      <c r="F29" s="91">
        <f t="shared" si="0"/>
        <v>301048.66666666669</v>
      </c>
    </row>
    <row r="30" spans="1:6">
      <c r="A30" s="29"/>
      <c r="B30" s="47" t="s">
        <v>70</v>
      </c>
      <c r="C30" s="86">
        <v>169895</v>
      </c>
      <c r="D30" s="48">
        <v>171095</v>
      </c>
      <c r="E30" s="87">
        <v>172263</v>
      </c>
      <c r="F30" s="88">
        <f t="shared" si="0"/>
        <v>171084.33333333334</v>
      </c>
    </row>
    <row r="31" spans="1:6">
      <c r="A31" s="29"/>
      <c r="B31" s="30" t="s">
        <v>71</v>
      </c>
      <c r="C31" s="89">
        <v>441756</v>
      </c>
      <c r="D31" s="52">
        <v>446957</v>
      </c>
      <c r="E31" s="90">
        <v>453674</v>
      </c>
      <c r="F31" s="91">
        <f t="shared" si="0"/>
        <v>447462.33333333331</v>
      </c>
    </row>
    <row r="32" spans="1:6">
      <c r="A32" s="29"/>
      <c r="B32" s="47" t="s">
        <v>72</v>
      </c>
      <c r="C32" s="86">
        <v>68233</v>
      </c>
      <c r="D32" s="48">
        <v>68497</v>
      </c>
      <c r="E32" s="87">
        <v>68709</v>
      </c>
      <c r="F32" s="88">
        <f t="shared" si="0"/>
        <v>68479.666666666672</v>
      </c>
    </row>
    <row r="33" spans="1:6">
      <c r="A33" s="56"/>
      <c r="B33" s="57" t="s">
        <v>73</v>
      </c>
      <c r="C33" s="92">
        <f>SUM(C7:C32)</f>
        <v>7618599</v>
      </c>
      <c r="D33" s="58">
        <f>SUM(D7:D32)</f>
        <v>7711056</v>
      </c>
      <c r="E33" s="93">
        <f>SUM(E7:E32)</f>
        <v>7801278</v>
      </c>
      <c r="F33" s="94">
        <f>SUM(F7:F32)</f>
        <v>7710311</v>
      </c>
    </row>
    <row r="34" spans="1:6">
      <c r="B34" s="95"/>
      <c r="C34" s="95"/>
      <c r="D34" s="95"/>
      <c r="E34" s="95"/>
      <c r="F34" s="95"/>
    </row>
  </sheetData>
  <mergeCells count="1">
    <mergeCell ref="C4:E4"/>
  </mergeCells>
  <conditionalFormatting sqref="C7:E32 C5:F5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5.85546875" style="1" customWidth="1"/>
    <col min="3" max="3" width="12.42578125" style="1" customWidth="1"/>
    <col min="4" max="5" width="13.28515625" style="1" customWidth="1"/>
    <col min="6" max="6" width="13.7109375" style="1" customWidth="1"/>
    <col min="7" max="8" width="13.28515625" style="1" customWidth="1"/>
    <col min="9" max="9" width="14" style="1" customWidth="1"/>
  </cols>
  <sheetData>
    <row r="1" spans="1:9" ht="26.25" customHeight="1">
      <c r="B1" s="302" t="str">
        <f>"Wachstumsraten der Ressourcenpotenziale "&amp;Info!C30</f>
        <v>Wachstumsraten der Ressourcenpotenziale 2013</v>
      </c>
      <c r="C1" s="302"/>
      <c r="D1" s="302"/>
      <c r="E1" s="302"/>
      <c r="F1" s="302"/>
      <c r="G1" s="302"/>
      <c r="H1" s="16"/>
    </row>
    <row r="2" spans="1:9" ht="18.75" customHeight="1">
      <c r="I2" s="17" t="str">
        <f>Info!$C$28</f>
        <v>FA_2013_20120910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27.75" customHeight="1">
      <c r="A4" s="29"/>
      <c r="B4" s="42"/>
      <c r="C4" s="303" t="str">
        <f>"Ressourcen-index "&amp;Info!C30</f>
        <v>Ressourcen-index 2013</v>
      </c>
      <c r="D4" s="307" t="s">
        <v>76</v>
      </c>
      <c r="E4" s="308"/>
      <c r="F4" s="309"/>
      <c r="G4" s="305" t="s">
        <v>77</v>
      </c>
      <c r="H4" s="305"/>
      <c r="I4" s="306"/>
    </row>
    <row r="5" spans="1:9" ht="15.75" customHeight="1">
      <c r="A5" s="29"/>
      <c r="B5" s="96"/>
      <c r="C5" s="304"/>
      <c r="D5" s="97">
        <f>Info!C30-1</f>
        <v>2012</v>
      </c>
      <c r="E5" s="98">
        <f>Info!C30</f>
        <v>2013</v>
      </c>
      <c r="F5" s="99" t="s">
        <v>78</v>
      </c>
      <c r="G5" s="98">
        <f>D5</f>
        <v>2012</v>
      </c>
      <c r="H5" s="98">
        <f>E5</f>
        <v>2013</v>
      </c>
      <c r="I5" s="100" t="s">
        <v>78</v>
      </c>
    </row>
    <row r="6" spans="1:9" s="77" customFormat="1" ht="14.45" customHeight="1">
      <c r="A6" s="101"/>
      <c r="B6" s="39" t="s">
        <v>43</v>
      </c>
      <c r="C6" s="102" t="s">
        <v>79</v>
      </c>
      <c r="D6" s="103" t="s">
        <v>44</v>
      </c>
      <c r="E6" s="40" t="s">
        <v>44</v>
      </c>
      <c r="F6" s="104" t="s">
        <v>80</v>
      </c>
      <c r="G6" s="40" t="s">
        <v>44</v>
      </c>
      <c r="H6" s="40" t="s">
        <v>44</v>
      </c>
      <c r="I6" s="105" t="s">
        <v>80</v>
      </c>
    </row>
    <row r="7" spans="1:9">
      <c r="A7" s="106"/>
      <c r="B7" s="42" t="s">
        <v>47</v>
      </c>
      <c r="C7" s="107">
        <f>RP!I7</f>
        <v>119.1</v>
      </c>
      <c r="D7" s="108">
        <v>48616110.080298699</v>
      </c>
      <c r="E7" s="109">
        <f>RP!F7</f>
        <v>48693848.267281502</v>
      </c>
      <c r="F7" s="110">
        <f t="shared" ref="F7:F33" si="0">E7/D7-1</f>
        <v>1.5990211239527152E-3</v>
      </c>
      <c r="G7" s="45">
        <f t="shared" ref="G7:G32" si="1">IF($C7&gt;100,D7,"")</f>
        <v>48616110.080298699</v>
      </c>
      <c r="H7" s="45">
        <f t="shared" ref="H7:H32" si="2">IF($C7&gt;100,E7,"")</f>
        <v>48693848.267281502</v>
      </c>
      <c r="I7" s="111">
        <f t="shared" ref="I7:I32" si="3">IF(C7&gt;=100,H7/G7-1,"")</f>
        <v>1.5990211239527152E-3</v>
      </c>
    </row>
    <row r="8" spans="1:9">
      <c r="A8" s="106"/>
      <c r="B8" s="112" t="s">
        <v>48</v>
      </c>
      <c r="C8" s="113">
        <f>RP!I8</f>
        <v>74.599999999999994</v>
      </c>
      <c r="D8" s="114">
        <v>21689119.410878699</v>
      </c>
      <c r="E8" s="115">
        <f>RP!F8</f>
        <v>22077800.653689999</v>
      </c>
      <c r="F8" s="116">
        <f t="shared" si="0"/>
        <v>1.7920563553001978E-2</v>
      </c>
      <c r="G8" s="50" t="str">
        <f t="shared" si="1"/>
        <v/>
      </c>
      <c r="H8" s="50" t="str">
        <f t="shared" si="2"/>
        <v/>
      </c>
      <c r="I8" s="117" t="str">
        <f t="shared" si="3"/>
        <v/>
      </c>
    </row>
    <row r="9" spans="1:9">
      <c r="A9" s="106"/>
      <c r="B9" s="118" t="s">
        <v>49</v>
      </c>
      <c r="C9" s="119">
        <f>RP!I9</f>
        <v>77</v>
      </c>
      <c r="D9" s="120">
        <v>8211454.4842739999</v>
      </c>
      <c r="E9" s="121">
        <f>RP!F9</f>
        <v>8570160.6381777003</v>
      </c>
      <c r="F9" s="122">
        <f t="shared" si="0"/>
        <v>4.3683631759838581E-2</v>
      </c>
      <c r="G9" s="54" t="str">
        <f t="shared" si="1"/>
        <v/>
      </c>
      <c r="H9" s="54" t="str">
        <f t="shared" si="2"/>
        <v/>
      </c>
      <c r="I9" s="123" t="str">
        <f t="shared" si="3"/>
        <v/>
      </c>
    </row>
    <row r="10" spans="1:9">
      <c r="A10" s="106"/>
      <c r="B10" s="112" t="s">
        <v>50</v>
      </c>
      <c r="C10" s="113">
        <f>RP!I10</f>
        <v>60.2</v>
      </c>
      <c r="D10" s="114">
        <v>606935.05205509299</v>
      </c>
      <c r="E10" s="115">
        <f>RP!F10</f>
        <v>633645.83135051734</v>
      </c>
      <c r="F10" s="116">
        <f t="shared" si="0"/>
        <v>4.4009287657684526E-2</v>
      </c>
      <c r="G10" s="50" t="str">
        <f t="shared" si="1"/>
        <v/>
      </c>
      <c r="H10" s="50" t="str">
        <f t="shared" si="2"/>
        <v/>
      </c>
      <c r="I10" s="117" t="str">
        <f t="shared" si="3"/>
        <v/>
      </c>
    </row>
    <row r="11" spans="1:9">
      <c r="A11" s="106"/>
      <c r="B11" s="118" t="s">
        <v>51</v>
      </c>
      <c r="C11" s="119">
        <f>RP!I11</f>
        <v>157.1</v>
      </c>
      <c r="D11" s="120">
        <v>6264900.1537532201</v>
      </c>
      <c r="E11" s="121">
        <f>RP!F11</f>
        <v>6769937.4056496667</v>
      </c>
      <c r="F11" s="122">
        <f t="shared" si="0"/>
        <v>8.0613775080499162E-2</v>
      </c>
      <c r="G11" s="54">
        <f t="shared" si="1"/>
        <v>6264900.1537532201</v>
      </c>
      <c r="H11" s="54">
        <f t="shared" si="2"/>
        <v>6769937.4056496667</v>
      </c>
      <c r="I11" s="123">
        <f t="shared" si="3"/>
        <v>8.0613775080499162E-2</v>
      </c>
    </row>
    <row r="12" spans="1:9">
      <c r="A12" s="106"/>
      <c r="B12" s="112" t="s">
        <v>52</v>
      </c>
      <c r="C12" s="113">
        <f>RP!I12</f>
        <v>82.1</v>
      </c>
      <c r="D12" s="114">
        <v>817151.14428486105</v>
      </c>
      <c r="E12" s="115">
        <f>RP!F12</f>
        <v>853446.54560454597</v>
      </c>
      <c r="F12" s="116">
        <f t="shared" si="0"/>
        <v>4.4416998707686117E-2</v>
      </c>
      <c r="G12" s="50" t="str">
        <f t="shared" si="1"/>
        <v/>
      </c>
      <c r="H12" s="50" t="str">
        <f t="shared" si="2"/>
        <v/>
      </c>
      <c r="I12" s="117" t="str">
        <f t="shared" si="3"/>
        <v/>
      </c>
    </row>
    <row r="13" spans="1:9">
      <c r="A13" s="106"/>
      <c r="B13" s="118" t="s">
        <v>53</v>
      </c>
      <c r="C13" s="119">
        <f>RP!I13</f>
        <v>126.2</v>
      </c>
      <c r="D13" s="120">
        <v>1466043.1900257601</v>
      </c>
      <c r="E13" s="121">
        <f>RP!F13</f>
        <v>1529545.4013664734</v>
      </c>
      <c r="F13" s="122">
        <f t="shared" si="0"/>
        <v>4.331537554469822E-2</v>
      </c>
      <c r="G13" s="54">
        <f t="shared" si="1"/>
        <v>1466043.1900257601</v>
      </c>
      <c r="H13" s="54">
        <f t="shared" si="2"/>
        <v>1529545.4013664734</v>
      </c>
      <c r="I13" s="123">
        <f t="shared" si="3"/>
        <v>4.331537554469822E-2</v>
      </c>
    </row>
    <row r="14" spans="1:9">
      <c r="A14" s="106"/>
      <c r="B14" s="112" t="s">
        <v>54</v>
      </c>
      <c r="C14" s="113">
        <f>RP!I14</f>
        <v>65.7</v>
      </c>
      <c r="D14" s="114">
        <v>750921.35696963803</v>
      </c>
      <c r="E14" s="115">
        <f>RP!F14</f>
        <v>761886.30727283005</v>
      </c>
      <c r="F14" s="116">
        <f t="shared" si="0"/>
        <v>1.4601995537111057E-2</v>
      </c>
      <c r="G14" s="50" t="str">
        <f t="shared" si="1"/>
        <v/>
      </c>
      <c r="H14" s="50" t="str">
        <f t="shared" si="2"/>
        <v/>
      </c>
      <c r="I14" s="117" t="str">
        <f t="shared" si="3"/>
        <v/>
      </c>
    </row>
    <row r="15" spans="1:9">
      <c r="A15" s="106"/>
      <c r="B15" s="118" t="s">
        <v>55</v>
      </c>
      <c r="C15" s="119">
        <f>RP!I15</f>
        <v>247.6</v>
      </c>
      <c r="D15" s="120">
        <v>8108962.5692916401</v>
      </c>
      <c r="E15" s="121">
        <f>RP!F15</f>
        <v>8283824.3217296237</v>
      </c>
      <c r="F15" s="122">
        <f t="shared" si="0"/>
        <v>2.1564010308813053E-2</v>
      </c>
      <c r="G15" s="54">
        <f t="shared" si="1"/>
        <v>8108962.5692916401</v>
      </c>
      <c r="H15" s="54">
        <f t="shared" si="2"/>
        <v>8283824.3217296237</v>
      </c>
      <c r="I15" s="123">
        <f t="shared" si="3"/>
        <v>2.1564010308813053E-2</v>
      </c>
    </row>
    <row r="16" spans="1:9">
      <c r="A16" s="106"/>
      <c r="B16" s="112" t="s">
        <v>56</v>
      </c>
      <c r="C16" s="113">
        <f>RP!I16</f>
        <v>73.7</v>
      </c>
      <c r="D16" s="114">
        <v>5618060.9605968501</v>
      </c>
      <c r="E16" s="115">
        <f>RP!F16</f>
        <v>6024878.0264073433</v>
      </c>
      <c r="F16" s="116">
        <f t="shared" si="0"/>
        <v>7.2412362319271395E-2</v>
      </c>
      <c r="G16" s="50" t="str">
        <f t="shared" si="1"/>
        <v/>
      </c>
      <c r="H16" s="50" t="str">
        <f t="shared" si="2"/>
        <v/>
      </c>
      <c r="I16" s="117" t="str">
        <f t="shared" si="3"/>
        <v/>
      </c>
    </row>
    <row r="17" spans="1:9">
      <c r="A17" s="106"/>
      <c r="B17" s="118" t="s">
        <v>57</v>
      </c>
      <c r="C17" s="119">
        <f>RP!I17</f>
        <v>78.8</v>
      </c>
      <c r="D17" s="120">
        <v>5898238.0523746302</v>
      </c>
      <c r="E17" s="121">
        <f>RP!F17</f>
        <v>5994685.5294718435</v>
      </c>
      <c r="F17" s="122">
        <f t="shared" si="0"/>
        <v>1.6351913273216168E-2</v>
      </c>
      <c r="G17" s="54" t="str">
        <f t="shared" si="1"/>
        <v/>
      </c>
      <c r="H17" s="54" t="str">
        <f t="shared" si="2"/>
        <v/>
      </c>
      <c r="I17" s="123" t="str">
        <f t="shared" si="3"/>
        <v/>
      </c>
    </row>
    <row r="18" spans="1:9">
      <c r="A18" s="106"/>
      <c r="B18" s="112" t="s">
        <v>58</v>
      </c>
      <c r="C18" s="113">
        <f>RP!I18</f>
        <v>151</v>
      </c>
      <c r="D18" s="114">
        <v>8435564.0059257299</v>
      </c>
      <c r="E18" s="115">
        <f>RP!F18</f>
        <v>8754648.281225374</v>
      </c>
      <c r="F18" s="116">
        <f t="shared" si="0"/>
        <v>3.7826074827420841E-2</v>
      </c>
      <c r="G18" s="50">
        <f t="shared" si="1"/>
        <v>8435564.0059257299</v>
      </c>
      <c r="H18" s="50">
        <f t="shared" si="2"/>
        <v>8754648.281225374</v>
      </c>
      <c r="I18" s="117">
        <f t="shared" si="3"/>
        <v>3.7826074827420841E-2</v>
      </c>
    </row>
    <row r="19" spans="1:9">
      <c r="A19" s="106"/>
      <c r="B19" s="118" t="s">
        <v>59</v>
      </c>
      <c r="C19" s="119">
        <f>RP!I19</f>
        <v>99.5</v>
      </c>
      <c r="D19" s="120">
        <v>8079146.1274181101</v>
      </c>
      <c r="E19" s="121">
        <f>RP!F19</f>
        <v>8137519.4161804765</v>
      </c>
      <c r="F19" s="122">
        <f t="shared" si="0"/>
        <v>7.2251804635969918E-3</v>
      </c>
      <c r="G19" s="54" t="str">
        <f t="shared" si="1"/>
        <v/>
      </c>
      <c r="H19" s="54" t="str">
        <f t="shared" si="2"/>
        <v/>
      </c>
      <c r="I19" s="123" t="str">
        <f t="shared" si="3"/>
        <v/>
      </c>
    </row>
    <row r="20" spans="1:9">
      <c r="A20" s="106"/>
      <c r="B20" s="112" t="s">
        <v>60</v>
      </c>
      <c r="C20" s="113">
        <f>RP!I20</f>
        <v>102.6</v>
      </c>
      <c r="D20" s="114">
        <v>2206966.92173011</v>
      </c>
      <c r="E20" s="115">
        <f>RP!F20</f>
        <v>2341676.5899483901</v>
      </c>
      <c r="F20" s="116">
        <f t="shared" si="0"/>
        <v>6.1038372116912987E-2</v>
      </c>
      <c r="G20" s="50">
        <f t="shared" si="1"/>
        <v>2206966.92173011</v>
      </c>
      <c r="H20" s="50">
        <f t="shared" si="2"/>
        <v>2341676.5899483901</v>
      </c>
      <c r="I20" s="117">
        <f t="shared" si="3"/>
        <v>6.1038372116912987E-2</v>
      </c>
    </row>
    <row r="21" spans="1:9">
      <c r="A21" s="106"/>
      <c r="B21" s="118" t="s">
        <v>61</v>
      </c>
      <c r="C21" s="119">
        <f>RP!I21</f>
        <v>81.2</v>
      </c>
      <c r="D21" s="120">
        <v>1225905.1822814799</v>
      </c>
      <c r="E21" s="121">
        <f>RP!F21</f>
        <v>1295854.8424707968</v>
      </c>
      <c r="F21" s="122">
        <f t="shared" si="0"/>
        <v>5.7059600693698531E-2</v>
      </c>
      <c r="G21" s="54" t="str">
        <f t="shared" si="1"/>
        <v/>
      </c>
      <c r="H21" s="54" t="str">
        <f t="shared" si="2"/>
        <v/>
      </c>
      <c r="I21" s="123" t="str">
        <f t="shared" si="3"/>
        <v/>
      </c>
    </row>
    <row r="22" spans="1:9">
      <c r="A22" s="106"/>
      <c r="B22" s="112" t="s">
        <v>62</v>
      </c>
      <c r="C22" s="113">
        <f>RP!I22</f>
        <v>84.9</v>
      </c>
      <c r="D22" s="114">
        <v>371683.63329563901</v>
      </c>
      <c r="E22" s="115">
        <f>RP!F22</f>
        <v>392875.78034372133</v>
      </c>
      <c r="F22" s="116">
        <f t="shared" si="0"/>
        <v>5.701662690976228E-2</v>
      </c>
      <c r="G22" s="50" t="str">
        <f t="shared" si="1"/>
        <v/>
      </c>
      <c r="H22" s="50" t="str">
        <f t="shared" si="2"/>
        <v/>
      </c>
      <c r="I22" s="117" t="str">
        <f t="shared" si="3"/>
        <v/>
      </c>
    </row>
    <row r="23" spans="1:9">
      <c r="A23" s="106"/>
      <c r="B23" s="118" t="s">
        <v>63</v>
      </c>
      <c r="C23" s="119">
        <f>RP!I23</f>
        <v>78.7</v>
      </c>
      <c r="D23" s="120">
        <v>10674817.110202</v>
      </c>
      <c r="E23" s="121">
        <f>RP!F23</f>
        <v>11243215.975257501</v>
      </c>
      <c r="F23" s="122">
        <f t="shared" si="0"/>
        <v>5.3246707572374152E-2</v>
      </c>
      <c r="G23" s="54" t="str">
        <f t="shared" si="1"/>
        <v/>
      </c>
      <c r="H23" s="54" t="str">
        <f t="shared" si="2"/>
        <v/>
      </c>
      <c r="I23" s="123" t="str">
        <f t="shared" si="3"/>
        <v/>
      </c>
    </row>
    <row r="24" spans="1:9">
      <c r="A24" s="106"/>
      <c r="B24" s="112" t="s">
        <v>64</v>
      </c>
      <c r="C24" s="113">
        <f>RP!I24</f>
        <v>81.5</v>
      </c>
      <c r="D24" s="114">
        <v>4607234.7382782903</v>
      </c>
      <c r="E24" s="115">
        <f>RP!F24</f>
        <v>4784537.1484794663</v>
      </c>
      <c r="F24" s="116">
        <f t="shared" si="0"/>
        <v>3.8483476591304244E-2</v>
      </c>
      <c r="G24" s="50" t="str">
        <f t="shared" si="1"/>
        <v/>
      </c>
      <c r="H24" s="50" t="str">
        <f t="shared" si="2"/>
        <v/>
      </c>
      <c r="I24" s="117" t="str">
        <f t="shared" si="3"/>
        <v/>
      </c>
    </row>
    <row r="25" spans="1:9">
      <c r="A25" s="106"/>
      <c r="B25" s="118" t="s">
        <v>65</v>
      </c>
      <c r="C25" s="119">
        <f>RP!I25</f>
        <v>88.5</v>
      </c>
      <c r="D25" s="120">
        <v>15079291.064060399</v>
      </c>
      <c r="E25" s="121">
        <f>RP!F25</f>
        <v>15798605.829623034</v>
      </c>
      <c r="F25" s="122">
        <f t="shared" si="0"/>
        <v>4.7702160698856133E-2</v>
      </c>
      <c r="G25" s="54" t="str">
        <f t="shared" si="1"/>
        <v/>
      </c>
      <c r="H25" s="54" t="str">
        <f t="shared" si="2"/>
        <v/>
      </c>
      <c r="I25" s="123" t="str">
        <f t="shared" si="3"/>
        <v/>
      </c>
    </row>
    <row r="26" spans="1:9">
      <c r="A26" s="106"/>
      <c r="B26" s="112" t="s">
        <v>66</v>
      </c>
      <c r="C26" s="113">
        <f>RP!I26</f>
        <v>77.400000000000006</v>
      </c>
      <c r="D26" s="114">
        <v>5442502.5385605702</v>
      </c>
      <c r="E26" s="115">
        <f>RP!F26</f>
        <v>5662754.9985044338</v>
      </c>
      <c r="F26" s="116">
        <f t="shared" si="0"/>
        <v>4.0468967792547161E-2</v>
      </c>
      <c r="G26" s="50" t="str">
        <f t="shared" si="1"/>
        <v/>
      </c>
      <c r="H26" s="50" t="str">
        <f t="shared" si="2"/>
        <v/>
      </c>
      <c r="I26" s="117" t="str">
        <f t="shared" si="3"/>
        <v/>
      </c>
    </row>
    <row r="27" spans="1:9">
      <c r="A27" s="106"/>
      <c r="B27" s="118" t="s">
        <v>67</v>
      </c>
      <c r="C27" s="119">
        <f>RP!I27</f>
        <v>101.2</v>
      </c>
      <c r="D27" s="120">
        <v>9698210.0876543093</v>
      </c>
      <c r="E27" s="121">
        <f>RP!F27</f>
        <v>10172636.396899836</v>
      </c>
      <c r="F27" s="122">
        <f t="shared" si="0"/>
        <v>4.8918955658577179E-2</v>
      </c>
      <c r="G27" s="54">
        <f t="shared" si="1"/>
        <v>9698210.0876543093</v>
      </c>
      <c r="H27" s="54">
        <f t="shared" si="2"/>
        <v>10172636.396899836</v>
      </c>
      <c r="I27" s="123">
        <f t="shared" si="3"/>
        <v>4.8918955658577179E-2</v>
      </c>
    </row>
    <row r="28" spans="1:9">
      <c r="A28" s="106"/>
      <c r="B28" s="112" t="s">
        <v>68</v>
      </c>
      <c r="C28" s="113">
        <f>RP!I28</f>
        <v>109.2</v>
      </c>
      <c r="D28" s="114">
        <v>21787320.345235799</v>
      </c>
      <c r="E28" s="115">
        <f>RP!F28</f>
        <v>22942495.13826533</v>
      </c>
      <c r="F28" s="116">
        <f t="shared" si="0"/>
        <v>5.3020508016816903E-2</v>
      </c>
      <c r="G28" s="50">
        <f t="shared" si="1"/>
        <v>21787320.345235799</v>
      </c>
      <c r="H28" s="50">
        <f t="shared" si="2"/>
        <v>22942495.13826533</v>
      </c>
      <c r="I28" s="117">
        <f t="shared" si="3"/>
        <v>5.3020508016816903E-2</v>
      </c>
    </row>
    <row r="29" spans="1:9">
      <c r="A29" s="106"/>
      <c r="B29" s="118" t="s">
        <v>69</v>
      </c>
      <c r="C29" s="119">
        <f>RP!I29</f>
        <v>68.7</v>
      </c>
      <c r="D29" s="120">
        <v>5947196.2082659798</v>
      </c>
      <c r="E29" s="121">
        <f>RP!F29</f>
        <v>6280146.4995812932</v>
      </c>
      <c r="F29" s="122">
        <f t="shared" si="0"/>
        <v>5.5984413437133229E-2</v>
      </c>
      <c r="G29" s="54" t="str">
        <f t="shared" si="1"/>
        <v/>
      </c>
      <c r="H29" s="54" t="str">
        <f t="shared" si="2"/>
        <v/>
      </c>
      <c r="I29" s="123" t="str">
        <f t="shared" si="3"/>
        <v/>
      </c>
    </row>
    <row r="30" spans="1:9">
      <c r="A30" s="106"/>
      <c r="B30" s="112" t="s">
        <v>70</v>
      </c>
      <c r="C30" s="113">
        <f>RP!I30</f>
        <v>93.5</v>
      </c>
      <c r="D30" s="114">
        <v>4857420.2515777303</v>
      </c>
      <c r="E30" s="115">
        <f>RP!F30</f>
        <v>4861728.2562095309</v>
      </c>
      <c r="F30" s="116">
        <f t="shared" si="0"/>
        <v>8.8689147915532729E-4</v>
      </c>
      <c r="G30" s="50" t="str">
        <f t="shared" si="1"/>
        <v/>
      </c>
      <c r="H30" s="50" t="str">
        <f t="shared" si="2"/>
        <v/>
      </c>
      <c r="I30" s="117" t="str">
        <f t="shared" si="3"/>
        <v/>
      </c>
    </row>
    <row r="31" spans="1:9">
      <c r="A31" s="106"/>
      <c r="B31" s="118" t="s">
        <v>71</v>
      </c>
      <c r="C31" s="119">
        <f>RP!I31</f>
        <v>147.69999999999999</v>
      </c>
      <c r="D31" s="120">
        <v>19597504.942381199</v>
      </c>
      <c r="E31" s="121">
        <f>RP!F31</f>
        <v>20075146.115346197</v>
      </c>
      <c r="F31" s="122">
        <f t="shared" si="0"/>
        <v>2.437255019806428E-2</v>
      </c>
      <c r="G31" s="54">
        <f t="shared" si="1"/>
        <v>19597504.942381199</v>
      </c>
      <c r="H31" s="54">
        <f t="shared" si="2"/>
        <v>20075146.115346197</v>
      </c>
      <c r="I31" s="123">
        <f t="shared" si="3"/>
        <v>2.437255019806428E-2</v>
      </c>
    </row>
    <row r="32" spans="1:9">
      <c r="A32" s="124"/>
      <c r="B32" s="125" t="s">
        <v>72</v>
      </c>
      <c r="C32" s="126">
        <f>RP!I32</f>
        <v>62.8</v>
      </c>
      <c r="D32" s="127">
        <v>1295353.21890439</v>
      </c>
      <c r="E32" s="128">
        <f>RP!F32</f>
        <v>1305483.0446347166</v>
      </c>
      <c r="F32" s="129">
        <f t="shared" si="0"/>
        <v>7.8201262655559489E-3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>
      <c r="B33" s="57" t="s">
        <v>73</v>
      </c>
      <c r="C33" s="132">
        <f>RP!I33</f>
        <v>100</v>
      </c>
      <c r="D33" s="133">
        <f>SUM(D7:D32)</f>
        <v>227354012.83057484</v>
      </c>
      <c r="E33" s="134">
        <f>SUM(E7:E32)</f>
        <v>234242983.24097219</v>
      </c>
      <c r="F33" s="135">
        <f t="shared" si="0"/>
        <v>3.0300632588926568E-2</v>
      </c>
      <c r="G33" s="58">
        <f>SUM(G7:G32)</f>
        <v>126181582.29629648</v>
      </c>
      <c r="H33" s="58">
        <f>SUM(H7:H32)</f>
        <v>129563757.91771238</v>
      </c>
      <c r="I33" s="136">
        <f>IF(H33&gt;0,H33/G33-1,0)</f>
        <v>2.6804035580041852E-2</v>
      </c>
    </row>
    <row r="34" spans="1:9">
      <c r="A34" s="137"/>
      <c r="B34" s="29"/>
      <c r="C34" s="29"/>
      <c r="D34" s="29"/>
    </row>
    <row r="35" spans="1:9">
      <c r="B35" s="29"/>
      <c r="C35" s="29"/>
      <c r="D35" s="29"/>
    </row>
  </sheetData>
  <mergeCells count="4">
    <mergeCell ref="B1:G1"/>
    <mergeCell ref="C4:C5"/>
    <mergeCell ref="G4:I4"/>
    <mergeCell ref="D4:F4"/>
  </mergeCells>
  <conditionalFormatting sqref="G5:H5 D5:E5 C33 D7:E33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/>
  <cols>
    <col min="1" max="1" width="1.7109375" style="1" customWidth="1"/>
    <col min="2" max="2" width="32" style="1" customWidth="1"/>
    <col min="3" max="3" width="15.85546875" style="1" customWidth="1"/>
    <col min="4" max="4" width="19" style="1" customWidth="1"/>
    <col min="5" max="5" width="17.140625" style="1" customWidth="1"/>
    <col min="6" max="6" width="14.5703125" style="1" customWidth="1"/>
    <col min="7" max="7" width="16.28515625" style="1" customWidth="1"/>
    <col min="8" max="8" width="6.140625" style="1" customWidth="1"/>
  </cols>
  <sheetData>
    <row r="1" spans="2:8" ht="18" customHeight="1">
      <c r="B1" s="138" t="str">
        <f>"Fortschreibung der Dotationen im Ressourcenausgleich "&amp;G4</f>
        <v>Fortschreibung der Dotationen im Ressourcenausgleich 2013</v>
      </c>
    </row>
    <row r="2" spans="2:8">
      <c r="B2" s="139" t="s">
        <v>81</v>
      </c>
      <c r="H2" s="29"/>
    </row>
    <row r="3" spans="2:8">
      <c r="G3" s="17" t="str">
        <f>Info!C28</f>
        <v>FA_2013_20120910</v>
      </c>
      <c r="H3" s="29"/>
    </row>
    <row r="4" spans="2:8" ht="24.75" customHeight="1">
      <c r="B4" s="140" t="s">
        <v>82</v>
      </c>
      <c r="C4" s="141">
        <f>G4-1</f>
        <v>2012</v>
      </c>
      <c r="D4" s="142" t="s">
        <v>83</v>
      </c>
      <c r="E4" s="143" t="s">
        <v>84</v>
      </c>
      <c r="F4" s="143" t="s">
        <v>85</v>
      </c>
      <c r="G4" s="144">
        <f>Info!C30</f>
        <v>2013</v>
      </c>
      <c r="H4" s="29"/>
    </row>
    <row r="5" spans="2:8">
      <c r="B5" s="42" t="s">
        <v>86</v>
      </c>
      <c r="C5" s="43">
        <v>2131868310.18015</v>
      </c>
      <c r="D5" s="145">
        <f>Wachstum_RP!F33</f>
        <v>3.0300632588926568E-2</v>
      </c>
      <c r="E5" s="45">
        <f>C5*(1+D5)</f>
        <v>2196465268.5748944</v>
      </c>
      <c r="F5" s="43">
        <v>0</v>
      </c>
      <c r="G5" s="146">
        <f>E5+F5</f>
        <v>2196465268.5748944</v>
      </c>
      <c r="H5" s="29"/>
    </row>
    <row r="6" spans="2:8">
      <c r="B6" s="96" t="s">
        <v>87</v>
      </c>
      <c r="C6" s="147">
        <v>1461056632.2212901</v>
      </c>
      <c r="D6" s="148">
        <f>Wachstum_RP!I33</f>
        <v>2.6804035580041852E-2</v>
      </c>
      <c r="E6" s="149">
        <f>C6*(1+D6)</f>
        <v>1500218846.1758058</v>
      </c>
      <c r="F6" s="147">
        <v>0</v>
      </c>
      <c r="G6" s="150">
        <f>E6+F6</f>
        <v>1500218846.1758058</v>
      </c>
      <c r="H6" s="29"/>
    </row>
    <row r="7" spans="2:8">
      <c r="B7" s="95"/>
      <c r="C7" s="29"/>
      <c r="D7" s="29"/>
      <c r="H7" s="29"/>
    </row>
    <row r="10" spans="2:8">
      <c r="E10" s="151"/>
    </row>
    <row r="11" spans="2:8">
      <c r="B11" s="139"/>
      <c r="C11" s="152"/>
      <c r="D11" s="152"/>
      <c r="E11" s="151"/>
      <c r="F11" s="153"/>
      <c r="G11" s="153"/>
    </row>
    <row r="12" spans="2:8">
      <c r="B12" s="140" t="s">
        <v>88</v>
      </c>
      <c r="C12" s="154">
        <f>C4</f>
        <v>2012</v>
      </c>
      <c r="D12" s="155">
        <f>G4</f>
        <v>2013</v>
      </c>
      <c r="E12" s="151"/>
      <c r="F12" s="153"/>
      <c r="G12" s="153"/>
    </row>
    <row r="13" spans="2:8">
      <c r="B13" s="118" t="s">
        <v>89</v>
      </c>
      <c r="C13" s="54">
        <f>0.8*C$5</f>
        <v>1705494648.1441202</v>
      </c>
      <c r="D13" s="91">
        <f>0.8*G5</f>
        <v>1757172214.8599157</v>
      </c>
      <c r="E13" s="151"/>
      <c r="F13" s="153"/>
      <c r="G13" s="153"/>
    </row>
    <row r="14" spans="2:8">
      <c r="B14" s="156" t="s">
        <v>90</v>
      </c>
      <c r="C14" s="157">
        <f>C6/C5</f>
        <v>0.68534094026559544</v>
      </c>
      <c r="D14" s="158">
        <f>G6/G5</f>
        <v>0.6830150549793006</v>
      </c>
    </row>
    <row r="15" spans="2:8">
      <c r="B15" s="96" t="s">
        <v>91</v>
      </c>
      <c r="C15" s="149">
        <f>(2/3)*C$5</f>
        <v>1421245540.1201</v>
      </c>
      <c r="D15" s="159">
        <f>(2/3)*G5</f>
        <v>1464310179.0499296</v>
      </c>
    </row>
    <row r="16" spans="2:8">
      <c r="B16" s="160" t="s">
        <v>92</v>
      </c>
    </row>
    <row r="17" spans="2:4">
      <c r="B17" s="161" t="s">
        <v>93</v>
      </c>
    </row>
    <row r="22" spans="2:4">
      <c r="B22" s="139"/>
    </row>
    <row r="23" spans="2:4" ht="15.75" customHeight="1">
      <c r="B23" s="162" t="str">
        <f>"Dotationen "&amp;G4</f>
        <v>Dotationen 2013</v>
      </c>
      <c r="C23" s="163"/>
      <c r="D23" s="164"/>
    </row>
    <row r="24" spans="2:4" ht="15.75" customHeight="1">
      <c r="B24" s="165" t="s">
        <v>86</v>
      </c>
      <c r="C24" s="166"/>
      <c r="D24" s="167">
        <f>G5</f>
        <v>2196465268.5748944</v>
      </c>
    </row>
    <row r="25" spans="2:4" ht="15.75" customHeight="1">
      <c r="B25" s="165" t="s">
        <v>87</v>
      </c>
      <c r="C25" s="166"/>
      <c r="D25" s="167">
        <f>IF(G6&gt;D13,D13,IF(G6&lt;D15,D15,G6))</f>
        <v>1500218846.1758058</v>
      </c>
    </row>
    <row r="26" spans="2:4" ht="20.25" customHeight="1">
      <c r="B26" s="168" t="s">
        <v>94</v>
      </c>
      <c r="C26" s="169"/>
      <c r="D26" s="170">
        <f>D24+D25</f>
        <v>3696684114.7507</v>
      </c>
    </row>
    <row r="27" spans="2:4" ht="25.5" customHeight="1"/>
    <row r="28" spans="2:4">
      <c r="B28" s="310" t="str">
        <f>"Effektive Wachstumsraten* "&amp;C4&amp;"-"&amp;G4</f>
        <v>Effektive Wachstumsraten* 2012-2013</v>
      </c>
      <c r="C28" s="311"/>
    </row>
    <row r="29" spans="2:4">
      <c r="B29" s="171" t="s">
        <v>86</v>
      </c>
      <c r="C29" s="111">
        <f>D24/C5-1</f>
        <v>3.0300632588926568E-2</v>
      </c>
    </row>
    <row r="30" spans="2:4">
      <c r="B30" s="172" t="s">
        <v>87</v>
      </c>
      <c r="C30" s="173">
        <f>D25/C6-1</f>
        <v>2.6804035580041852E-2</v>
      </c>
    </row>
    <row r="31" spans="2:4" ht="17.25" customHeight="1">
      <c r="B31" s="174" t="s">
        <v>95</v>
      </c>
      <c r="C31" s="175">
        <f>D26/(C5+C6)-1</f>
        <v>2.8878747542081751E-2</v>
      </c>
    </row>
    <row r="32" spans="2:4">
      <c r="B32" s="65" t="s">
        <v>96</v>
      </c>
    </row>
  </sheetData>
  <mergeCells count="1">
    <mergeCell ref="B28:C28"/>
  </mergeCells>
  <conditionalFormatting sqref="C5:C6 F5:F6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B33" sqref="B33"/>
    </sheetView>
  </sheetViews>
  <sheetFormatPr baseColWidth="10" defaultColWidth="11.42578125" defaultRowHeight="12.75"/>
  <cols>
    <col min="1" max="1" width="16.5703125" style="1" customWidth="1"/>
    <col min="2" max="2" width="11.7109375" style="1" customWidth="1"/>
    <col min="3" max="3" width="14.28515625" style="1" customWidth="1"/>
    <col min="4" max="4" width="15.42578125" style="1" customWidth="1"/>
    <col min="5" max="5" width="17.7109375" style="1" customWidth="1"/>
    <col min="6" max="6" width="13" style="1" customWidth="1"/>
  </cols>
  <sheetData>
    <row r="1" spans="1:6" ht="26.25" customHeight="1">
      <c r="A1" s="302" t="str">
        <f>"Einzahlungen der ressourcenstarken Kantone "&amp;Info!C30</f>
        <v>Einzahlungen der ressourcenstarken Kantone 2013</v>
      </c>
      <c r="B1" s="302"/>
      <c r="C1" s="302"/>
      <c r="D1" s="302"/>
      <c r="E1" s="302"/>
      <c r="F1" s="302"/>
    </row>
    <row r="2" spans="1:6" ht="18.75" customHeight="1">
      <c r="F2" s="17" t="str">
        <f>Info!$C$28</f>
        <v>FA_2013_20120910</v>
      </c>
    </row>
    <row r="3" spans="1:6" s="1" customFormat="1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65" customFormat="1" ht="11.25" customHeight="1">
      <c r="A4" s="177" t="s">
        <v>35</v>
      </c>
      <c r="B4" s="178"/>
      <c r="C4" s="179"/>
      <c r="D4" s="179" t="s">
        <v>98</v>
      </c>
      <c r="E4" s="179" t="s">
        <v>99</v>
      </c>
      <c r="F4" s="180" t="s">
        <v>100</v>
      </c>
    </row>
    <row r="5" spans="1:6" ht="42.75" customHeight="1">
      <c r="A5" s="181"/>
      <c r="B5" s="182" t="s">
        <v>101</v>
      </c>
      <c r="C5" s="182" t="s">
        <v>102</v>
      </c>
      <c r="D5" s="183" t="s">
        <v>103</v>
      </c>
      <c r="E5" s="183" t="s">
        <v>104</v>
      </c>
      <c r="F5" s="184" t="s">
        <v>105</v>
      </c>
    </row>
    <row r="6" spans="1:6" s="185" customFormat="1">
      <c r="A6" s="39" t="s">
        <v>43</v>
      </c>
      <c r="B6" s="186" t="s">
        <v>79</v>
      </c>
      <c r="C6" s="40" t="s">
        <v>106</v>
      </c>
      <c r="D6" s="40"/>
      <c r="E6" s="40" t="s">
        <v>46</v>
      </c>
      <c r="F6" s="41" t="s">
        <v>46</v>
      </c>
    </row>
    <row r="7" spans="1:6" s="77" customFormat="1" ht="15" customHeight="1">
      <c r="A7" s="187" t="s">
        <v>47</v>
      </c>
      <c r="B7" s="188">
        <f>RP!I7</f>
        <v>119.1</v>
      </c>
      <c r="C7" s="189">
        <f>RP!G7</f>
        <v>1345671.3333333333</v>
      </c>
      <c r="D7" s="190">
        <f t="shared" ref="D7:D32" si="0">IF(B7&gt;100,(B7-100)*C7,0)</f>
        <v>25702322.466666657</v>
      </c>
      <c r="E7" s="190">
        <f t="shared" ref="E7:E32" si="1">IF(B7&gt;100,A/$D$33*(B7-100),0)</f>
        <v>321.49194355989448</v>
      </c>
      <c r="F7" s="191">
        <f t="shared" ref="F7:F32" si="2">E7*C7</f>
        <v>432622492.34616792</v>
      </c>
    </row>
    <row r="8" spans="1:6" s="77" customFormat="1" ht="15" customHeight="1">
      <c r="A8" s="192" t="s">
        <v>48</v>
      </c>
      <c r="B8" s="193">
        <f>RP!I8</f>
        <v>74.599999999999994</v>
      </c>
      <c r="C8" s="194">
        <f>RP!G8</f>
        <v>974684</v>
      </c>
      <c r="D8" s="195">
        <f t="shared" si="0"/>
        <v>0</v>
      </c>
      <c r="E8" s="195">
        <f t="shared" si="1"/>
        <v>0</v>
      </c>
      <c r="F8" s="196">
        <f t="shared" si="2"/>
        <v>0</v>
      </c>
    </row>
    <row r="9" spans="1:6" s="77" customFormat="1" ht="15" customHeight="1">
      <c r="A9" s="187" t="s">
        <v>49</v>
      </c>
      <c r="B9" s="188">
        <f>RP!I9</f>
        <v>77</v>
      </c>
      <c r="C9" s="189">
        <f>RP!G9</f>
        <v>366426.66666666669</v>
      </c>
      <c r="D9" s="190">
        <f t="shared" si="0"/>
        <v>0</v>
      </c>
      <c r="E9" s="190">
        <f t="shared" si="1"/>
        <v>0</v>
      </c>
      <c r="F9" s="191">
        <f t="shared" si="2"/>
        <v>0</v>
      </c>
    </row>
    <row r="10" spans="1:6" s="77" customFormat="1" ht="15" customHeight="1">
      <c r="A10" s="192" t="s">
        <v>50</v>
      </c>
      <c r="B10" s="193">
        <f>RP!I10</f>
        <v>60.2</v>
      </c>
      <c r="C10" s="194">
        <f>RP!G10</f>
        <v>34622.333333333336</v>
      </c>
      <c r="D10" s="195">
        <f t="shared" si="0"/>
        <v>0</v>
      </c>
      <c r="E10" s="195">
        <f t="shared" si="1"/>
        <v>0</v>
      </c>
      <c r="F10" s="196">
        <f t="shared" si="2"/>
        <v>0</v>
      </c>
    </row>
    <row r="11" spans="1:6" s="77" customFormat="1" ht="15" customHeight="1">
      <c r="A11" s="187" t="s">
        <v>51</v>
      </c>
      <c r="B11" s="188">
        <f>RP!I11</f>
        <v>157.1</v>
      </c>
      <c r="C11" s="189">
        <f>RP!G11</f>
        <v>141868.66666666666</v>
      </c>
      <c r="D11" s="190">
        <f t="shared" si="0"/>
        <v>8100700.8666666653</v>
      </c>
      <c r="E11" s="190">
        <f t="shared" si="1"/>
        <v>961.10942289371621</v>
      </c>
      <c r="F11" s="191">
        <f t="shared" si="2"/>
        <v>136351312.346701</v>
      </c>
    </row>
    <row r="12" spans="1:6" s="77" customFormat="1" ht="15" customHeight="1">
      <c r="A12" s="192" t="s">
        <v>52</v>
      </c>
      <c r="B12" s="193">
        <f>RP!I12</f>
        <v>82.1</v>
      </c>
      <c r="C12" s="194">
        <f>RP!G12</f>
        <v>34196.333333333336</v>
      </c>
      <c r="D12" s="195">
        <f t="shared" si="0"/>
        <v>0</v>
      </c>
      <c r="E12" s="195">
        <f t="shared" si="1"/>
        <v>0</v>
      </c>
      <c r="F12" s="196">
        <f t="shared" si="2"/>
        <v>0</v>
      </c>
    </row>
    <row r="13" spans="1:6" s="77" customFormat="1" ht="15" customHeight="1">
      <c r="A13" s="187" t="s">
        <v>53</v>
      </c>
      <c r="B13" s="188">
        <f>RP!I13</f>
        <v>126.2</v>
      </c>
      <c r="C13" s="189">
        <f>RP!G13</f>
        <v>39881</v>
      </c>
      <c r="D13" s="190">
        <f t="shared" si="0"/>
        <v>1044882.2000000001</v>
      </c>
      <c r="E13" s="190">
        <f t="shared" si="1"/>
        <v>440.99941996174027</v>
      </c>
      <c r="F13" s="191">
        <f t="shared" si="2"/>
        <v>17587497.867494162</v>
      </c>
    </row>
    <row r="14" spans="1:6" s="77" customFormat="1" ht="15" customHeight="1">
      <c r="A14" s="192" t="s">
        <v>54</v>
      </c>
      <c r="B14" s="193">
        <f>RP!I14</f>
        <v>65.7</v>
      </c>
      <c r="C14" s="194">
        <f>RP!G14</f>
        <v>38152.666666666664</v>
      </c>
      <c r="D14" s="195">
        <f t="shared" si="0"/>
        <v>0</v>
      </c>
      <c r="E14" s="195">
        <f t="shared" si="1"/>
        <v>0</v>
      </c>
      <c r="F14" s="196">
        <f t="shared" si="2"/>
        <v>0</v>
      </c>
    </row>
    <row r="15" spans="1:6" s="77" customFormat="1" ht="15" customHeight="1">
      <c r="A15" s="187" t="s">
        <v>55</v>
      </c>
      <c r="B15" s="188">
        <f>RP!I15</f>
        <v>247.6</v>
      </c>
      <c r="C15" s="189">
        <f>RP!G15</f>
        <v>110122.33333333333</v>
      </c>
      <c r="D15" s="190">
        <f t="shared" si="0"/>
        <v>16254056.399999999</v>
      </c>
      <c r="E15" s="190">
        <f t="shared" si="1"/>
        <v>2484.4089460440023</v>
      </c>
      <c r="F15" s="191">
        <f t="shared" si="2"/>
        <v>273588910.09257293</v>
      </c>
    </row>
    <row r="16" spans="1:6" s="77" customFormat="1" ht="15" customHeight="1">
      <c r="A16" s="192" t="s">
        <v>56</v>
      </c>
      <c r="B16" s="193">
        <f>RP!I16</f>
        <v>73.7</v>
      </c>
      <c r="C16" s="194">
        <f>RP!G16</f>
        <v>268945.33333333331</v>
      </c>
      <c r="D16" s="195">
        <f t="shared" si="0"/>
        <v>0</v>
      </c>
      <c r="E16" s="195">
        <f t="shared" si="1"/>
        <v>0</v>
      </c>
      <c r="F16" s="196">
        <f t="shared" si="2"/>
        <v>0</v>
      </c>
    </row>
    <row r="17" spans="1:6" s="77" customFormat="1" ht="15" customHeight="1">
      <c r="A17" s="187" t="s">
        <v>57</v>
      </c>
      <c r="B17" s="188">
        <f>RP!I17</f>
        <v>78.8</v>
      </c>
      <c r="C17" s="189">
        <f>RP!G17</f>
        <v>250559.33333333334</v>
      </c>
      <c r="D17" s="190">
        <f t="shared" si="0"/>
        <v>0</v>
      </c>
      <c r="E17" s="190">
        <f t="shared" si="1"/>
        <v>0</v>
      </c>
      <c r="F17" s="191">
        <f t="shared" si="2"/>
        <v>0</v>
      </c>
    </row>
    <row r="18" spans="1:6" s="77" customFormat="1" ht="15" customHeight="1">
      <c r="A18" s="192" t="s">
        <v>58</v>
      </c>
      <c r="B18" s="193">
        <f>RP!I18</f>
        <v>151</v>
      </c>
      <c r="C18" s="194">
        <f>RP!G18</f>
        <v>190792</v>
      </c>
      <c r="D18" s="195">
        <f t="shared" si="0"/>
        <v>9730392</v>
      </c>
      <c r="E18" s="195">
        <f t="shared" si="1"/>
        <v>858.43398542170803</v>
      </c>
      <c r="F18" s="196">
        <f t="shared" si="2"/>
        <v>163782336.94657853</v>
      </c>
    </row>
    <row r="19" spans="1:6" s="77" customFormat="1" ht="15" customHeight="1">
      <c r="A19" s="187" t="s">
        <v>59</v>
      </c>
      <c r="B19" s="188">
        <f>RP!I19</f>
        <v>99.5</v>
      </c>
      <c r="C19" s="189">
        <f>RP!G19</f>
        <v>269207</v>
      </c>
      <c r="D19" s="190">
        <f t="shared" si="0"/>
        <v>0</v>
      </c>
      <c r="E19" s="190">
        <f t="shared" si="1"/>
        <v>0</v>
      </c>
      <c r="F19" s="191">
        <f t="shared" si="2"/>
        <v>0</v>
      </c>
    </row>
    <row r="20" spans="1:6" s="77" customFormat="1" ht="15" customHeight="1">
      <c r="A20" s="192" t="s">
        <v>60</v>
      </c>
      <c r="B20" s="193">
        <f>RP!I20</f>
        <v>102.6</v>
      </c>
      <c r="C20" s="194">
        <f>RP!G20</f>
        <v>75111.333333333328</v>
      </c>
      <c r="D20" s="195">
        <f t="shared" si="0"/>
        <v>195289.46666666624</v>
      </c>
      <c r="E20" s="195">
        <f t="shared" si="1"/>
        <v>43.76330121757718</v>
      </c>
      <c r="F20" s="196">
        <f t="shared" si="2"/>
        <v>3287119.9055205118</v>
      </c>
    </row>
    <row r="21" spans="1:6" s="77" customFormat="1" ht="15" customHeight="1">
      <c r="A21" s="187" t="s">
        <v>61</v>
      </c>
      <c r="B21" s="188">
        <f>RP!I21</f>
        <v>81.2</v>
      </c>
      <c r="C21" s="189">
        <f>RP!G21</f>
        <v>52514.333333333336</v>
      </c>
      <c r="D21" s="190">
        <f t="shared" si="0"/>
        <v>0</v>
      </c>
      <c r="E21" s="190">
        <f t="shared" si="1"/>
        <v>0</v>
      </c>
      <c r="F21" s="191">
        <f t="shared" si="2"/>
        <v>0</v>
      </c>
    </row>
    <row r="22" spans="1:6" s="77" customFormat="1" ht="15" customHeight="1">
      <c r="A22" s="192" t="s">
        <v>62</v>
      </c>
      <c r="B22" s="193">
        <f>RP!I22</f>
        <v>84.9</v>
      </c>
      <c r="C22" s="194">
        <f>RP!G22</f>
        <v>15230.666666666666</v>
      </c>
      <c r="D22" s="195">
        <f t="shared" si="0"/>
        <v>0</v>
      </c>
      <c r="E22" s="195">
        <f t="shared" si="1"/>
        <v>0</v>
      </c>
      <c r="F22" s="196">
        <f t="shared" si="2"/>
        <v>0</v>
      </c>
    </row>
    <row r="23" spans="1:6" s="77" customFormat="1" ht="15" customHeight="1">
      <c r="A23" s="187" t="s">
        <v>63</v>
      </c>
      <c r="B23" s="188">
        <f>RP!I23</f>
        <v>78.7</v>
      </c>
      <c r="C23" s="189">
        <f>RP!G23</f>
        <v>470145.33333333331</v>
      </c>
      <c r="D23" s="190">
        <f t="shared" si="0"/>
        <v>0</v>
      </c>
      <c r="E23" s="190">
        <f t="shared" si="1"/>
        <v>0</v>
      </c>
      <c r="F23" s="191">
        <f t="shared" si="2"/>
        <v>0</v>
      </c>
    </row>
    <row r="24" spans="1:6" s="77" customFormat="1" ht="15" customHeight="1">
      <c r="A24" s="192" t="s">
        <v>64</v>
      </c>
      <c r="B24" s="193">
        <f>RP!I24</f>
        <v>81.5</v>
      </c>
      <c r="C24" s="194">
        <f>RP!G24</f>
        <v>193222</v>
      </c>
      <c r="D24" s="195">
        <f t="shared" si="0"/>
        <v>0</v>
      </c>
      <c r="E24" s="195">
        <f t="shared" si="1"/>
        <v>0</v>
      </c>
      <c r="F24" s="196">
        <f t="shared" si="2"/>
        <v>0</v>
      </c>
    </row>
    <row r="25" spans="1:6" s="77" customFormat="1" ht="15" customHeight="1">
      <c r="A25" s="187" t="s">
        <v>65</v>
      </c>
      <c r="B25" s="188">
        <f>RP!I25</f>
        <v>88.5</v>
      </c>
      <c r="C25" s="189">
        <f>RP!G25</f>
        <v>587685.33333333337</v>
      </c>
      <c r="D25" s="190">
        <f t="shared" si="0"/>
        <v>0</v>
      </c>
      <c r="E25" s="190">
        <f t="shared" si="1"/>
        <v>0</v>
      </c>
      <c r="F25" s="191">
        <f t="shared" si="2"/>
        <v>0</v>
      </c>
    </row>
    <row r="26" spans="1:6" s="77" customFormat="1" ht="15" customHeight="1">
      <c r="A26" s="192" t="s">
        <v>66</v>
      </c>
      <c r="B26" s="193">
        <f>RP!I26</f>
        <v>77.400000000000006</v>
      </c>
      <c r="C26" s="194">
        <f>RP!G26</f>
        <v>240955.33333333334</v>
      </c>
      <c r="D26" s="195">
        <f t="shared" si="0"/>
        <v>0</v>
      </c>
      <c r="E26" s="195">
        <f t="shared" si="1"/>
        <v>0</v>
      </c>
      <c r="F26" s="196">
        <f t="shared" si="2"/>
        <v>0</v>
      </c>
    </row>
    <row r="27" spans="1:6" s="77" customFormat="1" ht="15" customHeight="1">
      <c r="A27" s="187" t="s">
        <v>67</v>
      </c>
      <c r="B27" s="188">
        <f>RP!I27</f>
        <v>101.2</v>
      </c>
      <c r="C27" s="189">
        <f>RP!G27</f>
        <v>330933</v>
      </c>
      <c r="D27" s="190">
        <f t="shared" si="0"/>
        <v>397119.60000000097</v>
      </c>
      <c r="E27" s="190">
        <f t="shared" si="1"/>
        <v>20.198446715804945</v>
      </c>
      <c r="F27" s="191">
        <f t="shared" si="2"/>
        <v>6684332.5670014778</v>
      </c>
    </row>
    <row r="28" spans="1:6" s="77" customFormat="1" ht="15" customHeight="1">
      <c r="A28" s="192" t="s">
        <v>68</v>
      </c>
      <c r="B28" s="193">
        <f>RP!I28</f>
        <v>109.2</v>
      </c>
      <c r="C28" s="194">
        <f>RP!G28</f>
        <v>691309.66666666663</v>
      </c>
      <c r="D28" s="195">
        <f t="shared" si="0"/>
        <v>6360048.9333333345</v>
      </c>
      <c r="E28" s="195">
        <f t="shared" si="1"/>
        <v>154.85475815450425</v>
      </c>
      <c r="F28" s="196">
        <f t="shared" si="2"/>
        <v>107052591.24153762</v>
      </c>
    </row>
    <row r="29" spans="1:6" s="77" customFormat="1" ht="15" customHeight="1">
      <c r="A29" s="187" t="s">
        <v>69</v>
      </c>
      <c r="B29" s="188">
        <f>RP!I29</f>
        <v>68.7</v>
      </c>
      <c r="C29" s="189">
        <f>RP!G29</f>
        <v>301048.66666666669</v>
      </c>
      <c r="D29" s="190">
        <f t="shared" si="0"/>
        <v>0</v>
      </c>
      <c r="E29" s="190">
        <f t="shared" si="1"/>
        <v>0</v>
      </c>
      <c r="F29" s="191">
        <f t="shared" si="2"/>
        <v>0</v>
      </c>
    </row>
    <row r="30" spans="1:6" s="77" customFormat="1" ht="15" customHeight="1">
      <c r="A30" s="192" t="s">
        <v>70</v>
      </c>
      <c r="B30" s="193">
        <f>RP!I30</f>
        <v>93.5</v>
      </c>
      <c r="C30" s="194">
        <f>RP!G30</f>
        <v>171084.33333333334</v>
      </c>
      <c r="D30" s="195">
        <f t="shared" si="0"/>
        <v>0</v>
      </c>
      <c r="E30" s="195">
        <f t="shared" si="1"/>
        <v>0</v>
      </c>
      <c r="F30" s="196">
        <f t="shared" si="2"/>
        <v>0</v>
      </c>
    </row>
    <row r="31" spans="1:6" s="77" customFormat="1" ht="15" customHeight="1">
      <c r="A31" s="187" t="s">
        <v>71</v>
      </c>
      <c r="B31" s="188">
        <f>RP!I31</f>
        <v>147.69999999999999</v>
      </c>
      <c r="C31" s="189">
        <f>RP!G31</f>
        <v>447462.33333333331</v>
      </c>
      <c r="D31" s="190">
        <f t="shared" si="0"/>
        <v>21343953.299999993</v>
      </c>
      <c r="E31" s="190">
        <f t="shared" si="1"/>
        <v>802.88825695324442</v>
      </c>
      <c r="F31" s="191">
        <f t="shared" si="2"/>
        <v>359262252.86223161</v>
      </c>
    </row>
    <row r="32" spans="1:6" s="77" customFormat="1" ht="15" customHeight="1">
      <c r="A32" s="192" t="s">
        <v>72</v>
      </c>
      <c r="B32" s="193">
        <f>RP!I32</f>
        <v>62.8</v>
      </c>
      <c r="C32" s="194">
        <f>RP!G32</f>
        <v>68479.666666666672</v>
      </c>
      <c r="D32" s="195">
        <f t="shared" si="0"/>
        <v>0</v>
      </c>
      <c r="E32" s="195">
        <f t="shared" si="1"/>
        <v>0</v>
      </c>
      <c r="F32" s="196">
        <f t="shared" si="2"/>
        <v>0</v>
      </c>
    </row>
    <row r="33" spans="1:6" s="77" customFormat="1" ht="15" customHeight="1">
      <c r="A33" s="197" t="s">
        <v>73</v>
      </c>
      <c r="B33" s="198">
        <f>RP!I33</f>
        <v>100</v>
      </c>
      <c r="C33" s="199">
        <f>SUM(BEV)</f>
        <v>7710311</v>
      </c>
      <c r="D33" s="199">
        <f>SUM(D7:D32)</f>
        <v>89128765.233333319</v>
      </c>
      <c r="E33" s="199"/>
      <c r="F33" s="200">
        <f>SUM(F7:F32)</f>
        <v>1500218846.1758056</v>
      </c>
    </row>
  </sheetData>
  <mergeCells count="1">
    <mergeCell ref="A1:F1"/>
  </mergeCells>
  <conditionalFormatting sqref="B33">
    <cfRule type="expression" dxfId="3" priority="1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B10" sqref="B10"/>
    </sheetView>
  </sheetViews>
  <sheetFormatPr baseColWidth="10" defaultColWidth="11.42578125" defaultRowHeight="12.75"/>
  <cols>
    <col min="1" max="1" width="17.28515625" style="1" customWidth="1"/>
    <col min="2" max="2" width="11.85546875" style="1" customWidth="1"/>
    <col min="3" max="3" width="13.5703125" style="1" customWidth="1"/>
    <col min="4" max="4" width="15.140625" style="1" customWidth="1"/>
    <col min="5" max="5" width="13" style="1" customWidth="1"/>
    <col min="6" max="8" width="13.7109375" style="1" customWidth="1"/>
    <col min="9" max="9" width="5" style="1" customWidth="1"/>
    <col min="10" max="10" width="11.28515625" style="1" customWidth="1"/>
    <col min="11" max="11" width="12.42578125" style="1" customWidth="1"/>
  </cols>
  <sheetData>
    <row r="1" spans="1:12" ht="26.25" customHeight="1">
      <c r="A1" s="302" t="str">
        <f>"Auszahlungen an die ressourcenschwachen Kantone "&amp;Info!C30</f>
        <v>Auszahlungen an die ressourcenschwachen Kantone 2013</v>
      </c>
      <c r="B1" s="302"/>
      <c r="C1" s="302"/>
      <c r="D1" s="302"/>
      <c r="E1" s="302"/>
      <c r="F1" s="302"/>
      <c r="G1" s="302"/>
      <c r="H1" s="302"/>
    </row>
    <row r="2" spans="1:12" ht="18.75" customHeight="1">
      <c r="H2" s="17" t="str">
        <f>Info!$C$28</f>
        <v>FA_2013_20120910</v>
      </c>
    </row>
    <row r="3" spans="1:12" s="1" customFormat="1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101</v>
      </c>
      <c r="C4" s="183" t="s">
        <v>102</v>
      </c>
      <c r="D4" s="183" t="s">
        <v>103</v>
      </c>
      <c r="E4" s="183" t="s">
        <v>104</v>
      </c>
      <c r="F4" s="201" t="s">
        <v>105</v>
      </c>
      <c r="G4" s="202" t="s">
        <v>107</v>
      </c>
      <c r="H4" s="203" t="s">
        <v>108</v>
      </c>
      <c r="J4" s="312" t="s">
        <v>109</v>
      </c>
      <c r="K4" s="313"/>
    </row>
    <row r="5" spans="1:12" s="77" customFormat="1">
      <c r="A5" s="39" t="s">
        <v>43</v>
      </c>
      <c r="B5" s="186" t="s">
        <v>79</v>
      </c>
      <c r="C5" s="40" t="s">
        <v>106</v>
      </c>
      <c r="D5" s="40"/>
      <c r="E5" s="40" t="s">
        <v>46</v>
      </c>
      <c r="F5" s="40" t="s">
        <v>46</v>
      </c>
      <c r="G5" s="40" t="s">
        <v>46</v>
      </c>
      <c r="H5" s="41" t="s">
        <v>46</v>
      </c>
      <c r="J5" s="204" t="s">
        <v>110</v>
      </c>
      <c r="K5" s="205">
        <v>0.53835289908129202</v>
      </c>
      <c r="L5" s="206"/>
    </row>
    <row r="6" spans="1:12" s="77" customFormat="1" ht="15" customHeight="1">
      <c r="A6" s="207" t="s">
        <v>47</v>
      </c>
      <c r="B6" s="208">
        <f>RP!I7</f>
        <v>119.1</v>
      </c>
      <c r="C6" s="190">
        <f>RP!G7</f>
        <v>1345671.3333333333</v>
      </c>
      <c r="D6" s="190">
        <f>IF(B6&lt;100,(100-RI)^(1+p)*BEV,0)</f>
        <v>0</v>
      </c>
      <c r="E6" s="190">
        <f t="shared" ref="E6:E31" si="0">IF(B6&lt;100,B/SUM*(100-RI)^(1+p),0)</f>
        <v>0</v>
      </c>
      <c r="F6" s="209">
        <f t="shared" ref="F6:F31" si="1">E6*BEV</f>
        <v>0</v>
      </c>
      <c r="G6" s="210">
        <f>Dotation_RA!$D$25/Dotation_RA!$D$26*F6</f>
        <v>0</v>
      </c>
      <c r="H6" s="211">
        <f t="shared" ref="H6:H31" si="2">F6-G6</f>
        <v>0</v>
      </c>
      <c r="J6" s="204" t="s">
        <v>111</v>
      </c>
      <c r="K6" s="212">
        <f>(RI_26/RI_MIN)*p</f>
        <v>0.53835289908129169</v>
      </c>
    </row>
    <row r="7" spans="1:12" s="77" customFormat="1" ht="15" customHeight="1">
      <c r="A7" s="192" t="s">
        <v>48</v>
      </c>
      <c r="B7" s="213">
        <f>RP!I8</f>
        <v>74.599999999999994</v>
      </c>
      <c r="C7" s="195">
        <f>RP!G8</f>
        <v>974684</v>
      </c>
      <c r="D7" s="195">
        <f>IF(B7&lt;100,(100-B7)^(1+p)*BEV,0)</f>
        <v>141251756.67415634</v>
      </c>
      <c r="E7" s="195">
        <f t="shared" si="0"/>
        <v>1098.7531312781957</v>
      </c>
      <c r="F7" s="214">
        <f t="shared" si="1"/>
        <v>1070937097.0067569</v>
      </c>
      <c r="G7" s="215">
        <f>Dotation_RA!$D$25/Dotation_RA!$D$26*F7</f>
        <v>434616528.2522912</v>
      </c>
      <c r="H7" s="216">
        <f t="shared" si="2"/>
        <v>636320568.7544657</v>
      </c>
      <c r="J7" s="204" t="s">
        <v>112</v>
      </c>
      <c r="K7" s="217">
        <f>MIN(B6:B31)</f>
        <v>60.2</v>
      </c>
    </row>
    <row r="8" spans="1:12" s="77" customFormat="1" ht="15" customHeight="1">
      <c r="A8" s="187" t="s">
        <v>49</v>
      </c>
      <c r="B8" s="208">
        <f>RP!I9</f>
        <v>77</v>
      </c>
      <c r="C8" s="190">
        <f>RP!G9</f>
        <v>366426.66666666669</v>
      </c>
      <c r="D8" s="190">
        <f t="shared" ref="D8:D31" si="3">IF(B8&lt;100,(100-RI)^(1+p)*BEV,0)</f>
        <v>45583223.745047323</v>
      </c>
      <c r="E8" s="190">
        <f t="shared" si="0"/>
        <v>943.16585403622901</v>
      </c>
      <c r="F8" s="209">
        <f t="shared" si="1"/>
        <v>345601120.00831527</v>
      </c>
      <c r="G8" s="210">
        <f>Dotation_RA!$D$25/Dotation_RA!$D$26*F8</f>
        <v>140254697.83233193</v>
      </c>
      <c r="H8" s="211">
        <f t="shared" si="2"/>
        <v>205346422.17598334</v>
      </c>
      <c r="J8" s="204" t="s">
        <v>113</v>
      </c>
      <c r="K8" s="217">
        <f>100-((sse*SUM)/((1+p)*B*100))^(1/p)</f>
        <v>60.200000000000045</v>
      </c>
    </row>
    <row r="9" spans="1:12" s="77" customFormat="1" ht="15" customHeight="1">
      <c r="A9" s="192" t="s">
        <v>50</v>
      </c>
      <c r="B9" s="213">
        <f>RP!I10</f>
        <v>60.2</v>
      </c>
      <c r="C9" s="195">
        <f>RP!G10</f>
        <v>34622.333333333336</v>
      </c>
      <c r="D9" s="195">
        <f t="shared" si="3"/>
        <v>10012466.947518466</v>
      </c>
      <c r="E9" s="195">
        <f t="shared" si="0"/>
        <v>2192.577066181897</v>
      </c>
      <c r="F9" s="214">
        <f t="shared" si="1"/>
        <v>75912134.044371709</v>
      </c>
      <c r="G9" s="215">
        <f>Dotation_RA!$D$25/Dotation_RA!$D$26*F9</f>
        <v>30807288.5352474</v>
      </c>
      <c r="H9" s="216">
        <f t="shared" si="2"/>
        <v>45104845.509124309</v>
      </c>
      <c r="J9" s="218"/>
      <c r="K9" s="219"/>
    </row>
    <row r="10" spans="1:12" s="77" customFormat="1" ht="15" customHeight="1">
      <c r="A10" s="187" t="s">
        <v>51</v>
      </c>
      <c r="B10" s="208">
        <f>RP!I11</f>
        <v>157.1</v>
      </c>
      <c r="C10" s="190">
        <f>RP!G11</f>
        <v>141868.66666666666</v>
      </c>
      <c r="D10" s="190">
        <f t="shared" si="3"/>
        <v>0</v>
      </c>
      <c r="E10" s="190">
        <f t="shared" si="0"/>
        <v>0</v>
      </c>
      <c r="F10" s="209">
        <f t="shared" si="1"/>
        <v>0</v>
      </c>
      <c r="G10" s="210">
        <f>Dotation_RA!$D$25/Dotation_RA!$D$26*F10</f>
        <v>0</v>
      </c>
      <c r="H10" s="211">
        <f t="shared" si="2"/>
        <v>0</v>
      </c>
      <c r="J10" s="218"/>
      <c r="K10" s="219"/>
    </row>
    <row r="11" spans="1:12" s="77" customFormat="1" ht="15" customHeight="1">
      <c r="A11" s="192" t="s">
        <v>52</v>
      </c>
      <c r="B11" s="213">
        <f>RP!I12</f>
        <v>82.1</v>
      </c>
      <c r="C11" s="195">
        <f>RP!G12</f>
        <v>34196.333333333336</v>
      </c>
      <c r="D11" s="195">
        <f t="shared" si="3"/>
        <v>2892741.5530907023</v>
      </c>
      <c r="E11" s="195">
        <f t="shared" si="0"/>
        <v>641.35752905874369</v>
      </c>
      <c r="F11" s="214">
        <f t="shared" si="1"/>
        <v>21932075.849535819</v>
      </c>
      <c r="G11" s="215">
        <f>Dotation_RA!$D$25/Dotation_RA!$D$26*F11</f>
        <v>8900655.9673140515</v>
      </c>
      <c r="H11" s="216">
        <f t="shared" si="2"/>
        <v>13031419.882221768</v>
      </c>
      <c r="J11" s="218"/>
      <c r="K11" s="219"/>
    </row>
    <row r="12" spans="1:12" s="77" customFormat="1" ht="15" customHeight="1">
      <c r="A12" s="187" t="s">
        <v>53</v>
      </c>
      <c r="B12" s="208">
        <f>RP!I13</f>
        <v>126.2</v>
      </c>
      <c r="C12" s="190">
        <f>RP!G13</f>
        <v>39881</v>
      </c>
      <c r="D12" s="190">
        <f t="shared" si="3"/>
        <v>0</v>
      </c>
      <c r="E12" s="190">
        <f t="shared" si="0"/>
        <v>0</v>
      </c>
      <c r="F12" s="209">
        <f t="shared" si="1"/>
        <v>0</v>
      </c>
      <c r="G12" s="210">
        <f>Dotation_RA!$D$25/Dotation_RA!$D$26*F12</f>
        <v>0</v>
      </c>
      <c r="H12" s="211">
        <f t="shared" si="2"/>
        <v>0</v>
      </c>
      <c r="J12" s="204" t="s">
        <v>97</v>
      </c>
      <c r="K12" s="220">
        <f>Dotation_RA!D26</f>
        <v>3696684114.7507</v>
      </c>
    </row>
    <row r="13" spans="1:12" s="77" customFormat="1" ht="15" customHeight="1">
      <c r="A13" s="192" t="s">
        <v>54</v>
      </c>
      <c r="B13" s="213">
        <f>RP!I14</f>
        <v>65.7</v>
      </c>
      <c r="C13" s="195">
        <f>RP!G14</f>
        <v>38152.666666666664</v>
      </c>
      <c r="D13" s="195">
        <f t="shared" si="3"/>
        <v>8777059.8284403197</v>
      </c>
      <c r="E13" s="195">
        <f t="shared" si="0"/>
        <v>1744.1919011054497</v>
      </c>
      <c r="F13" s="214">
        <f t="shared" si="1"/>
        <v>66545572.205575846</v>
      </c>
      <c r="G13" s="215">
        <f>Dotation_RA!$D$25/Dotation_RA!$D$26*F13</f>
        <v>27006073.132946167</v>
      </c>
      <c r="H13" s="216">
        <f t="shared" si="2"/>
        <v>39539499.072629675</v>
      </c>
      <c r="J13" s="204" t="s">
        <v>16</v>
      </c>
      <c r="K13" s="220">
        <f>SSE!E32</f>
        <v>8474.7670508042083</v>
      </c>
    </row>
    <row r="14" spans="1:12" s="77" customFormat="1" ht="15" customHeight="1">
      <c r="A14" s="187" t="s">
        <v>55</v>
      </c>
      <c r="B14" s="208">
        <f>RP!I15</f>
        <v>247.6</v>
      </c>
      <c r="C14" s="190">
        <f>RP!G15</f>
        <v>110122.33333333333</v>
      </c>
      <c r="D14" s="190">
        <f t="shared" si="3"/>
        <v>0</v>
      </c>
      <c r="E14" s="190">
        <f t="shared" si="0"/>
        <v>0</v>
      </c>
      <c r="F14" s="209">
        <f t="shared" si="1"/>
        <v>0</v>
      </c>
      <c r="G14" s="210">
        <f>Dotation_RA!$D$25/Dotation_RA!$D$26*F14</f>
        <v>0</v>
      </c>
      <c r="H14" s="211">
        <f t="shared" si="2"/>
        <v>0</v>
      </c>
    </row>
    <row r="15" spans="1:12" s="77" customFormat="1" ht="15" customHeight="1">
      <c r="A15" s="192" t="s">
        <v>56</v>
      </c>
      <c r="B15" s="213">
        <f>RP!I16</f>
        <v>73.7</v>
      </c>
      <c r="C15" s="195">
        <f>RP!G16</f>
        <v>268945.33333333331</v>
      </c>
      <c r="D15" s="195">
        <f t="shared" si="3"/>
        <v>41120373.920280494</v>
      </c>
      <c r="E15" s="195">
        <f t="shared" si="0"/>
        <v>1159.2127449198413</v>
      </c>
      <c r="F15" s="214">
        <f t="shared" si="1"/>
        <v>311764858.08671498</v>
      </c>
      <c r="G15" s="215">
        <f>Dotation_RA!$D$25/Dotation_RA!$D$26*F15</f>
        <v>126522986.86022772</v>
      </c>
      <c r="H15" s="216">
        <f t="shared" si="2"/>
        <v>185241871.22648728</v>
      </c>
    </row>
    <row r="16" spans="1:12" s="77" customFormat="1" ht="15" customHeight="1">
      <c r="A16" s="187" t="s">
        <v>57</v>
      </c>
      <c r="B16" s="208">
        <f>RP!I17</f>
        <v>78.8</v>
      </c>
      <c r="C16" s="190">
        <f>RP!G17</f>
        <v>250559.33333333334</v>
      </c>
      <c r="D16" s="190">
        <f t="shared" si="3"/>
        <v>27496866.280475076</v>
      </c>
      <c r="E16" s="190">
        <f t="shared" si="0"/>
        <v>832.03715794950733</v>
      </c>
      <c r="F16" s="209">
        <f t="shared" si="1"/>
        <v>208474675.60438994</v>
      </c>
      <c r="G16" s="210">
        <f>Dotation_RA!$D$25/Dotation_RA!$D$26*F16</f>
        <v>84604912.830964267</v>
      </c>
      <c r="H16" s="211">
        <f t="shared" si="2"/>
        <v>123869762.77342567</v>
      </c>
    </row>
    <row r="17" spans="1:8" s="77" customFormat="1" ht="15" customHeight="1">
      <c r="A17" s="192" t="s">
        <v>58</v>
      </c>
      <c r="B17" s="213">
        <f>RP!I18</f>
        <v>151</v>
      </c>
      <c r="C17" s="195">
        <f>RP!G18</f>
        <v>190792</v>
      </c>
      <c r="D17" s="195">
        <f t="shared" si="3"/>
        <v>0</v>
      </c>
      <c r="E17" s="195">
        <f t="shared" si="0"/>
        <v>0</v>
      </c>
      <c r="F17" s="214">
        <f t="shared" si="1"/>
        <v>0</v>
      </c>
      <c r="G17" s="215">
        <f>Dotation_RA!$D$25/Dotation_RA!$D$26*F17</f>
        <v>0</v>
      </c>
      <c r="H17" s="216">
        <f t="shared" si="2"/>
        <v>0</v>
      </c>
    </row>
    <row r="18" spans="1:8" s="77" customFormat="1" ht="15" customHeight="1">
      <c r="A18" s="187" t="s">
        <v>59</v>
      </c>
      <c r="B18" s="208">
        <f>RP!I19</f>
        <v>99.5</v>
      </c>
      <c r="C18" s="190">
        <f>RP!G19</f>
        <v>269207</v>
      </c>
      <c r="D18" s="190">
        <f t="shared" si="3"/>
        <v>92682.124818611541</v>
      </c>
      <c r="E18" s="190">
        <f t="shared" si="0"/>
        <v>2.6102357801705418</v>
      </c>
      <c r="F18" s="209">
        <f t="shared" si="1"/>
        <v>702693.74367237103</v>
      </c>
      <c r="G18" s="210">
        <f>Dotation_RA!$D$25/Dotation_RA!$D$26*F18</f>
        <v>285172.97248651052</v>
      </c>
      <c r="H18" s="211">
        <f t="shared" si="2"/>
        <v>417520.7711858605</v>
      </c>
    </row>
    <row r="19" spans="1:8" s="77" customFormat="1" ht="15" customHeight="1">
      <c r="A19" s="192" t="s">
        <v>60</v>
      </c>
      <c r="B19" s="213">
        <f>RP!I20</f>
        <v>102.6</v>
      </c>
      <c r="C19" s="195">
        <f>RP!G20</f>
        <v>75111.333333333328</v>
      </c>
      <c r="D19" s="195">
        <f t="shared" si="3"/>
        <v>0</v>
      </c>
      <c r="E19" s="195">
        <f t="shared" si="0"/>
        <v>0</v>
      </c>
      <c r="F19" s="214">
        <f t="shared" si="1"/>
        <v>0</v>
      </c>
      <c r="G19" s="215">
        <f>Dotation_RA!$D$25/Dotation_RA!$D$26*F19</f>
        <v>0</v>
      </c>
      <c r="H19" s="216">
        <f t="shared" si="2"/>
        <v>0</v>
      </c>
    </row>
    <row r="20" spans="1:8" s="77" customFormat="1" ht="15" customHeight="1">
      <c r="A20" s="187" t="s">
        <v>61</v>
      </c>
      <c r="B20" s="208">
        <f>RP!I21</f>
        <v>81.2</v>
      </c>
      <c r="C20" s="190">
        <f>RP!G21</f>
        <v>52514.333333333336</v>
      </c>
      <c r="D20" s="190">
        <f t="shared" si="3"/>
        <v>4790515.8102054158</v>
      </c>
      <c r="E20" s="190">
        <f t="shared" si="0"/>
        <v>691.63112033587299</v>
      </c>
      <c r="F20" s="209">
        <f t="shared" si="1"/>
        <v>36320547.197024815</v>
      </c>
      <c r="G20" s="210">
        <f>Dotation_RA!$D$25/Dotation_RA!$D$26*F20</f>
        <v>14739904.118658816</v>
      </c>
      <c r="H20" s="211">
        <f t="shared" si="2"/>
        <v>21580643.078365996</v>
      </c>
    </row>
    <row r="21" spans="1:8" s="77" customFormat="1" ht="15" customHeight="1">
      <c r="A21" s="192" t="s">
        <v>62</v>
      </c>
      <c r="B21" s="213">
        <f>RP!I22</f>
        <v>84.9</v>
      </c>
      <c r="C21" s="195">
        <f>RP!G22</f>
        <v>15230.666666666666</v>
      </c>
      <c r="D21" s="195">
        <f t="shared" si="3"/>
        <v>991748.42221303412</v>
      </c>
      <c r="E21" s="195">
        <f t="shared" si="0"/>
        <v>493.68815785971947</v>
      </c>
      <c r="F21" s="214">
        <f t="shared" si="1"/>
        <v>7519199.7696421007</v>
      </c>
      <c r="G21" s="215">
        <f>Dotation_RA!$D$25/Dotation_RA!$D$26*F21</f>
        <v>3051503.686118606</v>
      </c>
      <c r="H21" s="216">
        <f t="shared" si="2"/>
        <v>4467696.0835234951</v>
      </c>
    </row>
    <row r="22" spans="1:8" s="77" customFormat="1" ht="15" customHeight="1">
      <c r="A22" s="187" t="s">
        <v>63</v>
      </c>
      <c r="B22" s="208">
        <f>RP!I23</f>
        <v>78.7</v>
      </c>
      <c r="C22" s="190">
        <f>RP!G23</f>
        <v>470145.33333333331</v>
      </c>
      <c r="D22" s="190">
        <f t="shared" si="3"/>
        <v>51969524.555322126</v>
      </c>
      <c r="E22" s="190">
        <f t="shared" si="0"/>
        <v>838.08239743331148</v>
      </c>
      <c r="F22" s="209">
        <f t="shared" si="1"/>
        <v>394020528.10208338</v>
      </c>
      <c r="G22" s="210">
        <f>Dotation_RA!$D$25/Dotation_RA!$D$26*F22</f>
        <v>159904661.49925646</v>
      </c>
      <c r="H22" s="211">
        <f t="shared" si="2"/>
        <v>234115866.60282692</v>
      </c>
    </row>
    <row r="23" spans="1:8" s="77" customFormat="1" ht="15" customHeight="1">
      <c r="A23" s="192" t="s">
        <v>64</v>
      </c>
      <c r="B23" s="213">
        <f>RP!I24</f>
        <v>81.5</v>
      </c>
      <c r="C23" s="195">
        <f>RP!G24</f>
        <v>193222</v>
      </c>
      <c r="D23" s="195">
        <f t="shared" si="3"/>
        <v>17195463.043875623</v>
      </c>
      <c r="E23" s="195">
        <f t="shared" si="0"/>
        <v>674.7259400903863</v>
      </c>
      <c r="F23" s="214">
        <f t="shared" si="1"/>
        <v>130371895.59614462</v>
      </c>
      <c r="G23" s="215">
        <f>Dotation_RA!$D$25/Dotation_RA!$D$26*F23</f>
        <v>52908598.277186252</v>
      </c>
      <c r="H23" s="216">
        <f t="shared" si="2"/>
        <v>77463297.318958372</v>
      </c>
    </row>
    <row r="24" spans="1:8" s="77" customFormat="1" ht="15" customHeight="1">
      <c r="A24" s="187" t="s">
        <v>65</v>
      </c>
      <c r="B24" s="208">
        <f>RP!I25</f>
        <v>88.5</v>
      </c>
      <c r="C24" s="190">
        <f>RP!G25</f>
        <v>587685.33333333337</v>
      </c>
      <c r="D24" s="190">
        <f t="shared" si="3"/>
        <v>25169376.082630686</v>
      </c>
      <c r="E24" s="190">
        <f t="shared" si="0"/>
        <v>324.71152462022951</v>
      </c>
      <c r="F24" s="209">
        <f t="shared" si="1"/>
        <v>190828200.58361447</v>
      </c>
      <c r="G24" s="210">
        <f>Dotation_RA!$D$25/Dotation_RA!$D$26*F24</f>
        <v>77443474.749440953</v>
      </c>
      <c r="H24" s="211">
        <f t="shared" si="2"/>
        <v>113384725.83417352</v>
      </c>
    </row>
    <row r="25" spans="1:8" s="77" customFormat="1" ht="15" customHeight="1">
      <c r="A25" s="192" t="s">
        <v>66</v>
      </c>
      <c r="B25" s="213">
        <f>RP!I26</f>
        <v>77.400000000000006</v>
      </c>
      <c r="C25" s="195">
        <f>RP!G26</f>
        <v>240955.33333333334</v>
      </c>
      <c r="D25" s="195">
        <f t="shared" si="3"/>
        <v>29176499.5695289</v>
      </c>
      <c r="E25" s="195">
        <f t="shared" si="0"/>
        <v>918.05087337270948</v>
      </c>
      <c r="F25" s="214">
        <f t="shared" si="1"/>
        <v>221209254.21047902</v>
      </c>
      <c r="G25" s="215">
        <f>Dotation_RA!$D$25/Dotation_RA!$D$26*F25</f>
        <v>89772964.584894136</v>
      </c>
      <c r="H25" s="216">
        <f t="shared" si="2"/>
        <v>131436289.62558489</v>
      </c>
    </row>
    <row r="26" spans="1:8" s="77" customFormat="1" ht="15" customHeight="1">
      <c r="A26" s="187" t="s">
        <v>67</v>
      </c>
      <c r="B26" s="208">
        <f>RP!I27</f>
        <v>101.2</v>
      </c>
      <c r="C26" s="190">
        <f>RP!G27</f>
        <v>330933</v>
      </c>
      <c r="D26" s="190">
        <f t="shared" si="3"/>
        <v>0</v>
      </c>
      <c r="E26" s="190">
        <f t="shared" si="0"/>
        <v>0</v>
      </c>
      <c r="F26" s="209">
        <f t="shared" si="1"/>
        <v>0</v>
      </c>
      <c r="G26" s="210">
        <f>Dotation_RA!$D$25/Dotation_RA!$D$26*F26</f>
        <v>0</v>
      </c>
      <c r="H26" s="211">
        <f t="shared" si="2"/>
        <v>0</v>
      </c>
    </row>
    <row r="27" spans="1:8" s="77" customFormat="1" ht="15" customHeight="1">
      <c r="A27" s="192" t="s">
        <v>68</v>
      </c>
      <c r="B27" s="213">
        <f>RP!I28</f>
        <v>109.2</v>
      </c>
      <c r="C27" s="195">
        <f>RP!G28</f>
        <v>691309.66666666663</v>
      </c>
      <c r="D27" s="195">
        <f t="shared" si="3"/>
        <v>0</v>
      </c>
      <c r="E27" s="195">
        <f t="shared" si="0"/>
        <v>0</v>
      </c>
      <c r="F27" s="214">
        <f t="shared" si="1"/>
        <v>0</v>
      </c>
      <c r="G27" s="215">
        <f>Dotation_RA!$D$25/Dotation_RA!$D$26*F27</f>
        <v>0</v>
      </c>
      <c r="H27" s="216">
        <f t="shared" si="2"/>
        <v>0</v>
      </c>
    </row>
    <row r="28" spans="1:8" s="77" customFormat="1" ht="15" customHeight="1">
      <c r="A28" s="187" t="s">
        <v>69</v>
      </c>
      <c r="B28" s="208">
        <f>RP!I29</f>
        <v>68.7</v>
      </c>
      <c r="C28" s="190">
        <f>RP!G29</f>
        <v>301048.66666666669</v>
      </c>
      <c r="D28" s="190">
        <f t="shared" si="3"/>
        <v>60160533.021323457</v>
      </c>
      <c r="E28" s="190">
        <f t="shared" si="0"/>
        <v>1515.1131670519708</v>
      </c>
      <c r="F28" s="209">
        <f t="shared" si="1"/>
        <v>456122798.79010642</v>
      </c>
      <c r="G28" s="210">
        <f>Dotation_RA!$D$25/Dotation_RA!$D$26*F28</f>
        <v>185107517.3518092</v>
      </c>
      <c r="H28" s="211">
        <f t="shared" si="2"/>
        <v>271015281.43829721</v>
      </c>
    </row>
    <row r="29" spans="1:8" s="77" customFormat="1" ht="15" customHeight="1">
      <c r="A29" s="192" t="s">
        <v>70</v>
      </c>
      <c r="B29" s="213">
        <f>RP!I30</f>
        <v>93.5</v>
      </c>
      <c r="C29" s="195">
        <f>RP!G30</f>
        <v>171084.33333333334</v>
      </c>
      <c r="D29" s="195">
        <f t="shared" si="3"/>
        <v>3046196.1206070902</v>
      </c>
      <c r="E29" s="195">
        <f t="shared" si="0"/>
        <v>134.99501266478336</v>
      </c>
      <c r="F29" s="214">
        <f t="shared" si="1"/>
        <v>23095531.745079353</v>
      </c>
      <c r="G29" s="215">
        <f>Dotation_RA!$D$25/Dotation_RA!$D$26*F29</f>
        <v>9372819.2376957498</v>
      </c>
      <c r="H29" s="216">
        <f t="shared" si="2"/>
        <v>13722712.507383604</v>
      </c>
    </row>
    <row r="30" spans="1:8" s="77" customFormat="1" ht="15" customHeight="1">
      <c r="A30" s="187" t="s">
        <v>71</v>
      </c>
      <c r="B30" s="208">
        <f>RP!I31</f>
        <v>147.69999999999999</v>
      </c>
      <c r="C30" s="190">
        <f>RP!G31</f>
        <v>447462.33333333331</v>
      </c>
      <c r="D30" s="190">
        <f t="shared" si="3"/>
        <v>0</v>
      </c>
      <c r="E30" s="190">
        <f t="shared" si="0"/>
        <v>0</v>
      </c>
      <c r="F30" s="209">
        <f t="shared" si="1"/>
        <v>0</v>
      </c>
      <c r="G30" s="210">
        <f>Dotation_RA!$D$25/Dotation_RA!$D$26*F30</f>
        <v>0</v>
      </c>
      <c r="H30" s="211">
        <f t="shared" si="2"/>
        <v>0</v>
      </c>
    </row>
    <row r="31" spans="1:8" s="77" customFormat="1" ht="15" customHeight="1">
      <c r="A31" s="192" t="s">
        <v>72</v>
      </c>
      <c r="B31" s="213">
        <f>RP!I32</f>
        <v>62.8</v>
      </c>
      <c r="C31" s="195">
        <f>RP!G32</f>
        <v>68479.666666666672</v>
      </c>
      <c r="D31" s="195">
        <f t="shared" si="3"/>
        <v>17848878.05386506</v>
      </c>
      <c r="E31" s="195">
        <f t="shared" si="0"/>
        <v>1976.1476478252923</v>
      </c>
      <c r="F31" s="214">
        <f t="shared" si="1"/>
        <v>135325932.20719343</v>
      </c>
      <c r="G31" s="215">
        <f>Dotation_RA!$D$25/Dotation_RA!$D$26*F31</f>
        <v>54919086.286936469</v>
      </c>
      <c r="H31" s="216">
        <f t="shared" si="2"/>
        <v>80406845.920256972</v>
      </c>
    </row>
    <row r="32" spans="1:8">
      <c r="A32" s="197" t="s">
        <v>114</v>
      </c>
      <c r="B32" s="221">
        <f>RP!I33</f>
        <v>100</v>
      </c>
      <c r="C32" s="199">
        <f>RP!G33</f>
        <v>7710311</v>
      </c>
      <c r="D32" s="199">
        <f>SUM(D6:D31)</f>
        <v>487575905.75339866</v>
      </c>
      <c r="E32" s="199"/>
      <c r="F32" s="199">
        <f>SUM(F6:F31)</f>
        <v>3696684114.7507</v>
      </c>
      <c r="G32" s="222">
        <f>SUM(G6:G31)</f>
        <v>1500218846.1758058</v>
      </c>
      <c r="H32" s="223">
        <f>SUM(H6:H31)</f>
        <v>2196465268.5748944</v>
      </c>
    </row>
  </sheetData>
  <mergeCells count="2">
    <mergeCell ref="A1:H1"/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2" width="15.28515625" style="1" customWidth="1"/>
    <col min="3" max="3" width="17.42578125" style="1" customWidth="1"/>
    <col min="4" max="4" width="16.7109375" style="1" customWidth="1"/>
    <col min="5" max="5" width="19.140625" style="1" customWidth="1"/>
    <col min="6" max="6" width="15.140625" style="1" customWidth="1"/>
    <col min="7" max="7" width="18.5703125" style="1" customWidth="1"/>
    <col min="8" max="8" width="13.42578125" style="1" customWidth="1"/>
    <col min="9" max="9" width="2.42578125" style="1" customWidth="1"/>
    <col min="10" max="10" width="16.7109375" style="1" customWidth="1"/>
  </cols>
  <sheetData>
    <row r="1" spans="1:10" ht="27" customHeight="1">
      <c r="A1" s="298" t="str">
        <f>"Standardisierte Steuererträge (SSE) "&amp;Info!C30</f>
        <v>Standardisierte Steuererträge (SSE) 2013</v>
      </c>
      <c r="B1" s="298"/>
      <c r="C1" s="298"/>
      <c r="D1" s="298"/>
      <c r="E1" s="298"/>
      <c r="F1" s="61"/>
      <c r="G1" s="61"/>
      <c r="H1" s="61"/>
      <c r="J1" s="17" t="str">
        <f>Info!$C$28</f>
        <v>FA_2013_20120910</v>
      </c>
    </row>
    <row r="2" spans="1:10" s="1" customFormat="1">
      <c r="A2" s="62" t="s">
        <v>27</v>
      </c>
      <c r="B2" s="176" t="s">
        <v>97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4" t="s">
        <v>115</v>
      </c>
    </row>
    <row r="3" spans="1:10" s="22" customFormat="1" ht="11.25" customHeight="1">
      <c r="A3" s="67" t="s">
        <v>35</v>
      </c>
      <c r="B3" s="225"/>
      <c r="C3" s="68"/>
      <c r="D3" s="68"/>
      <c r="E3" s="68" t="s">
        <v>116</v>
      </c>
      <c r="F3" s="68"/>
      <c r="G3" s="68" t="s">
        <v>117</v>
      </c>
      <c r="H3" s="226" t="s">
        <v>118</v>
      </c>
      <c r="J3" s="227" t="s">
        <v>119</v>
      </c>
    </row>
    <row r="4" spans="1:10" ht="63.75" customHeight="1">
      <c r="A4" s="181"/>
      <c r="B4" s="228" t="s">
        <v>101</v>
      </c>
      <c r="C4" s="228" t="s">
        <v>120</v>
      </c>
      <c r="D4" s="201" t="s">
        <v>102</v>
      </c>
      <c r="E4" s="228" t="s">
        <v>121</v>
      </c>
      <c r="F4" s="201" t="s">
        <v>122</v>
      </c>
      <c r="G4" s="228" t="s">
        <v>123</v>
      </c>
      <c r="H4" s="184" t="s">
        <v>124</v>
      </c>
      <c r="I4" s="229"/>
      <c r="J4" s="230" t="s">
        <v>125</v>
      </c>
    </row>
    <row r="5" spans="1:10" s="33" customFormat="1" ht="13.5" customHeight="1">
      <c r="A5" s="39" t="s">
        <v>43</v>
      </c>
      <c r="B5" s="186" t="s">
        <v>79</v>
      </c>
      <c r="C5" s="40" t="s">
        <v>46</v>
      </c>
      <c r="D5" s="40" t="s">
        <v>106</v>
      </c>
      <c r="E5" s="40" t="s">
        <v>46</v>
      </c>
      <c r="F5" s="231" t="s">
        <v>46</v>
      </c>
      <c r="G5" s="232" t="s">
        <v>46</v>
      </c>
      <c r="H5" s="233" t="s">
        <v>79</v>
      </c>
      <c r="I5" s="234"/>
      <c r="J5" s="235" t="s">
        <v>46</v>
      </c>
    </row>
    <row r="6" spans="1:10">
      <c r="A6" s="236" t="s">
        <v>47</v>
      </c>
      <c r="B6" s="237">
        <f>RP!I7</f>
        <v>119.1</v>
      </c>
      <c r="C6" s="45">
        <f>RP!H7/RP!$H$33*sse*D6</f>
        <v>13583358813.863016</v>
      </c>
      <c r="D6" s="238">
        <f>RP!G7</f>
        <v>1345671.3333333333</v>
      </c>
      <c r="E6" s="45">
        <f t="shared" ref="E6:E32" si="0">C6/D6</f>
        <v>10094.113233590235</v>
      </c>
      <c r="F6" s="45">
        <f>IF(B6&gt;100,-Einzahlungen!F7,Auszahlungen!F6)/D6</f>
        <v>-321.49194355989448</v>
      </c>
      <c r="G6" s="45">
        <f t="shared" ref="G6:G31" si="1">E6+F6</f>
        <v>9772.6212900303399</v>
      </c>
      <c r="H6" s="46">
        <f t="shared" ref="H6:H31" si="2">ROUND(G6/E$32*100,1)</f>
        <v>115.3</v>
      </c>
      <c r="J6" s="239">
        <f t="shared" ref="J6:J32" si="3">E6-E$32</f>
        <v>1619.3461827860265</v>
      </c>
    </row>
    <row r="7" spans="1:10">
      <c r="A7" s="240" t="s">
        <v>48</v>
      </c>
      <c r="B7" s="241">
        <f>RP!I8</f>
        <v>74.599999999999994</v>
      </c>
      <c r="C7" s="50">
        <f>RP!H8/RP!$H$33*sse*D7</f>
        <v>6158697633.7114439</v>
      </c>
      <c r="D7" s="242">
        <f>RP!G8</f>
        <v>974684</v>
      </c>
      <c r="E7" s="50">
        <f t="shared" si="0"/>
        <v>6318.6608518365374</v>
      </c>
      <c r="F7" s="50">
        <f>IF(B7&gt;100,-Einzahlungen!F8,Auszahlungen!F7)/D7</f>
        <v>1098.7531312781957</v>
      </c>
      <c r="G7" s="50">
        <f t="shared" si="1"/>
        <v>7417.4139831147331</v>
      </c>
      <c r="H7" s="51">
        <f t="shared" si="2"/>
        <v>87.5</v>
      </c>
      <c r="J7" s="243">
        <f t="shared" si="3"/>
        <v>-2156.1061989676709</v>
      </c>
    </row>
    <row r="8" spans="1:10">
      <c r="A8" s="244" t="s">
        <v>49</v>
      </c>
      <c r="B8" s="245">
        <f>RP!I9</f>
        <v>77</v>
      </c>
      <c r="C8" s="54">
        <f>RP!H9/RP!$H$33*sse*D8</f>
        <v>2390683241.994503</v>
      </c>
      <c r="D8" s="246">
        <f>RP!G9</f>
        <v>366426.66666666669</v>
      </c>
      <c r="E8" s="54">
        <f t="shared" si="0"/>
        <v>6524.3156666031482</v>
      </c>
      <c r="F8" s="54">
        <f>IF(B8&gt;100,-Einzahlungen!F9,Auszahlungen!F8)/D8</f>
        <v>943.16585403622889</v>
      </c>
      <c r="G8" s="54">
        <f t="shared" si="1"/>
        <v>7467.4815206393769</v>
      </c>
      <c r="H8" s="55">
        <f t="shared" si="2"/>
        <v>88.1</v>
      </c>
      <c r="J8" s="247">
        <f t="shared" si="3"/>
        <v>-1950.4513842010601</v>
      </c>
    </row>
    <row r="9" spans="1:10">
      <c r="A9" s="240" t="s">
        <v>50</v>
      </c>
      <c r="B9" s="241">
        <f>RP!I10</f>
        <v>60.2</v>
      </c>
      <c r="C9" s="50">
        <f>RP!H10/RP!$H$33*sse*D9</f>
        <v>176758235.26820886</v>
      </c>
      <c r="D9" s="242">
        <f>RP!G10</f>
        <v>34622.333333333336</v>
      </c>
      <c r="E9" s="50">
        <f t="shared" si="0"/>
        <v>5105.324172303297</v>
      </c>
      <c r="F9" s="50">
        <f>IF(B9&gt;100,-Einzahlungen!F10,Auszahlungen!F9)/D9</f>
        <v>2192.577066181897</v>
      </c>
      <c r="G9" s="50">
        <f t="shared" si="1"/>
        <v>7297.901238485194</v>
      </c>
      <c r="H9" s="51">
        <f t="shared" si="2"/>
        <v>86.1</v>
      </c>
      <c r="J9" s="243">
        <f t="shared" si="3"/>
        <v>-3369.4428785009113</v>
      </c>
    </row>
    <row r="10" spans="1:10">
      <c r="A10" s="244" t="s">
        <v>51</v>
      </c>
      <c r="B10" s="245">
        <f>RP!I11</f>
        <v>157.1</v>
      </c>
      <c r="C10" s="54">
        <f>RP!H11/RP!$H$33*sse*D10</f>
        <v>1888503213.4566638</v>
      </c>
      <c r="D10" s="246">
        <f>RP!G11</f>
        <v>141868.66666666666</v>
      </c>
      <c r="E10" s="54">
        <f t="shared" si="0"/>
        <v>13311.630100069058</v>
      </c>
      <c r="F10" s="54">
        <f>IF(B10&gt;100,-Einzahlungen!F11,Auszahlungen!F10)/D10</f>
        <v>-961.10942289371633</v>
      </c>
      <c r="G10" s="54">
        <f t="shared" si="1"/>
        <v>12350.520677175342</v>
      </c>
      <c r="H10" s="55">
        <f t="shared" si="2"/>
        <v>145.69999999999999</v>
      </c>
      <c r="J10" s="247">
        <f t="shared" si="3"/>
        <v>4836.8630492648499</v>
      </c>
    </row>
    <row r="11" spans="1:10">
      <c r="A11" s="240" t="s">
        <v>52</v>
      </c>
      <c r="B11" s="241">
        <f>RP!I12</f>
        <v>82.1</v>
      </c>
      <c r="C11" s="50">
        <f>RP!H12/RP!$H$33*sse*D11</f>
        <v>238072591.71150434</v>
      </c>
      <c r="D11" s="242">
        <f>RP!G12</f>
        <v>34196.333333333336</v>
      </c>
      <c r="E11" s="50">
        <f t="shared" si="0"/>
        <v>6961.9332982533506</v>
      </c>
      <c r="F11" s="50">
        <f>IF(B11&gt;100,-Einzahlungen!F12,Auszahlungen!F11)/D11</f>
        <v>641.35752905874369</v>
      </c>
      <c r="G11" s="50">
        <f t="shared" si="1"/>
        <v>7603.2908273120938</v>
      </c>
      <c r="H11" s="51">
        <f t="shared" si="2"/>
        <v>89.7</v>
      </c>
      <c r="J11" s="243">
        <f t="shared" si="3"/>
        <v>-1512.8337525508578</v>
      </c>
    </row>
    <row r="12" spans="1:10">
      <c r="A12" s="244" t="s">
        <v>53</v>
      </c>
      <c r="B12" s="245">
        <f>RP!I13</f>
        <v>126.2</v>
      </c>
      <c r="C12" s="54">
        <f>RP!H13/RP!$H$33*sse*D12</f>
        <v>426673281.08497518</v>
      </c>
      <c r="D12" s="246">
        <f>RP!G13</f>
        <v>39881</v>
      </c>
      <c r="E12" s="54">
        <f t="shared" si="0"/>
        <v>10698.660542237536</v>
      </c>
      <c r="F12" s="54">
        <f>IF(B12&gt;100,-Einzahlungen!F13,Auszahlungen!F12)/D12</f>
        <v>-440.99941996174022</v>
      </c>
      <c r="G12" s="54">
        <f t="shared" si="1"/>
        <v>10257.661122275797</v>
      </c>
      <c r="H12" s="55">
        <f t="shared" si="2"/>
        <v>121</v>
      </c>
      <c r="J12" s="247">
        <f t="shared" si="3"/>
        <v>2223.8934914333277</v>
      </c>
    </row>
    <row r="13" spans="1:10">
      <c r="A13" s="240" t="s">
        <v>54</v>
      </c>
      <c r="B13" s="241">
        <f>RP!I14</f>
        <v>65.7</v>
      </c>
      <c r="C13" s="50">
        <f>RP!H14/RP!$H$33*sse*D13</f>
        <v>212531468.66212365</v>
      </c>
      <c r="D13" s="242">
        <f>RP!G14</f>
        <v>38152.666666666664</v>
      </c>
      <c r="E13" s="50">
        <f t="shared" si="0"/>
        <v>5570.5534430653252</v>
      </c>
      <c r="F13" s="50">
        <f>IF(B13&gt;100,-Einzahlungen!F14,Auszahlungen!F13)/D13</f>
        <v>1744.1919011054497</v>
      </c>
      <c r="G13" s="50">
        <f t="shared" si="1"/>
        <v>7314.7453441707748</v>
      </c>
      <c r="H13" s="51">
        <f t="shared" si="2"/>
        <v>86.3</v>
      </c>
      <c r="J13" s="243">
        <f t="shared" si="3"/>
        <v>-2904.2136077388832</v>
      </c>
    </row>
    <row r="14" spans="1:10">
      <c r="A14" s="244" t="s">
        <v>55</v>
      </c>
      <c r="B14" s="245">
        <f>RP!I15</f>
        <v>247.6</v>
      </c>
      <c r="C14" s="54">
        <f>RP!H15/RP!$H$33*sse*D14</f>
        <v>2310808492.5927925</v>
      </c>
      <c r="D14" s="246">
        <f>RP!G15</f>
        <v>110122.33333333333</v>
      </c>
      <c r="E14" s="54">
        <f t="shared" si="0"/>
        <v>20984.01316650385</v>
      </c>
      <c r="F14" s="54">
        <f>IF(B14&gt;100,-Einzahlungen!F15,Auszahlungen!F14)/D14</f>
        <v>-2484.4089460440018</v>
      </c>
      <c r="G14" s="54">
        <f t="shared" si="1"/>
        <v>18499.604220459849</v>
      </c>
      <c r="H14" s="55">
        <f t="shared" si="2"/>
        <v>218.3</v>
      </c>
      <c r="J14" s="247">
        <f t="shared" si="3"/>
        <v>12509.246115699641</v>
      </c>
    </row>
    <row r="15" spans="1:10">
      <c r="A15" s="240" t="s">
        <v>56</v>
      </c>
      <c r="B15" s="241">
        <f>RP!I16</f>
        <v>73.7</v>
      </c>
      <c r="C15" s="50">
        <f>RP!H16/RP!$H$33*sse*D15</f>
        <v>1680665688.8820727</v>
      </c>
      <c r="D15" s="242">
        <f>RP!G16</f>
        <v>268945.33333333331</v>
      </c>
      <c r="E15" s="50">
        <f t="shared" si="0"/>
        <v>6249.0977926694131</v>
      </c>
      <c r="F15" s="50">
        <f>IF(B15&gt;100,-Einzahlungen!F16,Auszahlungen!F15)/D15</f>
        <v>1159.2127449198413</v>
      </c>
      <c r="G15" s="50">
        <f t="shared" si="1"/>
        <v>7408.3105375892546</v>
      </c>
      <c r="H15" s="51">
        <f t="shared" si="2"/>
        <v>87.4</v>
      </c>
      <c r="J15" s="243">
        <f t="shared" si="3"/>
        <v>-2225.6692581347952</v>
      </c>
    </row>
    <row r="16" spans="1:10">
      <c r="A16" s="244" t="s">
        <v>57</v>
      </c>
      <c r="B16" s="245">
        <f>RP!I17</f>
        <v>78.8</v>
      </c>
      <c r="C16" s="54">
        <f>RP!H17/RP!$H$33*sse*D16</f>
        <v>1672243361.751339</v>
      </c>
      <c r="D16" s="246">
        <f>RP!G17</f>
        <v>250559.33333333334</v>
      </c>
      <c r="E16" s="54">
        <f t="shared" si="0"/>
        <v>6674.0413917315882</v>
      </c>
      <c r="F16" s="54">
        <f>IF(B16&gt;100,-Einzahlungen!F17,Auszahlungen!F16)/D16</f>
        <v>832.03715794950733</v>
      </c>
      <c r="G16" s="54">
        <f t="shared" si="1"/>
        <v>7506.0785496810959</v>
      </c>
      <c r="H16" s="55">
        <f t="shared" si="2"/>
        <v>88.6</v>
      </c>
      <c r="J16" s="247">
        <f t="shared" si="3"/>
        <v>-1800.7256590726201</v>
      </c>
    </row>
    <row r="17" spans="1:10">
      <c r="A17" s="240" t="s">
        <v>58</v>
      </c>
      <c r="B17" s="241">
        <f>RP!I18</f>
        <v>151</v>
      </c>
      <c r="C17" s="50">
        <f>RP!H18/RP!$H$33*sse*D17</f>
        <v>2442146865.0477715</v>
      </c>
      <c r="D17" s="242">
        <f>RP!G18</f>
        <v>190792</v>
      </c>
      <c r="E17" s="50">
        <f t="shared" si="0"/>
        <v>12800.048560986685</v>
      </c>
      <c r="F17" s="50">
        <f>IF(B17&gt;100,-Einzahlungen!F18,Auszahlungen!F17)/D17</f>
        <v>-858.43398542170814</v>
      </c>
      <c r="G17" s="50">
        <f t="shared" si="1"/>
        <v>11941.614575564976</v>
      </c>
      <c r="H17" s="51">
        <f t="shared" si="2"/>
        <v>140.9</v>
      </c>
      <c r="J17" s="243">
        <f t="shared" si="3"/>
        <v>4325.2815101824763</v>
      </c>
    </row>
    <row r="18" spans="1:10">
      <c r="A18" s="244" t="s">
        <v>59</v>
      </c>
      <c r="B18" s="245">
        <f>RP!I19</f>
        <v>99.5</v>
      </c>
      <c r="C18" s="54">
        <f>RP!H19/RP!$H$33*sse*D18</f>
        <v>2269996108.7081985</v>
      </c>
      <c r="D18" s="246">
        <f>RP!G19</f>
        <v>269207</v>
      </c>
      <c r="E18" s="54">
        <f t="shared" si="0"/>
        <v>8432.1585572002168</v>
      </c>
      <c r="F18" s="54">
        <f>IF(B18&gt;100,-Einzahlungen!F19,Auszahlungen!F18)/D18</f>
        <v>2.6102357801705418</v>
      </c>
      <c r="G18" s="54">
        <f t="shared" si="1"/>
        <v>8434.7687929803869</v>
      </c>
      <c r="H18" s="55">
        <f t="shared" si="2"/>
        <v>99.5</v>
      </c>
      <c r="J18" s="247">
        <f t="shared" si="3"/>
        <v>-42.608493603991519</v>
      </c>
    </row>
    <row r="19" spans="1:10">
      <c r="A19" s="240" t="s">
        <v>60</v>
      </c>
      <c r="B19" s="241">
        <f>RP!I20</f>
        <v>102.6</v>
      </c>
      <c r="C19" s="50">
        <f>RP!H20/RP!$H$33*sse*D19</f>
        <v>653220775.91194534</v>
      </c>
      <c r="D19" s="242">
        <f>RP!G20</f>
        <v>75111.333333333328</v>
      </c>
      <c r="E19" s="50">
        <f t="shared" si="0"/>
        <v>8696.7005766366201</v>
      </c>
      <c r="F19" s="50">
        <f>IF(B19&gt;100,-Einzahlungen!F20,Auszahlungen!F19)/D19</f>
        <v>-43.76330121757718</v>
      </c>
      <c r="G19" s="50">
        <f t="shared" si="1"/>
        <v>8652.9372754190426</v>
      </c>
      <c r="H19" s="51">
        <f t="shared" si="2"/>
        <v>102.1</v>
      </c>
      <c r="J19" s="243">
        <f t="shared" si="3"/>
        <v>221.93352583241176</v>
      </c>
    </row>
    <row r="20" spans="1:10">
      <c r="A20" s="244" t="s">
        <v>61</v>
      </c>
      <c r="B20" s="245">
        <f>RP!I21</f>
        <v>81.2</v>
      </c>
      <c r="C20" s="54">
        <f>RP!H21/RP!$H$33*sse*D20</f>
        <v>361484292.62244177</v>
      </c>
      <c r="D20" s="246">
        <f>RP!G21</f>
        <v>52514.333333333336</v>
      </c>
      <c r="E20" s="54">
        <f t="shared" si="0"/>
        <v>6883.5357830390767</v>
      </c>
      <c r="F20" s="54">
        <f>IF(B20&gt;100,-Einzahlungen!F21,Auszahlungen!F20)/D20</f>
        <v>691.63112033587299</v>
      </c>
      <c r="G20" s="54">
        <f t="shared" si="1"/>
        <v>7575.1669033749495</v>
      </c>
      <c r="H20" s="55">
        <f t="shared" si="2"/>
        <v>89.4</v>
      </c>
      <c r="J20" s="247">
        <f t="shared" si="3"/>
        <v>-1591.2312677651316</v>
      </c>
    </row>
    <row r="21" spans="1:10">
      <c r="A21" s="240" t="s">
        <v>62</v>
      </c>
      <c r="B21" s="241">
        <f>RP!I22</f>
        <v>84.9</v>
      </c>
      <c r="C21" s="50">
        <f>RP!H22/RP!$H$33*sse*D21</f>
        <v>109594391.97314295</v>
      </c>
      <c r="D21" s="242">
        <f>RP!G22</f>
        <v>15230.666666666666</v>
      </c>
      <c r="E21" s="50">
        <f t="shared" si="0"/>
        <v>7195.6398476632421</v>
      </c>
      <c r="F21" s="50">
        <f>IF(B21&gt;100,-Einzahlungen!F22,Auszahlungen!F21)/D21</f>
        <v>493.68815785971947</v>
      </c>
      <c r="G21" s="50">
        <f t="shared" si="1"/>
        <v>7689.3280055229616</v>
      </c>
      <c r="H21" s="51">
        <f t="shared" si="2"/>
        <v>90.7</v>
      </c>
      <c r="J21" s="243">
        <f t="shared" si="3"/>
        <v>-1279.1272031409662</v>
      </c>
    </row>
    <row r="22" spans="1:10">
      <c r="A22" s="244" t="s">
        <v>63</v>
      </c>
      <c r="B22" s="245">
        <f>RP!I23</f>
        <v>78.7</v>
      </c>
      <c r="C22" s="54">
        <f>RP!H23/RP!$H$33*sse*D22</f>
        <v>3136343547.4516783</v>
      </c>
      <c r="D22" s="246">
        <f>RP!G23</f>
        <v>470145.33333333331</v>
      </c>
      <c r="E22" s="54">
        <f t="shared" si="0"/>
        <v>6671.0085692332268</v>
      </c>
      <c r="F22" s="54">
        <f>IF(B22&gt;100,-Einzahlungen!F23,Auszahlungen!F22)/D22</f>
        <v>838.0823974333116</v>
      </c>
      <c r="G22" s="54">
        <f t="shared" si="1"/>
        <v>7509.0909666665384</v>
      </c>
      <c r="H22" s="55">
        <f t="shared" si="2"/>
        <v>88.6</v>
      </c>
      <c r="J22" s="247">
        <f t="shared" si="3"/>
        <v>-1803.7584815709815</v>
      </c>
    </row>
    <row r="23" spans="1:10">
      <c r="A23" s="240" t="s">
        <v>64</v>
      </c>
      <c r="B23" s="241">
        <f>RP!I24</f>
        <v>81.5</v>
      </c>
      <c r="C23" s="50">
        <f>RP!H24/RP!$H$33*sse*D23</f>
        <v>1334667255.8989735</v>
      </c>
      <c r="D23" s="242">
        <f>RP!G24</f>
        <v>193222</v>
      </c>
      <c r="E23" s="50">
        <f t="shared" si="0"/>
        <v>6907.4290499993449</v>
      </c>
      <c r="F23" s="50">
        <f>IF(B23&gt;100,-Einzahlungen!F24,Auszahlungen!F23)/D23</f>
        <v>674.7259400903863</v>
      </c>
      <c r="G23" s="50">
        <f t="shared" si="1"/>
        <v>7582.1549900897317</v>
      </c>
      <c r="H23" s="51">
        <f t="shared" si="2"/>
        <v>89.5</v>
      </c>
      <c r="J23" s="243">
        <f t="shared" si="3"/>
        <v>-1567.3380008048634</v>
      </c>
    </row>
    <row r="24" spans="1:10">
      <c r="A24" s="244" t="s">
        <v>65</v>
      </c>
      <c r="B24" s="245">
        <f>RP!I25</f>
        <v>88.5</v>
      </c>
      <c r="C24" s="54">
        <f>RP!H25/RP!$H$33*sse*D24</f>
        <v>4407089178.1775856</v>
      </c>
      <c r="D24" s="246">
        <f>RP!G25</f>
        <v>587685.33333333337</v>
      </c>
      <c r="E24" s="54">
        <f t="shared" si="0"/>
        <v>7499.0627266137635</v>
      </c>
      <c r="F24" s="54">
        <f>IF(B24&gt;100,-Einzahlungen!F25,Auszahlungen!F24)/D24</f>
        <v>324.71152462022951</v>
      </c>
      <c r="G24" s="54">
        <f t="shared" si="1"/>
        <v>7823.7742512339928</v>
      </c>
      <c r="H24" s="55">
        <f t="shared" si="2"/>
        <v>92.3</v>
      </c>
      <c r="J24" s="247">
        <f t="shared" si="3"/>
        <v>-975.70432419044482</v>
      </c>
    </row>
    <row r="25" spans="1:10">
      <c r="A25" s="240" t="s">
        <v>66</v>
      </c>
      <c r="B25" s="241">
        <f>RP!I26</f>
        <v>77.400000000000006</v>
      </c>
      <c r="C25" s="50">
        <f>RP!H26/RP!$H$33*sse*D25</f>
        <v>1579649909.7272174</v>
      </c>
      <c r="D25" s="242">
        <f>RP!G26</f>
        <v>240955.33333333334</v>
      </c>
      <c r="E25" s="50">
        <f t="shared" si="0"/>
        <v>6555.7789814179287</v>
      </c>
      <c r="F25" s="50">
        <f>IF(B25&gt;100,-Einzahlungen!F26,Auszahlungen!F25)/D25</f>
        <v>918.05087337270948</v>
      </c>
      <c r="G25" s="50">
        <f t="shared" si="1"/>
        <v>7473.8298547906379</v>
      </c>
      <c r="H25" s="51">
        <f t="shared" si="2"/>
        <v>88.2</v>
      </c>
      <c r="J25" s="243">
        <f t="shared" si="3"/>
        <v>-1918.9880693862797</v>
      </c>
    </row>
    <row r="26" spans="1:10">
      <c r="A26" s="244" t="s">
        <v>67</v>
      </c>
      <c r="B26" s="245">
        <f>RP!I27</f>
        <v>101.2</v>
      </c>
      <c r="C26" s="54">
        <f>RP!H27/RP!$H$33*sse*D26</f>
        <v>2837700760.5475783</v>
      </c>
      <c r="D26" s="246">
        <f>RP!G27</f>
        <v>330933</v>
      </c>
      <c r="E26" s="54">
        <f t="shared" si="0"/>
        <v>8574.8497748715854</v>
      </c>
      <c r="F26" s="54">
        <f>IF(B26&gt;100,-Einzahlungen!F27,Auszahlungen!F26)/D26</f>
        <v>-20.198446715804945</v>
      </c>
      <c r="G26" s="54">
        <f t="shared" si="1"/>
        <v>8554.65132815578</v>
      </c>
      <c r="H26" s="55">
        <f t="shared" si="2"/>
        <v>100.9</v>
      </c>
      <c r="J26" s="247">
        <f t="shared" si="3"/>
        <v>100.08272406737706</v>
      </c>
    </row>
    <row r="27" spans="1:10">
      <c r="A27" s="240" t="s">
        <v>68</v>
      </c>
      <c r="B27" s="241">
        <f>RP!I28</f>
        <v>109.2</v>
      </c>
      <c r="C27" s="50">
        <f>RP!H28/RP!$H$33*sse*D27</f>
        <v>6399907886.470356</v>
      </c>
      <c r="D27" s="242">
        <f>RP!G28</f>
        <v>691309.66666666663</v>
      </c>
      <c r="E27" s="50">
        <f t="shared" si="0"/>
        <v>9257.6571615571556</v>
      </c>
      <c r="F27" s="50">
        <f>IF(B27&gt;100,-Einzahlungen!F28,Auszahlungen!F27)/D27</f>
        <v>-154.85475815450425</v>
      </c>
      <c r="G27" s="50">
        <f t="shared" si="1"/>
        <v>9102.8024034026512</v>
      </c>
      <c r="H27" s="51">
        <f t="shared" si="2"/>
        <v>107.4</v>
      </c>
      <c r="J27" s="243">
        <f t="shared" si="3"/>
        <v>782.89011075294729</v>
      </c>
    </row>
    <row r="28" spans="1:10">
      <c r="A28" s="244" t="s">
        <v>69</v>
      </c>
      <c r="B28" s="245">
        <f>RP!I29</f>
        <v>68.7</v>
      </c>
      <c r="C28" s="54">
        <f>RP!H29/RP!$H$33*sse*D28</f>
        <v>1751873929.519701</v>
      </c>
      <c r="D28" s="246">
        <f>RP!G29</f>
        <v>301048.66666666669</v>
      </c>
      <c r="E28" s="54">
        <f t="shared" si="0"/>
        <v>5819.2382943168686</v>
      </c>
      <c r="F28" s="54">
        <f>IF(B28&gt;100,-Einzahlungen!F29,Auszahlungen!F28)/D28</f>
        <v>1515.1131670519708</v>
      </c>
      <c r="G28" s="54">
        <f t="shared" si="1"/>
        <v>7334.3514613688394</v>
      </c>
      <c r="H28" s="55">
        <f t="shared" si="2"/>
        <v>86.5</v>
      </c>
      <c r="J28" s="247">
        <f t="shared" si="3"/>
        <v>-2655.5287564873397</v>
      </c>
    </row>
    <row r="29" spans="1:10">
      <c r="A29" s="240" t="s">
        <v>70</v>
      </c>
      <c r="B29" s="241">
        <f>RP!I30</f>
        <v>93.5</v>
      </c>
      <c r="C29" s="50">
        <f>RP!H30/RP!$H$33*sse*D29</f>
        <v>1356200048.0451536</v>
      </c>
      <c r="D29" s="242">
        <f>RP!G30</f>
        <v>171084.33333333334</v>
      </c>
      <c r="E29" s="50">
        <f t="shared" si="0"/>
        <v>7927.084973951366</v>
      </c>
      <c r="F29" s="50">
        <f>IF(B29&gt;100,-Einzahlungen!F30,Auszahlungen!F29)/D29</f>
        <v>134.99501266478336</v>
      </c>
      <c r="G29" s="50">
        <f t="shared" si="1"/>
        <v>8062.0799866161497</v>
      </c>
      <c r="H29" s="51">
        <f t="shared" si="2"/>
        <v>95.1</v>
      </c>
      <c r="J29" s="243">
        <f t="shared" si="3"/>
        <v>-547.68207685284233</v>
      </c>
    </row>
    <row r="30" spans="1:10">
      <c r="A30" s="244" t="s">
        <v>71</v>
      </c>
      <c r="B30" s="245">
        <f>RP!I31</f>
        <v>147.69999999999999</v>
      </c>
      <c r="C30" s="54">
        <f>RP!H31/RP!$H$33*sse*D30</f>
        <v>5600048520.0653315</v>
      </c>
      <c r="D30" s="246">
        <f>RP!G31</f>
        <v>447462.33333333331</v>
      </c>
      <c r="E30" s="54">
        <f t="shared" si="0"/>
        <v>12515.12832007163</v>
      </c>
      <c r="F30" s="54">
        <f>IF(B30&gt;100,-Einzahlungen!F31,Auszahlungen!F30)/D30</f>
        <v>-802.88825695324442</v>
      </c>
      <c r="G30" s="54">
        <f t="shared" si="1"/>
        <v>11712.240063118385</v>
      </c>
      <c r="H30" s="55">
        <f t="shared" si="2"/>
        <v>138.19999999999999</v>
      </c>
      <c r="J30" s="247">
        <f t="shared" si="3"/>
        <v>4040.3612692674214</v>
      </c>
    </row>
    <row r="31" spans="1:10">
      <c r="A31" s="240" t="s">
        <v>72</v>
      </c>
      <c r="B31" s="248">
        <f>RP!I32</f>
        <v>62.8</v>
      </c>
      <c r="C31" s="130">
        <f>RP!H32/RP!$H$33*sse*D31</f>
        <v>364170121.10753226</v>
      </c>
      <c r="D31" s="249">
        <f>RP!G32</f>
        <v>68479.666666666672</v>
      </c>
      <c r="E31" s="130">
        <f t="shared" si="0"/>
        <v>5317.9306914587623</v>
      </c>
      <c r="F31" s="130">
        <f>IF(B31&gt;100,-Einzahlungen!F32,Auszahlungen!F31)/D31</f>
        <v>1976.1476478252926</v>
      </c>
      <c r="G31" s="130">
        <f t="shared" si="1"/>
        <v>7294.0783392840549</v>
      </c>
      <c r="H31" s="250">
        <f t="shared" si="2"/>
        <v>86.1</v>
      </c>
      <c r="J31" s="251">
        <f t="shared" si="3"/>
        <v>-3156.836359345446</v>
      </c>
    </row>
    <row r="32" spans="1:10" s="77" customFormat="1" ht="15" customHeight="1">
      <c r="A32" s="197" t="s">
        <v>114</v>
      </c>
      <c r="B32" s="221">
        <f>RP!I33</f>
        <v>100</v>
      </c>
      <c r="C32" s="199">
        <f>SUM(C6:C31)</f>
        <v>65343089614.253242</v>
      </c>
      <c r="D32" s="252">
        <f>SUM(D6:D31)</f>
        <v>7710311</v>
      </c>
      <c r="E32" s="199">
        <f t="shared" si="0"/>
        <v>8474.7670508042083</v>
      </c>
      <c r="F32" s="199"/>
      <c r="G32" s="199"/>
      <c r="H32" s="253"/>
      <c r="J32" s="254">
        <f t="shared" si="3"/>
        <v>0</v>
      </c>
    </row>
    <row r="33" spans="1:10" s="255" customFormat="1" ht="18.75" customHeight="1">
      <c r="A33" s="256" t="s">
        <v>126</v>
      </c>
      <c r="B33" s="257">
        <f>MIN(B6:B31)</f>
        <v>60.2</v>
      </c>
      <c r="C33" s="257"/>
      <c r="D33" s="258"/>
      <c r="E33" s="259"/>
      <c r="F33" s="259"/>
      <c r="G33" s="259"/>
      <c r="H33" s="260">
        <f>MIN(H6:H31)</f>
        <v>86.1</v>
      </c>
    </row>
    <row r="34" spans="1:10" s="1" customFormat="1" ht="14.25" customHeight="1">
      <c r="A34" s="56"/>
      <c r="B34" s="261"/>
      <c r="C34" s="261"/>
      <c r="D34" s="262"/>
      <c r="E34" s="29"/>
      <c r="F34" s="29"/>
      <c r="G34" s="29"/>
      <c r="H34" s="261"/>
    </row>
    <row r="35" spans="1:10" ht="26.25" customHeight="1">
      <c r="A35" s="302" t="str">
        <f>"Standardisierter Steuersatz "&amp;Info!C30</f>
        <v>Standardisierter Steuersatz 2013</v>
      </c>
      <c r="B35" s="302"/>
      <c r="C35" s="302"/>
      <c r="D35" s="302"/>
      <c r="E35" s="302"/>
      <c r="F35" s="302"/>
      <c r="G35" s="302"/>
      <c r="H35" s="302"/>
    </row>
    <row r="36" spans="1:10" ht="15.75" customHeight="1">
      <c r="A36" s="181"/>
      <c r="B36" s="263"/>
      <c r="C36" s="263"/>
      <c r="D36" s="264" t="s">
        <v>43</v>
      </c>
      <c r="E36" s="265" t="s">
        <v>35</v>
      </c>
      <c r="F36" s="266">
        <v>2007</v>
      </c>
      <c r="G36" s="267">
        <v>2008</v>
      </c>
      <c r="H36" s="268">
        <v>2009</v>
      </c>
      <c r="I36" s="269"/>
      <c r="J36" s="270" t="str">
        <f>F36&amp;" - "&amp;H36</f>
        <v>2007 - 2009</v>
      </c>
    </row>
    <row r="37" spans="1:10" ht="15" customHeight="1">
      <c r="A37" s="256" t="s">
        <v>127</v>
      </c>
      <c r="B37" s="263"/>
      <c r="C37" s="263"/>
      <c r="D37" s="264" t="s">
        <v>44</v>
      </c>
      <c r="E37" s="265"/>
      <c r="F37" s="271">
        <v>61406437.830900103</v>
      </c>
      <c r="G37" s="272">
        <v>62793434.301739998</v>
      </c>
      <c r="H37" s="273">
        <v>63196996.136540003</v>
      </c>
      <c r="I37" s="274"/>
      <c r="J37" s="275"/>
    </row>
    <row r="38" spans="1:10" ht="15" customHeight="1">
      <c r="A38" s="256" t="s">
        <v>128</v>
      </c>
      <c r="B38" s="263"/>
      <c r="C38" s="263"/>
      <c r="D38" s="264" t="s">
        <v>44</v>
      </c>
      <c r="E38" s="265"/>
      <c r="F38" s="271">
        <v>15388900.75591</v>
      </c>
      <c r="G38" s="272">
        <v>17512559.552239999</v>
      </c>
      <c r="H38" s="273">
        <v>17877366.595260002</v>
      </c>
      <c r="I38" s="276"/>
      <c r="J38" s="277"/>
    </row>
    <row r="39" spans="1:10" ht="15" customHeight="1">
      <c r="A39" s="256" t="s">
        <v>129</v>
      </c>
      <c r="B39" s="263"/>
      <c r="C39" s="263"/>
      <c r="D39" s="264" t="s">
        <v>44</v>
      </c>
      <c r="E39" s="265" t="s">
        <v>130</v>
      </c>
      <c r="F39" s="278">
        <f>0.17*F38</f>
        <v>2616113.1285047</v>
      </c>
      <c r="G39" s="279">
        <f>0.17*G38</f>
        <v>2977135.1238807999</v>
      </c>
      <c r="H39" s="280">
        <f>0.17*H38</f>
        <v>3039152.3211942003</v>
      </c>
      <c r="I39" s="281"/>
      <c r="J39" s="282"/>
    </row>
    <row r="40" spans="1:10" ht="15.75" customHeight="1">
      <c r="A40" s="283" t="s">
        <v>131</v>
      </c>
      <c r="B40" s="284"/>
      <c r="C40" s="284"/>
      <c r="D40" s="285" t="s">
        <v>44</v>
      </c>
      <c r="E40" s="286" t="s">
        <v>132</v>
      </c>
      <c r="F40" s="287">
        <f>F37+F39</f>
        <v>64022550.959404804</v>
      </c>
      <c r="G40" s="288">
        <f>G37+G39</f>
        <v>65770569.425620794</v>
      </c>
      <c r="H40" s="288">
        <f>H37+H39</f>
        <v>66236148.457734205</v>
      </c>
      <c r="I40" s="142"/>
      <c r="J40" s="289">
        <f>AVERAGE(F40:H40)</f>
        <v>65343089.61425326</v>
      </c>
    </row>
    <row r="41" spans="1:10" ht="15" customHeight="1">
      <c r="A41" s="181" t="s">
        <v>133</v>
      </c>
      <c r="B41" s="263"/>
      <c r="C41" s="263"/>
      <c r="D41" s="264" t="s">
        <v>106</v>
      </c>
      <c r="E41" s="265"/>
      <c r="F41" s="278"/>
      <c r="G41" s="279"/>
      <c r="H41" s="279"/>
      <c r="I41" s="290"/>
      <c r="J41" s="280">
        <f>BEV!F33</f>
        <v>7710311</v>
      </c>
    </row>
    <row r="42" spans="1:10" ht="15.75" customHeight="1">
      <c r="A42" s="283" t="s">
        <v>134</v>
      </c>
      <c r="B42" s="284"/>
      <c r="C42" s="284"/>
      <c r="D42" s="285" t="s">
        <v>46</v>
      </c>
      <c r="E42" s="286" t="s">
        <v>135</v>
      </c>
      <c r="F42" s="291"/>
      <c r="G42" s="142"/>
      <c r="H42" s="142"/>
      <c r="I42" s="142"/>
      <c r="J42" s="292">
        <f>J40/J41*1000</f>
        <v>8474.7670508042102</v>
      </c>
    </row>
    <row r="43" spans="1:10" ht="15" customHeight="1">
      <c r="A43" s="181" t="s">
        <v>136</v>
      </c>
      <c r="B43" s="263"/>
      <c r="C43" s="263"/>
      <c r="D43" s="264" t="s">
        <v>46</v>
      </c>
      <c r="E43" s="265"/>
      <c r="F43" s="269"/>
      <c r="G43" s="290"/>
      <c r="H43" s="290"/>
      <c r="I43" s="290"/>
      <c r="J43" s="280">
        <f>RP!H33</f>
        <v>30380.484424165534</v>
      </c>
    </row>
    <row r="44" spans="1:10" ht="15.75" customHeight="1">
      <c r="A44" s="283" t="s">
        <v>137</v>
      </c>
      <c r="B44" s="284"/>
      <c r="C44" s="284"/>
      <c r="D44" s="285" t="s">
        <v>80</v>
      </c>
      <c r="E44" s="286" t="s">
        <v>138</v>
      </c>
      <c r="F44" s="291"/>
      <c r="G44" s="142"/>
      <c r="H44" s="142"/>
      <c r="I44" s="142"/>
      <c r="J44" s="293">
        <f>sse/J43</f>
        <v>0.27895430936786281</v>
      </c>
    </row>
    <row r="48" spans="1:10">
      <c r="A48" s="294"/>
    </row>
  </sheetData>
  <mergeCells count="2">
    <mergeCell ref="A1:E1"/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3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RP</vt:lpstr>
      <vt:lpstr>BEV</vt:lpstr>
      <vt:lpstr>Wachstum_RP</vt:lpstr>
      <vt:lpstr>Dotation_RA</vt:lpstr>
      <vt:lpstr>Einzahlungen</vt:lpstr>
      <vt:lpstr>Auszahlungen</vt:lpstr>
      <vt:lpstr>SSE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2012-02-23T07:29:53Z</cp:lastPrinted>
  <dcterms:created xsi:type="dcterms:W3CDTF">2010-11-03T16:06:04Z</dcterms:created>
  <dcterms:modified xsi:type="dcterms:W3CDTF">2012-09-25T09:48:53Z</dcterms:modified>
</cp:coreProperties>
</file>