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Bruttoeink" sheetId="2" r:id="rId2"/>
    <sheet name="Gamma" sheetId="3" r:id="rId3"/>
    <sheet name="Berechnung_QS" sheetId="4" r:id="rId4"/>
  </sheets>
  <definedNames>
    <definedName name="gamma">Gamma!$C$7</definedName>
    <definedName name="sst">Berechnung_QS!$V$14</definedName>
  </definedNames>
  <calcPr calcId="125725"/>
</workbook>
</file>

<file path=xl/calcChain.xml><?xml version="1.0" encoding="utf-8"?>
<calcChain xmlns="http://schemas.openxmlformats.org/spreadsheetml/2006/main">
  <c r="U10" i="4"/>
  <c r="U11"/>
  <c r="O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V14"/>
  <c r="J14"/>
  <c r="J13"/>
  <c r="O11"/>
  <c r="G11"/>
  <c r="G37" s="1"/>
  <c r="E11"/>
  <c r="E37" s="1"/>
  <c r="V9"/>
  <c r="O8"/>
  <c r="D7"/>
  <c r="A4"/>
  <c r="L3"/>
  <c r="A1"/>
  <c r="C6" i="3"/>
  <c r="C7" s="1"/>
  <c r="B6"/>
  <c r="C3"/>
  <c r="A1"/>
  <c r="H36" i="2"/>
  <c r="G36"/>
  <c r="F36"/>
  <c r="E36"/>
  <c r="D36"/>
  <c r="C36"/>
  <c r="B36"/>
  <c r="J36" s="1"/>
  <c r="J35"/>
  <c r="I35"/>
  <c r="J34"/>
  <c r="I34"/>
  <c r="J33"/>
  <c r="I33"/>
  <c r="J32"/>
  <c r="I32"/>
  <c r="J31"/>
  <c r="I31"/>
  <c r="J30"/>
  <c r="I30"/>
  <c r="J29"/>
  <c r="I29"/>
  <c r="J28"/>
  <c r="I28"/>
  <c r="J27"/>
  <c r="I27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J11"/>
  <c r="I11"/>
  <c r="J10"/>
  <c r="I10"/>
  <c r="I36" s="1"/>
  <c r="J2"/>
  <c r="A2"/>
  <c r="A2" i="3" s="1"/>
  <c r="A1" i="2"/>
  <c r="A5" i="1"/>
  <c r="A2" i="4" s="1"/>
  <c r="A4" i="1"/>
  <c r="C11" i="4" l="1"/>
  <c r="H11"/>
  <c r="F11"/>
  <c r="D11"/>
  <c r="B11"/>
  <c r="E13"/>
  <c r="G13"/>
  <c r="E16"/>
  <c r="G16"/>
  <c r="E18"/>
  <c r="G18"/>
  <c r="E20"/>
  <c r="G20"/>
  <c r="E22"/>
  <c r="G22"/>
  <c r="E24"/>
  <c r="G24"/>
  <c r="E26"/>
  <c r="G26"/>
  <c r="E28"/>
  <c r="G28"/>
  <c r="E30"/>
  <c r="G30"/>
  <c r="E32"/>
  <c r="G32"/>
  <c r="E34"/>
  <c r="G34"/>
  <c r="E36"/>
  <c r="G36"/>
  <c r="E38"/>
  <c r="G38"/>
  <c r="E14"/>
  <c r="G14"/>
  <c r="E15"/>
  <c r="G15"/>
  <c r="E17"/>
  <c r="G17"/>
  <c r="E19"/>
  <c r="G19"/>
  <c r="E21"/>
  <c r="G21"/>
  <c r="E23"/>
  <c r="G23"/>
  <c r="E25"/>
  <c r="G25"/>
  <c r="E27"/>
  <c r="G27"/>
  <c r="E29"/>
  <c r="G29"/>
  <c r="E31"/>
  <c r="G31"/>
  <c r="E33"/>
  <c r="G33"/>
  <c r="E35"/>
  <c r="G35"/>
  <c r="B38" l="1"/>
  <c r="B36"/>
  <c r="B34"/>
  <c r="B32"/>
  <c r="B30"/>
  <c r="B28"/>
  <c r="B26"/>
  <c r="B24"/>
  <c r="B22"/>
  <c r="B20"/>
  <c r="B18"/>
  <c r="B16"/>
  <c r="B13"/>
  <c r="B37"/>
  <c r="B35"/>
  <c r="B33"/>
  <c r="B31"/>
  <c r="B29"/>
  <c r="B27"/>
  <c r="B25"/>
  <c r="B23"/>
  <c r="B21"/>
  <c r="B19"/>
  <c r="B17"/>
  <c r="B15"/>
  <c r="B14"/>
  <c r="F38"/>
  <c r="F36"/>
  <c r="F34"/>
  <c r="F32"/>
  <c r="F30"/>
  <c r="F28"/>
  <c r="F26"/>
  <c r="F24"/>
  <c r="F22"/>
  <c r="F20"/>
  <c r="F18"/>
  <c r="F16"/>
  <c r="F13"/>
  <c r="F37"/>
  <c r="F35"/>
  <c r="F33"/>
  <c r="F31"/>
  <c r="F29"/>
  <c r="F27"/>
  <c r="F25"/>
  <c r="F23"/>
  <c r="F21"/>
  <c r="F19"/>
  <c r="F17"/>
  <c r="F15"/>
  <c r="F14"/>
  <c r="C37"/>
  <c r="C35"/>
  <c r="C33"/>
  <c r="C31"/>
  <c r="C29"/>
  <c r="C27"/>
  <c r="C25"/>
  <c r="C23"/>
  <c r="C21"/>
  <c r="C19"/>
  <c r="C17"/>
  <c r="C15"/>
  <c r="C14"/>
  <c r="C38"/>
  <c r="C36"/>
  <c r="C34"/>
  <c r="C32"/>
  <c r="C30"/>
  <c r="C28"/>
  <c r="C26"/>
  <c r="C24"/>
  <c r="C22"/>
  <c r="C20"/>
  <c r="C18"/>
  <c r="C16"/>
  <c r="C13"/>
  <c r="G39"/>
  <c r="D38"/>
  <c r="D36"/>
  <c r="D34"/>
  <c r="D32"/>
  <c r="D30"/>
  <c r="D28"/>
  <c r="D26"/>
  <c r="D24"/>
  <c r="D22"/>
  <c r="D20"/>
  <c r="D18"/>
  <c r="D16"/>
  <c r="D13"/>
  <c r="D37"/>
  <c r="D35"/>
  <c r="D33"/>
  <c r="D31"/>
  <c r="D29"/>
  <c r="D27"/>
  <c r="D25"/>
  <c r="D23"/>
  <c r="D21"/>
  <c r="D19"/>
  <c r="D17"/>
  <c r="D15"/>
  <c r="D14"/>
  <c r="H38"/>
  <c r="H36"/>
  <c r="H34"/>
  <c r="H32"/>
  <c r="H30"/>
  <c r="H28"/>
  <c r="H26"/>
  <c r="H24"/>
  <c r="H22"/>
  <c r="H20"/>
  <c r="H18"/>
  <c r="H16"/>
  <c r="H13"/>
  <c r="H37"/>
  <c r="H35"/>
  <c r="H33"/>
  <c r="H31"/>
  <c r="H29"/>
  <c r="H27"/>
  <c r="H25"/>
  <c r="H23"/>
  <c r="H21"/>
  <c r="H19"/>
  <c r="H17"/>
  <c r="H15"/>
  <c r="H14"/>
  <c r="E39"/>
  <c r="I16" l="1"/>
  <c r="K16" s="1"/>
  <c r="L16" s="1"/>
  <c r="I20"/>
  <c r="K20" s="1"/>
  <c r="L20" s="1"/>
  <c r="I24"/>
  <c r="K24" s="1"/>
  <c r="L24" s="1"/>
  <c r="I28"/>
  <c r="K28" s="1"/>
  <c r="L28" s="1"/>
  <c r="I32"/>
  <c r="K32" s="1"/>
  <c r="L32" s="1"/>
  <c r="I36"/>
  <c r="K36" s="1"/>
  <c r="L36" s="1"/>
  <c r="I14"/>
  <c r="K14" s="1"/>
  <c r="L14" s="1"/>
  <c r="I17"/>
  <c r="K17" s="1"/>
  <c r="L17" s="1"/>
  <c r="I21"/>
  <c r="K21" s="1"/>
  <c r="L21" s="1"/>
  <c r="I25"/>
  <c r="K25" s="1"/>
  <c r="L25" s="1"/>
  <c r="I29"/>
  <c r="K29" s="1"/>
  <c r="L29" s="1"/>
  <c r="I33"/>
  <c r="K33" s="1"/>
  <c r="L33" s="1"/>
  <c r="I37"/>
  <c r="K37" s="1"/>
  <c r="L37" s="1"/>
  <c r="F39"/>
  <c r="B39"/>
  <c r="C39"/>
  <c r="I13"/>
  <c r="H39"/>
  <c r="D39"/>
  <c r="I18"/>
  <c r="K18" s="1"/>
  <c r="L18" s="1"/>
  <c r="I22"/>
  <c r="K22" s="1"/>
  <c r="L22" s="1"/>
  <c r="I26"/>
  <c r="K26" s="1"/>
  <c r="L26" s="1"/>
  <c r="I30"/>
  <c r="K30" s="1"/>
  <c r="L30" s="1"/>
  <c r="I34"/>
  <c r="K34" s="1"/>
  <c r="L34" s="1"/>
  <c r="I38"/>
  <c r="K38" s="1"/>
  <c r="L38" s="1"/>
  <c r="I15"/>
  <c r="K15" s="1"/>
  <c r="L15" s="1"/>
  <c r="I19"/>
  <c r="K19" s="1"/>
  <c r="L19" s="1"/>
  <c r="I23"/>
  <c r="K23" s="1"/>
  <c r="L23" s="1"/>
  <c r="I27"/>
  <c r="K27" s="1"/>
  <c r="L27" s="1"/>
  <c r="I31"/>
  <c r="K31" s="1"/>
  <c r="L31" s="1"/>
  <c r="I35"/>
  <c r="K35" s="1"/>
  <c r="L35" s="1"/>
  <c r="Q35" l="1"/>
  <c r="S35" s="1"/>
  <c r="Q27"/>
  <c r="S27" s="1"/>
  <c r="Q19"/>
  <c r="S19" s="1"/>
  <c r="Q38"/>
  <c r="S38" s="1"/>
  <c r="Q30"/>
  <c r="S30" s="1"/>
  <c r="Q22"/>
  <c r="S22" s="1"/>
  <c r="I39"/>
  <c r="K39" s="1"/>
  <c r="L39" s="1"/>
  <c r="K13"/>
  <c r="L13" s="1"/>
  <c r="Q37"/>
  <c r="S37" s="1"/>
  <c r="Q29"/>
  <c r="S29" s="1"/>
  <c r="Q21"/>
  <c r="S21" s="1"/>
  <c r="Q14"/>
  <c r="S14" s="1"/>
  <c r="S32"/>
  <c r="Q32"/>
  <c r="S24"/>
  <c r="Q24"/>
  <c r="S16"/>
  <c r="Q16"/>
  <c r="Q31"/>
  <c r="S31" s="1"/>
  <c r="Q23"/>
  <c r="S23" s="1"/>
  <c r="Q15"/>
  <c r="S15" s="1"/>
  <c r="Q34"/>
  <c r="S34" s="1"/>
  <c r="Q26"/>
  <c r="S26" s="1"/>
  <c r="Q18"/>
  <c r="S18" s="1"/>
  <c r="Q33"/>
  <c r="S33" s="1"/>
  <c r="Q25"/>
  <c r="S25" s="1"/>
  <c r="Q17"/>
  <c r="S17" s="1"/>
  <c r="Q36"/>
  <c r="S36" s="1"/>
  <c r="S28"/>
  <c r="Q28"/>
  <c r="Q20"/>
  <c r="S20" s="1"/>
  <c r="Q13" l="1"/>
  <c r="Q39" s="1"/>
  <c r="S13" l="1"/>
  <c r="S39" s="1"/>
</calcChain>
</file>

<file path=xl/comments1.xml><?xml version="1.0" encoding="utf-8"?>
<comments xmlns="http://schemas.openxmlformats.org/spreadsheetml/2006/main">
  <authors>
    <author>Utz Pascal EFV</author>
  </authors>
  <commentList>
    <comment ref="D7" authorId="0">
      <text>
        <r>
          <rPr>
            <sz val="8"/>
            <rFont val="Tahoma"/>
            <family val="2"/>
          </rPr>
          <t>Bis 2005: 0.03/sst
ab 2006: 0.875 * gamma</t>
        </r>
      </text>
    </comment>
  </commentList>
</comments>
</file>

<file path=xl/sharedStrings.xml><?xml version="1.0" encoding="utf-8"?>
<sst xmlns="http://schemas.openxmlformats.org/spreadsheetml/2006/main" count="219" uniqueCount="107">
  <si>
    <t>Massgebendes quellenbesteuertes</t>
  </si>
  <si>
    <t>Einkommen (QS)</t>
  </si>
  <si>
    <t>Produktion</t>
  </si>
  <si>
    <t>Umgebung</t>
  </si>
  <si>
    <t>Typ</t>
  </si>
  <si>
    <t>Simulation</t>
  </si>
  <si>
    <t>WS</t>
  </si>
  <si>
    <t>FA_2012_20120430_alpha0.7</t>
  </si>
  <si>
    <t>SWS</t>
  </si>
  <si>
    <t>RA_2012_20120430_alpha0.7_2Versuch</t>
  </si>
  <si>
    <t>RefJahr</t>
  </si>
  <si>
    <t>BemJahr</t>
  </si>
  <si>
    <t>Spalte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</si>
  <si>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</si>
  <si>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</si>
  <si>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</si>
  <si>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</si>
  <si>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</si>
  <si>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</si>
  <si>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</si>
  <si>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</si>
  <si>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</si>
  <si>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</si>
  <si>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C + D + E + F + G + H</t>
  </si>
  <si>
    <t>B + I</t>
  </si>
  <si>
    <t>Kategorie</t>
  </si>
  <si>
    <t>A2</t>
  </si>
  <si>
    <t>D2</t>
  </si>
  <si>
    <t>F2</t>
  </si>
  <si>
    <t>F3</t>
  </si>
  <si>
    <t>I2</t>
  </si>
  <si>
    <t>Gebietsansässige Ausländer und ausländische Verwaltungsräte</t>
  </si>
  <si>
    <t>Vollständig besteuerte Grenzgänger</t>
  </si>
  <si>
    <t>Begrenzt besteuerte Grenzgänger</t>
  </si>
  <si>
    <t>Brutto-
einkommen
Grenzgänger</t>
  </si>
  <si>
    <t>Brutto-
einkommen
Total</t>
  </si>
  <si>
    <t>aus Österreich</t>
  </si>
  <si>
    <t>aus Deutschland</t>
  </si>
  <si>
    <t>aus Frankreich mit Besteuerung durch den Kanton Genf</t>
  </si>
  <si>
    <t>aus Frankreich mit Besteuerung durch Frankreich</t>
  </si>
  <si>
    <t>aus Italien</t>
  </si>
  <si>
    <t>Datenquelle</t>
  </si>
  <si>
    <t>ESTV</t>
  </si>
  <si>
    <t>Einheit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</si>
  <si>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</si>
  <si>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</si>
  <si>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</si>
  <si>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</si>
  <si>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</si>
  <si>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</si>
  <si>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</si>
  <si>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</si>
  <si>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</si>
  <si>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</si>
  <si>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</si>
  <si>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</si>
  <si>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</si>
  <si>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</si>
  <si>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</si>
  <si>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</si>
  <si>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</si>
  <si>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</si>
  <si>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</si>
  <si>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</si>
  <si>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</si>
  <si>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</si>
  <si>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</si>
  <si>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</si>
  <si>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</si>
  <si>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</si>
  <si>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</si>
  <si>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Schweiz</t>
  </si>
  <si>
    <t>Quelle</t>
  </si>
  <si>
    <t>CHF 1'000</t>
  </si>
  <si>
    <r>
      <rPr>
        <sz val="10"/>
        <rFont val="Arial"/>
        <family val="2"/>
      </rPr>
      <t>A</t>
    </r>
    <r>
      <rPr>
        <sz val="12"/>
        <rFont val="Arial"/>
        <family val="2"/>
      </rPr>
      <t xml:space="preserve">  Primäreinkommen der privaten Haushalte</t>
    </r>
  </si>
  <si>
    <t>BFS</t>
  </si>
  <si>
    <r>
      <rPr>
        <sz val="10"/>
        <rFont val="Arial"/>
        <family val="2"/>
      </rPr>
      <t>B</t>
    </r>
    <r>
      <rPr>
        <sz val="12"/>
        <rFont val="Arial"/>
        <family val="2"/>
      </rPr>
      <t xml:space="preserve">  Massgebendes Einkommen</t>
    </r>
  </si>
  <si>
    <r>
      <rPr>
        <sz val="10"/>
        <rFont val="Arial"/>
        <family val="2"/>
      </rPr>
      <t>C</t>
    </r>
    <r>
      <rPr>
        <sz val="12"/>
        <rFont val="Arial"/>
        <family val="2"/>
      </rPr>
      <t xml:space="preserve">   </t>
    </r>
    <r>
      <rPr>
        <b/>
        <sz val="12"/>
        <rFont val="Arial"/>
        <family val="2"/>
      </rPr>
      <t xml:space="preserve"> Gamma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(B / A)</t>
    </r>
  </si>
  <si>
    <t>Schätzung von QS bei fehlenden Werten</t>
  </si>
  <si>
    <t>I</t>
  </si>
  <si>
    <t>K</t>
  </si>
  <si>
    <t>L</t>
  </si>
  <si>
    <t>O</t>
  </si>
  <si>
    <t>P</t>
  </si>
  <si>
    <t>Q</t>
  </si>
  <si>
    <t>S</t>
  </si>
  <si>
    <t>g</t>
  </si>
  <si>
    <t>0.045 / SST</t>
  </si>
  <si>
    <r>
      <rPr>
        <sz val="8"/>
        <rFont val="Symbol"/>
        <family val="1"/>
        <charset val="2"/>
      </rPr>
      <t xml:space="preserve">g </t>
    </r>
    <r>
      <rPr>
        <sz val="8"/>
        <rFont val="Arial"/>
        <family val="2"/>
      </rPr>
      <t>- 0.035 / SST</t>
    </r>
  </si>
  <si>
    <r>
      <rPr>
        <sz val="12"/>
        <rFont val="Arial"/>
        <family val="2"/>
      </rPr>
      <t xml:space="preserve">(1 - 0.4) * </t>
    </r>
    <r>
      <rPr>
        <sz val="8"/>
        <rFont val="Symbol"/>
        <family val="1"/>
        <charset val="2"/>
      </rPr>
      <t>g</t>
    </r>
  </si>
  <si>
    <t>C+D+E+F+G+H</t>
  </si>
  <si>
    <t>I * J</t>
  </si>
  <si>
    <t>B + K</t>
  </si>
  <si>
    <t>O * P, wenn L=0</t>
  </si>
  <si>
    <t>L + Q</t>
  </si>
  <si>
    <t>Geschätztes Verhältnis zwischen massgebendem quellenbesteuerten Einkommen und massgebendem Einkommen =&gt; obere Grenze 95%-Vertrauensintervall</t>
  </si>
  <si>
    <t>Ergebnis auf der Basis der geschätzten Daten</t>
  </si>
  <si>
    <t>Massgebendes quellenbesteuertes Einkommen</t>
  </si>
  <si>
    <t>Grenzgänger Total</t>
  </si>
  <si>
    <t>Faktor Delta
(gemäss FiLaV)</t>
  </si>
  <si>
    <t>Ergebnis auf der Basis der Bruttolöhne (Grenzgänger)</t>
  </si>
  <si>
    <t>Ergebnis auf der Basis der Bruttolöhne (Total)</t>
  </si>
  <si>
    <t>Wert</t>
  </si>
  <si>
    <t>ungerundet</t>
  </si>
  <si>
    <t>gerundet</t>
  </si>
  <si>
    <t>Jura*</t>
  </si>
  <si>
    <t>* Korrektur</t>
  </si>
</sst>
</file>

<file path=xl/styles.xml><?xml version="1.0" encoding="utf-8"?>
<styleSheet xmlns="http://schemas.openxmlformats.org/spreadsheetml/2006/main">
  <numFmts count="5">
    <numFmt numFmtId="164" formatCode="_ * #,##0_ ;_ * \-#,##0_ ;_ * &quot;-&quot;??_ ;_ @_ "/>
    <numFmt numFmtId="165" formatCode="0.0%"/>
    <numFmt numFmtId="166" formatCode="0.000"/>
    <numFmt numFmtId="167" formatCode="#,##0.00000000000"/>
    <numFmt numFmtId="168" formatCode="#,##0.000"/>
  </numFmts>
  <fonts count="28">
    <font>
      <sz val="12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8"/>
      <name val="Symbol"/>
      <family val="1"/>
      <charset val="2"/>
    </font>
    <font>
      <b/>
      <sz val="12"/>
      <color indexed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Tahoma"/>
      <family val="2"/>
    </font>
    <font>
      <i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B9CDE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 style="hair">
        <color rgb="FF000000"/>
      </left>
      <right/>
      <top/>
      <bottom/>
      <diagonal/>
    </border>
    <border diagonalUp="1" diagonalDown="1">
      <left/>
      <right style="hair">
        <color rgb="FF000000"/>
      </right>
      <top/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hair">
        <color rgb="FF000000"/>
      </right>
      <top style="thin">
        <color rgb="FF000000"/>
      </top>
      <bottom/>
      <diagonal/>
    </border>
    <border diagonalUp="1" diagonalDown="1">
      <left style="hair">
        <color rgb="FF000000"/>
      </left>
      <right/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hair">
        <color rgb="FF000000"/>
      </right>
      <top/>
      <bottom style="thin">
        <color rgb="FF000000"/>
      </bottom>
      <diagonal/>
    </border>
    <border diagonalUp="1" diagonalDown="1">
      <left style="hair">
        <color rgb="FF000000"/>
      </left>
      <right/>
      <top/>
      <bottom style="thin">
        <color rgb="FF000000"/>
      </bottom>
      <diagonal/>
    </border>
    <border diagonalUp="1" diagonalDown="1">
      <left style="hair">
        <color rgb="FF000000"/>
      </left>
      <right/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hair">
        <color rgb="FF000000"/>
      </bottom>
      <diagonal/>
    </border>
    <border diagonalUp="1" diagonalDown="1">
      <left/>
      <right style="hair">
        <color rgb="FF000000"/>
      </right>
      <top style="thin">
        <color rgb="FF000000"/>
      </top>
      <bottom style="hair">
        <color rgb="FF000000"/>
      </bottom>
      <diagonal/>
    </border>
    <border diagonalUp="1" diagonalDown="1">
      <left/>
      <right/>
      <top style="thin">
        <color rgb="FF000000"/>
      </top>
      <bottom style="double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auto="1"/>
      </left>
      <right style="thin">
        <color auto="1"/>
      </right>
      <top/>
      <bottom/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 style="thin">
        <color auto="1"/>
      </right>
      <top style="thin">
        <color rgb="FF000000"/>
      </top>
      <bottom/>
      <diagonal/>
    </border>
  </borders>
  <cellStyleXfs count="1">
    <xf numFmtId="0" fontId="0" fillId="0" borderId="0"/>
  </cellStyleXfs>
  <cellXfs count="230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7" fillId="0" borderId="0" xfId="0" applyFont="1" applyFill="1"/>
    <xf numFmtId="0" fontId="1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8" fillId="0" borderId="3" xfId="0" applyFont="1" applyFill="1" applyBorder="1"/>
    <xf numFmtId="1" fontId="9" fillId="0" borderId="4" xfId="0" applyNumberFormat="1" applyFont="1" applyFill="1" applyBorder="1" applyAlignment="1" applyProtection="1">
      <alignment horizontal="left" vertical="top"/>
      <protection locked="0"/>
    </xf>
    <xf numFmtId="1" fontId="9" fillId="0" borderId="5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Fill="1" applyBorder="1"/>
    <xf numFmtId="1" fontId="9" fillId="0" borderId="7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0" fillId="0" borderId="8" xfId="0" applyFont="1" applyFill="1" applyBorder="1" applyAlignment="1">
      <alignment horizontal="left" vertical="top"/>
    </xf>
    <xf numFmtId="0" fontId="0" fillId="0" borderId="8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1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 wrapText="1"/>
    </xf>
    <xf numFmtId="0" fontId="1" fillId="0" borderId="9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6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right" vertical="center"/>
    </xf>
    <xf numFmtId="0" fontId="11" fillId="0" borderId="9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1" fillId="0" borderId="1" xfId="0" applyFont="1" applyFill="1" applyBorder="1" applyAlignment="1">
      <alignment horizontal="right" vertical="center"/>
    </xf>
    <xf numFmtId="0" fontId="13" fillId="0" borderId="9" xfId="0" applyFont="1" applyFill="1" applyBorder="1" applyAlignment="1">
      <alignment horizontal="right" vertical="center"/>
    </xf>
    <xf numFmtId="0" fontId="13" fillId="0" borderId="10" xfId="0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right" vertical="center"/>
    </xf>
    <xf numFmtId="0" fontId="13" fillId="0" borderId="2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/>
    </xf>
    <xf numFmtId="164" fontId="17" fillId="0" borderId="15" xfId="0" applyNumberFormat="1" applyFont="1" applyFill="1" applyBorder="1" applyAlignment="1" applyProtection="1">
      <alignment horizontal="right"/>
      <protection locked="0"/>
    </xf>
    <xf numFmtId="164" fontId="17" fillId="0" borderId="16" xfId="0" applyNumberFormat="1" applyFont="1" applyFill="1" applyBorder="1" applyAlignment="1" applyProtection="1">
      <alignment horizontal="right"/>
      <protection locked="0"/>
    </xf>
    <xf numFmtId="164" fontId="17" fillId="0" borderId="13" xfId="0" applyNumberFormat="1" applyFont="1" applyFill="1" applyBorder="1" applyAlignment="1" applyProtection="1">
      <alignment horizontal="right"/>
      <protection locked="0"/>
    </xf>
    <xf numFmtId="164" fontId="17" fillId="0" borderId="0" xfId="0" applyNumberFormat="1" applyFont="1" applyFill="1" applyBorder="1" applyAlignment="1" applyProtection="1">
      <alignment horizontal="right"/>
      <protection locked="0"/>
    </xf>
    <xf numFmtId="164" fontId="17" fillId="0" borderId="14" xfId="0" applyNumberFormat="1" applyFont="1" applyFill="1" applyBorder="1" applyAlignment="1" applyProtection="1">
      <alignment horizontal="right"/>
      <protection locked="0"/>
    </xf>
    <xf numFmtId="3" fontId="4" fillId="0" borderId="17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0" fontId="4" fillId="2" borderId="18" xfId="0" applyFont="1" applyFill="1" applyBorder="1" applyAlignment="1">
      <alignment horizontal="left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164" fontId="17" fillId="2" borderId="14" xfId="0" applyNumberFormat="1" applyFont="1" applyFill="1" applyBorder="1" applyAlignment="1" applyProtection="1">
      <alignment horizontal="right"/>
      <protection locked="0"/>
    </xf>
    <xf numFmtId="164" fontId="17" fillId="2" borderId="13" xfId="0" applyNumberFormat="1" applyFont="1" applyFill="1" applyBorder="1" applyAlignment="1" applyProtection="1">
      <alignment horizontal="right"/>
      <protection locked="0"/>
    </xf>
    <xf numFmtId="3" fontId="4" fillId="2" borderId="13" xfId="0" applyNumberFormat="1" applyFont="1" applyFill="1" applyBorder="1" applyAlignment="1">
      <alignment horizontal="right"/>
    </xf>
    <xf numFmtId="3" fontId="1" fillId="2" borderId="19" xfId="0" applyNumberFormat="1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3" fontId="4" fillId="0" borderId="13" xfId="0" applyNumberFormat="1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right"/>
    </xf>
    <xf numFmtId="0" fontId="4" fillId="2" borderId="20" xfId="0" applyFont="1" applyFill="1" applyBorder="1" applyAlignment="1">
      <alignment horizontal="left"/>
    </xf>
    <xf numFmtId="164" fontId="17" fillId="2" borderId="21" xfId="0" applyNumberFormat="1" applyFont="1" applyFill="1" applyBorder="1" applyAlignment="1" applyProtection="1">
      <alignment horizontal="right"/>
      <protection locked="0"/>
    </xf>
    <xf numFmtId="3" fontId="1" fillId="0" borderId="9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3" fontId="1" fillId="0" borderId="2" xfId="0" applyNumberFormat="1" applyFont="1" applyFill="1" applyBorder="1" applyAlignment="1">
      <alignment horizontal="right" vertical="center"/>
    </xf>
    <xf numFmtId="0" fontId="0" fillId="0" borderId="15" xfId="0" applyFont="1" applyFill="1" applyBorder="1"/>
    <xf numFmtId="0" fontId="10" fillId="0" borderId="0" xfId="0" applyFont="1" applyFill="1" applyBorder="1" applyAlignment="1">
      <alignment horizontal="left" vertical="top"/>
    </xf>
    <xf numFmtId="0" fontId="11" fillId="0" borderId="0" xfId="0" applyFont="1" applyFill="1" applyAlignment="1">
      <alignment horizontal="right" vertical="top"/>
    </xf>
    <xf numFmtId="0" fontId="11" fillId="0" borderId="0" xfId="0" applyFont="1" applyFill="1"/>
    <xf numFmtId="165" fontId="2" fillId="0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15" xfId="0" applyFont="1" applyFill="1" applyBorder="1" applyAlignment="1">
      <alignment vertical="center"/>
    </xf>
    <xf numFmtId="3" fontId="18" fillId="0" borderId="15" xfId="0" applyNumberFormat="1" applyFont="1" applyFill="1" applyBorder="1" applyProtection="1">
      <protection locked="0"/>
    </xf>
    <xf numFmtId="3" fontId="0" fillId="0" borderId="0" xfId="0" applyNumberFormat="1" applyFont="1" applyFill="1"/>
    <xf numFmtId="0" fontId="0" fillId="0" borderId="8" xfId="0" applyFont="1" applyFill="1" applyBorder="1"/>
    <xf numFmtId="0" fontId="11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Protection="1">
      <protection locked="0"/>
    </xf>
    <xf numFmtId="0" fontId="10" fillId="0" borderId="26" xfId="0" applyFont="1" applyFill="1" applyBorder="1"/>
    <xf numFmtId="166" fontId="10" fillId="0" borderId="26" xfId="0" applyNumberFormat="1" applyFont="1" applyFill="1" applyBorder="1"/>
    <xf numFmtId="0" fontId="0" fillId="0" borderId="0" xfId="0" applyFont="1" applyFill="1" applyBorder="1"/>
    <xf numFmtId="0" fontId="10" fillId="0" borderId="0" xfId="0" applyFont="1" applyFill="1" applyBorder="1" applyAlignment="1">
      <alignment horizontal="left"/>
    </xf>
    <xf numFmtId="1" fontId="1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right"/>
    </xf>
    <xf numFmtId="0" fontId="2" fillId="0" borderId="8" xfId="0" applyFont="1" applyFill="1" applyBorder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165" fontId="20" fillId="0" borderId="9" xfId="0" applyNumberFormat="1" applyFont="1" applyFill="1" applyBorder="1"/>
    <xf numFmtId="0" fontId="0" fillId="0" borderId="9" xfId="0" applyFont="1" applyFill="1" applyBorder="1"/>
    <xf numFmtId="165" fontId="20" fillId="0" borderId="0" xfId="0" applyNumberFormat="1" applyFont="1" applyFill="1"/>
    <xf numFmtId="0" fontId="21" fillId="0" borderId="1" xfId="0" applyFont="1" applyFill="1" applyBorder="1" applyAlignment="1">
      <alignment horizontal="right"/>
    </xf>
    <xf numFmtId="0" fontId="0" fillId="0" borderId="9" xfId="0" applyFont="1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right" vertical="center"/>
    </xf>
    <xf numFmtId="0" fontId="22" fillId="0" borderId="9" xfId="0" applyFont="1" applyFill="1" applyBorder="1" applyAlignment="1">
      <alignment horizontal="right" vertical="center" wrapText="1"/>
    </xf>
    <xf numFmtId="0" fontId="16" fillId="0" borderId="11" xfId="0" applyFont="1" applyFill="1" applyBorder="1" applyAlignment="1" applyProtection="1">
      <alignment horizontal="right" vertical="center" wrapText="1"/>
      <protection locked="0"/>
    </xf>
    <xf numFmtId="0" fontId="16" fillId="0" borderId="9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right" vertical="center" wrapText="1"/>
    </xf>
    <xf numFmtId="0" fontId="16" fillId="0" borderId="2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9" xfId="0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18" xfId="0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166" fontId="2" fillId="0" borderId="9" xfId="0" applyNumberFormat="1" applyFont="1" applyFill="1" applyBorder="1" applyAlignment="1">
      <alignment horizontal="right" vertical="center" wrapText="1"/>
    </xf>
    <xf numFmtId="166" fontId="2" fillId="0" borderId="11" xfId="0" applyNumberFormat="1" applyFont="1" applyFill="1" applyBorder="1" applyAlignment="1">
      <alignment horizontal="right" vertical="center" wrapText="1"/>
    </xf>
    <xf numFmtId="166" fontId="2" fillId="0" borderId="10" xfId="0" applyNumberFormat="1" applyFont="1" applyFill="1" applyBorder="1" applyAlignment="1">
      <alignment horizontal="right" vertical="center" wrapText="1"/>
    </xf>
    <xf numFmtId="0" fontId="2" fillId="0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166" fontId="2" fillId="0" borderId="2" xfId="0" applyNumberFormat="1" applyFont="1" applyFill="1" applyBorder="1" applyAlignment="1">
      <alignment horizontal="right" vertical="center" wrapText="1"/>
    </xf>
    <xf numFmtId="0" fontId="2" fillId="0" borderId="9" xfId="0" applyFont="1" applyFill="1" applyBorder="1" applyAlignment="1">
      <alignment horizontal="right" vertical="center"/>
    </xf>
    <xf numFmtId="166" fontId="2" fillId="0" borderId="27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vertical="center" wrapText="1"/>
    </xf>
    <xf numFmtId="0" fontId="0" fillId="0" borderId="12" xfId="0" applyFont="1" applyFill="1" applyBorder="1"/>
    <xf numFmtId="3" fontId="0" fillId="0" borderId="15" xfId="0" applyNumberFormat="1" applyFont="1" applyFill="1" applyBorder="1"/>
    <xf numFmtId="3" fontId="0" fillId="0" borderId="17" xfId="0" applyNumberFormat="1" applyFont="1" applyFill="1" applyBorder="1"/>
    <xf numFmtId="3" fontId="0" fillId="0" borderId="16" xfId="0" applyNumberFormat="1" applyFont="1" applyFill="1" applyBorder="1"/>
    <xf numFmtId="2" fontId="0" fillId="0" borderId="15" xfId="0" applyNumberFormat="1" applyFont="1" applyFill="1" applyBorder="1" applyAlignment="1">
      <alignment horizontal="right"/>
    </xf>
    <xf numFmtId="3" fontId="0" fillId="0" borderId="4" xfId="0" applyNumberFormat="1" applyFont="1" applyFill="1" applyBorder="1"/>
    <xf numFmtId="3" fontId="10" fillId="0" borderId="0" xfId="0" applyNumberFormat="1" applyFont="1" applyFill="1" applyBorder="1" applyAlignment="1">
      <alignment vertical="center"/>
    </xf>
    <xf numFmtId="164" fontId="18" fillId="0" borderId="15" xfId="0" applyNumberFormat="1" applyFont="1" applyFill="1" applyBorder="1" applyProtection="1">
      <protection locked="0"/>
    </xf>
    <xf numFmtId="165" fontId="18" fillId="0" borderId="15" xfId="0" applyNumberFormat="1" applyFont="1" applyFill="1" applyBorder="1" applyProtection="1">
      <protection locked="0"/>
    </xf>
    <xf numFmtId="3" fontId="10" fillId="0" borderId="18" xfId="0" applyNumberFormat="1" applyFont="1" applyFill="1" applyBorder="1"/>
    <xf numFmtId="3" fontId="10" fillId="0" borderId="28" xfId="0" applyNumberFormat="1" applyFont="1" applyFill="1" applyBorder="1"/>
    <xf numFmtId="0" fontId="0" fillId="0" borderId="18" xfId="0" applyFont="1" applyFill="1" applyBorder="1" applyAlignment="1">
      <alignment horizontal="right"/>
    </xf>
    <xf numFmtId="167" fontId="23" fillId="0" borderId="19" xfId="0" applyNumberFormat="1" applyFont="1" applyFill="1" applyBorder="1" applyProtection="1">
      <protection locked="0"/>
    </xf>
    <xf numFmtId="0" fontId="0" fillId="2" borderId="18" xfId="0" applyFont="1" applyFill="1" applyBorder="1"/>
    <xf numFmtId="3" fontId="0" fillId="2" borderId="0" xfId="0" applyNumberFormat="1" applyFont="1" applyFill="1" applyBorder="1"/>
    <xf numFmtId="3" fontId="0" fillId="2" borderId="13" xfId="0" applyNumberFormat="1" applyFont="1" applyFill="1" applyBorder="1"/>
    <xf numFmtId="3" fontId="0" fillId="2" borderId="14" xfId="0" applyNumberFormat="1" applyFont="1" applyFill="1" applyBorder="1"/>
    <xf numFmtId="2" fontId="0" fillId="2" borderId="0" xfId="0" applyNumberFormat="1" applyFont="1" applyFill="1" applyBorder="1" applyAlignment="1">
      <alignment horizontal="right"/>
    </xf>
    <xf numFmtId="3" fontId="0" fillId="2" borderId="19" xfId="0" applyNumberFormat="1" applyFont="1" applyFill="1" applyBorder="1"/>
    <xf numFmtId="164" fontId="18" fillId="2" borderId="0" xfId="0" applyNumberFormat="1" applyFont="1" applyFill="1" applyBorder="1" applyProtection="1">
      <protection locked="0"/>
    </xf>
    <xf numFmtId="165" fontId="18" fillId="2" borderId="0" xfId="0" applyNumberFormat="1" applyFont="1" applyFill="1" applyBorder="1" applyProtection="1">
      <protection locked="0"/>
    </xf>
    <xf numFmtId="3" fontId="10" fillId="2" borderId="29" xfId="0" applyNumberFormat="1" applyFont="1" applyFill="1" applyBorder="1"/>
    <xf numFmtId="0" fontId="0" fillId="0" borderId="6" xfId="0" applyFont="1" applyFill="1" applyBorder="1" applyAlignment="1">
      <alignment horizontal="right"/>
    </xf>
    <xf numFmtId="168" fontId="24" fillId="0" borderId="7" xfId="0" applyNumberFormat="1" applyFont="1" applyFill="1" applyBorder="1" applyAlignment="1">
      <alignment horizontal="right"/>
    </xf>
    <xf numFmtId="0" fontId="0" fillId="0" borderId="18" xfId="0" applyFont="1" applyFill="1" applyBorder="1"/>
    <xf numFmtId="3" fontId="0" fillId="0" borderId="0" xfId="0" applyNumberFormat="1" applyFont="1" applyFill="1" applyBorder="1"/>
    <xf numFmtId="3" fontId="0" fillId="0" borderId="13" xfId="0" applyNumberFormat="1" applyFont="1" applyFill="1" applyBorder="1"/>
    <xf numFmtId="3" fontId="0" fillId="0" borderId="14" xfId="0" applyNumberFormat="1" applyFont="1" applyFill="1" applyBorder="1"/>
    <xf numFmtId="2" fontId="0" fillId="0" borderId="0" xfId="0" applyNumberFormat="1" applyFont="1" applyFill="1" applyBorder="1" applyAlignment="1">
      <alignment horizontal="right"/>
    </xf>
    <xf numFmtId="3" fontId="0" fillId="0" borderId="19" xfId="0" applyNumberFormat="1" applyFont="1" applyFill="1" applyBorder="1"/>
    <xf numFmtId="164" fontId="18" fillId="0" borderId="0" xfId="0" applyNumberFormat="1" applyFont="1" applyFill="1" applyBorder="1" applyProtection="1">
      <protection locked="0"/>
    </xf>
    <xf numFmtId="165" fontId="18" fillId="0" borderId="0" xfId="0" applyNumberFormat="1" applyFont="1" applyFill="1" applyBorder="1" applyProtection="1">
      <protection locked="0"/>
    </xf>
    <xf numFmtId="3" fontId="10" fillId="0" borderId="29" xfId="0" applyNumberFormat="1" applyFont="1" applyFill="1" applyBorder="1"/>
    <xf numFmtId="0" fontId="0" fillId="2" borderId="20" xfId="0" applyFont="1" applyFill="1" applyBorder="1"/>
    <xf numFmtId="3" fontId="0" fillId="2" borderId="8" xfId="0" applyNumberFormat="1" applyFont="1" applyFill="1" applyBorder="1"/>
    <xf numFmtId="3" fontId="0" fillId="2" borderId="22" xfId="0" applyNumberFormat="1" applyFont="1" applyFill="1" applyBorder="1"/>
    <xf numFmtId="3" fontId="0" fillId="2" borderId="21" xfId="0" applyNumberFormat="1" applyFont="1" applyFill="1" applyBorder="1"/>
    <xf numFmtId="2" fontId="0" fillId="2" borderId="8" xfId="0" applyNumberFormat="1" applyFont="1" applyFill="1" applyBorder="1" applyAlignment="1">
      <alignment horizontal="right"/>
    </xf>
    <xf numFmtId="3" fontId="0" fillId="2" borderId="30" xfId="0" applyNumberFormat="1" applyFont="1" applyFill="1" applyBorder="1"/>
    <xf numFmtId="164" fontId="18" fillId="2" borderId="8" xfId="0" applyNumberFormat="1" applyFont="1" applyFill="1" applyBorder="1" applyProtection="1">
      <protection locked="0"/>
    </xf>
    <xf numFmtId="165" fontId="18" fillId="2" borderId="8" xfId="0" applyNumberFormat="1" applyFont="1" applyFill="1" applyBorder="1" applyProtection="1">
      <protection locked="0"/>
    </xf>
    <xf numFmtId="0" fontId="10" fillId="0" borderId="1" xfId="0" applyFont="1" applyFill="1" applyBorder="1"/>
    <xf numFmtId="3" fontId="10" fillId="0" borderId="9" xfId="0" applyNumberFormat="1" applyFont="1" applyFill="1" applyBorder="1"/>
    <xf numFmtId="3" fontId="10" fillId="0" borderId="11" xfId="0" applyNumberFormat="1" applyFont="1" applyFill="1" applyBorder="1"/>
    <xf numFmtId="3" fontId="10" fillId="0" borderId="10" xfId="0" applyNumberFormat="1" applyFont="1" applyFill="1" applyBorder="1"/>
    <xf numFmtId="4" fontId="23" fillId="0" borderId="9" xfId="0" applyNumberFormat="1" applyFont="1" applyFill="1" applyBorder="1" applyAlignment="1" applyProtection="1">
      <alignment horizontal="right"/>
      <protection locked="0"/>
    </xf>
    <xf numFmtId="3" fontId="10" fillId="0" borderId="2" xfId="0" applyNumberFormat="1" applyFont="1" applyFill="1" applyBorder="1"/>
    <xf numFmtId="3" fontId="0" fillId="0" borderId="9" xfId="0" applyNumberFormat="1" applyFont="1" applyFill="1" applyBorder="1"/>
    <xf numFmtId="165" fontId="0" fillId="0" borderId="9" xfId="0" applyNumberFormat="1" applyFont="1" applyFill="1" applyBorder="1"/>
    <xf numFmtId="3" fontId="10" fillId="0" borderId="27" xfId="0" applyNumberFormat="1" applyFont="1" applyFill="1" applyBorder="1"/>
    <xf numFmtId="164" fontId="27" fillId="2" borderId="8" xfId="0" applyNumberFormat="1" applyFont="1" applyFill="1" applyBorder="1" applyAlignment="1" applyProtection="1">
      <alignment horizontal="right"/>
      <protection locked="0"/>
    </xf>
    <xf numFmtId="3" fontId="3" fillId="2" borderId="19" xfId="0" applyNumberFormat="1" applyFont="1" applyFill="1" applyBorder="1" applyAlignment="1">
      <alignment horizontal="right"/>
    </xf>
    <xf numFmtId="0" fontId="25" fillId="2" borderId="20" xfId="0" applyFont="1" applyFill="1" applyBorder="1"/>
    <xf numFmtId="3" fontId="20" fillId="2" borderId="8" xfId="0" applyNumberFormat="1" applyFont="1" applyFill="1" applyBorder="1"/>
    <xf numFmtId="3" fontId="20" fillId="2" borderId="30" xfId="0" applyNumberFormat="1" applyFont="1" applyFill="1" applyBorder="1"/>
    <xf numFmtId="3" fontId="24" fillId="2" borderId="31" xfId="0" applyNumberFormat="1" applyFont="1" applyFill="1" applyBorder="1"/>
    <xf numFmtId="0" fontId="20" fillId="0" borderId="0" xfId="0" applyFont="1" applyFill="1"/>
    <xf numFmtId="0" fontId="2" fillId="0" borderId="15" xfId="0" applyFont="1" applyFill="1" applyBorder="1"/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4" xfId="0" applyFont="1" applyFill="1" applyBorder="1" applyAlignment="1">
      <alignment horizontal="right" vertical="center" wrapText="1"/>
    </xf>
    <xf numFmtId="0" fontId="0" fillId="0" borderId="7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right" vertical="center" wrapText="1"/>
    </xf>
    <xf numFmtId="0" fontId="0" fillId="0" borderId="22" xfId="0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7" fillId="5" borderId="2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right" vertical="center" wrapText="1"/>
    </xf>
    <xf numFmtId="0" fontId="1" fillId="0" borderId="7" xfId="0" applyFont="1" applyFill="1" applyBorder="1" applyAlignment="1">
      <alignment horizontal="right" vertical="center" wrapText="1"/>
    </xf>
    <xf numFmtId="0" fontId="1" fillId="0" borderId="32" xfId="0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horizontal="right" vertical="center" wrapText="1"/>
    </xf>
  </cellXfs>
  <cellStyles count="1">
    <cellStyle name="Standard" xfId="0" builtinId="0"/>
  </cellStyles>
  <dxfs count="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1"/>
  <sheetViews>
    <sheetView showGridLines="0" tabSelected="1" zoomScaleNormal="100" workbookViewId="0">
      <selection activeCell="A5" sqref="A5:D5"/>
    </sheetView>
  </sheetViews>
  <sheetFormatPr baseColWidth="10" defaultColWidth="11.5546875" defaultRowHeight="12.75"/>
  <cols>
    <col min="1" max="1" width="15.109375" style="1" customWidth="1"/>
    <col min="2" max="2" width="9" style="1" customWidth="1"/>
    <col min="3" max="3" width="20" style="1" customWidth="1"/>
    <col min="4" max="4" width="14.77734375" style="1" customWidth="1"/>
    <col min="5" max="5" width="10" style="1" customWidth="1"/>
    <col min="6" max="6" width="11.5546875" style="1" customWidth="1"/>
    <col min="7" max="16384" width="11.5546875" style="1"/>
  </cols>
  <sheetData>
    <row r="1" spans="1:5" ht="27.75" customHeight="1">
      <c r="A1" s="196" t="s">
        <v>0</v>
      </c>
      <c r="B1" s="196"/>
      <c r="C1" s="196"/>
      <c r="D1" s="196"/>
      <c r="E1" s="2"/>
    </row>
    <row r="2" spans="1:5" ht="27.75" customHeight="1">
      <c r="A2" s="196" t="s">
        <v>1</v>
      </c>
      <c r="B2" s="196"/>
      <c r="C2" s="196"/>
      <c r="D2" s="196"/>
      <c r="E2" s="2"/>
    </row>
    <row r="3" spans="1:5" ht="24.75" customHeight="1">
      <c r="A3" s="3"/>
      <c r="B3" s="3"/>
      <c r="C3" s="3"/>
      <c r="D3" s="3"/>
      <c r="E3" s="3"/>
    </row>
    <row r="4" spans="1:5" ht="18" customHeight="1">
      <c r="A4" s="197" t="str">
        <f>"Bemessungsjahr "&amp;C31</f>
        <v>Bemessungsjahr 2008</v>
      </c>
      <c r="B4" s="197"/>
      <c r="C4" s="197"/>
      <c r="D4" s="197"/>
      <c r="E4" s="4"/>
    </row>
    <row r="5" spans="1:5" ht="18" customHeight="1">
      <c r="A5" s="197" t="str">
        <f>"Referenzjahr "&amp;C30</f>
        <v>Referenzjahr 2012</v>
      </c>
      <c r="B5" s="197"/>
      <c r="C5" s="197"/>
      <c r="D5" s="197"/>
      <c r="E5" s="4"/>
    </row>
    <row r="25" spans="2:3">
      <c r="B25" s="5" t="s">
        <v>2</v>
      </c>
      <c r="C25" s="6"/>
    </row>
    <row r="26" spans="2:3">
      <c r="B26" s="7" t="s">
        <v>3</v>
      </c>
      <c r="C26" s="8" t="s">
        <v>2</v>
      </c>
    </row>
    <row r="27" spans="2:3">
      <c r="B27" s="7" t="s">
        <v>4</v>
      </c>
      <c r="C27" s="9" t="s">
        <v>5</v>
      </c>
    </row>
    <row r="28" spans="2:3">
      <c r="B28" s="7" t="s">
        <v>6</v>
      </c>
      <c r="C28" s="9" t="s">
        <v>7</v>
      </c>
    </row>
    <row r="29" spans="2:3">
      <c r="B29" s="7" t="s">
        <v>8</v>
      </c>
      <c r="C29" s="9" t="s">
        <v>9</v>
      </c>
    </row>
    <row r="30" spans="2:3">
      <c r="B30" s="7" t="s">
        <v>10</v>
      </c>
      <c r="C30" s="9">
        <v>2012</v>
      </c>
    </row>
    <row r="31" spans="2:3">
      <c r="B31" s="10" t="s">
        <v>11</v>
      </c>
      <c r="C31" s="11">
        <v>2008</v>
      </c>
    </row>
  </sheetData>
  <mergeCells count="4">
    <mergeCell ref="A1:D1"/>
    <mergeCell ref="A2:D2"/>
    <mergeCell ref="A4:D4"/>
    <mergeCell ref="A5:D5"/>
  </mergeCells>
  <conditionalFormatting sqref="C26:C31">
    <cfRule type="expression" dxfId="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37"/>
  <sheetViews>
    <sheetView showGridLines="0" zoomScale="90" workbookViewId="0">
      <selection activeCell="A3" sqref="A3"/>
    </sheetView>
  </sheetViews>
  <sheetFormatPr baseColWidth="10" defaultColWidth="11.5546875" defaultRowHeight="15"/>
  <cols>
    <col min="1" max="1" width="12.77734375" style="12" customWidth="1"/>
    <col min="2" max="2" width="17.6640625" style="12" customWidth="1"/>
    <col min="3" max="3" width="13.5546875" style="12" customWidth="1"/>
    <col min="4" max="5" width="13.33203125" style="12" customWidth="1"/>
    <col min="6" max="6" width="15.33203125" style="12" customWidth="1"/>
    <col min="7" max="7" width="16.5546875" style="12" customWidth="1"/>
    <col min="8" max="10" width="13.33203125" style="12" customWidth="1"/>
  </cols>
  <sheetData>
    <row r="1" spans="1:10" ht="26.25" customHeight="1">
      <c r="A1" s="13" t="str">
        <f>"Bruttoeinkommen "&amp;Info!C31</f>
        <v>Bruttoeinkommen 2008</v>
      </c>
      <c r="B1" s="13"/>
      <c r="C1" s="13"/>
      <c r="J1" s="14"/>
    </row>
    <row r="2" spans="1:10" ht="31.5" customHeight="1">
      <c r="A2" s="15" t="str">
        <f>"Referenzjahr "&amp;Info!C30</f>
        <v>Referenzjahr 2012</v>
      </c>
      <c r="B2" s="16"/>
      <c r="C2" s="16"/>
      <c r="D2" s="17"/>
      <c r="J2" s="18" t="str">
        <f>Info!C28</f>
        <v>FA_2012_20120430_alpha0.7</v>
      </c>
    </row>
    <row r="3" spans="1:10" s="19" customFormat="1" ht="12.75">
      <c r="A3" s="20" t="s">
        <v>12</v>
      </c>
      <c r="B3" s="21" t="s">
        <v>13</v>
      </c>
      <c r="C3" s="21" t="s">
        <v>14</v>
      </c>
      <c r="D3" s="21" t="s">
        <v>15</v>
      </c>
      <c r="E3" s="21" t="s">
        <v>16</v>
      </c>
      <c r="F3" s="21" t="s">
        <v>17</v>
      </c>
      <c r="G3" s="21" t="s">
        <v>18</v>
      </c>
      <c r="H3" s="21" t="s">
        <v>19</v>
      </c>
      <c r="I3" s="21" t="s">
        <v>20</v>
      </c>
      <c r="J3" s="22" t="s">
        <v>21</v>
      </c>
    </row>
    <row r="4" spans="1:10" s="23" customFormat="1" ht="11.25" customHeight="1">
      <c r="A4" s="24" t="s">
        <v>22</v>
      </c>
      <c r="B4" s="25"/>
      <c r="C4" s="25"/>
      <c r="D4" s="25"/>
      <c r="E4" s="25"/>
      <c r="F4" s="26"/>
      <c r="G4" s="26"/>
      <c r="H4" s="26"/>
      <c r="I4" s="25" t="s">
        <v>23</v>
      </c>
      <c r="J4" s="27" t="s">
        <v>24</v>
      </c>
    </row>
    <row r="5" spans="1:10" ht="15.75" customHeight="1">
      <c r="A5" s="28" t="s">
        <v>25</v>
      </c>
      <c r="B5" s="29">
        <v>0</v>
      </c>
      <c r="C5" s="30">
        <v>1</v>
      </c>
      <c r="D5" s="31" t="s">
        <v>26</v>
      </c>
      <c r="E5" s="29" t="s">
        <v>27</v>
      </c>
      <c r="F5" s="29" t="s">
        <v>28</v>
      </c>
      <c r="G5" s="29" t="s">
        <v>29</v>
      </c>
      <c r="H5" s="30" t="s">
        <v>30</v>
      </c>
      <c r="I5" s="29"/>
      <c r="J5" s="32"/>
    </row>
    <row r="6" spans="1:10" ht="18.75" customHeight="1">
      <c r="A6" s="200"/>
      <c r="B6" s="205" t="s">
        <v>31</v>
      </c>
      <c r="C6" s="207" t="s">
        <v>32</v>
      </c>
      <c r="D6" s="202" t="s">
        <v>33</v>
      </c>
      <c r="E6" s="203"/>
      <c r="F6" s="203"/>
      <c r="G6" s="203"/>
      <c r="H6" s="204"/>
      <c r="I6" s="209" t="s">
        <v>34</v>
      </c>
      <c r="J6" s="198" t="s">
        <v>35</v>
      </c>
    </row>
    <row r="7" spans="1:10" ht="45.75" customHeight="1">
      <c r="A7" s="201"/>
      <c r="B7" s="206"/>
      <c r="C7" s="208"/>
      <c r="D7" s="35" t="s">
        <v>36</v>
      </c>
      <c r="E7" s="36" t="s">
        <v>37</v>
      </c>
      <c r="F7" s="36" t="s">
        <v>38</v>
      </c>
      <c r="G7" s="36" t="s">
        <v>39</v>
      </c>
      <c r="H7" s="37" t="s">
        <v>40</v>
      </c>
      <c r="I7" s="210"/>
      <c r="J7" s="199"/>
    </row>
    <row r="8" spans="1:10" s="38" customFormat="1" ht="14.25" customHeight="1">
      <c r="A8" s="39" t="s">
        <v>41</v>
      </c>
      <c r="B8" s="40" t="s">
        <v>42</v>
      </c>
      <c r="C8" s="41" t="s">
        <v>42</v>
      </c>
      <c r="D8" s="42" t="s">
        <v>42</v>
      </c>
      <c r="E8" s="40" t="s">
        <v>42</v>
      </c>
      <c r="F8" s="40" t="s">
        <v>42</v>
      </c>
      <c r="G8" s="40" t="s">
        <v>42</v>
      </c>
      <c r="H8" s="41" t="s">
        <v>42</v>
      </c>
      <c r="I8" s="40"/>
      <c r="J8" s="43"/>
    </row>
    <row r="9" spans="1:10" s="44" customFormat="1" ht="14.25" customHeight="1">
      <c r="A9" s="45" t="s">
        <v>43</v>
      </c>
      <c r="B9" s="46" t="s">
        <v>44</v>
      </c>
      <c r="C9" s="47" t="s">
        <v>44</v>
      </c>
      <c r="D9" s="48" t="s">
        <v>44</v>
      </c>
      <c r="E9" s="46" t="s">
        <v>44</v>
      </c>
      <c r="F9" s="46" t="s">
        <v>44</v>
      </c>
      <c r="G9" s="46" t="s">
        <v>44</v>
      </c>
      <c r="H9" s="47" t="s">
        <v>44</v>
      </c>
      <c r="I9" s="46" t="s">
        <v>44</v>
      </c>
      <c r="J9" s="49" t="s">
        <v>44</v>
      </c>
    </row>
    <row r="10" spans="1:10">
      <c r="A10" s="50" t="s">
        <v>45</v>
      </c>
      <c r="B10" s="51">
        <v>3913863045</v>
      </c>
      <c r="C10" s="52">
        <v>62885499</v>
      </c>
      <c r="D10" s="53">
        <v>0</v>
      </c>
      <c r="E10" s="54">
        <v>415831785</v>
      </c>
      <c r="F10" s="54">
        <v>0</v>
      </c>
      <c r="G10" s="54">
        <v>0</v>
      </c>
      <c r="H10" s="55">
        <v>0</v>
      </c>
      <c r="I10" s="56">
        <f t="shared" ref="I10:I35" si="0">SUM(C10:H10)</f>
        <v>478717284</v>
      </c>
      <c r="J10" s="57">
        <f t="shared" ref="J10:J36" si="1">SUM(B10:H10)</f>
        <v>4392580329</v>
      </c>
    </row>
    <row r="11" spans="1:10">
      <c r="A11" s="58" t="s">
        <v>46</v>
      </c>
      <c r="B11" s="59">
        <v>1358132843</v>
      </c>
      <c r="C11" s="60">
        <v>66441186</v>
      </c>
      <c r="D11" s="61">
        <v>2944971</v>
      </c>
      <c r="E11" s="59">
        <v>9153902</v>
      </c>
      <c r="F11" s="59">
        <v>0</v>
      </c>
      <c r="G11" s="59">
        <v>106542217</v>
      </c>
      <c r="H11" s="60">
        <v>0</v>
      </c>
      <c r="I11" s="62">
        <f t="shared" si="0"/>
        <v>185082276</v>
      </c>
      <c r="J11" s="63">
        <f t="shared" si="1"/>
        <v>1543215119</v>
      </c>
    </row>
    <row r="12" spans="1:10">
      <c r="A12" s="64" t="s">
        <v>47</v>
      </c>
      <c r="B12" s="54">
        <v>600507592</v>
      </c>
      <c r="C12" s="55">
        <v>1242025</v>
      </c>
      <c r="D12" s="53">
        <v>0</v>
      </c>
      <c r="E12" s="54">
        <v>3846560</v>
      </c>
      <c r="F12" s="54">
        <v>0</v>
      </c>
      <c r="G12" s="54">
        <v>0</v>
      </c>
      <c r="H12" s="55">
        <v>0</v>
      </c>
      <c r="I12" s="65">
        <f t="shared" si="0"/>
        <v>5088585</v>
      </c>
      <c r="J12" s="66">
        <f t="shared" si="1"/>
        <v>605596177</v>
      </c>
    </row>
    <row r="13" spans="1:10">
      <c r="A13" s="58" t="s">
        <v>48</v>
      </c>
      <c r="B13" s="59">
        <v>57741700</v>
      </c>
      <c r="C13" s="60">
        <v>0</v>
      </c>
      <c r="D13" s="61">
        <v>8049103</v>
      </c>
      <c r="E13" s="59">
        <v>0</v>
      </c>
      <c r="F13" s="59">
        <v>0</v>
      </c>
      <c r="G13" s="59">
        <v>0</v>
      </c>
      <c r="H13" s="60">
        <v>0</v>
      </c>
      <c r="I13" s="62">
        <f t="shared" si="0"/>
        <v>8049103</v>
      </c>
      <c r="J13" s="63">
        <f t="shared" si="1"/>
        <v>65790803</v>
      </c>
    </row>
    <row r="14" spans="1:10">
      <c r="A14" s="64" t="s">
        <v>49</v>
      </c>
      <c r="B14" s="54">
        <v>215036252</v>
      </c>
      <c r="C14" s="55">
        <v>91459485</v>
      </c>
      <c r="D14" s="53">
        <v>5892239</v>
      </c>
      <c r="E14" s="54">
        <v>2235546</v>
      </c>
      <c r="F14" s="54">
        <v>0</v>
      </c>
      <c r="G14" s="54">
        <v>0</v>
      </c>
      <c r="H14" s="55">
        <v>0</v>
      </c>
      <c r="I14" s="65">
        <f t="shared" si="0"/>
        <v>99587270</v>
      </c>
      <c r="J14" s="66">
        <f t="shared" si="1"/>
        <v>314623522</v>
      </c>
    </row>
    <row r="15" spans="1:10">
      <c r="A15" s="58" t="s">
        <v>50</v>
      </c>
      <c r="B15" s="59">
        <v>62089257</v>
      </c>
      <c r="C15" s="60">
        <v>1077030</v>
      </c>
      <c r="D15" s="61">
        <v>28287</v>
      </c>
      <c r="E15" s="59">
        <v>0</v>
      </c>
      <c r="F15" s="59">
        <v>0</v>
      </c>
      <c r="G15" s="59">
        <v>0</v>
      </c>
      <c r="H15" s="60">
        <v>0</v>
      </c>
      <c r="I15" s="62">
        <f t="shared" si="0"/>
        <v>1105317</v>
      </c>
      <c r="J15" s="63">
        <f t="shared" si="1"/>
        <v>63194574</v>
      </c>
    </row>
    <row r="16" spans="1:10">
      <c r="A16" s="64" t="s">
        <v>51</v>
      </c>
      <c r="B16" s="54">
        <v>54921587.899999999</v>
      </c>
      <c r="C16" s="55">
        <v>542434.1</v>
      </c>
      <c r="D16" s="53">
        <v>1908219.7</v>
      </c>
      <c r="E16" s="54">
        <v>0</v>
      </c>
      <c r="F16" s="54">
        <v>0</v>
      </c>
      <c r="G16" s="54">
        <v>0</v>
      </c>
      <c r="H16" s="55">
        <v>0</v>
      </c>
      <c r="I16" s="65">
        <f t="shared" si="0"/>
        <v>2450653.7999999998</v>
      </c>
      <c r="J16" s="66">
        <f t="shared" si="1"/>
        <v>57372241.700000003</v>
      </c>
    </row>
    <row r="17" spans="1:10">
      <c r="A17" s="58" t="s">
        <v>52</v>
      </c>
      <c r="B17" s="59">
        <v>65556211.899999999</v>
      </c>
      <c r="C17" s="60">
        <v>102586.25</v>
      </c>
      <c r="D17" s="61">
        <v>0</v>
      </c>
      <c r="E17" s="59">
        <v>0</v>
      </c>
      <c r="F17" s="59">
        <v>0</v>
      </c>
      <c r="G17" s="59">
        <v>0</v>
      </c>
      <c r="H17" s="60">
        <v>0</v>
      </c>
      <c r="I17" s="62">
        <f t="shared" si="0"/>
        <v>102586.25</v>
      </c>
      <c r="J17" s="63">
        <f t="shared" si="1"/>
        <v>65658798.149999999</v>
      </c>
    </row>
    <row r="18" spans="1:10">
      <c r="A18" s="64" t="s">
        <v>53</v>
      </c>
      <c r="B18" s="54">
        <v>506359430</v>
      </c>
      <c r="C18" s="55">
        <v>14281400</v>
      </c>
      <c r="D18" s="53">
        <v>4246126</v>
      </c>
      <c r="E18" s="54">
        <v>3860651</v>
      </c>
      <c r="F18" s="54">
        <v>0</v>
      </c>
      <c r="G18" s="54">
        <v>0</v>
      </c>
      <c r="H18" s="55">
        <v>0</v>
      </c>
      <c r="I18" s="65">
        <f t="shared" si="0"/>
        <v>22388177</v>
      </c>
      <c r="J18" s="66">
        <f t="shared" si="1"/>
        <v>528747607</v>
      </c>
    </row>
    <row r="19" spans="1:10">
      <c r="A19" s="58" t="s">
        <v>54</v>
      </c>
      <c r="B19" s="59">
        <v>440516720.25</v>
      </c>
      <c r="C19" s="60">
        <v>0</v>
      </c>
      <c r="D19" s="61">
        <v>2910606.8</v>
      </c>
      <c r="E19" s="59">
        <v>0</v>
      </c>
      <c r="F19" s="59">
        <v>0</v>
      </c>
      <c r="G19" s="59">
        <v>0</v>
      </c>
      <c r="H19" s="60">
        <v>0</v>
      </c>
      <c r="I19" s="62">
        <f t="shared" si="0"/>
        <v>2910606.8</v>
      </c>
      <c r="J19" s="63">
        <f t="shared" si="1"/>
        <v>443427327.05000001</v>
      </c>
    </row>
    <row r="20" spans="1:10">
      <c r="A20" s="64" t="s">
        <v>55</v>
      </c>
      <c r="B20" s="54">
        <v>334145409</v>
      </c>
      <c r="C20" s="55">
        <v>10950352</v>
      </c>
      <c r="D20" s="53">
        <v>409162</v>
      </c>
      <c r="E20" s="54">
        <v>32023861</v>
      </c>
      <c r="F20" s="54">
        <v>0</v>
      </c>
      <c r="G20" s="54">
        <v>77832023</v>
      </c>
      <c r="H20" s="55">
        <v>0</v>
      </c>
      <c r="I20" s="65">
        <f t="shared" si="0"/>
        <v>121215398</v>
      </c>
      <c r="J20" s="66">
        <f t="shared" si="1"/>
        <v>455360807</v>
      </c>
    </row>
    <row r="21" spans="1:10">
      <c r="A21" s="58" t="s">
        <v>56</v>
      </c>
      <c r="B21" s="59">
        <v>610171518</v>
      </c>
      <c r="C21" s="60">
        <v>140333442</v>
      </c>
      <c r="D21" s="61">
        <v>378464</v>
      </c>
      <c r="E21" s="59">
        <v>1190535668</v>
      </c>
      <c r="F21" s="59">
        <v>0</v>
      </c>
      <c r="G21" s="59">
        <v>1442639991</v>
      </c>
      <c r="H21" s="60">
        <v>0</v>
      </c>
      <c r="I21" s="62">
        <f t="shared" si="0"/>
        <v>2773887565</v>
      </c>
      <c r="J21" s="63">
        <f t="shared" si="1"/>
        <v>3384059083</v>
      </c>
    </row>
    <row r="22" spans="1:10">
      <c r="A22" s="64" t="s">
        <v>57</v>
      </c>
      <c r="B22" s="54">
        <v>345100503</v>
      </c>
      <c r="C22" s="55">
        <v>78872303</v>
      </c>
      <c r="D22" s="53">
        <v>407564</v>
      </c>
      <c r="E22" s="54">
        <v>548144904</v>
      </c>
      <c r="F22" s="54">
        <v>0</v>
      </c>
      <c r="G22" s="54">
        <v>928803809</v>
      </c>
      <c r="H22" s="55">
        <v>0</v>
      </c>
      <c r="I22" s="65">
        <f t="shared" si="0"/>
        <v>1556228580</v>
      </c>
      <c r="J22" s="66">
        <f t="shared" si="1"/>
        <v>1901329083</v>
      </c>
    </row>
    <row r="23" spans="1:10">
      <c r="A23" s="58" t="s">
        <v>58</v>
      </c>
      <c r="B23" s="59">
        <v>219313759</v>
      </c>
      <c r="C23" s="60">
        <v>26384165</v>
      </c>
      <c r="D23" s="61">
        <v>254652</v>
      </c>
      <c r="E23" s="59">
        <v>316788915</v>
      </c>
      <c r="F23" s="59">
        <v>0</v>
      </c>
      <c r="G23" s="59">
        <v>0</v>
      </c>
      <c r="H23" s="60">
        <v>0</v>
      </c>
      <c r="I23" s="62">
        <f t="shared" si="0"/>
        <v>343427732</v>
      </c>
      <c r="J23" s="63">
        <f t="shared" si="1"/>
        <v>562741491</v>
      </c>
    </row>
    <row r="24" spans="1:10">
      <c r="A24" s="64" t="s">
        <v>59</v>
      </c>
      <c r="B24" s="54">
        <v>83968774.579999998</v>
      </c>
      <c r="C24" s="55">
        <v>2048063</v>
      </c>
      <c r="D24" s="53">
        <v>12349917.050000001</v>
      </c>
      <c r="E24" s="54">
        <v>3183262.95</v>
      </c>
      <c r="F24" s="54">
        <v>0</v>
      </c>
      <c r="G24" s="54">
        <v>0</v>
      </c>
      <c r="H24" s="55">
        <v>0</v>
      </c>
      <c r="I24" s="65">
        <f t="shared" si="0"/>
        <v>17581243</v>
      </c>
      <c r="J24" s="66">
        <f t="shared" si="1"/>
        <v>101550017.58</v>
      </c>
    </row>
    <row r="25" spans="1:10">
      <c r="A25" s="58" t="s">
        <v>60</v>
      </c>
      <c r="B25" s="59">
        <v>17176113.129999999</v>
      </c>
      <c r="C25" s="60">
        <v>2150808.37</v>
      </c>
      <c r="D25" s="61">
        <v>3090299.9</v>
      </c>
      <c r="E25" s="59">
        <v>730427.85</v>
      </c>
      <c r="F25" s="59">
        <v>0</v>
      </c>
      <c r="G25" s="59">
        <v>0</v>
      </c>
      <c r="H25" s="60">
        <v>0</v>
      </c>
      <c r="I25" s="62">
        <f t="shared" si="0"/>
        <v>5971536.1199999992</v>
      </c>
      <c r="J25" s="63">
        <f t="shared" si="1"/>
        <v>23147649.25</v>
      </c>
    </row>
    <row r="26" spans="1:10">
      <c r="A26" s="64" t="s">
        <v>61</v>
      </c>
      <c r="B26" s="54">
        <v>794701187</v>
      </c>
      <c r="C26" s="55">
        <v>45208163</v>
      </c>
      <c r="D26" s="53">
        <v>434408003</v>
      </c>
      <c r="E26" s="54">
        <v>62830219</v>
      </c>
      <c r="F26" s="54">
        <v>0</v>
      </c>
      <c r="G26" s="54">
        <v>0</v>
      </c>
      <c r="H26" s="55">
        <v>0</v>
      </c>
      <c r="I26" s="65">
        <f t="shared" si="0"/>
        <v>542446385</v>
      </c>
      <c r="J26" s="66">
        <f t="shared" si="1"/>
        <v>1337147572</v>
      </c>
    </row>
    <row r="27" spans="1:10">
      <c r="A27" s="58" t="s">
        <v>62</v>
      </c>
      <c r="B27" s="59">
        <v>678775619</v>
      </c>
      <c r="C27" s="60">
        <v>187185154.87</v>
      </c>
      <c r="D27" s="61">
        <v>18639539.739999998</v>
      </c>
      <c r="E27" s="59">
        <v>68216.649999999994</v>
      </c>
      <c r="F27" s="59">
        <v>0</v>
      </c>
      <c r="G27" s="59">
        <v>0</v>
      </c>
      <c r="H27" s="60">
        <v>59755472.579999998</v>
      </c>
      <c r="I27" s="62">
        <f t="shared" si="0"/>
        <v>265648383.84000003</v>
      </c>
      <c r="J27" s="63">
        <f t="shared" si="1"/>
        <v>944424002.84000003</v>
      </c>
    </row>
    <row r="28" spans="1:10">
      <c r="A28" s="64" t="s">
        <v>63</v>
      </c>
      <c r="B28" s="54">
        <v>844807657</v>
      </c>
      <c r="C28" s="55">
        <v>195152525</v>
      </c>
      <c r="D28" s="53">
        <v>695900</v>
      </c>
      <c r="E28" s="54">
        <v>695108823</v>
      </c>
      <c r="F28" s="54">
        <v>0</v>
      </c>
      <c r="G28" s="54">
        <v>0</v>
      </c>
      <c r="H28" s="55">
        <v>0</v>
      </c>
      <c r="I28" s="65">
        <f t="shared" si="0"/>
        <v>890957248</v>
      </c>
      <c r="J28" s="66">
        <f t="shared" si="1"/>
        <v>1735764905</v>
      </c>
    </row>
    <row r="29" spans="1:10">
      <c r="A29" s="58" t="s">
        <v>64</v>
      </c>
      <c r="B29" s="59">
        <v>436020195.79000002</v>
      </c>
      <c r="C29" s="60">
        <v>33540146.68</v>
      </c>
      <c r="D29" s="61">
        <v>18489141.379999999</v>
      </c>
      <c r="E29" s="59">
        <v>225554990.77000001</v>
      </c>
      <c r="F29" s="59">
        <v>0</v>
      </c>
      <c r="G29" s="59">
        <v>0</v>
      </c>
      <c r="H29" s="60">
        <v>0</v>
      </c>
      <c r="I29" s="62">
        <f t="shared" si="0"/>
        <v>277584278.83000004</v>
      </c>
      <c r="J29" s="63">
        <f t="shared" si="1"/>
        <v>713604474.62</v>
      </c>
    </row>
    <row r="30" spans="1:10">
      <c r="A30" s="64" t="s">
        <v>65</v>
      </c>
      <c r="B30" s="54">
        <v>575825968.84000003</v>
      </c>
      <c r="C30" s="55">
        <v>289747169</v>
      </c>
      <c r="D30" s="53">
        <v>6569532</v>
      </c>
      <c r="E30" s="54">
        <v>0</v>
      </c>
      <c r="F30" s="54">
        <v>0</v>
      </c>
      <c r="G30" s="54">
        <v>0</v>
      </c>
      <c r="H30" s="55">
        <v>2336353768</v>
      </c>
      <c r="I30" s="65">
        <f t="shared" si="0"/>
        <v>2632670469</v>
      </c>
      <c r="J30" s="66">
        <f t="shared" si="1"/>
        <v>3208496437.8400002</v>
      </c>
    </row>
    <row r="31" spans="1:10">
      <c r="A31" s="58" t="s">
        <v>66</v>
      </c>
      <c r="B31" s="59">
        <v>2095068007.1500001</v>
      </c>
      <c r="C31" s="60">
        <v>0</v>
      </c>
      <c r="D31" s="61">
        <v>0</v>
      </c>
      <c r="E31" s="59">
        <v>0</v>
      </c>
      <c r="F31" s="59">
        <v>0</v>
      </c>
      <c r="G31" s="59">
        <v>1365371031</v>
      </c>
      <c r="H31" s="60">
        <v>0</v>
      </c>
      <c r="I31" s="62">
        <f t="shared" si="0"/>
        <v>1365371031</v>
      </c>
      <c r="J31" s="63">
        <f t="shared" si="1"/>
        <v>3460439038.1500001</v>
      </c>
    </row>
    <row r="32" spans="1:10">
      <c r="A32" s="64" t="s">
        <v>67</v>
      </c>
      <c r="B32" s="54">
        <v>813661780.54999995</v>
      </c>
      <c r="C32" s="55">
        <v>4449315.05</v>
      </c>
      <c r="D32" s="53">
        <v>0</v>
      </c>
      <c r="E32" s="54">
        <v>380769.25</v>
      </c>
      <c r="F32" s="54">
        <v>0</v>
      </c>
      <c r="G32" s="54">
        <v>65135111.25</v>
      </c>
      <c r="H32" s="55">
        <v>45044501.950000003</v>
      </c>
      <c r="I32" s="65">
        <f t="shared" si="0"/>
        <v>115009697.5</v>
      </c>
      <c r="J32" s="66">
        <f t="shared" si="1"/>
        <v>928671478.04999995</v>
      </c>
    </row>
    <row r="33" spans="1:10">
      <c r="A33" s="58" t="s">
        <v>68</v>
      </c>
      <c r="B33" s="59">
        <v>267760065</v>
      </c>
      <c r="C33" s="60">
        <v>10214758</v>
      </c>
      <c r="D33" s="61">
        <v>0</v>
      </c>
      <c r="E33" s="59">
        <v>0</v>
      </c>
      <c r="F33" s="59">
        <v>0</v>
      </c>
      <c r="G33" s="59">
        <v>696712104</v>
      </c>
      <c r="H33" s="60">
        <v>0</v>
      </c>
      <c r="I33" s="62">
        <f t="shared" si="0"/>
        <v>706926862</v>
      </c>
      <c r="J33" s="63">
        <f t="shared" si="1"/>
        <v>974686927</v>
      </c>
    </row>
    <row r="34" spans="1:10">
      <c r="A34" s="64" t="s">
        <v>69</v>
      </c>
      <c r="B34" s="54">
        <v>1820522067</v>
      </c>
      <c r="C34" s="55">
        <v>0</v>
      </c>
      <c r="D34" s="53">
        <v>0</v>
      </c>
      <c r="E34" s="54">
        <v>0</v>
      </c>
      <c r="F34" s="54">
        <v>5985630818</v>
      </c>
      <c r="G34" s="54">
        <v>0</v>
      </c>
      <c r="H34" s="55">
        <v>0</v>
      </c>
      <c r="I34" s="65">
        <f t="shared" si="0"/>
        <v>5985630818</v>
      </c>
      <c r="J34" s="66">
        <f t="shared" si="1"/>
        <v>7806152885</v>
      </c>
    </row>
    <row r="35" spans="1:10">
      <c r="A35" s="67" t="s">
        <v>105</v>
      </c>
      <c r="B35" s="188">
        <v>70396773.549999997</v>
      </c>
      <c r="C35" s="68">
        <v>2701770</v>
      </c>
      <c r="D35" s="61">
        <v>0</v>
      </c>
      <c r="E35" s="59">
        <v>374655.55</v>
      </c>
      <c r="F35" s="59">
        <v>0</v>
      </c>
      <c r="G35" s="59">
        <v>391620574</v>
      </c>
      <c r="H35" s="60">
        <v>0</v>
      </c>
      <c r="I35" s="62">
        <f t="shared" si="0"/>
        <v>394696999.55000001</v>
      </c>
      <c r="J35" s="189">
        <f t="shared" si="1"/>
        <v>465093773.10000002</v>
      </c>
    </row>
    <row r="36" spans="1:10">
      <c r="A36" s="5" t="s">
        <v>71</v>
      </c>
      <c r="B36" s="69">
        <f t="shared" ref="B36:I36" si="2">SUM(B10:B35)</f>
        <v>17282140036.639996</v>
      </c>
      <c r="C36" s="70">
        <f t="shared" si="2"/>
        <v>1266969780.3199999</v>
      </c>
      <c r="D36" s="71">
        <f t="shared" si="2"/>
        <v>521671727.56999999</v>
      </c>
      <c r="E36" s="69">
        <f t="shared" si="2"/>
        <v>3510653157.02</v>
      </c>
      <c r="F36" s="69">
        <f t="shared" si="2"/>
        <v>5985630818</v>
      </c>
      <c r="G36" s="69">
        <f t="shared" si="2"/>
        <v>5074656860.25</v>
      </c>
      <c r="H36" s="70">
        <f t="shared" si="2"/>
        <v>2441153742.5299997</v>
      </c>
      <c r="I36" s="71">
        <f t="shared" si="2"/>
        <v>18800736085.689999</v>
      </c>
      <c r="J36" s="72">
        <f t="shared" si="1"/>
        <v>36082876122.329994</v>
      </c>
    </row>
    <row r="37" spans="1:10">
      <c r="A37" s="195" t="s">
        <v>106</v>
      </c>
      <c r="B37" s="73"/>
    </row>
  </sheetData>
  <mergeCells count="6">
    <mergeCell ref="J6:J7"/>
    <mergeCell ref="A6:A7"/>
    <mergeCell ref="D6:H6"/>
    <mergeCell ref="B6:B7"/>
    <mergeCell ref="C6:C7"/>
    <mergeCell ref="I6:I7"/>
  </mergeCells>
  <conditionalFormatting sqref="B10:H35">
    <cfRule type="expression" dxfId="4" priority="1" stopIfTrue="1">
      <formula>ISBLANK(B10)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>
    <oddHeader>&amp;L&amp;10&amp;F&amp;R&amp;10&amp;A</oddHeader>
    <oddFooter>&amp;C&amp;10Seite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8"/>
  <sheetViews>
    <sheetView showGridLines="0" workbookViewId="0"/>
  </sheetViews>
  <sheetFormatPr baseColWidth="10" defaultColWidth="11.5546875" defaultRowHeight="15"/>
  <cols>
    <col min="1" max="1" width="36.88671875" style="12" customWidth="1"/>
    <col min="2" max="2" width="13.109375" style="12" customWidth="1"/>
    <col min="3" max="3" width="15.88671875" style="12" customWidth="1"/>
    <col min="4" max="4" width="10" style="12" customWidth="1"/>
  </cols>
  <sheetData>
    <row r="1" spans="1:4" ht="18" customHeight="1">
      <c r="A1" s="4" t="str">
        <f>"Berechnung Gamma "&amp;Info!C31</f>
        <v>Berechnung Gamma 2008</v>
      </c>
    </row>
    <row r="2" spans="1:4" ht="15.75" customHeight="1">
      <c r="A2" s="74" t="str">
        <f>Bruttoeink!A2</f>
        <v>Referenzjahr 2012</v>
      </c>
    </row>
    <row r="3" spans="1:4" ht="33" customHeight="1">
      <c r="C3" s="75" t="str">
        <f>Info!$C$28</f>
        <v>FA_2012_20120430_alpha0.7</v>
      </c>
    </row>
    <row r="4" spans="1:4" ht="15.75" customHeight="1">
      <c r="B4" s="76" t="s">
        <v>72</v>
      </c>
      <c r="C4" s="77" t="s">
        <v>73</v>
      </c>
      <c r="D4" s="78"/>
    </row>
    <row r="5" spans="1:4">
      <c r="A5" s="73" t="s">
        <v>74</v>
      </c>
      <c r="B5" s="79" t="s">
        <v>75</v>
      </c>
      <c r="C5" s="80">
        <v>397439889</v>
      </c>
      <c r="D5" s="81"/>
    </row>
    <row r="6" spans="1:4">
      <c r="A6" s="82" t="s">
        <v>76</v>
      </c>
      <c r="B6" s="83" t="str">
        <f>"ASG_"&amp;Info!C30&amp;"_"&amp;Info!C31&amp;".xlsx"</f>
        <v>ASG_2012_2008.xlsx</v>
      </c>
      <c r="C6" s="84">
        <f>Berechnung_QS!O39</f>
        <v>155360262.59999999</v>
      </c>
      <c r="D6" s="81"/>
    </row>
    <row r="7" spans="1:4" ht="24.75" customHeight="1">
      <c r="A7" s="85" t="s">
        <v>77</v>
      </c>
      <c r="B7" s="85"/>
      <c r="C7" s="86">
        <f>ROUND(C6/C5,3)</f>
        <v>0.39100000000000001</v>
      </c>
    </row>
    <row r="8" spans="1:4" ht="15.75" customHeight="1"/>
  </sheetData>
  <conditionalFormatting sqref="C5:C6">
    <cfRule type="expression" dxfId="3" priority="1" stopIfTrue="1">
      <formula>ISBLANK(C5)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>
    <oddHeader>&amp;L&amp;10&amp;F&amp;R&amp;10&amp;A</oddHeader>
    <oddFooter>&amp;C&amp;10Seite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V40"/>
  <sheetViews>
    <sheetView showGridLines="0" topLeftCell="A4" zoomScale="75" workbookViewId="0">
      <selection activeCell="A6" sqref="A6"/>
    </sheetView>
  </sheetViews>
  <sheetFormatPr baseColWidth="10" defaultColWidth="11.5546875" defaultRowHeight="15"/>
  <cols>
    <col min="1" max="1" width="17.44140625" style="12" customWidth="1"/>
    <col min="2" max="2" width="20.88671875" style="12" customWidth="1"/>
    <col min="3" max="3" width="13.33203125" style="12" customWidth="1"/>
    <col min="4" max="5" width="13.44140625" style="12" customWidth="1"/>
    <col min="6" max="7" width="15.109375" style="12" customWidth="1"/>
    <col min="8" max="9" width="13.33203125" style="12" customWidth="1"/>
    <col min="10" max="10" width="8.88671875" style="12" customWidth="1"/>
    <col min="11" max="12" width="13.77734375" style="12" customWidth="1"/>
    <col min="13" max="13" width="2" style="12" customWidth="1"/>
    <col min="14" max="14" width="15.44140625" style="12" customWidth="1"/>
    <col min="15" max="15" width="15.21875" style="12" customWidth="1"/>
    <col min="16" max="16" width="21.6640625" style="12" customWidth="1"/>
    <col min="17" max="17" width="16.21875" style="12" customWidth="1"/>
    <col min="18" max="18" width="3.6640625" style="87" customWidth="1"/>
    <col min="19" max="19" width="18.77734375" style="12" customWidth="1"/>
    <col min="20" max="20" width="3.6640625" style="12" customWidth="1"/>
    <col min="21" max="21" width="10.88671875" style="12" customWidth="1"/>
    <col min="22" max="22" width="17.5546875" style="12" customWidth="1"/>
    <col min="23" max="23" width="11.5546875" style="12" customWidth="1"/>
    <col min="24" max="16384" width="11.5546875" style="12"/>
  </cols>
  <sheetData>
    <row r="1" spans="1:22" ht="26.25" customHeight="1">
      <c r="A1" s="13" t="str">
        <f>"Massgebende quellenbesteuerte Einkommen (QS) "&amp;Info!C31</f>
        <v>Massgebende quellenbesteuerte Einkommen (QS) 2008</v>
      </c>
      <c r="B1" s="13"/>
      <c r="C1" s="13"/>
      <c r="D1" s="13"/>
      <c r="E1" s="13"/>
      <c r="F1" s="13"/>
      <c r="H1" s="14"/>
      <c r="R1" s="12"/>
    </row>
    <row r="2" spans="1:22" ht="18.75" customHeight="1">
      <c r="A2" s="88" t="str">
        <f>Info!A5</f>
        <v>Referenzjahr 2012</v>
      </c>
      <c r="B2" s="89"/>
      <c r="H2" s="87"/>
      <c r="R2" s="12"/>
    </row>
    <row r="3" spans="1:22" ht="18.75" customHeight="1">
      <c r="A3" s="90"/>
      <c r="B3" s="89"/>
      <c r="H3" s="87"/>
      <c r="L3" s="91" t="str">
        <f>Info!C28</f>
        <v>FA_2012_20120430_alpha0.7</v>
      </c>
      <c r="R3" s="12"/>
    </row>
    <row r="4" spans="1:22" ht="37.5" customHeight="1">
      <c r="A4" s="211" t="str">
        <f>"Berechnung von QS auf der Basis der Bruttolöhne "&amp;Info!C31</f>
        <v>Berechnung von QS auf der Basis der Bruttolöhne 2008</v>
      </c>
      <c r="B4" s="212"/>
      <c r="C4" s="212"/>
      <c r="D4" s="212"/>
      <c r="E4" s="212"/>
      <c r="F4" s="212"/>
      <c r="G4" s="212"/>
      <c r="H4" s="212"/>
      <c r="I4" s="212"/>
      <c r="J4" s="212"/>
      <c r="K4" s="212"/>
      <c r="L4" s="213"/>
      <c r="N4" s="214" t="s">
        <v>78</v>
      </c>
      <c r="O4" s="215"/>
      <c r="P4" s="215"/>
      <c r="Q4" s="216"/>
      <c r="S4" s="92"/>
    </row>
    <row r="5" spans="1:22" ht="16.5" customHeight="1">
      <c r="A5" s="93"/>
      <c r="B5" s="94"/>
      <c r="C5" s="94"/>
      <c r="D5" s="94"/>
      <c r="E5" s="94"/>
      <c r="F5" s="94"/>
      <c r="G5" s="94"/>
      <c r="H5" s="94"/>
      <c r="I5" s="93"/>
      <c r="J5" s="94"/>
      <c r="K5" s="94"/>
      <c r="N5" s="95"/>
    </row>
    <row r="6" spans="1:22" ht="16.5" customHeight="1">
      <c r="A6" s="96" t="s">
        <v>12</v>
      </c>
      <c r="B6" s="97" t="s">
        <v>13</v>
      </c>
      <c r="C6" s="97" t="s">
        <v>14</v>
      </c>
      <c r="D6" s="97" t="s">
        <v>15</v>
      </c>
      <c r="E6" s="97" t="s">
        <v>16</v>
      </c>
      <c r="F6" s="97" t="s">
        <v>17</v>
      </c>
      <c r="G6" s="97" t="s">
        <v>18</v>
      </c>
      <c r="H6" s="97" t="s">
        <v>19</v>
      </c>
      <c r="I6" s="97" t="s">
        <v>79</v>
      </c>
      <c r="J6" s="97" t="s">
        <v>21</v>
      </c>
      <c r="K6" s="97" t="s">
        <v>80</v>
      </c>
      <c r="L6" s="98" t="s">
        <v>81</v>
      </c>
      <c r="M6" s="99"/>
      <c r="N6" s="100"/>
      <c r="O6" s="101" t="s">
        <v>82</v>
      </c>
      <c r="P6" s="101" t="s">
        <v>83</v>
      </c>
      <c r="Q6" s="102" t="s">
        <v>84</v>
      </c>
      <c r="R6" s="103"/>
      <c r="S6" s="104" t="s">
        <v>85</v>
      </c>
    </row>
    <row r="7" spans="1:22" ht="16.5" customHeight="1">
      <c r="A7" s="105" t="s">
        <v>22</v>
      </c>
      <c r="B7" s="106" t="s">
        <v>86</v>
      </c>
      <c r="C7" s="106" t="s">
        <v>86</v>
      </c>
      <c r="D7" s="107" t="str">
        <f>IF(Info!C31&lt;2006,"0.03/SST","(1-0.125)*gamma")</f>
        <v>(1-0.125)*gamma</v>
      </c>
      <c r="E7" s="108" t="s">
        <v>87</v>
      </c>
      <c r="F7" s="108" t="s">
        <v>88</v>
      </c>
      <c r="G7" s="108" t="s">
        <v>87</v>
      </c>
      <c r="H7" s="109" t="s">
        <v>89</v>
      </c>
      <c r="I7" s="108" t="s">
        <v>90</v>
      </c>
      <c r="J7" s="108"/>
      <c r="K7" s="108" t="s">
        <v>91</v>
      </c>
      <c r="L7" s="110" t="s">
        <v>92</v>
      </c>
      <c r="M7" s="99"/>
      <c r="N7" s="111" t="s">
        <v>22</v>
      </c>
      <c r="O7" s="112"/>
      <c r="P7" s="112"/>
      <c r="Q7" s="113" t="s">
        <v>93</v>
      </c>
      <c r="R7" s="103"/>
      <c r="S7" s="114" t="s">
        <v>94</v>
      </c>
    </row>
    <row r="8" spans="1:22" s="115" customFormat="1" ht="15.75" customHeight="1">
      <c r="A8" s="28" t="s">
        <v>25</v>
      </c>
      <c r="B8" s="29">
        <v>0</v>
      </c>
      <c r="C8" s="29">
        <v>1</v>
      </c>
      <c r="D8" s="31" t="s">
        <v>26</v>
      </c>
      <c r="E8" s="29" t="s">
        <v>27</v>
      </c>
      <c r="F8" s="29" t="s">
        <v>28</v>
      </c>
      <c r="G8" s="29" t="s">
        <v>29</v>
      </c>
      <c r="H8" s="30" t="s">
        <v>30</v>
      </c>
      <c r="I8" s="29"/>
      <c r="J8" s="29"/>
      <c r="K8" s="116"/>
      <c r="L8" s="32"/>
      <c r="M8" s="117"/>
      <c r="N8" s="33"/>
      <c r="O8" s="221" t="str">
        <f>"Massgebendes Einkommen "&amp;Info!C31</f>
        <v>Massgebendes Einkommen 2008</v>
      </c>
      <c r="P8" s="205" t="s">
        <v>95</v>
      </c>
      <c r="Q8" s="198" t="s">
        <v>96</v>
      </c>
      <c r="R8" s="118"/>
      <c r="S8" s="228" t="s">
        <v>97</v>
      </c>
    </row>
    <row r="9" spans="1:22" s="119" customFormat="1" ht="24" customHeight="1">
      <c r="A9" s="33"/>
      <c r="B9" s="205" t="s">
        <v>31</v>
      </c>
      <c r="C9" s="205" t="s">
        <v>32</v>
      </c>
      <c r="D9" s="202" t="s">
        <v>33</v>
      </c>
      <c r="E9" s="203"/>
      <c r="F9" s="203"/>
      <c r="G9" s="203"/>
      <c r="H9" s="204"/>
      <c r="I9" s="205" t="s">
        <v>98</v>
      </c>
      <c r="J9" s="205" t="s">
        <v>99</v>
      </c>
      <c r="K9" s="205" t="s">
        <v>100</v>
      </c>
      <c r="L9" s="198" t="s">
        <v>101</v>
      </c>
      <c r="M9" s="117"/>
      <c r="N9" s="120"/>
      <c r="O9" s="222"/>
      <c r="P9" s="217"/>
      <c r="Q9" s="218"/>
      <c r="R9" s="118"/>
      <c r="S9" s="229"/>
      <c r="V9" s="121" t="str">
        <f>Info!C28</f>
        <v>FA_2012_20120430_alpha0.7</v>
      </c>
    </row>
    <row r="10" spans="1:22" s="119" customFormat="1" ht="69" customHeight="1">
      <c r="A10" s="34"/>
      <c r="B10" s="217"/>
      <c r="C10" s="217"/>
      <c r="D10" s="35" t="s">
        <v>36</v>
      </c>
      <c r="E10" s="36" t="s">
        <v>37</v>
      </c>
      <c r="F10" s="36" t="s">
        <v>38</v>
      </c>
      <c r="G10" s="36" t="s">
        <v>39</v>
      </c>
      <c r="H10" s="37" t="s">
        <v>40</v>
      </c>
      <c r="I10" s="217"/>
      <c r="J10" s="217"/>
      <c r="K10" s="217"/>
      <c r="L10" s="218"/>
      <c r="M10" s="117"/>
      <c r="N10" s="122"/>
      <c r="O10" s="223"/>
      <c r="P10" s="226"/>
      <c r="Q10" s="227"/>
      <c r="R10" s="118"/>
      <c r="S10" s="229"/>
      <c r="U10" s="224" t="str">
        <f>" Standardisierter Steuersatz (SST) "&amp;Info!C30-1</f>
        <v xml:space="preserve"> Standardisierter Steuersatz (SST) 2011</v>
      </c>
      <c r="V10" s="225"/>
    </row>
    <row r="11" spans="1:22" s="123" customFormat="1" ht="14.25" customHeight="1">
      <c r="A11" s="124" t="s">
        <v>102</v>
      </c>
      <c r="B11" s="125">
        <f>gamma</f>
        <v>0.39100000000000001</v>
      </c>
      <c r="C11" s="125">
        <f>gamma</f>
        <v>0.39100000000000001</v>
      </c>
      <c r="D11" s="126">
        <f>IF(Info!C31&lt;2006,0.03/sst,0.875*gamma)</f>
        <v>0.34212500000000001</v>
      </c>
      <c r="E11" s="125">
        <f>0.045/sst</f>
        <v>0.16981132075471697</v>
      </c>
      <c r="F11" s="125">
        <f>gamma-0.035/sst</f>
        <v>0.25892452830188684</v>
      </c>
      <c r="G11" s="125">
        <f>0.045/sst</f>
        <v>0.16981132075471697</v>
      </c>
      <c r="H11" s="127">
        <f>0.6*gamma</f>
        <v>0.2346</v>
      </c>
      <c r="I11" s="125"/>
      <c r="J11" s="125"/>
      <c r="K11" s="125"/>
      <c r="L11" s="128"/>
      <c r="M11" s="129"/>
      <c r="N11" s="130" t="s">
        <v>72</v>
      </c>
      <c r="O11" s="123" t="str">
        <f>"ASG_"&amp;Info!C30&amp;"_"&amp;Info!C31&amp;".xlsx"</f>
        <v>ASG_2012_2008.xlsx</v>
      </c>
      <c r="R11" s="131"/>
      <c r="S11" s="132"/>
      <c r="U11" s="219" t="str">
        <f>"Quelle: RA_"&amp;Info!C30-1&amp;".xlsx"</f>
        <v>Quelle: RA_2011.xlsx</v>
      </c>
      <c r="V11" s="220"/>
    </row>
    <row r="12" spans="1:22" s="123" customFormat="1" ht="14.25" customHeight="1">
      <c r="A12" s="124" t="s">
        <v>43</v>
      </c>
      <c r="B12" s="125" t="s">
        <v>73</v>
      </c>
      <c r="C12" s="125" t="s">
        <v>73</v>
      </c>
      <c r="D12" s="126" t="s">
        <v>73</v>
      </c>
      <c r="E12" s="125" t="s">
        <v>73</v>
      </c>
      <c r="F12" s="125" t="s">
        <v>73</v>
      </c>
      <c r="G12" s="125" t="s">
        <v>73</v>
      </c>
      <c r="H12" s="127" t="s">
        <v>73</v>
      </c>
      <c r="I12" s="125" t="s">
        <v>73</v>
      </c>
      <c r="J12" s="125"/>
      <c r="K12" s="125" t="s">
        <v>73</v>
      </c>
      <c r="L12" s="133" t="s">
        <v>73</v>
      </c>
      <c r="M12" s="129"/>
      <c r="N12" s="124" t="s">
        <v>43</v>
      </c>
      <c r="O12" s="125" t="s">
        <v>73</v>
      </c>
      <c r="P12" s="134"/>
      <c r="Q12" s="133" t="s">
        <v>73</v>
      </c>
      <c r="R12" s="131"/>
      <c r="S12" s="135" t="s">
        <v>73</v>
      </c>
      <c r="U12" s="136"/>
      <c r="V12" s="137"/>
    </row>
    <row r="13" spans="1:22" ht="15.75" customHeight="1">
      <c r="A13" s="138" t="s">
        <v>45</v>
      </c>
      <c r="B13" s="139">
        <f>(Bruttoeink!B10*B$11)/1000</f>
        <v>1530320.4505950001</v>
      </c>
      <c r="C13" s="139">
        <f>(Bruttoeink!C10*C$11)/1000</f>
        <v>24588.230109</v>
      </c>
      <c r="D13" s="140">
        <f>(Bruttoeink!D10*D$11)/1000</f>
        <v>0</v>
      </c>
      <c r="E13" s="139">
        <f>(Bruttoeink!E10*E$11)/1000</f>
        <v>70612.944622641502</v>
      </c>
      <c r="F13" s="139">
        <f>(Bruttoeink!F10*F$11)/1000</f>
        <v>0</v>
      </c>
      <c r="G13" s="139">
        <f>(Bruttoeink!G10*G$11)/1000</f>
        <v>0</v>
      </c>
      <c r="H13" s="141">
        <f>(Bruttoeink!H10*H$11)/1000</f>
        <v>0</v>
      </c>
      <c r="I13" s="139">
        <f t="shared" ref="I13:I38" si="0">SUM(C13:H13)</f>
        <v>95201.174731641499</v>
      </c>
      <c r="J13" s="142">
        <f t="shared" ref="J13:J38" si="1">$J$39</f>
        <v>0.75</v>
      </c>
      <c r="K13" s="139">
        <f t="shared" ref="K13:K39" si="2">I13*J13</f>
        <v>71400.881048731128</v>
      </c>
      <c r="L13" s="143">
        <f t="shared" ref="L13:L39" si="3">K13+B13</f>
        <v>1601721.3316437311</v>
      </c>
      <c r="M13" s="144"/>
      <c r="N13" s="138" t="s">
        <v>45</v>
      </c>
      <c r="O13" s="145">
        <v>34207091.100000001</v>
      </c>
      <c r="P13" s="146">
        <v>0</v>
      </c>
      <c r="Q13" s="143">
        <f>IF(Berechnung_QS!L13=0,O13*P13,0)</f>
        <v>0</v>
      </c>
      <c r="R13" s="147"/>
      <c r="S13" s="148">
        <f>Berechnung_QS!L13+Q13</f>
        <v>1601721.3316437311</v>
      </c>
      <c r="U13" s="149" t="s">
        <v>103</v>
      </c>
      <c r="V13" s="150">
        <v>0.26519087542212599</v>
      </c>
    </row>
    <row r="14" spans="1:22" ht="15.75" customHeight="1">
      <c r="A14" s="151" t="s">
        <v>46</v>
      </c>
      <c r="B14" s="152">
        <f>(Bruttoeink!B11*B$11)/1000</f>
        <v>531029.941613</v>
      </c>
      <c r="C14" s="152">
        <f>(Bruttoeink!C11*C$11)/1000</f>
        <v>25978.503725999999</v>
      </c>
      <c r="D14" s="153">
        <f>(Bruttoeink!D11*D$11)/1000</f>
        <v>1007.5482033750001</v>
      </c>
      <c r="E14" s="152">
        <f>(Bruttoeink!E11*E$11)/1000</f>
        <v>1554.4361886792453</v>
      </c>
      <c r="F14" s="152">
        <f>(Bruttoeink!F11*F$11)/1000</f>
        <v>0</v>
      </c>
      <c r="G14" s="152">
        <f>(Bruttoeink!G11*G$11)/1000</f>
        <v>18092.074584905658</v>
      </c>
      <c r="H14" s="154">
        <f>(Bruttoeink!H11*H$11)/1000</f>
        <v>0</v>
      </c>
      <c r="I14" s="152">
        <f t="shared" si="0"/>
        <v>46632.562702959905</v>
      </c>
      <c r="J14" s="155">
        <f t="shared" si="1"/>
        <v>0.75</v>
      </c>
      <c r="K14" s="152">
        <f t="shared" si="2"/>
        <v>34974.422027219931</v>
      </c>
      <c r="L14" s="156">
        <f t="shared" si="3"/>
        <v>566004.3636402199</v>
      </c>
      <c r="M14" s="144"/>
      <c r="N14" s="151" t="s">
        <v>46</v>
      </c>
      <c r="O14" s="157">
        <v>15084982.300000001</v>
      </c>
      <c r="P14" s="158">
        <v>0</v>
      </c>
      <c r="Q14" s="156">
        <f>IF(Berechnung_QS!L14=0,O14*P14,0)</f>
        <v>0</v>
      </c>
      <c r="R14" s="147"/>
      <c r="S14" s="159">
        <f>Berechnung_QS!L14+Q14</f>
        <v>566004.3636402199</v>
      </c>
      <c r="U14" s="160" t="s">
        <v>104</v>
      </c>
      <c r="V14" s="161">
        <f>ROUND(V13,3)</f>
        <v>0.26500000000000001</v>
      </c>
    </row>
    <row r="15" spans="1:22" ht="15.75" customHeight="1">
      <c r="A15" s="162" t="s">
        <v>47</v>
      </c>
      <c r="B15" s="163">
        <f>(Bruttoeink!B12*B$11)/1000</f>
        <v>234798.46847200001</v>
      </c>
      <c r="C15" s="163">
        <f>(Bruttoeink!C12*C$11)/1000</f>
        <v>485.631775</v>
      </c>
      <c r="D15" s="164">
        <f>(Bruttoeink!D12*D$11)/1000</f>
        <v>0</v>
      </c>
      <c r="E15" s="163">
        <f>(Bruttoeink!E12*E$11)/1000</f>
        <v>653.18943396226405</v>
      </c>
      <c r="F15" s="163">
        <f>(Bruttoeink!F12*F$11)/1000</f>
        <v>0</v>
      </c>
      <c r="G15" s="163">
        <f>(Bruttoeink!G12*G$11)/1000</f>
        <v>0</v>
      </c>
      <c r="H15" s="165">
        <f>(Bruttoeink!H12*H$11)/1000</f>
        <v>0</v>
      </c>
      <c r="I15" s="163">
        <f t="shared" si="0"/>
        <v>1138.8212089622641</v>
      </c>
      <c r="J15" s="166">
        <f t="shared" si="1"/>
        <v>0.75</v>
      </c>
      <c r="K15" s="163">
        <f t="shared" si="2"/>
        <v>854.11590672169814</v>
      </c>
      <c r="L15" s="167">
        <f t="shared" si="3"/>
        <v>235652.58437872172</v>
      </c>
      <c r="M15" s="144"/>
      <c r="N15" s="162" t="s">
        <v>47</v>
      </c>
      <c r="O15" s="168">
        <v>6065954.7999999998</v>
      </c>
      <c r="P15" s="169">
        <v>0</v>
      </c>
      <c r="Q15" s="167">
        <f>IF(Berechnung_QS!L15=0,O15*P15,0)</f>
        <v>0</v>
      </c>
      <c r="R15" s="147"/>
      <c r="S15" s="170">
        <f>Berechnung_QS!L15+Q15</f>
        <v>235652.58437872172</v>
      </c>
    </row>
    <row r="16" spans="1:22" ht="15.75" customHeight="1">
      <c r="A16" s="151" t="s">
        <v>48</v>
      </c>
      <c r="B16" s="152">
        <f>(Bruttoeink!B13*B$11)/1000</f>
        <v>22577.004699999998</v>
      </c>
      <c r="C16" s="152">
        <f>(Bruttoeink!C13*C$11)/1000</f>
        <v>0</v>
      </c>
      <c r="D16" s="153">
        <f>(Bruttoeink!D13*D$11)/1000</f>
        <v>2753.7993638750004</v>
      </c>
      <c r="E16" s="152">
        <f>(Bruttoeink!E13*E$11)/1000</f>
        <v>0</v>
      </c>
      <c r="F16" s="152">
        <f>(Bruttoeink!F13*F$11)/1000</f>
        <v>0</v>
      </c>
      <c r="G16" s="152">
        <f>(Bruttoeink!G13*G$11)/1000</f>
        <v>0</v>
      </c>
      <c r="H16" s="154">
        <f>(Bruttoeink!H13*H$11)/1000</f>
        <v>0</v>
      </c>
      <c r="I16" s="152">
        <f t="shared" si="0"/>
        <v>2753.7993638750004</v>
      </c>
      <c r="J16" s="155">
        <f t="shared" si="1"/>
        <v>0.75</v>
      </c>
      <c r="K16" s="152">
        <f t="shared" si="2"/>
        <v>2065.3495229062501</v>
      </c>
      <c r="L16" s="156">
        <f t="shared" si="3"/>
        <v>24642.354222906248</v>
      </c>
      <c r="M16" s="144"/>
      <c r="N16" s="151" t="s">
        <v>48</v>
      </c>
      <c r="O16" s="157">
        <v>427578.5</v>
      </c>
      <c r="P16" s="158">
        <v>0</v>
      </c>
      <c r="Q16" s="156">
        <f>IF(Berechnung_QS!L16=0,O16*P16,0)</f>
        <v>0</v>
      </c>
      <c r="R16" s="147"/>
      <c r="S16" s="159">
        <f>Berechnung_QS!L16+Q16</f>
        <v>24642.354222906248</v>
      </c>
    </row>
    <row r="17" spans="1:19" ht="15.75" customHeight="1">
      <c r="A17" s="162" t="s">
        <v>49</v>
      </c>
      <c r="B17" s="163">
        <f>(Bruttoeink!B14*B$11)/1000</f>
        <v>84079.174532000005</v>
      </c>
      <c r="C17" s="163">
        <f>(Bruttoeink!C14*C$11)/1000</f>
        <v>35760.658635</v>
      </c>
      <c r="D17" s="164">
        <f>(Bruttoeink!D14*D$11)/1000</f>
        <v>2015.882267875</v>
      </c>
      <c r="E17" s="163">
        <f>(Bruttoeink!E14*E$11)/1000</f>
        <v>379.62101886792453</v>
      </c>
      <c r="F17" s="163">
        <f>(Bruttoeink!F14*F$11)/1000</f>
        <v>0</v>
      </c>
      <c r="G17" s="163">
        <f>(Bruttoeink!G14*G$11)/1000</f>
        <v>0</v>
      </c>
      <c r="H17" s="165">
        <f>(Bruttoeink!H14*H$11)/1000</f>
        <v>0</v>
      </c>
      <c r="I17" s="163">
        <f t="shared" si="0"/>
        <v>38156.161921742925</v>
      </c>
      <c r="J17" s="166">
        <f t="shared" si="1"/>
        <v>0.75</v>
      </c>
      <c r="K17" s="163">
        <f t="shared" si="2"/>
        <v>28617.121441307194</v>
      </c>
      <c r="L17" s="167">
        <f t="shared" si="3"/>
        <v>112696.29597330719</v>
      </c>
      <c r="M17" s="144"/>
      <c r="N17" s="162" t="s">
        <v>49</v>
      </c>
      <c r="O17" s="168">
        <v>4994902.5</v>
      </c>
      <c r="P17" s="169">
        <v>0</v>
      </c>
      <c r="Q17" s="167">
        <f>IF(Berechnung_QS!L17=0,O17*P17,0)</f>
        <v>0</v>
      </c>
      <c r="R17" s="147"/>
      <c r="S17" s="170">
        <f>Berechnung_QS!L17+Q17</f>
        <v>112696.29597330719</v>
      </c>
    </row>
    <row r="18" spans="1:19" ht="15.75" customHeight="1">
      <c r="A18" s="151" t="s">
        <v>50</v>
      </c>
      <c r="B18" s="152">
        <f>(Bruttoeink!B15*B$11)/1000</f>
        <v>24276.899486999999</v>
      </c>
      <c r="C18" s="152">
        <f>(Bruttoeink!C15*C$11)/1000</f>
        <v>421.11873000000003</v>
      </c>
      <c r="D18" s="153">
        <f>(Bruttoeink!D15*D$11)/1000</f>
        <v>9.6776898750000004</v>
      </c>
      <c r="E18" s="152">
        <f>(Bruttoeink!E15*E$11)/1000</f>
        <v>0</v>
      </c>
      <c r="F18" s="152">
        <f>(Bruttoeink!F15*F$11)/1000</f>
        <v>0</v>
      </c>
      <c r="G18" s="152">
        <f>(Bruttoeink!G15*G$11)/1000</f>
        <v>0</v>
      </c>
      <c r="H18" s="154">
        <f>(Bruttoeink!H15*H$11)/1000</f>
        <v>0</v>
      </c>
      <c r="I18" s="152">
        <f t="shared" si="0"/>
        <v>430.79641987500003</v>
      </c>
      <c r="J18" s="155">
        <f t="shared" si="1"/>
        <v>0.75</v>
      </c>
      <c r="K18" s="152">
        <f t="shared" si="2"/>
        <v>323.09731490625001</v>
      </c>
      <c r="L18" s="156">
        <f t="shared" si="3"/>
        <v>24599.996801906247</v>
      </c>
      <c r="M18" s="144"/>
      <c r="N18" s="151" t="s">
        <v>50</v>
      </c>
      <c r="O18" s="157">
        <v>592625.80000000005</v>
      </c>
      <c r="P18" s="158">
        <v>0</v>
      </c>
      <c r="Q18" s="156">
        <f>IF(Berechnung_QS!L18=0,O18*P18,0)</f>
        <v>0</v>
      </c>
      <c r="R18" s="147"/>
      <c r="S18" s="159">
        <f>Berechnung_QS!L18+Q18</f>
        <v>24599.996801906247</v>
      </c>
    </row>
    <row r="19" spans="1:19" ht="15.75" customHeight="1">
      <c r="A19" s="162" t="s">
        <v>51</v>
      </c>
      <c r="B19" s="163">
        <f>(Bruttoeink!B16*B$11)/1000</f>
        <v>21474.340868900003</v>
      </c>
      <c r="C19" s="163">
        <f>(Bruttoeink!C16*C$11)/1000</f>
        <v>212.0917331</v>
      </c>
      <c r="D19" s="164">
        <f>(Bruttoeink!D16*D$11)/1000</f>
        <v>652.84966486250005</v>
      </c>
      <c r="E19" s="163">
        <f>(Bruttoeink!E16*E$11)/1000</f>
        <v>0</v>
      </c>
      <c r="F19" s="163">
        <f>(Bruttoeink!F16*F$11)/1000</f>
        <v>0</v>
      </c>
      <c r="G19" s="163">
        <f>(Bruttoeink!G16*G$11)/1000</f>
        <v>0</v>
      </c>
      <c r="H19" s="165">
        <f>(Bruttoeink!H16*H$11)/1000</f>
        <v>0</v>
      </c>
      <c r="I19" s="163">
        <f t="shared" si="0"/>
        <v>864.9413979625001</v>
      </c>
      <c r="J19" s="166">
        <f t="shared" si="1"/>
        <v>0.75</v>
      </c>
      <c r="K19" s="163">
        <f t="shared" si="2"/>
        <v>648.70604847187508</v>
      </c>
      <c r="L19" s="167">
        <f t="shared" si="3"/>
        <v>22123.046917371877</v>
      </c>
      <c r="M19" s="144"/>
      <c r="N19" s="162" t="s">
        <v>51</v>
      </c>
      <c r="O19" s="168">
        <v>1146128.3999999999</v>
      </c>
      <c r="P19" s="169">
        <v>0</v>
      </c>
      <c r="Q19" s="167">
        <f>IF(Berechnung_QS!L19=0,O19*P19,0)</f>
        <v>0</v>
      </c>
      <c r="R19" s="147"/>
      <c r="S19" s="170">
        <f>Berechnung_QS!L19+Q19</f>
        <v>22123.046917371877</v>
      </c>
    </row>
    <row r="20" spans="1:19" ht="15.75" customHeight="1">
      <c r="A20" s="151" t="s">
        <v>52</v>
      </c>
      <c r="B20" s="152">
        <f>(Bruttoeink!B17*B$11)/1000</f>
        <v>25632.478852900003</v>
      </c>
      <c r="C20" s="152">
        <f>(Bruttoeink!C17*C$11)/1000</f>
        <v>40.111223750000008</v>
      </c>
      <c r="D20" s="153">
        <f>(Bruttoeink!D17*D$11)/1000</f>
        <v>0</v>
      </c>
      <c r="E20" s="152">
        <f>(Bruttoeink!E17*E$11)/1000</f>
        <v>0</v>
      </c>
      <c r="F20" s="152">
        <f>(Bruttoeink!F17*F$11)/1000</f>
        <v>0</v>
      </c>
      <c r="G20" s="152">
        <f>(Bruttoeink!G17*G$11)/1000</f>
        <v>0</v>
      </c>
      <c r="H20" s="154">
        <f>(Bruttoeink!H17*H$11)/1000</f>
        <v>0</v>
      </c>
      <c r="I20" s="152">
        <f t="shared" si="0"/>
        <v>40.111223750000008</v>
      </c>
      <c r="J20" s="155">
        <f t="shared" si="1"/>
        <v>0.75</v>
      </c>
      <c r="K20" s="152">
        <f t="shared" si="2"/>
        <v>30.083417812500006</v>
      </c>
      <c r="L20" s="156">
        <f t="shared" si="3"/>
        <v>25662.562270712504</v>
      </c>
      <c r="M20" s="144"/>
      <c r="N20" s="151" t="s">
        <v>52</v>
      </c>
      <c r="O20" s="157">
        <v>538494.5</v>
      </c>
      <c r="P20" s="158">
        <v>0</v>
      </c>
      <c r="Q20" s="156">
        <f>IF(Berechnung_QS!L20=0,O20*P20,0)</f>
        <v>0</v>
      </c>
      <c r="R20" s="147"/>
      <c r="S20" s="159">
        <f>Berechnung_QS!L20+Q20</f>
        <v>25662.562270712504</v>
      </c>
    </row>
    <row r="21" spans="1:19" ht="15.75" customHeight="1">
      <c r="A21" s="162" t="s">
        <v>53</v>
      </c>
      <c r="B21" s="163">
        <f>(Bruttoeink!B18*B$11)/1000</f>
        <v>197986.53712999998</v>
      </c>
      <c r="C21" s="163">
        <f>(Bruttoeink!C18*C$11)/1000</f>
        <v>5584.0273999999999</v>
      </c>
      <c r="D21" s="164">
        <f>(Bruttoeink!D18*D$11)/1000</f>
        <v>1452.70585775</v>
      </c>
      <c r="E21" s="163">
        <f>(Bruttoeink!E18*E$11)/1000</f>
        <v>655.58224528301878</v>
      </c>
      <c r="F21" s="163">
        <f>(Bruttoeink!F18*F$11)/1000</f>
        <v>0</v>
      </c>
      <c r="G21" s="163">
        <f>(Bruttoeink!G18*G$11)/1000</f>
        <v>0</v>
      </c>
      <c r="H21" s="165">
        <f>(Bruttoeink!H18*H$11)/1000</f>
        <v>0</v>
      </c>
      <c r="I21" s="163">
        <f t="shared" si="0"/>
        <v>7692.315503033019</v>
      </c>
      <c r="J21" s="166">
        <f t="shared" si="1"/>
        <v>0.75</v>
      </c>
      <c r="K21" s="163">
        <f t="shared" si="2"/>
        <v>5769.236627274764</v>
      </c>
      <c r="L21" s="167">
        <f t="shared" si="3"/>
        <v>203755.77375727476</v>
      </c>
      <c r="M21" s="144"/>
      <c r="N21" s="162" t="s">
        <v>53</v>
      </c>
      <c r="O21" s="168">
        <v>4591107</v>
      </c>
      <c r="P21" s="169">
        <v>0</v>
      </c>
      <c r="Q21" s="167">
        <f>IF(Berechnung_QS!L21=0,O21*P21,0)</f>
        <v>0</v>
      </c>
      <c r="R21" s="147"/>
      <c r="S21" s="170">
        <f>Berechnung_QS!L21+Q21</f>
        <v>203755.77375727476</v>
      </c>
    </row>
    <row r="22" spans="1:19" ht="15.75" customHeight="1">
      <c r="A22" s="151" t="s">
        <v>54</v>
      </c>
      <c r="B22" s="152">
        <f>(Bruttoeink!B19*B$11)/1000</f>
        <v>172242.03761775003</v>
      </c>
      <c r="C22" s="152">
        <f>(Bruttoeink!C19*C$11)/1000</f>
        <v>0</v>
      </c>
      <c r="D22" s="153">
        <f>(Bruttoeink!D19*D$11)/1000</f>
        <v>995.79135144999998</v>
      </c>
      <c r="E22" s="152">
        <f>(Bruttoeink!E19*E$11)/1000</f>
        <v>0</v>
      </c>
      <c r="F22" s="152">
        <f>(Bruttoeink!F19*F$11)/1000</f>
        <v>0</v>
      </c>
      <c r="G22" s="152">
        <f>(Bruttoeink!G19*G$11)/1000</f>
        <v>0</v>
      </c>
      <c r="H22" s="154">
        <f>(Bruttoeink!H19*H$11)/1000</f>
        <v>0</v>
      </c>
      <c r="I22" s="152">
        <f t="shared" si="0"/>
        <v>995.79135144999998</v>
      </c>
      <c r="J22" s="155">
        <f t="shared" si="1"/>
        <v>0.75</v>
      </c>
      <c r="K22" s="152">
        <f t="shared" si="2"/>
        <v>746.84351358749996</v>
      </c>
      <c r="L22" s="156">
        <f t="shared" si="3"/>
        <v>172988.88113133752</v>
      </c>
      <c r="M22" s="144"/>
      <c r="N22" s="151" t="s">
        <v>54</v>
      </c>
      <c r="O22" s="157">
        <v>4061813.5</v>
      </c>
      <c r="P22" s="158">
        <v>0</v>
      </c>
      <c r="Q22" s="156">
        <f>IF(Berechnung_QS!L22=0,O22*P22,0)</f>
        <v>0</v>
      </c>
      <c r="R22" s="147"/>
      <c r="S22" s="159">
        <f>Berechnung_QS!L22+Q22</f>
        <v>172988.88113133752</v>
      </c>
    </row>
    <row r="23" spans="1:19" ht="15.75" customHeight="1">
      <c r="A23" s="162" t="s">
        <v>55</v>
      </c>
      <c r="B23" s="163">
        <f>(Bruttoeink!B20*B$11)/1000</f>
        <v>130650.854919</v>
      </c>
      <c r="C23" s="163">
        <f>(Bruttoeink!C20*C$11)/1000</f>
        <v>4281.5876320000007</v>
      </c>
      <c r="D23" s="164">
        <f>(Bruttoeink!D20*D$11)/1000</f>
        <v>139.98454925000001</v>
      </c>
      <c r="E23" s="163">
        <f>(Bruttoeink!E20*E$11)/1000</f>
        <v>5438.0141320754719</v>
      </c>
      <c r="F23" s="163">
        <f>(Bruttoeink!F20*F$11)/1000</f>
        <v>0</v>
      </c>
      <c r="G23" s="163">
        <f>(Bruttoeink!G20*G$11)/1000</f>
        <v>13216.75862264151</v>
      </c>
      <c r="H23" s="165">
        <f>(Bruttoeink!H20*H$11)/1000</f>
        <v>0</v>
      </c>
      <c r="I23" s="163">
        <f t="shared" si="0"/>
        <v>23076.344935966983</v>
      </c>
      <c r="J23" s="166">
        <f t="shared" si="1"/>
        <v>0.75</v>
      </c>
      <c r="K23" s="163">
        <f t="shared" si="2"/>
        <v>17307.258701975239</v>
      </c>
      <c r="L23" s="167">
        <f t="shared" si="3"/>
        <v>147958.11362097523</v>
      </c>
      <c r="M23" s="144"/>
      <c r="N23" s="162" t="s">
        <v>55</v>
      </c>
      <c r="O23" s="168">
        <v>4288401.4000000004</v>
      </c>
      <c r="P23" s="169">
        <v>0</v>
      </c>
      <c r="Q23" s="167">
        <f>IF(Berechnung_QS!L23=0,O23*P23,0)</f>
        <v>0</v>
      </c>
      <c r="R23" s="147"/>
      <c r="S23" s="170">
        <f>Berechnung_QS!L23+Q23</f>
        <v>147958.11362097523</v>
      </c>
    </row>
    <row r="24" spans="1:19" ht="15.75" customHeight="1">
      <c r="A24" s="151" t="s">
        <v>56</v>
      </c>
      <c r="B24" s="152">
        <f>(Bruttoeink!B21*B$11)/1000</f>
        <v>238577.06353800002</v>
      </c>
      <c r="C24" s="152">
        <f>(Bruttoeink!C21*C$11)/1000</f>
        <v>54870.375822000002</v>
      </c>
      <c r="D24" s="153">
        <f>(Bruttoeink!D21*D$11)/1000</f>
        <v>129.48199600000001</v>
      </c>
      <c r="E24" s="152">
        <f>(Bruttoeink!E21*E$11)/1000</f>
        <v>202166.43418867924</v>
      </c>
      <c r="F24" s="152">
        <f>(Bruttoeink!F21*F$11)/1000</f>
        <v>0</v>
      </c>
      <c r="G24" s="152">
        <f>(Bruttoeink!G21*G$11)/1000</f>
        <v>244976.60224528302</v>
      </c>
      <c r="H24" s="154">
        <f>(Bruttoeink!H21*H$11)/1000</f>
        <v>0</v>
      </c>
      <c r="I24" s="152">
        <f t="shared" si="0"/>
        <v>502142.89425196225</v>
      </c>
      <c r="J24" s="155">
        <f t="shared" si="1"/>
        <v>0.75</v>
      </c>
      <c r="K24" s="152">
        <f t="shared" si="2"/>
        <v>376607.1706889717</v>
      </c>
      <c r="L24" s="156">
        <f t="shared" si="3"/>
        <v>615184.23422697175</v>
      </c>
      <c r="M24" s="144"/>
      <c r="N24" s="151" t="s">
        <v>56</v>
      </c>
      <c r="O24" s="157">
        <v>4341824.5999999996</v>
      </c>
      <c r="P24" s="158">
        <v>0</v>
      </c>
      <c r="Q24" s="156">
        <f>IF(Berechnung_QS!L24=0,O24*P24,0)</f>
        <v>0</v>
      </c>
      <c r="R24" s="147"/>
      <c r="S24" s="159">
        <f>Berechnung_QS!L24+Q24</f>
        <v>615184.23422697175</v>
      </c>
    </row>
    <row r="25" spans="1:19" ht="15.75" customHeight="1">
      <c r="A25" s="162" t="s">
        <v>57</v>
      </c>
      <c r="B25" s="163">
        <f>(Bruttoeink!B22*B$11)/1000</f>
        <v>134934.296673</v>
      </c>
      <c r="C25" s="163">
        <f>(Bruttoeink!C22*C$11)/1000</f>
        <v>30839.070473</v>
      </c>
      <c r="D25" s="164">
        <f>(Bruttoeink!D22*D$11)/1000</f>
        <v>139.43783350000001</v>
      </c>
      <c r="E25" s="163">
        <f>(Bruttoeink!E22*E$11)/1000</f>
        <v>93081.210113207548</v>
      </c>
      <c r="F25" s="163">
        <f>(Bruttoeink!F22*F$11)/1000</f>
        <v>0</v>
      </c>
      <c r="G25" s="163">
        <f>(Bruttoeink!G22*G$11)/1000</f>
        <v>157721.40152830185</v>
      </c>
      <c r="H25" s="165">
        <f>(Bruttoeink!H22*H$11)/1000</f>
        <v>0</v>
      </c>
      <c r="I25" s="163">
        <f t="shared" si="0"/>
        <v>281781.11994800938</v>
      </c>
      <c r="J25" s="166">
        <f t="shared" si="1"/>
        <v>0.75</v>
      </c>
      <c r="K25" s="163">
        <f t="shared" si="2"/>
        <v>211335.83996100703</v>
      </c>
      <c r="L25" s="167">
        <f t="shared" si="3"/>
        <v>346270.13663400704</v>
      </c>
      <c r="M25" s="144"/>
      <c r="N25" s="162" t="s">
        <v>57</v>
      </c>
      <c r="O25" s="168">
        <v>6244609.2999999998</v>
      </c>
      <c r="P25" s="169">
        <v>0</v>
      </c>
      <c r="Q25" s="167">
        <f>IF(Berechnung_QS!L25=0,O25*P25,0)</f>
        <v>0</v>
      </c>
      <c r="R25" s="147"/>
      <c r="S25" s="170">
        <f>Berechnung_QS!L25+Q25</f>
        <v>346270.13663400704</v>
      </c>
    </row>
    <row r="26" spans="1:19" ht="15.75" customHeight="1">
      <c r="A26" s="151" t="s">
        <v>58</v>
      </c>
      <c r="B26" s="152">
        <f>(Bruttoeink!B23*B$11)/1000</f>
        <v>85751.679769000009</v>
      </c>
      <c r="C26" s="152">
        <f>(Bruttoeink!C23*C$11)/1000</f>
        <v>10316.208515</v>
      </c>
      <c r="D26" s="153">
        <f>(Bruttoeink!D23*D$11)/1000</f>
        <v>87.122815500000002</v>
      </c>
      <c r="E26" s="152">
        <f>(Bruttoeink!E23*E$11)/1000</f>
        <v>53794.344056603768</v>
      </c>
      <c r="F26" s="152">
        <f>(Bruttoeink!F23*F$11)/1000</f>
        <v>0</v>
      </c>
      <c r="G26" s="152">
        <f>(Bruttoeink!G23*G$11)/1000</f>
        <v>0</v>
      </c>
      <c r="H26" s="154">
        <f>(Bruttoeink!H23*H$11)/1000</f>
        <v>0</v>
      </c>
      <c r="I26" s="152">
        <f t="shared" si="0"/>
        <v>64197.675387103765</v>
      </c>
      <c r="J26" s="155">
        <f t="shared" si="1"/>
        <v>0.75</v>
      </c>
      <c r="K26" s="152">
        <f t="shared" si="2"/>
        <v>48148.256540327828</v>
      </c>
      <c r="L26" s="156">
        <f t="shared" si="3"/>
        <v>133899.93630932784</v>
      </c>
      <c r="M26" s="144"/>
      <c r="N26" s="151" t="s">
        <v>58</v>
      </c>
      <c r="O26" s="157">
        <v>1227541.5</v>
      </c>
      <c r="P26" s="158">
        <v>0</v>
      </c>
      <c r="Q26" s="156">
        <f>IF(Berechnung_QS!L26=0,O26*P26,0)</f>
        <v>0</v>
      </c>
      <c r="R26" s="147"/>
      <c r="S26" s="159">
        <f>Berechnung_QS!L26+Q26</f>
        <v>133899.93630932784</v>
      </c>
    </row>
    <row r="27" spans="1:19" ht="15.75" customHeight="1">
      <c r="A27" s="162" t="s">
        <v>59</v>
      </c>
      <c r="B27" s="163">
        <f>(Bruttoeink!B24*B$11)/1000</f>
        <v>32831.790860779998</v>
      </c>
      <c r="C27" s="163">
        <f>(Bruttoeink!C24*C$11)/1000</f>
        <v>800.79263300000002</v>
      </c>
      <c r="D27" s="164">
        <f>(Bruttoeink!D24*D$11)/1000</f>
        <v>4225.21537073125</v>
      </c>
      <c r="E27" s="163">
        <f>(Bruttoeink!E24*E$11)/1000</f>
        <v>540.55408584905661</v>
      </c>
      <c r="F27" s="163">
        <f>(Bruttoeink!F24*F$11)/1000</f>
        <v>0</v>
      </c>
      <c r="G27" s="163">
        <f>(Bruttoeink!G24*G$11)/1000</f>
        <v>0</v>
      </c>
      <c r="H27" s="165">
        <f>(Bruttoeink!H24*H$11)/1000</f>
        <v>0</v>
      </c>
      <c r="I27" s="163">
        <f t="shared" si="0"/>
        <v>5566.5620895803067</v>
      </c>
      <c r="J27" s="166">
        <f t="shared" si="1"/>
        <v>0.75</v>
      </c>
      <c r="K27" s="163">
        <f t="shared" si="2"/>
        <v>4174.9215671852298</v>
      </c>
      <c r="L27" s="167">
        <f t="shared" si="3"/>
        <v>37006.712427965227</v>
      </c>
      <c r="M27" s="144"/>
      <c r="N27" s="162" t="s">
        <v>59</v>
      </c>
      <c r="O27" s="168">
        <v>901632.6</v>
      </c>
      <c r="P27" s="169">
        <v>0</v>
      </c>
      <c r="Q27" s="167">
        <f>IF(Berechnung_QS!L27=0,O27*P27,0)</f>
        <v>0</v>
      </c>
      <c r="R27" s="147"/>
      <c r="S27" s="170">
        <f>Berechnung_QS!L27+Q27</f>
        <v>37006.712427965227</v>
      </c>
    </row>
    <row r="28" spans="1:19" ht="15.75" customHeight="1">
      <c r="A28" s="151" t="s">
        <v>60</v>
      </c>
      <c r="B28" s="152">
        <f>(Bruttoeink!B25*B$11)/1000</f>
        <v>6715.8602338300007</v>
      </c>
      <c r="C28" s="152">
        <f>(Bruttoeink!C25*C$11)/1000</f>
        <v>840.96607267000002</v>
      </c>
      <c r="D28" s="153">
        <f>(Bruttoeink!D25*D$11)/1000</f>
        <v>1057.2688532875002</v>
      </c>
      <c r="E28" s="152">
        <f>(Bruttoeink!E25*E$11)/1000</f>
        <v>124.03491792452829</v>
      </c>
      <c r="F28" s="152">
        <f>(Bruttoeink!F25*F$11)/1000</f>
        <v>0</v>
      </c>
      <c r="G28" s="152">
        <f>(Bruttoeink!G25*G$11)/1000</f>
        <v>0</v>
      </c>
      <c r="H28" s="154">
        <f>(Bruttoeink!H25*H$11)/1000</f>
        <v>0</v>
      </c>
      <c r="I28" s="152">
        <f t="shared" si="0"/>
        <v>2022.2698438820287</v>
      </c>
      <c r="J28" s="155">
        <f t="shared" si="1"/>
        <v>0.75</v>
      </c>
      <c r="K28" s="152">
        <f t="shared" si="2"/>
        <v>1516.7023829115215</v>
      </c>
      <c r="L28" s="156">
        <f t="shared" si="3"/>
        <v>8232.5626167415212</v>
      </c>
      <c r="M28" s="144"/>
      <c r="N28" s="151" t="s">
        <v>60</v>
      </c>
      <c r="O28" s="157">
        <v>271966.40000000002</v>
      </c>
      <c r="P28" s="158">
        <v>0</v>
      </c>
      <c r="Q28" s="156">
        <f>IF(Berechnung_QS!L28=0,O28*P28,0)</f>
        <v>0</v>
      </c>
      <c r="R28" s="147"/>
      <c r="S28" s="159">
        <f>Berechnung_QS!L28+Q28</f>
        <v>8232.5626167415212</v>
      </c>
    </row>
    <row r="29" spans="1:19" ht="15.75" customHeight="1">
      <c r="A29" s="162" t="s">
        <v>61</v>
      </c>
      <c r="B29" s="163">
        <f>(Bruttoeink!B26*B$11)/1000</f>
        <v>310728.16411700001</v>
      </c>
      <c r="C29" s="163">
        <f>(Bruttoeink!C26*C$11)/1000</f>
        <v>17676.391733</v>
      </c>
      <c r="D29" s="164">
        <f>(Bruttoeink!D26*D$11)/1000</f>
        <v>148621.83802637499</v>
      </c>
      <c r="E29" s="163">
        <f>(Bruttoeink!E26*E$11)/1000</f>
        <v>10669.282471698112</v>
      </c>
      <c r="F29" s="163">
        <f>(Bruttoeink!F26*F$11)/1000</f>
        <v>0</v>
      </c>
      <c r="G29" s="163">
        <f>(Bruttoeink!G26*G$11)/1000</f>
        <v>0</v>
      </c>
      <c r="H29" s="165">
        <f>(Bruttoeink!H26*H$11)/1000</f>
        <v>0</v>
      </c>
      <c r="I29" s="163">
        <f t="shared" si="0"/>
        <v>176967.51223107311</v>
      </c>
      <c r="J29" s="166">
        <f t="shared" si="1"/>
        <v>0.75</v>
      </c>
      <c r="K29" s="163">
        <f t="shared" si="2"/>
        <v>132725.63417330483</v>
      </c>
      <c r="L29" s="167">
        <f t="shared" si="3"/>
        <v>443453.79829030484</v>
      </c>
      <c r="M29" s="144"/>
      <c r="N29" s="162" t="s">
        <v>61</v>
      </c>
      <c r="O29" s="168">
        <v>7265321.2000000002</v>
      </c>
      <c r="P29" s="169">
        <v>0</v>
      </c>
      <c r="Q29" s="167">
        <f>IF(Berechnung_QS!L29=0,O29*P29,0)</f>
        <v>0</v>
      </c>
      <c r="R29" s="147"/>
      <c r="S29" s="170">
        <f>Berechnung_QS!L29+Q29</f>
        <v>443453.79829030484</v>
      </c>
    </row>
    <row r="30" spans="1:19" ht="15.75" customHeight="1">
      <c r="A30" s="151" t="s">
        <v>62</v>
      </c>
      <c r="B30" s="152">
        <f>(Bruttoeink!B27*B$11)/1000</f>
        <v>265401.26702900004</v>
      </c>
      <c r="C30" s="152">
        <f>(Bruttoeink!C27*C$11)/1000</f>
        <v>73189.395554169998</v>
      </c>
      <c r="D30" s="153">
        <f>(Bruttoeink!D27*D$11)/1000</f>
        <v>6377.0525335474995</v>
      </c>
      <c r="E30" s="152">
        <f>(Bruttoeink!E27*E$11)/1000</f>
        <v>11.583959433962262</v>
      </c>
      <c r="F30" s="152">
        <f>(Bruttoeink!F27*F$11)/1000</f>
        <v>0</v>
      </c>
      <c r="G30" s="152">
        <f>(Bruttoeink!G27*G$11)/1000</f>
        <v>0</v>
      </c>
      <c r="H30" s="154">
        <f>(Bruttoeink!H27*H$11)/1000</f>
        <v>14018.633867267999</v>
      </c>
      <c r="I30" s="152">
        <f t="shared" si="0"/>
        <v>93596.665914419456</v>
      </c>
      <c r="J30" s="155">
        <f t="shared" si="1"/>
        <v>0.75</v>
      </c>
      <c r="K30" s="152">
        <f t="shared" si="2"/>
        <v>70197.499435814592</v>
      </c>
      <c r="L30" s="156">
        <f t="shared" si="3"/>
        <v>335598.76646481466</v>
      </c>
      <c r="M30" s="144"/>
      <c r="N30" s="151" t="s">
        <v>62</v>
      </c>
      <c r="O30" s="157">
        <v>3158399.3</v>
      </c>
      <c r="P30" s="158">
        <v>0</v>
      </c>
      <c r="Q30" s="156">
        <f>IF(Berechnung_QS!L30=0,O30*P30,0)</f>
        <v>0</v>
      </c>
      <c r="R30" s="147"/>
      <c r="S30" s="159">
        <f>Berechnung_QS!L30+Q30</f>
        <v>335598.76646481466</v>
      </c>
    </row>
    <row r="31" spans="1:19" ht="15.75" customHeight="1">
      <c r="A31" s="162" t="s">
        <v>63</v>
      </c>
      <c r="B31" s="163">
        <f>(Bruttoeink!B28*B$11)/1000</f>
        <v>330319.79388700001</v>
      </c>
      <c r="C31" s="163">
        <f>(Bruttoeink!C28*C$11)/1000</f>
        <v>76304.637275000001</v>
      </c>
      <c r="D31" s="164">
        <f>(Bruttoeink!D28*D$11)/1000</f>
        <v>238.0847875</v>
      </c>
      <c r="E31" s="163">
        <f>(Bruttoeink!E28*E$11)/1000</f>
        <v>118037.34730188678</v>
      </c>
      <c r="F31" s="163">
        <f>(Bruttoeink!F28*F$11)/1000</f>
        <v>0</v>
      </c>
      <c r="G31" s="163">
        <f>(Bruttoeink!G28*G$11)/1000</f>
        <v>0</v>
      </c>
      <c r="H31" s="165">
        <f>(Bruttoeink!H28*H$11)/1000</f>
        <v>0</v>
      </c>
      <c r="I31" s="163">
        <f t="shared" si="0"/>
        <v>194580.06936438679</v>
      </c>
      <c r="J31" s="166">
        <f t="shared" si="1"/>
        <v>0.75</v>
      </c>
      <c r="K31" s="163">
        <f t="shared" si="2"/>
        <v>145935.05202329007</v>
      </c>
      <c r="L31" s="167">
        <f t="shared" si="3"/>
        <v>476254.84591029008</v>
      </c>
      <c r="M31" s="144"/>
      <c r="N31" s="162" t="s">
        <v>63</v>
      </c>
      <c r="O31" s="168">
        <v>11039095.6</v>
      </c>
      <c r="P31" s="169">
        <v>0</v>
      </c>
      <c r="Q31" s="167">
        <f>IF(Berechnung_QS!L31=0,O31*P31,0)</f>
        <v>0</v>
      </c>
      <c r="R31" s="147"/>
      <c r="S31" s="170">
        <f>Berechnung_QS!L31+Q31</f>
        <v>476254.84591029008</v>
      </c>
    </row>
    <row r="32" spans="1:19" ht="15.75" customHeight="1">
      <c r="A32" s="151" t="s">
        <v>64</v>
      </c>
      <c r="B32" s="152">
        <f>(Bruttoeink!B29*B$11)/1000</f>
        <v>170483.89655389002</v>
      </c>
      <c r="C32" s="152">
        <f>(Bruttoeink!C29*C$11)/1000</f>
        <v>13114.19735188</v>
      </c>
      <c r="D32" s="153">
        <f>(Bruttoeink!D29*D$11)/1000</f>
        <v>6325.5974946325005</v>
      </c>
      <c r="E32" s="152">
        <f>(Bruttoeink!E29*E$11)/1000</f>
        <v>38301.790885471695</v>
      </c>
      <c r="F32" s="152">
        <f>(Bruttoeink!F29*F$11)/1000</f>
        <v>0</v>
      </c>
      <c r="G32" s="152">
        <f>(Bruttoeink!G29*G$11)/1000</f>
        <v>0</v>
      </c>
      <c r="H32" s="154">
        <f>(Bruttoeink!H29*H$11)/1000</f>
        <v>0</v>
      </c>
      <c r="I32" s="152">
        <f t="shared" si="0"/>
        <v>57741.585731984196</v>
      </c>
      <c r="J32" s="155">
        <f t="shared" si="1"/>
        <v>0.75</v>
      </c>
      <c r="K32" s="152">
        <f t="shared" si="2"/>
        <v>43306.189298988145</v>
      </c>
      <c r="L32" s="156">
        <f t="shared" si="3"/>
        <v>213790.08585287817</v>
      </c>
      <c r="M32" s="144"/>
      <c r="N32" s="151" t="s">
        <v>64</v>
      </c>
      <c r="O32" s="157">
        <v>3957108.7</v>
      </c>
      <c r="P32" s="158">
        <v>0</v>
      </c>
      <c r="Q32" s="156">
        <f>IF(Berechnung_QS!L32=0,O32*P32,0)</f>
        <v>0</v>
      </c>
      <c r="R32" s="147"/>
      <c r="S32" s="159">
        <f>Berechnung_QS!L32+Q32</f>
        <v>213790.08585287817</v>
      </c>
    </row>
    <row r="33" spans="1:19" ht="15.75" customHeight="1">
      <c r="A33" s="162" t="s">
        <v>65</v>
      </c>
      <c r="B33" s="163">
        <f>(Bruttoeink!B30*B$11)/1000</f>
        <v>225147.95381644001</v>
      </c>
      <c r="C33" s="163">
        <f>(Bruttoeink!C30*C$11)/1000</f>
        <v>113291.14307900002</v>
      </c>
      <c r="D33" s="164">
        <f>(Bruttoeink!D30*D$11)/1000</f>
        <v>2247.6011355000001</v>
      </c>
      <c r="E33" s="163">
        <f>(Bruttoeink!E30*E$11)/1000</f>
        <v>0</v>
      </c>
      <c r="F33" s="163">
        <f>(Bruttoeink!F30*F$11)/1000</f>
        <v>0</v>
      </c>
      <c r="G33" s="163">
        <f>(Bruttoeink!G30*G$11)/1000</f>
        <v>0</v>
      </c>
      <c r="H33" s="165">
        <f>(Bruttoeink!H30*H$11)/1000</f>
        <v>548108.59397280007</v>
      </c>
      <c r="I33" s="163">
        <f t="shared" si="0"/>
        <v>663647.33818730013</v>
      </c>
      <c r="J33" s="166">
        <f t="shared" si="1"/>
        <v>0.75</v>
      </c>
      <c r="K33" s="163">
        <f t="shared" si="2"/>
        <v>497735.5036404751</v>
      </c>
      <c r="L33" s="167">
        <f t="shared" si="3"/>
        <v>722883.45745691517</v>
      </c>
      <c r="M33" s="144"/>
      <c r="N33" s="162" t="s">
        <v>65</v>
      </c>
      <c r="O33" s="168">
        <v>6018307.5999999996</v>
      </c>
      <c r="P33" s="169">
        <v>0</v>
      </c>
      <c r="Q33" s="167">
        <f>IF(Berechnung_QS!L33=0,O33*P33,0)</f>
        <v>0</v>
      </c>
      <c r="R33" s="147"/>
      <c r="S33" s="170">
        <f>Berechnung_QS!L33+Q33</f>
        <v>722883.45745691517</v>
      </c>
    </row>
    <row r="34" spans="1:19" ht="15.75" customHeight="1">
      <c r="A34" s="151" t="s">
        <v>66</v>
      </c>
      <c r="B34" s="152">
        <f>(Bruttoeink!B31*B$11)/1000</f>
        <v>819171.59079565015</v>
      </c>
      <c r="C34" s="152">
        <f>(Bruttoeink!C31*C$11)/1000</f>
        <v>0</v>
      </c>
      <c r="D34" s="153">
        <f>(Bruttoeink!D31*D$11)/1000</f>
        <v>0</v>
      </c>
      <c r="E34" s="152">
        <f>(Bruttoeink!E31*E$11)/1000</f>
        <v>0</v>
      </c>
      <c r="F34" s="152">
        <f>(Bruttoeink!F31*F$11)/1000</f>
        <v>0</v>
      </c>
      <c r="G34" s="152">
        <f>(Bruttoeink!G31*G$11)/1000</f>
        <v>231855.45809433961</v>
      </c>
      <c r="H34" s="154">
        <f>(Bruttoeink!H31*H$11)/1000</f>
        <v>0</v>
      </c>
      <c r="I34" s="152">
        <f t="shared" si="0"/>
        <v>231855.45809433961</v>
      </c>
      <c r="J34" s="155">
        <f t="shared" si="1"/>
        <v>0.75</v>
      </c>
      <c r="K34" s="152">
        <f t="shared" si="2"/>
        <v>173891.59357075472</v>
      </c>
      <c r="L34" s="156">
        <f t="shared" si="3"/>
        <v>993063.18436640489</v>
      </c>
      <c r="M34" s="144"/>
      <c r="N34" s="151" t="s">
        <v>66</v>
      </c>
      <c r="O34" s="157">
        <v>14756186.800000001</v>
      </c>
      <c r="P34" s="158">
        <v>0</v>
      </c>
      <c r="Q34" s="156">
        <f>IF(Berechnung_QS!L34=0,O34*P34,0)</f>
        <v>0</v>
      </c>
      <c r="R34" s="147"/>
      <c r="S34" s="159">
        <f>Berechnung_QS!L34+Q34</f>
        <v>993063.18436640489</v>
      </c>
    </row>
    <row r="35" spans="1:19" ht="15.75" customHeight="1">
      <c r="A35" s="162" t="s">
        <v>67</v>
      </c>
      <c r="B35" s="163">
        <f>(Bruttoeink!B32*B$11)/1000</f>
        <v>318141.75619505002</v>
      </c>
      <c r="C35" s="163">
        <f>(Bruttoeink!C32*C$11)/1000</f>
        <v>1739.6821845499999</v>
      </c>
      <c r="D35" s="164">
        <f>(Bruttoeink!D32*D$11)/1000</f>
        <v>0</v>
      </c>
      <c r="E35" s="163">
        <f>(Bruttoeink!E32*E$11)/1000</f>
        <v>64.658929245283019</v>
      </c>
      <c r="F35" s="163">
        <f>(Bruttoeink!F32*F$11)/1000</f>
        <v>0</v>
      </c>
      <c r="G35" s="163">
        <f>(Bruttoeink!G32*G$11)/1000</f>
        <v>11060.679268867925</v>
      </c>
      <c r="H35" s="165">
        <f>(Bruttoeink!H32*H$11)/1000</f>
        <v>10567.44015747</v>
      </c>
      <c r="I35" s="163">
        <f t="shared" si="0"/>
        <v>23432.460540133208</v>
      </c>
      <c r="J35" s="166">
        <f t="shared" si="1"/>
        <v>0.75</v>
      </c>
      <c r="K35" s="163">
        <f t="shared" si="2"/>
        <v>17574.345405099906</v>
      </c>
      <c r="L35" s="167">
        <f t="shared" si="3"/>
        <v>335716.10160014994</v>
      </c>
      <c r="M35" s="144"/>
      <c r="N35" s="162" t="s">
        <v>67</v>
      </c>
      <c r="O35" s="168">
        <v>4474522.2</v>
      </c>
      <c r="P35" s="169">
        <v>0</v>
      </c>
      <c r="Q35" s="167">
        <f>IF(Berechnung_QS!L35=0,O35*P35,0)</f>
        <v>0</v>
      </c>
      <c r="R35" s="147"/>
      <c r="S35" s="170">
        <f>Berechnung_QS!L35+Q35</f>
        <v>335716.10160014994</v>
      </c>
    </row>
    <row r="36" spans="1:19" ht="15.75" customHeight="1">
      <c r="A36" s="151" t="s">
        <v>68</v>
      </c>
      <c r="B36" s="152">
        <f>(Bruttoeink!B33*B$11)/1000</f>
        <v>104694.185415</v>
      </c>
      <c r="C36" s="152">
        <f>(Bruttoeink!C33*C$11)/1000</f>
        <v>3993.970378</v>
      </c>
      <c r="D36" s="153">
        <f>(Bruttoeink!D33*D$11)/1000</f>
        <v>0</v>
      </c>
      <c r="E36" s="152">
        <f>(Bruttoeink!E33*E$11)/1000</f>
        <v>0</v>
      </c>
      <c r="F36" s="152">
        <f>(Bruttoeink!F33*F$11)/1000</f>
        <v>0</v>
      </c>
      <c r="G36" s="152">
        <f>(Bruttoeink!G33*G$11)/1000</f>
        <v>118309.60256603773</v>
      </c>
      <c r="H36" s="154">
        <f>(Bruttoeink!H33*H$11)/1000</f>
        <v>0</v>
      </c>
      <c r="I36" s="152">
        <f t="shared" si="0"/>
        <v>122303.57294403773</v>
      </c>
      <c r="J36" s="155">
        <f t="shared" si="1"/>
        <v>0.75</v>
      </c>
      <c r="K36" s="152">
        <f t="shared" si="2"/>
        <v>91727.6797080283</v>
      </c>
      <c r="L36" s="156">
        <f t="shared" si="3"/>
        <v>196421.86512302828</v>
      </c>
      <c r="M36" s="144"/>
      <c r="N36" s="151" t="s">
        <v>68</v>
      </c>
      <c r="O36" s="157">
        <v>2749136.5</v>
      </c>
      <c r="P36" s="158">
        <v>0</v>
      </c>
      <c r="Q36" s="156">
        <f>IF(Berechnung_QS!L36=0,O36*P36,0)</f>
        <v>0</v>
      </c>
      <c r="R36" s="147"/>
      <c r="S36" s="159">
        <f>Berechnung_QS!L36+Q36</f>
        <v>196421.86512302828</v>
      </c>
    </row>
    <row r="37" spans="1:19" ht="15.75" customHeight="1">
      <c r="A37" s="162" t="s">
        <v>69</v>
      </c>
      <c r="B37" s="163">
        <f>(Bruttoeink!B34*B$11)/1000</f>
        <v>711824.12819700001</v>
      </c>
      <c r="C37" s="163">
        <f>(Bruttoeink!C34*C$11)/1000</f>
        <v>0</v>
      </c>
      <c r="D37" s="164">
        <f>(Bruttoeink!D34*D$11)/1000</f>
        <v>0</v>
      </c>
      <c r="E37" s="163">
        <f>(Bruttoeink!E34*E$11)/1000</f>
        <v>0</v>
      </c>
      <c r="F37" s="163">
        <f>(Bruttoeink!F34*F$11)/1000</f>
        <v>1549826.6361398872</v>
      </c>
      <c r="G37" s="163">
        <f>(Bruttoeink!G34*G$11)/1000</f>
        <v>0</v>
      </c>
      <c r="H37" s="165">
        <f>(Bruttoeink!H34*H$11)/1000</f>
        <v>0</v>
      </c>
      <c r="I37" s="163">
        <f t="shared" si="0"/>
        <v>1549826.6361398872</v>
      </c>
      <c r="J37" s="166">
        <f t="shared" si="1"/>
        <v>0.75</v>
      </c>
      <c r="K37" s="163">
        <f t="shared" si="2"/>
        <v>1162369.9771049153</v>
      </c>
      <c r="L37" s="167">
        <f t="shared" si="3"/>
        <v>1874194.1053019152</v>
      </c>
      <c r="M37" s="144"/>
      <c r="N37" s="162" t="s">
        <v>69</v>
      </c>
      <c r="O37" s="168">
        <v>12073946</v>
      </c>
      <c r="P37" s="169">
        <v>0</v>
      </c>
      <c r="Q37" s="167">
        <f>IF(Berechnung_QS!L37=0,O37*P37,0)</f>
        <v>0</v>
      </c>
      <c r="R37" s="147"/>
      <c r="S37" s="170">
        <f>Berechnung_QS!L37+Q37</f>
        <v>1874194.1053019152</v>
      </c>
    </row>
    <row r="38" spans="1:19" ht="15.75" customHeight="1">
      <c r="A38" s="190" t="s">
        <v>105</v>
      </c>
      <c r="B38" s="191">
        <f>(Bruttoeink!B35*B$11)/1000</f>
        <v>27525.138458050002</v>
      </c>
      <c r="C38" s="172">
        <f>(Bruttoeink!C35*C$11)/1000</f>
        <v>1056.3920700000001</v>
      </c>
      <c r="D38" s="173">
        <f>(Bruttoeink!D35*D$11)/1000</f>
        <v>0</v>
      </c>
      <c r="E38" s="172">
        <f>(Bruttoeink!E35*E$11)/1000</f>
        <v>63.620753773584894</v>
      </c>
      <c r="F38" s="172">
        <f>(Bruttoeink!F35*F$11)/1000</f>
        <v>0</v>
      </c>
      <c r="G38" s="172">
        <f>(Bruttoeink!G35*G$11)/1000</f>
        <v>66501.606905660374</v>
      </c>
      <c r="H38" s="174">
        <f>(Bruttoeink!H35*H$11)/1000</f>
        <v>0</v>
      </c>
      <c r="I38" s="172">
        <f t="shared" si="0"/>
        <v>67621.619729433965</v>
      </c>
      <c r="J38" s="175">
        <f t="shared" si="1"/>
        <v>0.75</v>
      </c>
      <c r="K38" s="172">
        <f t="shared" si="2"/>
        <v>50716.214797075474</v>
      </c>
      <c r="L38" s="192">
        <f t="shared" si="3"/>
        <v>78241.353255125476</v>
      </c>
      <c r="M38" s="144"/>
      <c r="N38" s="171" t="s">
        <v>70</v>
      </c>
      <c r="O38" s="177">
        <v>881584.5</v>
      </c>
      <c r="P38" s="178">
        <v>0</v>
      </c>
      <c r="Q38" s="176">
        <f>IF(Berechnung_QS!L38=0,O38*P38,0)</f>
        <v>0</v>
      </c>
      <c r="R38" s="147"/>
      <c r="S38" s="193">
        <f>Berechnung_QS!L38+Q38</f>
        <v>78241.353255125476</v>
      </c>
    </row>
    <row r="39" spans="1:19" ht="15.75" customHeight="1">
      <c r="A39" s="179" t="s">
        <v>71</v>
      </c>
      <c r="B39" s="180">
        <f t="shared" ref="B39:I39" si="4">SUM(B13:B38)</f>
        <v>6757316.7543262402</v>
      </c>
      <c r="C39" s="180">
        <f t="shared" si="4"/>
        <v>495385.18410512002</v>
      </c>
      <c r="D39" s="181">
        <f t="shared" si="4"/>
        <v>178476.93979488628</v>
      </c>
      <c r="E39" s="180">
        <f t="shared" si="4"/>
        <v>596148.64930528309</v>
      </c>
      <c r="F39" s="180">
        <f t="shared" si="4"/>
        <v>1549826.6361398872</v>
      </c>
      <c r="G39" s="180">
        <f t="shared" si="4"/>
        <v>861734.18381603761</v>
      </c>
      <c r="H39" s="182">
        <f t="shared" si="4"/>
        <v>572694.667997538</v>
      </c>
      <c r="I39" s="180">
        <f t="shared" si="4"/>
        <v>4254266.2611587523</v>
      </c>
      <c r="J39" s="183">
        <v>0.75</v>
      </c>
      <c r="K39" s="180">
        <f t="shared" si="2"/>
        <v>3190699.695869064</v>
      </c>
      <c r="L39" s="184">
        <f t="shared" si="3"/>
        <v>9948016.450195305</v>
      </c>
      <c r="M39" s="144"/>
      <c r="N39" s="179" t="s">
        <v>71</v>
      </c>
      <c r="O39" s="185">
        <f>SUM(O13:O38)</f>
        <v>155360262.59999999</v>
      </c>
      <c r="P39" s="186"/>
      <c r="Q39" s="184">
        <f>SUM(Q13:Q38)</f>
        <v>0</v>
      </c>
      <c r="R39" s="147"/>
      <c r="S39" s="187">
        <f>SUM(S13:S38)</f>
        <v>9948016.4501953032</v>
      </c>
    </row>
    <row r="40" spans="1:19">
      <c r="A40" s="194" t="s">
        <v>106</v>
      </c>
    </row>
  </sheetData>
  <mergeCells count="15">
    <mergeCell ref="U11:V11"/>
    <mergeCell ref="D9:H9"/>
    <mergeCell ref="K9:K10"/>
    <mergeCell ref="O8:O10"/>
    <mergeCell ref="U10:V10"/>
    <mergeCell ref="P8:P10"/>
    <mergeCell ref="Q8:Q10"/>
    <mergeCell ref="S8:S10"/>
    <mergeCell ref="A4:L4"/>
    <mergeCell ref="N4:Q4"/>
    <mergeCell ref="B9:B10"/>
    <mergeCell ref="C9:C10"/>
    <mergeCell ref="I9:I10"/>
    <mergeCell ref="J9:J10"/>
    <mergeCell ref="L9:L10"/>
  </mergeCells>
  <conditionalFormatting sqref="V13 O13:P38 J39">
    <cfRule type="expression" dxfId="2" priority="1" stopIfTrue="1">
      <formula>ISBLANK(J13)</formula>
    </cfRule>
  </conditionalFormatting>
  <conditionalFormatting sqref="B11:H11">
    <cfRule type="cellIs" dxfId="1" priority="2" stopIfTrue="1" operator="equal">
      <formula>"Eingabe Formel gemäss obiger Zeile"</formula>
    </cfRule>
    <cfRule type="expression" dxfId="0" priority="3" stopIfTrue="1">
      <formula>ISBLANK(B11)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scale="63" fitToWidth="2" orientation="landscape" r:id="rId1"/>
  <headerFooter>
    <oddHeader>&amp;L&amp;10&amp;F&amp;R&amp;10&amp;A</oddHeader>
    <oddFooter>&amp;C&amp;10Seite &amp;P von &amp;N</oddFooter>
  </headerFooter>
  <colBreaks count="1" manualBreakCount="1">
    <brk id="12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Info</vt:lpstr>
      <vt:lpstr>Bruttoeink</vt:lpstr>
      <vt:lpstr>Gamma</vt:lpstr>
      <vt:lpstr>Berechnung_QS</vt:lpstr>
      <vt:lpstr>gamma</vt:lpstr>
      <vt:lpstr>sst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2011-12-23T16:58:01Z</cp:lastPrinted>
  <dcterms:created xsi:type="dcterms:W3CDTF">2006-06-26T16:01:42Z</dcterms:created>
  <dcterms:modified xsi:type="dcterms:W3CDTF">2012-05-24T14:20:48Z</dcterms:modified>
</cp:coreProperties>
</file>