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-15" windowWidth="20730" windowHeight="6060"/>
  </bookViews>
  <sheets>
    <sheet name="Info" sheetId="1" r:id="rId1"/>
    <sheet name="RP" sheetId="2" r:id="rId2"/>
    <sheet name="BEV" sheetId="3" r:id="rId3"/>
    <sheet name="Wachstum_RP" sheetId="4" r:id="rId4"/>
    <sheet name="Dotation_RA" sheetId="5" r:id="rId5"/>
    <sheet name="Einzahlungen" sheetId="6" r:id="rId6"/>
    <sheet name="Auszahlungen" sheetId="7" r:id="rId7"/>
    <sheet name="SSE" sheetId="8" r:id="rId8"/>
  </sheets>
  <definedNames>
    <definedName name="A">Dotation_RA!$D$25</definedName>
    <definedName name="B">Auszahlungen!$K$12</definedName>
    <definedName name="BEV">Auszahlungen!$C$6:$C$31</definedName>
    <definedName name="_xlnm.Print_Area">Auszahlungen!$A$1:$H$32</definedName>
    <definedName name="p">Auszahlungen!$K$5</definedName>
    <definedName name="RI">Auszahlungen!$B$6:$B$31</definedName>
    <definedName name="RI_26">Auszahlungen!$K$7</definedName>
    <definedName name="RI_MIN">Auszahlungen!$K$8</definedName>
    <definedName name="solver_adj">Auszahlungen!$K$5</definedName>
    <definedName name="solver_cvg">0.0001</definedName>
    <definedName name="solver_drv">1</definedName>
    <definedName name="solver_est">1</definedName>
    <definedName name="solver_itr">1000</definedName>
    <definedName name="solver_lhs1">Auszahlungen!$K$8</definedName>
    <definedName name="solver_lin">2</definedName>
    <definedName name="solver_neg">2</definedName>
    <definedName name="solver_num">1</definedName>
    <definedName name="solver_nwt">1</definedName>
    <definedName name="solver_opt">Auszahlungen!$K$6</definedName>
    <definedName name="solver_pre">0.00000000000001</definedName>
    <definedName name="solver_rel1">2</definedName>
    <definedName name="solver_rhs1">Auszahlungen!$K$7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se">SSE!$J$42</definedName>
    <definedName name="SUM">Auszahlungen!$D$32</definedName>
  </definedNames>
  <calcPr calcId="125725"/>
</workbook>
</file>

<file path=xl/calcChain.xml><?xml version="1.0" encoding="utf-8"?>
<calcChain xmlns="http://schemas.openxmlformats.org/spreadsheetml/2006/main">
  <c r="G40" i="8"/>
  <c r="H39"/>
  <c r="H40" s="1"/>
  <c r="G39"/>
  <c r="F39"/>
  <c r="F40" s="1"/>
  <c r="J40" s="1"/>
  <c r="J36"/>
  <c r="A35"/>
  <c r="J1"/>
  <c r="A1"/>
  <c r="H2" i="7"/>
  <c r="A1"/>
  <c r="F2" i="6"/>
  <c r="A1"/>
  <c r="C15" i="5"/>
  <c r="C14"/>
  <c r="C13"/>
  <c r="G4"/>
  <c r="D12" s="1"/>
  <c r="G3"/>
  <c r="D33" i="4"/>
  <c r="E5"/>
  <c r="H5" s="1"/>
  <c r="D5"/>
  <c r="G5" s="1"/>
  <c r="C4"/>
  <c r="I2"/>
  <c r="B1"/>
  <c r="E33" i="3"/>
  <c r="D33"/>
  <c r="C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33" s="1"/>
  <c r="J41" i="8" s="1"/>
  <c r="F5" i="3"/>
  <c r="F1"/>
  <c r="B1"/>
  <c r="E33" i="2"/>
  <c r="D33"/>
  <c r="C33"/>
  <c r="G32"/>
  <c r="F32"/>
  <c r="E32" i="4" s="1"/>
  <c r="F32" s="1"/>
  <c r="G31" i="2"/>
  <c r="F31"/>
  <c r="E31" i="4" s="1"/>
  <c r="F31" s="1"/>
  <c r="G30" i="2"/>
  <c r="F30"/>
  <c r="E30" i="4" s="1"/>
  <c r="F30" s="1"/>
  <c r="G29" i="2"/>
  <c r="F29"/>
  <c r="E29" i="4" s="1"/>
  <c r="F29" s="1"/>
  <c r="G28" i="2"/>
  <c r="F28"/>
  <c r="E28" i="4" s="1"/>
  <c r="F28" s="1"/>
  <c r="G27" i="2"/>
  <c r="F27"/>
  <c r="E27" i="4" s="1"/>
  <c r="F27" s="1"/>
  <c r="G26" i="2"/>
  <c r="F26"/>
  <c r="E26" i="4" s="1"/>
  <c r="F26" s="1"/>
  <c r="G25" i="2"/>
  <c r="F25"/>
  <c r="E25" i="4" s="1"/>
  <c r="F25" s="1"/>
  <c r="G24" i="2"/>
  <c r="F24"/>
  <c r="E24" i="4" s="1"/>
  <c r="F24" s="1"/>
  <c r="G23" i="2"/>
  <c r="F23"/>
  <c r="E23" i="4" s="1"/>
  <c r="F23" s="1"/>
  <c r="G22" i="2"/>
  <c r="F22"/>
  <c r="E22" i="4" s="1"/>
  <c r="F22" s="1"/>
  <c r="G21" i="2"/>
  <c r="F21"/>
  <c r="E21" i="4" s="1"/>
  <c r="F21" s="1"/>
  <c r="G20" i="2"/>
  <c r="F20"/>
  <c r="E20" i="4" s="1"/>
  <c r="F20" s="1"/>
  <c r="G19" i="2"/>
  <c r="F19"/>
  <c r="E19" i="4" s="1"/>
  <c r="F19" s="1"/>
  <c r="G18" i="2"/>
  <c r="F18"/>
  <c r="E18" i="4" s="1"/>
  <c r="F18" s="1"/>
  <c r="G17" i="2"/>
  <c r="F17"/>
  <c r="E17" i="4" s="1"/>
  <c r="F17" s="1"/>
  <c r="G16" i="2"/>
  <c r="F16"/>
  <c r="E16" i="4" s="1"/>
  <c r="F16" s="1"/>
  <c r="G15" i="2"/>
  <c r="C15" i="6" s="1"/>
  <c r="F15" i="2"/>
  <c r="E15" i="4" s="1"/>
  <c r="F15" s="1"/>
  <c r="G14" i="2"/>
  <c r="F14"/>
  <c r="E14" i="4" s="1"/>
  <c r="F14" s="1"/>
  <c r="G13" i="2"/>
  <c r="F13"/>
  <c r="E13" i="4" s="1"/>
  <c r="F13" s="1"/>
  <c r="G12" i="2"/>
  <c r="C12" i="6" s="1"/>
  <c r="F12" i="2"/>
  <c r="E12" i="4" s="1"/>
  <c r="F12" s="1"/>
  <c r="G11" i="2"/>
  <c r="F11"/>
  <c r="E11" i="4" s="1"/>
  <c r="F11" s="1"/>
  <c r="G10" i="2"/>
  <c r="C10" i="6" s="1"/>
  <c r="F10" i="2"/>
  <c r="E10" i="4" s="1"/>
  <c r="F10" s="1"/>
  <c r="G9" i="2"/>
  <c r="F9"/>
  <c r="E9" i="4" s="1"/>
  <c r="F9" s="1"/>
  <c r="G8" i="2"/>
  <c r="C8" i="6" s="1"/>
  <c r="F8" i="2"/>
  <c r="H8" s="1"/>
  <c r="G7"/>
  <c r="G33" s="1"/>
  <c r="C32" i="7" s="1"/>
  <c r="F7" i="2"/>
  <c r="F33" s="1"/>
  <c r="H33" s="1"/>
  <c r="E5"/>
  <c r="D5"/>
  <c r="C5"/>
  <c r="E4"/>
  <c r="D4"/>
  <c r="C4"/>
  <c r="I1"/>
  <c r="B1"/>
  <c r="A5" i="1"/>
  <c r="B1" i="5" l="1"/>
  <c r="C4"/>
  <c r="B31" s="1"/>
  <c r="I8" i="2"/>
  <c r="J43" i="8"/>
  <c r="I33" i="2"/>
  <c r="H7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E7" i="4"/>
  <c r="E8"/>
  <c r="F8" s="1"/>
  <c r="C12" i="5"/>
  <c r="B23"/>
  <c r="D6" i="8"/>
  <c r="C6" i="7"/>
  <c r="D7" i="8"/>
  <c r="C7" i="7"/>
  <c r="D8" i="8"/>
  <c r="C8" i="7"/>
  <c r="D9" i="8"/>
  <c r="C9" i="7"/>
  <c r="D10" i="8"/>
  <c r="C10" i="7"/>
  <c r="D11" i="8"/>
  <c r="C11" i="7"/>
  <c r="D12" i="8"/>
  <c r="C12" i="7"/>
  <c r="D13" i="8"/>
  <c r="C13" i="7"/>
  <c r="C14" i="6"/>
  <c r="D14" i="8"/>
  <c r="C14" i="7"/>
  <c r="D15" i="8"/>
  <c r="C15" i="7"/>
  <c r="C16" i="6"/>
  <c r="D16" i="8"/>
  <c r="C16" i="7"/>
  <c r="D17" i="8"/>
  <c r="C17" i="7"/>
  <c r="C18" i="6"/>
  <c r="D18" i="8"/>
  <c r="C19" i="6"/>
  <c r="C18" i="7"/>
  <c r="D19" i="8"/>
  <c r="C19" i="7"/>
  <c r="C20" i="6"/>
  <c r="D20" i="8"/>
  <c r="C21" i="6"/>
  <c r="C20" i="7"/>
  <c r="D21" i="8"/>
  <c r="C21" i="7"/>
  <c r="C22" i="6"/>
  <c r="D22" i="8"/>
  <c r="C23" i="6"/>
  <c r="C22" i="7"/>
  <c r="D23" i="8"/>
  <c r="C23" i="7"/>
  <c r="C24" i="6"/>
  <c r="D24" i="8"/>
  <c r="C25" i="6"/>
  <c r="C24" i="7"/>
  <c r="D25" i="8"/>
  <c r="C25" i="7"/>
  <c r="C26" i="6"/>
  <c r="D26" i="8"/>
  <c r="C27" i="6"/>
  <c r="C26" i="7"/>
  <c r="D27" i="8"/>
  <c r="C27" i="7"/>
  <c r="C28" i="6"/>
  <c r="D28" i="8"/>
  <c r="C29" i="6"/>
  <c r="C28" i="7"/>
  <c r="D29" i="8"/>
  <c r="C29" i="7"/>
  <c r="C30" i="6"/>
  <c r="D30" i="8"/>
  <c r="C31" i="6"/>
  <c r="C30" i="7"/>
  <c r="D31" i="8"/>
  <c r="C31" i="7"/>
  <c r="C32" i="6"/>
  <c r="C7"/>
  <c r="C9"/>
  <c r="C11"/>
  <c r="C13"/>
  <c r="C17"/>
  <c r="J42" i="8"/>
  <c r="J44" s="1"/>
  <c r="C31" l="1"/>
  <c r="E31" s="1"/>
  <c r="I32" i="2"/>
  <c r="C29" i="8"/>
  <c r="E29" s="1"/>
  <c r="I30" i="2"/>
  <c r="C27" i="8"/>
  <c r="E27" s="1"/>
  <c r="I28" i="2"/>
  <c r="C25" i="8"/>
  <c r="E25" s="1"/>
  <c r="I26" i="2"/>
  <c r="C23" i="8"/>
  <c r="E23" s="1"/>
  <c r="I24" i="2"/>
  <c r="C21" i="8"/>
  <c r="E21" s="1"/>
  <c r="I22" i="2"/>
  <c r="C19" i="8"/>
  <c r="E19" s="1"/>
  <c r="I20" i="2"/>
  <c r="C17" i="8"/>
  <c r="E17" s="1"/>
  <c r="I18" i="2"/>
  <c r="C15" i="8"/>
  <c r="E15" s="1"/>
  <c r="I16" i="2"/>
  <c r="C13" i="8"/>
  <c r="E13" s="1"/>
  <c r="I14" i="2"/>
  <c r="C11" i="8"/>
  <c r="E11" s="1"/>
  <c r="I12" i="2"/>
  <c r="C9" i="8"/>
  <c r="E9" s="1"/>
  <c r="I10" i="2"/>
  <c r="C6" i="8"/>
  <c r="I7" i="2"/>
  <c r="C33" i="6"/>
  <c r="C7" i="8"/>
  <c r="E7" s="1"/>
  <c r="E33" i="4"/>
  <c r="F33" s="1"/>
  <c r="D5" i="5" s="1"/>
  <c r="E5" s="1"/>
  <c r="G5" s="1"/>
  <c r="F7" i="4"/>
  <c r="C30" i="8"/>
  <c r="E30" s="1"/>
  <c r="I31" i="2"/>
  <c r="C28" i="8"/>
  <c r="E28" s="1"/>
  <c r="I29" i="2"/>
  <c r="C26" i="8"/>
  <c r="E26" s="1"/>
  <c r="I27" i="2"/>
  <c r="C24" i="8"/>
  <c r="E24" s="1"/>
  <c r="I25" i="2"/>
  <c r="C22" i="8"/>
  <c r="E22" s="1"/>
  <c r="I23" i="2"/>
  <c r="C20" i="8"/>
  <c r="E20" s="1"/>
  <c r="I21" i="2"/>
  <c r="C18" i="8"/>
  <c r="E18" s="1"/>
  <c r="I19" i="2"/>
  <c r="C16" i="8"/>
  <c r="E16" s="1"/>
  <c r="I17" i="2"/>
  <c r="C14" i="8"/>
  <c r="E14" s="1"/>
  <c r="I15" i="2"/>
  <c r="C12" i="8"/>
  <c r="E12" s="1"/>
  <c r="I13" i="2"/>
  <c r="C10" i="8"/>
  <c r="E10" s="1"/>
  <c r="I11" i="2"/>
  <c r="C8" i="8"/>
  <c r="E8" s="1"/>
  <c r="I9" i="2"/>
  <c r="B32" i="8"/>
  <c r="B32" i="7"/>
  <c r="B33" i="6"/>
  <c r="C33" i="4"/>
  <c r="B7" i="8"/>
  <c r="B7" i="7"/>
  <c r="B8" i="6"/>
  <c r="C8" i="4"/>
  <c r="D32" i="8"/>
  <c r="D24" i="5" l="1"/>
  <c r="D15"/>
  <c r="D13"/>
  <c r="C32" i="8"/>
  <c r="E32" s="1"/>
  <c r="J8" s="1"/>
  <c r="E6"/>
  <c r="J9"/>
  <c r="J11"/>
  <c r="J13"/>
  <c r="J15"/>
  <c r="J17"/>
  <c r="J19"/>
  <c r="J21"/>
  <c r="J23"/>
  <c r="J25"/>
  <c r="J27"/>
  <c r="J29"/>
  <c r="J31"/>
  <c r="D8" i="6"/>
  <c r="E8"/>
  <c r="F8" s="1"/>
  <c r="H8" i="4"/>
  <c r="I8"/>
  <c r="G8"/>
  <c r="D7" i="7"/>
  <c r="B8" i="8"/>
  <c r="B8" i="7"/>
  <c r="C9" i="4"/>
  <c r="B9" i="6"/>
  <c r="B10" i="8"/>
  <c r="B10" i="7"/>
  <c r="C11" i="4"/>
  <c r="B11" i="6"/>
  <c r="B12" i="8"/>
  <c r="B12" i="7"/>
  <c r="C13" i="4"/>
  <c r="B13" i="6"/>
  <c r="B14" i="8"/>
  <c r="B14" i="7"/>
  <c r="B15" i="6"/>
  <c r="C15" i="4"/>
  <c r="B16" i="8"/>
  <c r="B16" i="7"/>
  <c r="B17" i="6"/>
  <c r="C17" i="4"/>
  <c r="B18" i="8"/>
  <c r="B18" i="7"/>
  <c r="B19" i="6"/>
  <c r="C19" i="4"/>
  <c r="B20" i="8"/>
  <c r="B20" i="7"/>
  <c r="B21" i="6"/>
  <c r="C21" i="4"/>
  <c r="B22" i="8"/>
  <c r="B22" i="7"/>
  <c r="B23" i="6"/>
  <c r="C23" i="4"/>
  <c r="B24" i="8"/>
  <c r="B24" i="7"/>
  <c r="B25" i="6"/>
  <c r="C25" i="4"/>
  <c r="B26" i="8"/>
  <c r="B26" i="7"/>
  <c r="B27" i="6"/>
  <c r="C27" i="4"/>
  <c r="B28" i="8"/>
  <c r="B28" i="7"/>
  <c r="B29" i="6"/>
  <c r="C29" i="4"/>
  <c r="B30" i="8"/>
  <c r="B30" i="7"/>
  <c r="B31" i="6"/>
  <c r="C31" i="4"/>
  <c r="J7" i="8"/>
  <c r="B6"/>
  <c r="B6" i="7"/>
  <c r="C7" i="4"/>
  <c r="B7" i="6"/>
  <c r="B9" i="8"/>
  <c r="B9" i="7"/>
  <c r="B10" i="6"/>
  <c r="C10" i="4"/>
  <c r="B11" i="8"/>
  <c r="B11" i="7"/>
  <c r="B12" i="6"/>
  <c r="C12" i="4"/>
  <c r="B13" i="8"/>
  <c r="B13" i="7"/>
  <c r="B14" i="6"/>
  <c r="C14" i="4"/>
  <c r="B15" i="8"/>
  <c r="B15" i="7"/>
  <c r="C16" i="4"/>
  <c r="B16" i="6"/>
  <c r="B17" i="8"/>
  <c r="B17" i="7"/>
  <c r="B18" i="6"/>
  <c r="C18" i="4"/>
  <c r="B19" i="8"/>
  <c r="B20" i="6"/>
  <c r="B19" i="7"/>
  <c r="C20" i="4"/>
  <c r="B21" i="8"/>
  <c r="B22" i="6"/>
  <c r="B21" i="7"/>
  <c r="C22" i="4"/>
  <c r="B23" i="8"/>
  <c r="B24" i="6"/>
  <c r="B23" i="7"/>
  <c r="C24" i="4"/>
  <c r="B25" i="8"/>
  <c r="B26" i="6"/>
  <c r="B25" i="7"/>
  <c r="C26" i="4"/>
  <c r="B27" i="8"/>
  <c r="B28" i="6"/>
  <c r="B27" i="7"/>
  <c r="C28" i="4"/>
  <c r="B29" i="8"/>
  <c r="B30" i="6"/>
  <c r="B29" i="7"/>
  <c r="C30" i="4"/>
  <c r="B31" i="8"/>
  <c r="B32" i="6"/>
  <c r="B31" i="7"/>
  <c r="C32" i="4"/>
  <c r="D29" i="7" l="1"/>
  <c r="E27"/>
  <c r="F27" s="1"/>
  <c r="D27"/>
  <c r="H32" i="4"/>
  <c r="I32"/>
  <c r="G32"/>
  <c r="D32" i="6"/>
  <c r="E32"/>
  <c r="F32" s="1"/>
  <c r="H30" i="4"/>
  <c r="I30"/>
  <c r="G30"/>
  <c r="D30" i="6"/>
  <c r="E30"/>
  <c r="F30" s="1"/>
  <c r="H28" i="4"/>
  <c r="G28"/>
  <c r="I28" s="1"/>
  <c r="D28" i="6"/>
  <c r="H26" i="4"/>
  <c r="I26"/>
  <c r="G26"/>
  <c r="D26" i="6"/>
  <c r="E26"/>
  <c r="F26" s="1"/>
  <c r="H24" i="4"/>
  <c r="I24"/>
  <c r="G24"/>
  <c r="D24" i="6"/>
  <c r="E24"/>
  <c r="F24" s="1"/>
  <c r="H22" i="4"/>
  <c r="I22"/>
  <c r="G22"/>
  <c r="D22" i="6"/>
  <c r="E22"/>
  <c r="F22" s="1"/>
  <c r="H20" i="4"/>
  <c r="I20"/>
  <c r="G20"/>
  <c r="D20" i="6"/>
  <c r="E20"/>
  <c r="F20" s="1"/>
  <c r="H18" i="4"/>
  <c r="G18"/>
  <c r="E17" i="7"/>
  <c r="F17" s="1"/>
  <c r="D17"/>
  <c r="E16" i="6"/>
  <c r="F16" s="1"/>
  <c r="D16"/>
  <c r="D15" i="7"/>
  <c r="H14" i="4"/>
  <c r="I14"/>
  <c r="G14"/>
  <c r="D13" i="7"/>
  <c r="H12" i="4"/>
  <c r="I12"/>
  <c r="G12"/>
  <c r="D11" i="7"/>
  <c r="H10" i="4"/>
  <c r="I10"/>
  <c r="G10"/>
  <c r="D9" i="7"/>
  <c r="D7" i="6"/>
  <c r="K7" i="7"/>
  <c r="E6"/>
  <c r="F6" s="1"/>
  <c r="D6"/>
  <c r="H31" i="4"/>
  <c r="I31"/>
  <c r="G31"/>
  <c r="D30" i="7"/>
  <c r="E30"/>
  <c r="F30" s="1"/>
  <c r="H29" i="4"/>
  <c r="I29"/>
  <c r="G29"/>
  <c r="D28" i="7"/>
  <c r="H27" i="4"/>
  <c r="I27"/>
  <c r="G27"/>
  <c r="D26" i="7"/>
  <c r="H25" i="4"/>
  <c r="I25"/>
  <c r="G25"/>
  <c r="D24" i="7"/>
  <c r="H23" i="4"/>
  <c r="I23"/>
  <c r="G23"/>
  <c r="D22" i="7"/>
  <c r="H21" i="4"/>
  <c r="I21"/>
  <c r="G21"/>
  <c r="D20" i="7"/>
  <c r="H19" i="4"/>
  <c r="G19"/>
  <c r="D18" i="7"/>
  <c r="E18"/>
  <c r="F18" s="1"/>
  <c r="H17" i="4"/>
  <c r="I17"/>
  <c r="G17"/>
  <c r="D16" i="7"/>
  <c r="H15" i="4"/>
  <c r="I15" s="1"/>
  <c r="G15"/>
  <c r="D14" i="7"/>
  <c r="E14"/>
  <c r="F14" s="1"/>
  <c r="D13" i="6"/>
  <c r="D12" i="7"/>
  <c r="E12"/>
  <c r="F12" s="1"/>
  <c r="D11" i="6"/>
  <c r="D10" i="7"/>
  <c r="E10"/>
  <c r="F10" s="1"/>
  <c r="E9" i="6"/>
  <c r="F9" s="1"/>
  <c r="D9"/>
  <c r="D8" i="7"/>
  <c r="J6" i="8"/>
  <c r="C32" i="5"/>
  <c r="J30" i="8"/>
  <c r="J28"/>
  <c r="J26"/>
  <c r="J24"/>
  <c r="J22"/>
  <c r="J20"/>
  <c r="J18"/>
  <c r="J16"/>
  <c r="J14"/>
  <c r="J12"/>
  <c r="J10"/>
  <c r="D31" i="7"/>
  <c r="D25"/>
  <c r="D23"/>
  <c r="D21"/>
  <c r="D19"/>
  <c r="D18" i="6"/>
  <c r="H16" i="4"/>
  <c r="I16"/>
  <c r="G16"/>
  <c r="E14" i="6"/>
  <c r="F14" s="1"/>
  <c r="D14"/>
  <c r="D12"/>
  <c r="E12"/>
  <c r="F12" s="1"/>
  <c r="D10"/>
  <c r="E10"/>
  <c r="F10" s="1"/>
  <c r="H7" i="4"/>
  <c r="G7"/>
  <c r="B33" i="8"/>
  <c r="D31" i="6"/>
  <c r="E29"/>
  <c r="F29" s="1"/>
  <c r="D29"/>
  <c r="E27"/>
  <c r="F27" s="1"/>
  <c r="D27"/>
  <c r="E25"/>
  <c r="F25" s="1"/>
  <c r="D25"/>
  <c r="E23"/>
  <c r="F23" s="1"/>
  <c r="D23"/>
  <c r="E21"/>
  <c r="F21" s="1"/>
  <c r="D21"/>
  <c r="D19"/>
  <c r="D17"/>
  <c r="E17"/>
  <c r="F17" s="1"/>
  <c r="D15"/>
  <c r="H13" i="4"/>
  <c r="I13"/>
  <c r="G13"/>
  <c r="H11"/>
  <c r="I11" s="1"/>
  <c r="G11"/>
  <c r="H9"/>
  <c r="I9"/>
  <c r="G9"/>
  <c r="J32" i="8"/>
  <c r="K13" i="7"/>
  <c r="I19" i="4" l="1"/>
  <c r="I18"/>
  <c r="G33"/>
  <c r="H33"/>
  <c r="D33" i="6"/>
  <c r="I7" i="4"/>
  <c r="D32" i="7"/>
  <c r="I33" i="4" l="1"/>
  <c r="D6" i="5" s="1"/>
  <c r="E6" s="1"/>
  <c r="G6" s="1"/>
  <c r="D14" s="1"/>
  <c r="D25"/>
  <c r="C33" l="1"/>
  <c r="E7" i="6"/>
  <c r="F7" s="1"/>
  <c r="E13"/>
  <c r="F13" s="1"/>
  <c r="F12" i="8" s="1"/>
  <c r="G12" s="1"/>
  <c r="H12" s="1"/>
  <c r="E11" i="6"/>
  <c r="F11" s="1"/>
  <c r="F10" i="8" s="1"/>
  <c r="G10" s="1"/>
  <c r="H10" s="1"/>
  <c r="E18" i="6"/>
  <c r="F18" s="1"/>
  <c r="F17" i="8" s="1"/>
  <c r="G17" s="1"/>
  <c r="H17" s="1"/>
  <c r="E31" i="6"/>
  <c r="F31" s="1"/>
  <c r="F30" i="8" s="1"/>
  <c r="G30" s="1"/>
  <c r="H30" s="1"/>
  <c r="E19" i="6"/>
  <c r="F19" s="1"/>
  <c r="F18" i="8" s="1"/>
  <c r="G18" s="1"/>
  <c r="H18" s="1"/>
  <c r="E28" i="6"/>
  <c r="F28" s="1"/>
  <c r="F27" i="8" s="1"/>
  <c r="G27" s="1"/>
  <c r="H27" s="1"/>
  <c r="D26" i="5"/>
  <c r="E15" i="6"/>
  <c r="F15" s="1"/>
  <c r="F14" i="8" s="1"/>
  <c r="G14" s="1"/>
  <c r="H14" s="1"/>
  <c r="G12" i="7" l="1"/>
  <c r="H12" s="1"/>
  <c r="G14"/>
  <c r="H14" s="1"/>
  <c r="G18"/>
  <c r="H18" s="1"/>
  <c r="G30"/>
  <c r="H30" s="1"/>
  <c r="G27"/>
  <c r="H27" s="1"/>
  <c r="K12"/>
  <c r="C34" i="5"/>
  <c r="F33" i="6"/>
  <c r="F6" i="8"/>
  <c r="G6" s="1"/>
  <c r="H6" s="1"/>
  <c r="G10" i="7"/>
  <c r="H10" s="1"/>
  <c r="G6"/>
  <c r="G17"/>
  <c r="H17" s="1"/>
  <c r="H6" l="1"/>
  <c r="E7"/>
  <c r="F7" s="1"/>
  <c r="E9"/>
  <c r="F9" s="1"/>
  <c r="E28"/>
  <c r="F28" s="1"/>
  <c r="E24"/>
  <c r="F24" s="1"/>
  <c r="E20"/>
  <c r="F20" s="1"/>
  <c r="E16"/>
  <c r="F16" s="1"/>
  <c r="E8"/>
  <c r="F8" s="1"/>
  <c r="E31"/>
  <c r="F31" s="1"/>
  <c r="E25"/>
  <c r="F25" s="1"/>
  <c r="E23"/>
  <c r="F23" s="1"/>
  <c r="E21"/>
  <c r="F21" s="1"/>
  <c r="E19"/>
  <c r="F19" s="1"/>
  <c r="E29"/>
  <c r="F29" s="1"/>
  <c r="E15"/>
  <c r="F15" s="1"/>
  <c r="E13"/>
  <c r="F13" s="1"/>
  <c r="E11"/>
  <c r="F11" s="1"/>
  <c r="E26"/>
  <c r="F26" s="1"/>
  <c r="E22"/>
  <c r="F22" s="1"/>
  <c r="K8"/>
  <c r="K6" s="1"/>
  <c r="F13" i="8" l="1"/>
  <c r="G13" s="1"/>
  <c r="H13" s="1"/>
  <c r="G13" i="7"/>
  <c r="H13" s="1"/>
  <c r="F21" i="8"/>
  <c r="G21" s="1"/>
  <c r="H21" s="1"/>
  <c r="G21" i="7"/>
  <c r="H21" s="1"/>
  <c r="F8" i="8"/>
  <c r="G8" s="1"/>
  <c r="H8" s="1"/>
  <c r="G8" i="7"/>
  <c r="H8" s="1"/>
  <c r="F28" i="8"/>
  <c r="G28" s="1"/>
  <c r="H28" s="1"/>
  <c r="G28" i="7"/>
  <c r="H28" s="1"/>
  <c r="F22" i="8"/>
  <c r="G22" s="1"/>
  <c r="H22" s="1"/>
  <c r="G22" i="7"/>
  <c r="H22" s="1"/>
  <c r="F11" i="8"/>
  <c r="G11" s="1"/>
  <c r="H11" s="1"/>
  <c r="G11" i="7"/>
  <c r="H11" s="1"/>
  <c r="F15" i="8"/>
  <c r="G15" s="1"/>
  <c r="H15" s="1"/>
  <c r="G15" i="7"/>
  <c r="H15" s="1"/>
  <c r="F19" i="8"/>
  <c r="G19" s="1"/>
  <c r="H19" s="1"/>
  <c r="G19" i="7"/>
  <c r="H19" s="1"/>
  <c r="F23" i="8"/>
  <c r="G23" s="1"/>
  <c r="H23" s="1"/>
  <c r="G23" i="7"/>
  <c r="H23" s="1"/>
  <c r="F31" i="8"/>
  <c r="G31" s="1"/>
  <c r="H31" s="1"/>
  <c r="G31" i="7"/>
  <c r="H31" s="1"/>
  <c r="F16" i="8"/>
  <c r="G16" s="1"/>
  <c r="H16" s="1"/>
  <c r="G16" i="7"/>
  <c r="H16" s="1"/>
  <c r="F24" i="8"/>
  <c r="G24" s="1"/>
  <c r="H24" s="1"/>
  <c r="G24" i="7"/>
  <c r="H24" s="1"/>
  <c r="F9" i="8"/>
  <c r="G9" s="1"/>
  <c r="H9" s="1"/>
  <c r="G9" i="7"/>
  <c r="H9" s="1"/>
  <c r="F26" i="8"/>
  <c r="G26" s="1"/>
  <c r="H26" s="1"/>
  <c r="G26" i="7"/>
  <c r="H26" s="1"/>
  <c r="F29" i="8"/>
  <c r="G29" s="1"/>
  <c r="H29" s="1"/>
  <c r="G29" i="7"/>
  <c r="H29" s="1"/>
  <c r="F25" i="8"/>
  <c r="G25" s="1"/>
  <c r="H25" s="1"/>
  <c r="G25" i="7"/>
  <c r="H25" s="1"/>
  <c r="F20" i="8"/>
  <c r="G20" s="1"/>
  <c r="H20" s="1"/>
  <c r="G20" i="7"/>
  <c r="H20" s="1"/>
  <c r="F7" i="8"/>
  <c r="G7" s="1"/>
  <c r="H7" s="1"/>
  <c r="H33" s="1"/>
  <c r="F32" i="7"/>
  <c r="G7"/>
  <c r="G32" s="1"/>
  <c r="H7" l="1"/>
  <c r="H32" s="1"/>
</calcChain>
</file>

<file path=xl/sharedStrings.xml><?xml version="1.0" encoding="utf-8"?>
<sst xmlns="http://schemas.openxmlformats.org/spreadsheetml/2006/main" count="370" uniqueCount="139">
  <si>
    <t>Ressourcenausgleich</t>
  </si>
  <si>
    <t>(RA)</t>
  </si>
  <si>
    <t>Arbeitsblatt</t>
  </si>
  <si>
    <t>Inhalt</t>
  </si>
  <si>
    <t>RP</t>
  </si>
  <si>
    <t>Ressourcenpotenzial und -index</t>
  </si>
  <si>
    <t>BEV</t>
  </si>
  <si>
    <t>Massgebende Wohnbevölkerung</t>
  </si>
  <si>
    <t>Wachstum_RP</t>
  </si>
  <si>
    <t>Wachstumsraten der Ressourcenpotenziale</t>
  </si>
  <si>
    <t>Dotation_RA</t>
  </si>
  <si>
    <t>Fortschreibung der Dotationen im Ressourcenausgleich</t>
  </si>
  <si>
    <t>Einzahlungen</t>
  </si>
  <si>
    <t>Einzahlungen der ressourcenstarken Kantone</t>
  </si>
  <si>
    <t>Auszahlungen</t>
  </si>
  <si>
    <t>Auszahlungen an die ressourcenschwachen Kantone</t>
  </si>
  <si>
    <t>SSE</t>
  </si>
  <si>
    <t>Standardisierter Steuerertrag und -steuersatz</t>
  </si>
  <si>
    <t>Produktion</t>
  </si>
  <si>
    <t>Umgebung</t>
  </si>
  <si>
    <t>Typ</t>
  </si>
  <si>
    <t>Test</t>
  </si>
  <si>
    <t>WS</t>
  </si>
  <si>
    <t>FA_2009_20120423</t>
  </si>
  <si>
    <t>SWS</t>
  </si>
  <si>
    <t>RA_2009_20120423</t>
  </si>
  <si>
    <t>RefJahr</t>
  </si>
  <si>
    <t>Spalte</t>
  </si>
  <si>
    <t>C</t>
  </si>
  <si>
    <t>D</t>
  </si>
  <si>
    <t>E</t>
  </si>
  <si>
    <t>F</t>
  </si>
  <si>
    <t>G</t>
  </si>
  <si>
    <t>H</t>
  </si>
  <si>
    <t>I</t>
  </si>
  <si>
    <t>Formel</t>
  </si>
  <si>
    <t>(C + D + E) / 3</t>
  </si>
  <si>
    <t>F / G * 1000</t>
  </si>
  <si>
    <t>H / H[total] * 100</t>
  </si>
  <si>
    <t>Ressourcen-potenzial</t>
  </si>
  <si>
    <t>Ressourcen-potenzial pro Einwohner</t>
  </si>
  <si>
    <t>Ressourcenindex</t>
  </si>
  <si>
    <t>Datenquelle</t>
  </si>
  <si>
    <t>Einheit</t>
  </si>
  <si>
    <t>CHF 1'000</t>
  </si>
  <si>
    <t>Personen</t>
  </si>
  <si>
    <t>CHF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</si>
  <si>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</si>
  <si>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</si>
  <si>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</si>
  <si>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</si>
  <si>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</si>
  <si>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</si>
  <si>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</si>
  <si>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</si>
  <si>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</si>
  <si>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</si>
  <si>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</si>
  <si>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</si>
  <si>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</si>
  <si>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</si>
  <si>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</si>
  <si>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</si>
  <si>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</si>
  <si>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</si>
  <si>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</si>
  <si>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</si>
  <si>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</si>
  <si>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</si>
  <si>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</si>
  <si>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</si>
  <si>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</si>
  <si>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</si>
  <si>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Total</t>
  </si>
  <si>
    <t>Mittlere Wohnbevölkerung</t>
  </si>
  <si>
    <t>BFS</t>
  </si>
  <si>
    <t>Ressourcenpotenzial aller Kantone</t>
  </si>
  <si>
    <t>Ressourcenpotenzial der
ressourcenstarken Kantone</t>
  </si>
  <si>
    <t>Veränderung</t>
  </si>
  <si>
    <t>Punkte</t>
  </si>
  <si>
    <t>Prozent</t>
  </si>
  <si>
    <t>in CHF</t>
  </si>
  <si>
    <t>Dotationen gemäss Fortschreibung</t>
  </si>
  <si>
    <t>Wachstum</t>
  </si>
  <si>
    <t>ordentliche Fortschreibung</t>
  </si>
  <si>
    <t>Anpassung Dotation</t>
  </si>
  <si>
    <t>Vertikaler Ressourcenausgleich</t>
  </si>
  <si>
    <t>Horizontaler Ressourcenausgleich</t>
  </si>
  <si>
    <t>Bandbreite HRA</t>
  </si>
  <si>
    <t>Obere Grenze (80% des VRA)</t>
  </si>
  <si>
    <t>HRA in % des VRA</t>
  </si>
  <si>
    <t>Untere Grenze (2/3 des VRA)</t>
  </si>
  <si>
    <t>HRA: Horizontaler Ressourcenausgleich</t>
  </si>
  <si>
    <t>VRA: Vertikaler Ressourcenausgleich</t>
  </si>
  <si>
    <t>Ressourcenausgleich Total</t>
  </si>
  <si>
    <t>Gesamte Dotation</t>
  </si>
  <si>
    <t>* Nach Anpassung der Dotation</t>
  </si>
  <si>
    <t>B</t>
  </si>
  <si>
    <t>(B - 100) * C</t>
  </si>
  <si>
    <t>Dotation/D[total]*(B-100)</t>
  </si>
  <si>
    <t>E * C</t>
  </si>
  <si>
    <t>Ressourcen-index</t>
  </si>
  <si>
    <t>Massgebende Wohn-bevölkerung</t>
  </si>
  <si>
    <t>Summe der gewichteten Abweichungen</t>
  </si>
  <si>
    <t>Beitrag pro Einwohner</t>
  </si>
  <si>
    <t>Beitrag</t>
  </si>
  <si>
    <t>Einwohner</t>
  </si>
  <si>
    <t>davon horizontaler Ressourcen-ausgleich</t>
  </si>
  <si>
    <t>davon vertikaler Ressourcen-ausgleich</t>
  </si>
  <si>
    <t>Iterative Berechnung
von "p"</t>
  </si>
  <si>
    <t>p</t>
  </si>
  <si>
    <t>p_dach</t>
  </si>
  <si>
    <t>RI_26</t>
  </si>
  <si>
    <t>RI_MIN</t>
  </si>
  <si>
    <t>Schweiz</t>
  </si>
  <si>
    <t>J</t>
  </si>
  <si>
    <t>C / D</t>
  </si>
  <si>
    <t>E + F</t>
  </si>
  <si>
    <t>G / E[total]</t>
  </si>
  <si>
    <t>E - E[total]</t>
  </si>
  <si>
    <t>Standardisierter Steuerertrag</t>
  </si>
  <si>
    <t>Standardisierter Steuerertrag pro Einwohner vor Ausgleich</t>
  </si>
  <si>
    <t>Ressourcen-ausgleich pro Einwohner</t>
  </si>
  <si>
    <t>Standardisierter Steuerertrag pro Einwohner nach Ausgleich</t>
  </si>
  <si>
    <t>Index SSE nach Ausgleich</t>
  </si>
  <si>
    <t>Differenz SSE pro Einwohner vor Ausgleich zum Schweizer Mittel</t>
  </si>
  <si>
    <t>Minimum</t>
  </si>
  <si>
    <r>
      <rPr>
        <sz val="10"/>
        <rFont val="Arial"/>
        <family val="2"/>
      </rPr>
      <t>A   Steuereinnahmen der Kantone und Gemeinden</t>
    </r>
  </si>
  <si>
    <r>
      <rPr>
        <sz val="10"/>
        <rFont val="Arial"/>
        <family val="2"/>
      </rPr>
      <t>B   Einnahmen direkte Bundessteuer (DBSt)</t>
    </r>
  </si>
  <si>
    <r>
      <rPr>
        <sz val="10"/>
        <rFont val="Arial"/>
        <family val="2"/>
      </rPr>
      <t>C   17 % Kantonsanteil an DBSt</t>
    </r>
  </si>
  <si>
    <t>0,17 * B</t>
  </si>
  <si>
    <t>D   Standardisierte Steuerertäge (SSE) total</t>
  </si>
  <si>
    <t>A + C</t>
  </si>
  <si>
    <t>E   Massgebende Wohnbevölkerung</t>
  </si>
  <si>
    <t>F   Standardisierte Steuererträge pro Kopf</t>
  </si>
  <si>
    <t>D / E * 1000</t>
  </si>
  <si>
    <t>G   Ressourcenpotenzial pro Kopf</t>
  </si>
  <si>
    <t>H   Standardisierter Steuersatz (SST)</t>
  </si>
  <si>
    <t>F / G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</si>
</sst>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#,##0.0"/>
    <numFmt numFmtId="168" formatCode="#,##0.000000000"/>
    <numFmt numFmtId="169" formatCode="0.000000000"/>
  </numFmts>
  <fonts count="25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color rgb="FF000000"/>
      <name val="Arial"/>
      <family val="2"/>
    </font>
    <font>
      <i/>
      <sz val="8"/>
      <color rgb="FF0000FF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i/>
      <sz val="8"/>
      <color indexed="8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/>
      <right/>
      <top/>
      <bottom style="thin">
        <color auto="1"/>
      </bottom>
      <diagonal/>
    </border>
    <border diagonalUp="1" diagonalDown="1">
      <left style="hair">
        <color auto="1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hair">
        <color auto="1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hair">
        <color auto="1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/>
      <diagonal/>
    </border>
    <border diagonalUp="1" diagonalDown="1">
      <left/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/>
      <top/>
      <bottom/>
      <diagonal/>
    </border>
    <border diagonalUp="1" diagonalDown="1">
      <left/>
      <right style="hair">
        <color auto="1"/>
      </right>
      <top/>
      <bottom/>
      <diagonal/>
    </border>
    <border diagonalUp="1" diagonalDown="1">
      <left style="hair">
        <color auto="1"/>
      </left>
      <right/>
      <top style="thin">
        <color auto="1"/>
      </top>
      <bottom style="hair">
        <color auto="1"/>
      </bottom>
      <diagonal/>
    </border>
    <border diagonalUp="1" diagonalDown="1">
      <left/>
      <right/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hair">
        <color auto="1"/>
      </left>
      <right/>
      <top style="hair">
        <color auto="1"/>
      </top>
      <bottom style="thin">
        <color rgb="FF000000"/>
      </bottom>
      <diagonal/>
    </border>
    <border diagonalUp="1" diagonalDown="1">
      <left/>
      <right/>
      <top style="hair">
        <color auto="1"/>
      </top>
      <bottom style="thin">
        <color rgb="FF000000"/>
      </bottom>
      <diagonal/>
    </border>
    <border diagonalUp="1" diagonalDown="1">
      <left/>
      <right style="hair">
        <color auto="1"/>
      </right>
      <top style="hair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hair">
        <color auto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4" fillId="0" borderId="5" xfId="0" applyFont="1" applyFill="1" applyBorder="1"/>
    <xf numFmtId="1" fontId="5" fillId="0" borderId="6" xfId="0" applyNumberFormat="1" applyFont="1" applyFill="1" applyBorder="1" applyAlignment="1" applyProtection="1">
      <alignment horizontal="left" vertical="top"/>
      <protection locked="0"/>
    </xf>
    <xf numFmtId="1" fontId="5" fillId="0" borderId="7" xfId="0" applyNumberFormat="1" applyFont="1" applyFill="1" applyBorder="1" applyAlignment="1" applyProtection="1">
      <alignment horizontal="left" vertical="top"/>
      <protection locked="0"/>
    </xf>
    <xf numFmtId="0" fontId="4" fillId="0" borderId="8" xfId="0" applyFont="1" applyFill="1" applyBorder="1"/>
    <xf numFmtId="1" fontId="5" fillId="0" borderId="9" xfId="0" applyNumberFormat="1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>
      <alignment horizontal="right"/>
    </xf>
    <xf numFmtId="0" fontId="10" fillId="0" borderId="0" xfId="0" applyFont="1" applyFill="1" applyBorder="1"/>
    <xf numFmtId="0" fontId="10" fillId="0" borderId="10" xfId="0" applyFont="1" applyFill="1" applyBorder="1" applyAlignment="1">
      <alignment horizontal="right"/>
    </xf>
    <xf numFmtId="0" fontId="10" fillId="0" borderId="11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/>
    </xf>
    <xf numFmtId="0" fontId="11" fillId="0" borderId="0" xfId="0" applyFont="1" applyFill="1"/>
    <xf numFmtId="0" fontId="12" fillId="0" borderId="0" xfId="0" applyFont="1" applyFill="1" applyBorder="1"/>
    <xf numFmtId="0" fontId="12" fillId="0" borderId="10" xfId="0" applyFont="1" applyFill="1" applyBorder="1" applyAlignment="1">
      <alignment horizontal="right"/>
    </xf>
    <xf numFmtId="0" fontId="12" fillId="0" borderId="11" xfId="0" applyFont="1" applyFill="1" applyBorder="1" applyAlignment="1">
      <alignment horizontal="right"/>
    </xf>
    <xf numFmtId="0" fontId="11" fillId="0" borderId="11" xfId="0" applyFont="1" applyFill="1" applyBorder="1" applyAlignment="1">
      <alignment horizontal="right" wrapText="1"/>
    </xf>
    <xf numFmtId="0" fontId="11" fillId="0" borderId="11" xfId="0" applyFont="1" applyFill="1" applyBorder="1" applyAlignment="1">
      <alignment horizontal="right"/>
    </xf>
    <xf numFmtId="0" fontId="11" fillId="0" borderId="12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5" xfId="0" applyFont="1" applyFill="1" applyBorder="1"/>
    <xf numFmtId="0" fontId="1" fillId="0" borderId="13" xfId="0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right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 wrapText="1"/>
    </xf>
    <xf numFmtId="0" fontId="13" fillId="0" borderId="11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right" vertical="center"/>
    </xf>
    <xf numFmtId="0" fontId="0" fillId="0" borderId="15" xfId="0" applyFont="1" applyFill="1" applyBorder="1"/>
    <xf numFmtId="3" fontId="15" fillId="0" borderId="13" xfId="0" applyNumberFormat="1" applyFont="1" applyFill="1" applyBorder="1" applyProtection="1">
      <protection locked="0"/>
    </xf>
    <xf numFmtId="3" fontId="0" fillId="0" borderId="13" xfId="0" applyNumberFormat="1" applyFont="1" applyFill="1" applyBorder="1" applyProtection="1">
      <protection locked="0"/>
    </xf>
    <xf numFmtId="3" fontId="0" fillId="0" borderId="13" xfId="0" applyNumberFormat="1" applyFont="1" applyFill="1" applyBorder="1"/>
    <xf numFmtId="164" fontId="0" fillId="0" borderId="14" xfId="0" applyNumberFormat="1" applyFont="1" applyFill="1" applyBorder="1"/>
    <xf numFmtId="0" fontId="0" fillId="3" borderId="5" xfId="0" applyFont="1" applyFill="1" applyBorder="1"/>
    <xf numFmtId="3" fontId="15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/>
    <xf numFmtId="164" fontId="0" fillId="3" borderId="16" xfId="0" applyNumberFormat="1" applyFont="1" applyFill="1" applyBorder="1"/>
    <xf numFmtId="3" fontId="15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/>
    <xf numFmtId="164" fontId="0" fillId="0" borderId="16" xfId="0" applyNumberFormat="1" applyFont="1" applyFill="1" applyBorder="1"/>
    <xf numFmtId="0" fontId="1" fillId="0" borderId="0" xfId="0" applyFont="1" applyFill="1" applyBorder="1"/>
    <xf numFmtId="0" fontId="1" fillId="0" borderId="10" xfId="0" applyFont="1" applyFill="1" applyBorder="1"/>
    <xf numFmtId="3" fontId="1" fillId="0" borderId="11" xfId="0" applyNumberFormat="1" applyFont="1" applyFill="1" applyBorder="1"/>
    <xf numFmtId="164" fontId="1" fillId="0" borderId="12" xfId="0" applyNumberFormat="1" applyFont="1" applyFill="1" applyBorder="1"/>
    <xf numFmtId="0" fontId="7" fillId="0" borderId="17" xfId="0" applyFont="1" applyFill="1" applyBorder="1" applyAlignment="1" applyProtection="1">
      <alignment vertical="top"/>
      <protection locked="0"/>
    </xf>
    <xf numFmtId="0" fontId="7" fillId="0" borderId="17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right"/>
    </xf>
    <xf numFmtId="0" fontId="9" fillId="0" borderId="0" xfId="0" applyFont="1" applyFill="1"/>
    <xf numFmtId="0" fontId="14" fillId="0" borderId="0" xfId="0" applyFont="1" applyFill="1" applyBorder="1"/>
    <xf numFmtId="0" fontId="12" fillId="0" borderId="1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11" fillId="0" borderId="3" xfId="0" applyFont="1" applyFill="1" applyBorder="1" applyAlignment="1">
      <alignment horizontal="right" wrapText="1"/>
    </xf>
    <xf numFmtId="0" fontId="6" fillId="0" borderId="15" xfId="0" applyFont="1" applyFill="1" applyBorder="1" applyAlignment="1">
      <alignment vertical="center" wrapText="1"/>
    </xf>
    <xf numFmtId="0" fontId="1" fillId="0" borderId="14" xfId="0" applyFont="1" applyFill="1" applyBorder="1" applyAlignment="1" applyProtection="1">
      <alignment horizontal="right" wrapText="1"/>
      <protection locked="0"/>
    </xf>
    <xf numFmtId="0" fontId="6" fillId="0" borderId="8" xfId="0" applyFont="1" applyFill="1" applyBorder="1" applyAlignment="1">
      <alignment vertical="center" wrapText="1"/>
    </xf>
    <xf numFmtId="1" fontId="1" fillId="0" borderId="18" xfId="0" applyNumberFormat="1" applyFont="1" applyFill="1" applyBorder="1" applyAlignment="1" applyProtection="1">
      <alignment horizontal="right" vertical="center"/>
      <protection locked="0"/>
    </xf>
    <xf numFmtId="1" fontId="1" fillId="0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2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3" fontId="15" fillId="0" borderId="24" xfId="0" applyNumberFormat="1" applyFont="1" applyFill="1" applyBorder="1" applyProtection="1">
      <protection locked="0"/>
    </xf>
    <xf numFmtId="3" fontId="15" fillId="0" borderId="25" xfId="0" applyNumberFormat="1" applyFont="1" applyFill="1" applyBorder="1" applyProtection="1">
      <protection locked="0"/>
    </xf>
    <xf numFmtId="3" fontId="0" fillId="0" borderId="14" xfId="0" applyNumberFormat="1" applyFont="1" applyFill="1" applyBorder="1"/>
    <xf numFmtId="3" fontId="15" fillId="3" borderId="26" xfId="0" applyNumberFormat="1" applyFont="1" applyFill="1" applyBorder="1" applyProtection="1">
      <protection locked="0"/>
    </xf>
    <xf numFmtId="3" fontId="15" fillId="3" borderId="27" xfId="0" applyNumberFormat="1" applyFont="1" applyFill="1" applyBorder="1" applyProtection="1">
      <protection locked="0"/>
    </xf>
    <xf numFmtId="3" fontId="0" fillId="3" borderId="16" xfId="0" applyNumberFormat="1" applyFont="1" applyFill="1" applyBorder="1"/>
    <xf numFmtId="3" fontId="15" fillId="0" borderId="26" xfId="0" applyNumberFormat="1" applyFont="1" applyFill="1" applyBorder="1" applyProtection="1">
      <protection locked="0"/>
    </xf>
    <xf numFmtId="3" fontId="15" fillId="0" borderId="27" xfId="0" applyNumberFormat="1" applyFont="1" applyFill="1" applyBorder="1" applyProtection="1">
      <protection locked="0"/>
    </xf>
    <xf numFmtId="3" fontId="0" fillId="0" borderId="16" xfId="0" applyNumberFormat="1" applyFont="1" applyFill="1" applyBorder="1"/>
    <xf numFmtId="3" fontId="1" fillId="0" borderId="22" xfId="0" applyNumberFormat="1" applyFont="1" applyFill="1" applyBorder="1"/>
    <xf numFmtId="3" fontId="1" fillId="0" borderId="23" xfId="0" applyNumberFormat="1" applyFont="1" applyFill="1" applyBorder="1"/>
    <xf numFmtId="3" fontId="1" fillId="0" borderId="12" xfId="0" applyNumberFormat="1" applyFont="1" applyFill="1" applyBorder="1"/>
    <xf numFmtId="0" fontId="0" fillId="0" borderId="13" xfId="0" applyFont="1" applyFill="1" applyBorder="1"/>
    <xf numFmtId="0" fontId="0" fillId="0" borderId="31" xfId="0" applyFont="1" applyFill="1" applyBorder="1"/>
    <xf numFmtId="1" fontId="1" fillId="0" borderId="32" xfId="0" applyNumberFormat="1" applyFont="1" applyFill="1" applyBorder="1" applyAlignment="1" applyProtection="1">
      <alignment horizontal="right"/>
      <protection locked="0"/>
    </xf>
    <xf numFmtId="1" fontId="1" fillId="0" borderId="33" xfId="0" applyNumberFormat="1" applyFont="1" applyFill="1" applyBorder="1" applyAlignment="1" applyProtection="1">
      <alignment horizontal="right"/>
      <protection locked="0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0" fillId="0" borderId="16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14" fillId="0" borderId="22" xfId="0" applyFont="1" applyFill="1" applyBorder="1" applyAlignment="1">
      <alignment horizontal="right" vertical="center"/>
    </xf>
    <xf numFmtId="0" fontId="14" fillId="0" borderId="23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 wrapText="1"/>
    </xf>
    <xf numFmtId="0" fontId="0" fillId="0" borderId="16" xfId="0" applyFont="1" applyFill="1" applyBorder="1"/>
    <xf numFmtId="164" fontId="0" fillId="0" borderId="13" xfId="0" applyNumberFormat="1" applyFont="1" applyFill="1" applyBorder="1"/>
    <xf numFmtId="165" fontId="15" fillId="0" borderId="24" xfId="0" applyNumberFormat="1" applyFont="1" applyFill="1" applyBorder="1" applyAlignment="1" applyProtection="1">
      <alignment horizontal="right"/>
      <protection locked="0"/>
    </xf>
    <xf numFmtId="165" fontId="0" fillId="0" borderId="13" xfId="0" applyNumberFormat="1" applyFont="1" applyFill="1" applyBorder="1" applyAlignment="1">
      <alignment horizontal="right"/>
    </xf>
    <xf numFmtId="166" fontId="0" fillId="0" borderId="25" xfId="0" applyNumberFormat="1" applyFont="1" applyFill="1" applyBorder="1"/>
    <xf numFmtId="166" fontId="0" fillId="0" borderId="14" xfId="0" applyNumberFormat="1" applyFont="1" applyFill="1" applyBorder="1"/>
    <xf numFmtId="0" fontId="0" fillId="3" borderId="36" xfId="0" applyFont="1" applyFill="1" applyBorder="1"/>
    <xf numFmtId="164" fontId="0" fillId="3" borderId="0" xfId="0" applyNumberFormat="1" applyFont="1" applyFill="1" applyBorder="1"/>
    <xf numFmtId="165" fontId="15" fillId="3" borderId="26" xfId="0" applyNumberFormat="1" applyFont="1" applyFill="1" applyBorder="1" applyAlignment="1" applyProtection="1">
      <alignment horizontal="right"/>
      <protection locked="0"/>
    </xf>
    <xf numFmtId="165" fontId="0" fillId="3" borderId="0" xfId="0" applyNumberFormat="1" applyFont="1" applyFill="1" applyBorder="1" applyAlignment="1">
      <alignment horizontal="right"/>
    </xf>
    <xf numFmtId="166" fontId="0" fillId="3" borderId="27" xfId="0" applyNumberFormat="1" applyFont="1" applyFill="1" applyBorder="1"/>
    <xf numFmtId="166" fontId="0" fillId="3" borderId="16" xfId="0" applyNumberFormat="1" applyFont="1" applyFill="1" applyBorder="1"/>
    <xf numFmtId="0" fontId="0" fillId="0" borderId="36" xfId="0" applyFont="1" applyFill="1" applyBorder="1"/>
    <xf numFmtId="164" fontId="0" fillId="0" borderId="0" xfId="0" applyNumberFormat="1" applyFont="1" applyFill="1" applyBorder="1"/>
    <xf numFmtId="165" fontId="15" fillId="0" borderId="26" xfId="0" applyNumberFormat="1" applyFont="1" applyFill="1" applyBorder="1" applyAlignment="1" applyProtection="1">
      <alignment horizontal="right"/>
      <protection locked="0"/>
    </xf>
    <xf numFmtId="165" fontId="0" fillId="0" borderId="0" xfId="0" applyNumberFormat="1" applyFont="1" applyFill="1" applyBorder="1" applyAlignment="1">
      <alignment horizontal="right"/>
    </xf>
    <xf numFmtId="166" fontId="0" fillId="0" borderId="27" xfId="0" applyNumberFormat="1" applyFont="1" applyFill="1" applyBorder="1"/>
    <xf numFmtId="166" fontId="0" fillId="0" borderId="16" xfId="0" applyNumberFormat="1" applyFont="1" applyFill="1" applyBorder="1"/>
    <xf numFmtId="0" fontId="1" fillId="0" borderId="16" xfId="0" applyFont="1" applyFill="1" applyBorder="1"/>
    <xf numFmtId="0" fontId="0" fillId="3" borderId="31" xfId="0" applyFont="1" applyFill="1" applyBorder="1"/>
    <xf numFmtId="164" fontId="0" fillId="3" borderId="19" xfId="0" applyNumberFormat="1" applyFont="1" applyFill="1" applyBorder="1"/>
    <xf numFmtId="165" fontId="15" fillId="3" borderId="18" xfId="0" applyNumberFormat="1" applyFont="1" applyFill="1" applyBorder="1" applyAlignment="1" applyProtection="1">
      <alignment horizontal="right"/>
      <protection locked="0"/>
    </xf>
    <xf numFmtId="165" fontId="0" fillId="3" borderId="19" xfId="0" applyNumberFormat="1" applyFont="1" applyFill="1" applyBorder="1" applyAlignment="1">
      <alignment horizontal="right"/>
    </xf>
    <xf numFmtId="166" fontId="0" fillId="3" borderId="20" xfId="0" applyNumberFormat="1" applyFont="1" applyFill="1" applyBorder="1"/>
    <xf numFmtId="3" fontId="0" fillId="3" borderId="19" xfId="0" applyNumberFormat="1" applyFont="1" applyFill="1" applyBorder="1"/>
    <xf numFmtId="166" fontId="0" fillId="3" borderId="21" xfId="0" applyNumberFormat="1" applyFont="1" applyFill="1" applyBorder="1"/>
    <xf numFmtId="167" fontId="1" fillId="0" borderId="11" xfId="0" applyNumberFormat="1" applyFont="1" applyFill="1" applyBorder="1"/>
    <xf numFmtId="165" fontId="1" fillId="0" borderId="22" xfId="0" applyNumberFormat="1" applyFont="1" applyFill="1" applyBorder="1" applyAlignment="1" applyProtection="1">
      <alignment horizontal="right"/>
      <protection locked="0"/>
    </xf>
    <xf numFmtId="165" fontId="1" fillId="0" borderId="11" xfId="0" applyNumberFormat="1" applyFont="1" applyFill="1" applyBorder="1" applyAlignment="1">
      <alignment horizontal="right"/>
    </xf>
    <xf numFmtId="166" fontId="1" fillId="4" borderId="23" xfId="0" applyNumberFormat="1" applyFont="1" applyFill="1" applyBorder="1"/>
    <xf numFmtId="166" fontId="1" fillId="4" borderId="12" xfId="0" applyNumberFormat="1" applyFont="1" applyFill="1" applyBorder="1"/>
    <xf numFmtId="0" fontId="16" fillId="0" borderId="0" xfId="0" applyFont="1" applyFill="1" applyAlignment="1">
      <alignment horizontal="left" vertical="top"/>
    </xf>
    <xf numFmtId="0" fontId="6" fillId="0" borderId="0" xfId="0" applyFont="1" applyFill="1"/>
    <xf numFmtId="0" fontId="17" fillId="0" borderId="0" xfId="0" applyFont="1" applyFill="1" applyBorder="1"/>
    <xf numFmtId="0" fontId="1" fillId="3" borderId="10" xfId="0" applyFont="1" applyFill="1" applyBorder="1"/>
    <xf numFmtId="1" fontId="1" fillId="3" borderId="11" xfId="0" applyNumberFormat="1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 wrapText="1"/>
    </xf>
    <xf numFmtId="1" fontId="1" fillId="3" borderId="12" xfId="0" applyNumberFormat="1" applyFont="1" applyFill="1" applyBorder="1"/>
    <xf numFmtId="166" fontId="0" fillId="0" borderId="13" xfId="0" applyNumberFormat="1" applyFont="1" applyFill="1" applyBorder="1"/>
    <xf numFmtId="3" fontId="1" fillId="0" borderId="14" xfId="0" applyNumberFormat="1" applyFont="1" applyFill="1" applyBorder="1"/>
    <xf numFmtId="3" fontId="15" fillId="0" borderId="19" xfId="0" applyNumberFormat="1" applyFont="1" applyFill="1" applyBorder="1" applyProtection="1">
      <protection locked="0"/>
    </xf>
    <xf numFmtId="166" fontId="0" fillId="0" borderId="19" xfId="0" applyNumberFormat="1" applyFont="1" applyFill="1" applyBorder="1"/>
    <xf numFmtId="3" fontId="0" fillId="0" borderId="19" xfId="0" applyNumberFormat="1" applyFont="1" applyFill="1" applyBorder="1"/>
    <xf numFmtId="3" fontId="1" fillId="0" borderId="21" xfId="0" applyNumberFormat="1" applyFont="1" applyFill="1" applyBorder="1"/>
    <xf numFmtId="0" fontId="0" fillId="0" borderId="0" xfId="0" applyFont="1" applyFill="1" applyAlignment="1">
      <alignment horizontal="right"/>
    </xf>
    <xf numFmtId="166" fontId="0" fillId="0" borderId="0" xfId="0" applyNumberFormat="1" applyFont="1" applyFill="1" applyBorder="1"/>
    <xf numFmtId="3" fontId="0" fillId="0" borderId="0" xfId="0" applyNumberFormat="1" applyFont="1" applyFill="1"/>
    <xf numFmtId="0" fontId="1" fillId="3" borderId="11" xfId="0" applyFont="1" applyFill="1" applyBorder="1" applyAlignment="1">
      <alignment horizontal="right"/>
    </xf>
    <xf numFmtId="1" fontId="1" fillId="3" borderId="12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left" indent="2"/>
    </xf>
    <xf numFmtId="166" fontId="3" fillId="0" borderId="0" xfId="0" applyNumberFormat="1" applyFont="1" applyFill="1" applyBorder="1"/>
    <xf numFmtId="166" fontId="3" fillId="0" borderId="16" xfId="0" applyNumberFormat="1" applyFont="1" applyFill="1" applyBorder="1"/>
    <xf numFmtId="3" fontId="0" fillId="0" borderId="21" xfId="0" applyNumberFormat="1" applyFont="1" applyFill="1" applyBorder="1"/>
    <xf numFmtId="0" fontId="9" fillId="0" borderId="0" xfId="0" applyFont="1" applyFill="1" applyAlignment="1">
      <alignment horizontal="left" indent="1"/>
    </xf>
    <xf numFmtId="0" fontId="9" fillId="0" borderId="0" xfId="0" applyFont="1" applyFill="1" applyBorder="1" applyAlignment="1">
      <alignment horizontal="left" indent="1"/>
    </xf>
    <xf numFmtId="0" fontId="18" fillId="5" borderId="10" xfId="0" applyFont="1" applyFill="1" applyBorder="1"/>
    <xf numFmtId="0" fontId="19" fillId="5" borderId="11" xfId="0" applyFont="1" applyFill="1" applyBorder="1"/>
    <xf numFmtId="0" fontId="18" fillId="5" borderId="12" xfId="0" applyFont="1" applyFill="1" applyBorder="1" applyAlignment="1">
      <alignment horizontal="center"/>
    </xf>
    <xf numFmtId="0" fontId="20" fillId="4" borderId="36" xfId="0" applyFont="1" applyFill="1" applyBorder="1"/>
    <xf numFmtId="0" fontId="20" fillId="4" borderId="0" xfId="0" applyFont="1" applyFill="1" applyBorder="1"/>
    <xf numFmtId="3" fontId="21" fillId="4" borderId="16" xfId="0" applyNumberFormat="1" applyFont="1" applyFill="1" applyBorder="1"/>
    <xf numFmtId="0" fontId="20" fillId="4" borderId="10" xfId="0" applyFont="1" applyFill="1" applyBorder="1"/>
    <xf numFmtId="0" fontId="20" fillId="4" borderId="11" xfId="0" applyFont="1" applyFill="1" applyBorder="1"/>
    <xf numFmtId="3" fontId="21" fillId="4" borderId="12" xfId="0" applyNumberFormat="1" applyFont="1" applyFill="1" applyBorder="1"/>
    <xf numFmtId="0" fontId="0" fillId="0" borderId="15" xfId="0" applyFont="1" applyFill="1" applyBorder="1" applyAlignment="1">
      <alignment horizontal="left" indent="1"/>
    </xf>
    <xf numFmtId="0" fontId="0" fillId="0" borderId="31" xfId="0" applyFont="1" applyFill="1" applyBorder="1" applyAlignment="1">
      <alignment horizontal="left" indent="1"/>
    </xf>
    <xf numFmtId="166" fontId="0" fillId="0" borderId="21" xfId="0" applyNumberFormat="1" applyFont="1" applyFill="1" applyBorder="1"/>
    <xf numFmtId="0" fontId="0" fillId="0" borderId="10" xfId="0" applyFont="1" applyFill="1" applyBorder="1" applyAlignment="1">
      <alignment horizontal="left" indent="1"/>
    </xf>
    <xf numFmtId="166" fontId="0" fillId="0" borderId="12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12" fillId="0" borderId="8" xfId="0" applyFont="1" applyFill="1" applyBorder="1" applyAlignment="1">
      <alignment horizontal="right"/>
    </xf>
    <xf numFmtId="0" fontId="11" fillId="0" borderId="0" xfId="0" applyFont="1" applyFill="1" applyBorder="1"/>
    <xf numFmtId="0" fontId="12" fillId="0" borderId="17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right" wrapText="1"/>
    </xf>
    <xf numFmtId="0" fontId="0" fillId="0" borderId="10" xfId="0" applyFont="1" applyFill="1" applyBorder="1"/>
    <xf numFmtId="0" fontId="0" fillId="0" borderId="11" xfId="0" applyFont="1" applyFill="1" applyBorder="1" applyAlignment="1" applyProtection="1">
      <alignment horizontal="right" vertical="center" wrapText="1"/>
      <protection locked="0"/>
    </xf>
    <xf numFmtId="0" fontId="0" fillId="0" borderId="11" xfId="0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right" vertical="center"/>
    </xf>
    <xf numFmtId="0" fontId="0" fillId="0" borderId="36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 wrapText="1"/>
    </xf>
    <xf numFmtId="167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>
      <alignment vertical="center"/>
    </xf>
    <xf numFmtId="3" fontId="1" fillId="3" borderId="16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167" fontId="1" fillId="0" borderId="11" xfId="0" applyNumberFormat="1" applyFont="1" applyFill="1" applyBorder="1" applyAlignment="1" applyProtection="1">
      <alignment vertical="center"/>
      <protection locked="0"/>
    </xf>
    <xf numFmtId="3" fontId="1" fillId="0" borderId="11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right" vertical="center" wrapText="1"/>
    </xf>
    <xf numFmtId="0" fontId="11" fillId="0" borderId="12" xfId="0" applyFont="1" applyFill="1" applyBorder="1" applyAlignment="1">
      <alignment horizontal="right" vertical="center" wrapText="1"/>
    </xf>
    <xf numFmtId="0" fontId="11" fillId="0" borderId="39" xfId="0" applyFont="1" applyFill="1" applyBorder="1" applyAlignment="1">
      <alignment vertical="center"/>
    </xf>
    <xf numFmtId="168" fontId="22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15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3" fontId="11" fillId="0" borderId="16" xfId="0" applyNumberFormat="1" applyFont="1" applyFill="1" applyBorder="1" applyAlignment="1">
      <alignment vertical="center"/>
    </xf>
    <xf numFmtId="169" fontId="11" fillId="0" borderId="39" xfId="0" applyNumberFormat="1" applyFont="1" applyFill="1" applyBorder="1" applyAlignment="1">
      <alignment vertical="center"/>
    </xf>
    <xf numFmtId="167" fontId="0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1" fillId="3" borderId="0" xfId="0" applyNumberFormat="1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vertical="center"/>
    </xf>
    <xf numFmtId="164" fontId="11" fillId="0" borderId="39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3" fontId="11" fillId="0" borderId="39" xfId="0" applyNumberFormat="1" applyFont="1" applyFill="1" applyBorder="1" applyAlignment="1">
      <alignment vertical="center"/>
    </xf>
    <xf numFmtId="167" fontId="1" fillId="0" borderId="11" xfId="0" applyNumberFormat="1" applyFont="1" applyFill="1" applyBorder="1" applyAlignment="1">
      <alignment vertical="center"/>
    </xf>
    <xf numFmtId="3" fontId="23" fillId="0" borderId="11" xfId="0" applyNumberFormat="1" applyFont="1" applyFill="1" applyBorder="1" applyAlignment="1">
      <alignment vertical="center"/>
    </xf>
    <xf numFmtId="3" fontId="23" fillId="0" borderId="12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/>
    </xf>
    <xf numFmtId="0" fontId="11" fillId="0" borderId="2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right"/>
    </xf>
    <xf numFmtId="0" fontId="12" fillId="0" borderId="4" xfId="0" applyFont="1" applyFill="1" applyBorder="1" applyAlignment="1">
      <alignment horizontal="right"/>
    </xf>
    <xf numFmtId="167" fontId="1" fillId="0" borderId="1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39" xfId="0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horizontal="right" vertical="center" wrapText="1"/>
    </xf>
    <xf numFmtId="167" fontId="9" fillId="0" borderId="13" xfId="0" applyNumberFormat="1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40" xfId="0" applyFont="1" applyFill="1" applyBorder="1" applyAlignment="1">
      <alignment horizontal="right" vertical="center" wrapText="1"/>
    </xf>
    <xf numFmtId="0" fontId="0" fillId="0" borderId="15" xfId="0" applyFont="1" applyFill="1" applyBorder="1" applyAlignment="1">
      <alignment wrapText="1"/>
    </xf>
    <xf numFmtId="167" fontId="0" fillId="0" borderId="13" xfId="0" applyNumberFormat="1" applyFont="1" applyFill="1" applyBorder="1"/>
    <xf numFmtId="3" fontId="0" fillId="0" borderId="13" xfId="0" applyNumberFormat="1" applyFont="1" applyFill="1" applyBorder="1" applyAlignment="1">
      <alignment horizontal="right"/>
    </xf>
    <xf numFmtId="3" fontId="0" fillId="0" borderId="40" xfId="0" applyNumberFormat="1" applyFont="1" applyFill="1" applyBorder="1"/>
    <xf numFmtId="0" fontId="0" fillId="3" borderId="36" xfId="0" applyFont="1" applyFill="1" applyBorder="1" applyAlignment="1">
      <alignment wrapText="1"/>
    </xf>
    <xf numFmtId="167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41" xfId="0" applyNumberFormat="1" applyFont="1" applyFill="1" applyBorder="1"/>
    <xf numFmtId="0" fontId="0" fillId="0" borderId="36" xfId="0" applyFont="1" applyFill="1" applyBorder="1" applyAlignment="1">
      <alignment wrapText="1"/>
    </xf>
    <xf numFmtId="167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41" xfId="0" applyNumberFormat="1" applyFont="1" applyFill="1" applyBorder="1"/>
    <xf numFmtId="167" fontId="0" fillId="3" borderId="19" xfId="0" applyNumberFormat="1" applyFont="1" applyFill="1" applyBorder="1"/>
    <xf numFmtId="3" fontId="0" fillId="3" borderId="19" xfId="0" applyNumberFormat="1" applyFont="1" applyFill="1" applyBorder="1" applyAlignment="1">
      <alignment horizontal="right"/>
    </xf>
    <xf numFmtId="164" fontId="0" fillId="3" borderId="21" xfId="0" applyNumberFormat="1" applyFont="1" applyFill="1" applyBorder="1"/>
    <xf numFmtId="3" fontId="0" fillId="3" borderId="42" xfId="0" applyNumberFormat="1" applyFont="1" applyFill="1" applyBorder="1"/>
    <xf numFmtId="3" fontId="1" fillId="0" borderId="11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vertical="center"/>
    </xf>
    <xf numFmtId="3" fontId="1" fillId="0" borderId="39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10" xfId="0" applyFont="1" applyFill="1" applyBorder="1"/>
    <xf numFmtId="164" fontId="2" fillId="0" borderId="11" xfId="0" applyNumberFormat="1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/>
    <xf numFmtId="164" fontId="2" fillId="0" borderId="12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11" xfId="0" applyFont="1" applyFill="1" applyBorder="1"/>
    <xf numFmtId="0" fontId="9" fillId="0" borderId="4" xfId="0" applyFont="1" applyFill="1" applyBorder="1" applyAlignment="1">
      <alignment horizontal="right"/>
    </xf>
    <xf numFmtId="0" fontId="11" fillId="0" borderId="39" xfId="0" applyFont="1" applyFill="1" applyBorder="1" applyAlignment="1">
      <alignment horizontal="right"/>
    </xf>
    <xf numFmtId="1" fontId="1" fillId="0" borderId="10" xfId="0" applyNumberFormat="1" applyFont="1" applyFill="1" applyBorder="1" applyAlignment="1" applyProtection="1">
      <alignment horizontal="right"/>
      <protection locked="0"/>
    </xf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0" fontId="0" fillId="0" borderId="10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3" fontId="15" fillId="0" borderId="10" xfId="0" applyNumberFormat="1" applyFont="1" applyFill="1" applyBorder="1" applyAlignment="1" applyProtection="1">
      <alignment horizontal="right"/>
      <protection locked="0"/>
    </xf>
    <xf numFmtId="3" fontId="15" fillId="0" borderId="11" xfId="0" applyNumberFormat="1" applyFont="1" applyFill="1" applyBorder="1" applyAlignment="1" applyProtection="1">
      <alignment horizontal="right"/>
      <protection locked="0"/>
    </xf>
    <xf numFmtId="3" fontId="15" fillId="0" borderId="12" xfId="0" applyNumberFormat="1" applyFont="1" applyFill="1" applyBorder="1" applyAlignment="1" applyProtection="1">
      <alignment horizontal="right"/>
      <protection locked="0"/>
    </xf>
    <xf numFmtId="0" fontId="0" fillId="0" borderId="15" xfId="0" applyFont="1" applyFill="1" applyBorder="1" applyAlignment="1">
      <alignment horizontal="right"/>
    </xf>
    <xf numFmtId="3" fontId="0" fillId="0" borderId="14" xfId="0" applyNumberFormat="1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3" fontId="0" fillId="0" borderId="16" xfId="0" applyNumberFormat="1" applyFont="1" applyFill="1" applyBorder="1" applyAlignment="1">
      <alignment horizontal="right"/>
    </xf>
    <xf numFmtId="3" fontId="0" fillId="0" borderId="10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3" borderId="10" xfId="0" applyFont="1" applyFill="1" applyBorder="1"/>
    <xf numFmtId="0" fontId="0" fillId="3" borderId="11" xfId="0" applyFont="1" applyFill="1" applyBorder="1"/>
    <xf numFmtId="0" fontId="9" fillId="3" borderId="4" xfId="0" applyFont="1" applyFill="1" applyBorder="1" applyAlignment="1">
      <alignment horizontal="right"/>
    </xf>
    <xf numFmtId="0" fontId="11" fillId="3" borderId="39" xfId="0" applyFont="1" applyFill="1" applyBorder="1" applyAlignment="1">
      <alignment horizontal="right"/>
    </xf>
    <xf numFmtId="3" fontId="1" fillId="3" borderId="10" xfId="0" applyNumberFormat="1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0" fillId="3" borderId="12" xfId="0" applyNumberFormat="1" applyFon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0" fontId="0" fillId="3" borderId="10" xfId="0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166" fontId="1" fillId="3" borderId="12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7" xfId="0" applyFont="1" applyFill="1" applyBorder="1" applyAlignment="1" applyProtection="1">
      <alignment horizontal="left" vertical="top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 indent="1"/>
    </xf>
    <xf numFmtId="0" fontId="0" fillId="0" borderId="3" xfId="0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9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300456</xdr:colOff>
      <xdr:row>6</xdr:row>
      <xdr:rowOff>0</xdr:rowOff>
    </xdr:from>
    <xdr:to>
      <xdr:col>2</xdr:col>
      <xdr:colOff>785728</xdr:colOff>
      <xdr:row>10</xdr:row>
      <xdr:rowOff>149274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2552700" y="1190625"/>
          <a:ext cx="485775" cy="800100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384748</xdr:colOff>
      <xdr:row>15</xdr:row>
      <xdr:rowOff>0</xdr:rowOff>
    </xdr:from>
    <xdr:to>
      <xdr:col>3</xdr:col>
      <xdr:colOff>870942</xdr:colOff>
      <xdr:row>21</xdr:row>
      <xdr:rowOff>149274</xdr:rowOff>
    </xdr:to>
    <xdr:sp macro="" textlink="">
      <xdr:nvSpPr>
        <xdr:cNvPr id="2060" name="AutoShape 3"/>
        <xdr:cNvSpPr>
          <a:spLocks noChangeArrowheads="1"/>
        </xdr:cNvSpPr>
      </xdr:nvSpPr>
      <xdr:spPr bwMode="auto">
        <a:xfrm>
          <a:off x="3695700" y="2647950"/>
          <a:ext cx="485775" cy="1123950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374851</xdr:colOff>
      <xdr:row>6</xdr:row>
      <xdr:rowOff>111323</xdr:rowOff>
    </xdr:from>
    <xdr:to>
      <xdr:col>3</xdr:col>
      <xdr:colOff>861045</xdr:colOff>
      <xdr:row>11</xdr:row>
      <xdr:rowOff>6957</xdr:rowOff>
    </xdr:to>
    <xdr:sp macro="" textlink="">
      <xdr:nvSpPr>
        <xdr:cNvPr id="2061" name="AutoShape 4"/>
        <xdr:cNvSpPr>
          <a:spLocks noChangeArrowheads="1"/>
        </xdr:cNvSpPr>
      </xdr:nvSpPr>
      <xdr:spPr bwMode="auto">
        <a:xfrm>
          <a:off x="3686175" y="1304925"/>
          <a:ext cx="485775" cy="704850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508461</xdr:colOff>
      <xdr:row>6</xdr:row>
      <xdr:rowOff>101835</xdr:rowOff>
    </xdr:from>
    <xdr:to>
      <xdr:col>6</xdr:col>
      <xdr:colOff>680777</xdr:colOff>
      <xdr:row>7</xdr:row>
      <xdr:rowOff>54396</xdr:rowOff>
    </xdr:to>
    <xdr:sp macro="" textlink="">
      <xdr:nvSpPr>
        <xdr:cNvPr id="2062" name="Rectangle 5"/>
        <xdr:cNvSpPr>
          <a:spLocks noChangeArrowheads="1"/>
        </xdr:cNvSpPr>
      </xdr:nvSpPr>
      <xdr:spPr bwMode="auto">
        <a:xfrm>
          <a:off x="3819525" y="1295400"/>
          <a:ext cx="3552825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452790</xdr:colOff>
      <xdr:row>6</xdr:row>
      <xdr:rowOff>0</xdr:rowOff>
    </xdr:from>
    <xdr:to>
      <xdr:col>6</xdr:col>
      <xdr:colOff>680777</xdr:colOff>
      <xdr:row>6</xdr:row>
      <xdr:rowOff>111323</xdr:rowOff>
    </xdr:to>
    <xdr:sp macro="" textlink="">
      <xdr:nvSpPr>
        <xdr:cNvPr id="2063" name="Rectangle 6"/>
        <xdr:cNvSpPr>
          <a:spLocks noChangeArrowheads="1"/>
        </xdr:cNvSpPr>
      </xdr:nvSpPr>
      <xdr:spPr bwMode="auto">
        <a:xfrm>
          <a:off x="7143750" y="1190625"/>
          <a:ext cx="228600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0"/>
  <sheetViews>
    <sheetView showGridLines="0" tabSelected="1" workbookViewId="0">
      <selection activeCell="A5" sqref="A5:E5"/>
    </sheetView>
  </sheetViews>
  <sheetFormatPr baseColWidth="10" defaultColWidth="11.42578125" defaultRowHeight="12.75"/>
  <cols>
    <col min="1" max="1" width="15.140625" style="1" customWidth="1"/>
    <col min="2" max="2" width="15.5703125" style="1" customWidth="1"/>
    <col min="3" max="3" width="22" style="1" customWidth="1"/>
    <col min="4" max="5" width="12.85546875" style="1" customWidth="1"/>
    <col min="6" max="6" width="11.42578125" style="1" customWidth="1"/>
    <col min="7" max="16384" width="11.42578125" style="1"/>
  </cols>
  <sheetData>
    <row r="1" spans="1:5" ht="27.75" customHeight="1">
      <c r="A1" s="297" t="s">
        <v>0</v>
      </c>
      <c r="B1" s="297"/>
      <c r="C1" s="297"/>
      <c r="D1" s="297"/>
      <c r="E1" s="297"/>
    </row>
    <row r="2" spans="1:5" ht="27.75" customHeight="1">
      <c r="A2" s="297" t="s">
        <v>1</v>
      </c>
      <c r="B2" s="297"/>
      <c r="C2" s="297"/>
      <c r="D2" s="297"/>
      <c r="E2" s="297"/>
    </row>
    <row r="3" spans="1:5" ht="24.75" customHeight="1">
      <c r="A3" s="296"/>
      <c r="B3" s="296"/>
      <c r="C3" s="296"/>
      <c r="D3" s="296"/>
      <c r="E3" s="296"/>
    </row>
    <row r="4" spans="1:5" ht="18" customHeight="1">
      <c r="A4" s="295"/>
      <c r="B4" s="295"/>
      <c r="C4" s="295"/>
      <c r="D4" s="295"/>
      <c r="E4" s="295"/>
    </row>
    <row r="5" spans="1:5" ht="18" customHeight="1">
      <c r="A5" s="295" t="str">
        <f>"Referenzjahr "&amp;C30</f>
        <v>Referenzjahr 2009</v>
      </c>
      <c r="B5" s="295"/>
      <c r="C5" s="295"/>
      <c r="D5" s="295"/>
      <c r="E5" s="295"/>
    </row>
    <row r="11" spans="1:5">
      <c r="A11" s="2" t="s">
        <v>2</v>
      </c>
      <c r="B11" s="2" t="s">
        <v>3</v>
      </c>
      <c r="C11" s="3"/>
      <c r="D11" s="3"/>
      <c r="E11" s="4"/>
    </row>
    <row r="12" spans="1:5">
      <c r="A12" s="5" t="s">
        <v>4</v>
      </c>
      <c r="B12" s="5" t="s">
        <v>5</v>
      </c>
      <c r="C12" s="6"/>
      <c r="D12" s="6"/>
      <c r="E12" s="7"/>
    </row>
    <row r="13" spans="1:5">
      <c r="A13" s="5" t="s">
        <v>6</v>
      </c>
      <c r="B13" s="5" t="s">
        <v>7</v>
      </c>
      <c r="C13" s="6"/>
      <c r="D13" s="6"/>
      <c r="E13" s="7"/>
    </row>
    <row r="14" spans="1:5">
      <c r="A14" s="5" t="s">
        <v>8</v>
      </c>
      <c r="B14" s="5" t="s">
        <v>9</v>
      </c>
      <c r="C14" s="6"/>
      <c r="D14" s="6"/>
      <c r="E14" s="7"/>
    </row>
    <row r="15" spans="1:5">
      <c r="A15" s="5" t="s">
        <v>10</v>
      </c>
      <c r="B15" s="5" t="s">
        <v>11</v>
      </c>
      <c r="C15" s="6"/>
      <c r="D15" s="6"/>
      <c r="E15" s="7"/>
    </row>
    <row r="16" spans="1:5">
      <c r="A16" s="5" t="s">
        <v>12</v>
      </c>
      <c r="B16" s="5" t="s">
        <v>13</v>
      </c>
      <c r="C16" s="6"/>
      <c r="D16" s="6"/>
      <c r="E16" s="7"/>
    </row>
    <row r="17" spans="1:5">
      <c r="A17" s="8" t="s">
        <v>14</v>
      </c>
      <c r="B17" s="6" t="s">
        <v>15</v>
      </c>
      <c r="C17" s="6"/>
      <c r="D17" s="6"/>
      <c r="E17" s="7"/>
    </row>
    <row r="18" spans="1:5">
      <c r="A18" s="8" t="s">
        <v>16</v>
      </c>
      <c r="B18" s="6" t="s">
        <v>17</v>
      </c>
      <c r="C18" s="6"/>
      <c r="D18" s="6"/>
      <c r="E18" s="7"/>
    </row>
    <row r="25" spans="1:5">
      <c r="B25" s="9" t="s">
        <v>18</v>
      </c>
      <c r="C25" s="10"/>
    </row>
    <row r="26" spans="1:5">
      <c r="B26" s="11" t="s">
        <v>19</v>
      </c>
      <c r="C26" s="12" t="s">
        <v>18</v>
      </c>
    </row>
    <row r="27" spans="1:5">
      <c r="B27" s="11" t="s">
        <v>20</v>
      </c>
      <c r="C27" s="13" t="s">
        <v>21</v>
      </c>
    </row>
    <row r="28" spans="1:5">
      <c r="B28" s="11" t="s">
        <v>22</v>
      </c>
      <c r="C28" s="13" t="s">
        <v>23</v>
      </c>
    </row>
    <row r="29" spans="1:5">
      <c r="B29" s="11" t="s">
        <v>24</v>
      </c>
      <c r="C29" s="13" t="s">
        <v>25</v>
      </c>
    </row>
    <row r="30" spans="1:5">
      <c r="B30" s="14" t="s">
        <v>26</v>
      </c>
      <c r="C30" s="15">
        <v>2009</v>
      </c>
    </row>
  </sheetData>
  <mergeCells count="5">
    <mergeCell ref="A4:E4"/>
    <mergeCell ref="A3:E3"/>
    <mergeCell ref="A2:E2"/>
    <mergeCell ref="A1:E1"/>
    <mergeCell ref="A5:E5"/>
  </mergeCells>
  <conditionalFormatting sqref="C26:C30">
    <cfRule type="expression" dxfId="8" priority="1" stopIfTrue="1">
      <formula>ISBLANK(C26)</formula>
    </cfRule>
  </conditionalFormatting>
  <printOptions verticalCentered="1"/>
  <pageMargins left="1.1417322834645669" right="0.78740157480314965" top="1.8897637795275593" bottom="0.82677165354330717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33"/>
  <sheetViews>
    <sheetView showGridLines="0" workbookViewId="0"/>
  </sheetViews>
  <sheetFormatPr baseColWidth="10" defaultColWidth="9.140625" defaultRowHeight="12.75"/>
  <cols>
    <col min="1" max="1" width="1.42578125" style="1" customWidth="1"/>
    <col min="2" max="2" width="15.28515625" style="1" customWidth="1"/>
    <col min="3" max="5" width="16.42578125" style="1" customWidth="1"/>
    <col min="6" max="9" width="17.5703125" style="1" customWidth="1"/>
  </cols>
  <sheetData>
    <row r="1" spans="1:9" ht="39.75" customHeight="1">
      <c r="B1" s="298" t="str">
        <f>"Berechnung Ressourcenpotenzial und -index "&amp;Info!C30</f>
        <v>Berechnung Ressourcenpotenzial und -index 2009</v>
      </c>
      <c r="C1" s="298"/>
      <c r="D1" s="298"/>
      <c r="E1" s="298"/>
      <c r="F1" s="298"/>
      <c r="G1" s="298"/>
      <c r="H1" s="16"/>
      <c r="I1" s="17" t="str">
        <f>Info!$C$28</f>
        <v>FA_2009_20120423</v>
      </c>
    </row>
    <row r="2" spans="1:9" s="1" customFormat="1">
      <c r="A2" s="18"/>
      <c r="B2" s="19" t="s">
        <v>27</v>
      </c>
      <c r="C2" s="20" t="s">
        <v>28</v>
      </c>
      <c r="D2" s="20" t="s">
        <v>29</v>
      </c>
      <c r="E2" s="20" t="s">
        <v>30</v>
      </c>
      <c r="F2" s="20" t="s">
        <v>31</v>
      </c>
      <c r="G2" s="20" t="s">
        <v>32</v>
      </c>
      <c r="H2" s="20" t="s">
        <v>33</v>
      </c>
      <c r="I2" s="21" t="s">
        <v>34</v>
      </c>
    </row>
    <row r="3" spans="1:9" s="22" customFormat="1" ht="11.25" customHeight="1">
      <c r="A3" s="23"/>
      <c r="B3" s="24" t="s">
        <v>35</v>
      </c>
      <c r="C3" s="25"/>
      <c r="D3" s="25"/>
      <c r="E3" s="25"/>
      <c r="F3" s="26" t="s">
        <v>36</v>
      </c>
      <c r="G3" s="27"/>
      <c r="H3" s="26" t="s">
        <v>37</v>
      </c>
      <c r="I3" s="28" t="s">
        <v>38</v>
      </c>
    </row>
    <row r="4" spans="1:9" ht="38.25" customHeight="1">
      <c r="A4" s="29"/>
      <c r="B4" s="30"/>
      <c r="C4" s="31" t="str">
        <f>"ASG "&amp;BEV!C5</f>
        <v>ASG 2003</v>
      </c>
      <c r="D4" s="31" t="str">
        <f>"ASG "&amp;BEV!D5</f>
        <v>ASG 2004</v>
      </c>
      <c r="E4" s="31" t="str">
        <f>"ASG "&amp;BEV!E5</f>
        <v>ASG 2005</v>
      </c>
      <c r="F4" s="31" t="s">
        <v>39</v>
      </c>
      <c r="G4" s="31" t="s">
        <v>7</v>
      </c>
      <c r="H4" s="31" t="s">
        <v>40</v>
      </c>
      <c r="I4" s="32" t="s">
        <v>41</v>
      </c>
    </row>
    <row r="5" spans="1:9" s="33" customFormat="1" ht="11.25" customHeight="1">
      <c r="A5" s="34"/>
      <c r="B5" s="35" t="s">
        <v>42</v>
      </c>
      <c r="C5" s="36" t="str">
        <f>"ASG_"&amp;Info!$C$30&amp;"_"&amp;Info!$C$30-6</f>
        <v>ASG_2009_2003</v>
      </c>
      <c r="D5" s="36" t="str">
        <f>"ASG_"&amp;Info!$C$30&amp;"_"&amp;Info!$C$30-5</f>
        <v>ASG_2009_2004</v>
      </c>
      <c r="E5" s="36" t="str">
        <f>"ASG_"&amp;Info!$C$30&amp;"_"&amp;Info!$C$30-4</f>
        <v>ASG_2009_2005</v>
      </c>
      <c r="F5" s="37"/>
      <c r="G5" s="37"/>
      <c r="H5" s="37"/>
      <c r="I5" s="38"/>
    </row>
    <row r="6" spans="1:9" s="33" customFormat="1" ht="11.25" customHeight="1">
      <c r="A6" s="34"/>
      <c r="B6" s="39" t="s">
        <v>43</v>
      </c>
      <c r="C6" s="40" t="s">
        <v>44</v>
      </c>
      <c r="D6" s="40" t="s">
        <v>44</v>
      </c>
      <c r="E6" s="40" t="s">
        <v>44</v>
      </c>
      <c r="F6" s="40" t="s">
        <v>44</v>
      </c>
      <c r="G6" s="40" t="s">
        <v>45</v>
      </c>
      <c r="H6" s="40" t="s">
        <v>46</v>
      </c>
      <c r="I6" s="41"/>
    </row>
    <row r="7" spans="1:9">
      <c r="A7" s="29"/>
      <c r="B7" s="42" t="s">
        <v>47</v>
      </c>
      <c r="C7" s="43">
        <v>41032316.425723903</v>
      </c>
      <c r="D7" s="43">
        <v>45839966.335544698</v>
      </c>
      <c r="E7" s="43">
        <v>52765074.205636598</v>
      </c>
      <c r="F7" s="44">
        <f t="shared" ref="F7:F32" si="0">AVERAGE(C7:E7)</f>
        <v>46545785.655635066</v>
      </c>
      <c r="G7" s="45">
        <f>BEV!F7</f>
        <v>1281503.3333333333</v>
      </c>
      <c r="H7" s="45">
        <f t="shared" ref="H7:H33" si="1">F7/G7*1000</f>
        <v>36321.236507878821</v>
      </c>
      <c r="I7" s="46">
        <f t="shared" ref="I7:I33" si="2">ROUND(H7/H$33*100,1)</f>
        <v>131.1</v>
      </c>
    </row>
    <row r="8" spans="1:9">
      <c r="A8" s="29"/>
      <c r="B8" s="47" t="s">
        <v>48</v>
      </c>
      <c r="C8" s="48">
        <v>19653600.814973101</v>
      </c>
      <c r="D8" s="48">
        <v>20173127.316569101</v>
      </c>
      <c r="E8" s="48">
        <v>21710897.3692775</v>
      </c>
      <c r="F8" s="49">
        <f t="shared" si="0"/>
        <v>20512541.833606567</v>
      </c>
      <c r="G8" s="50">
        <f>BEV!F8</f>
        <v>961316.66666666663</v>
      </c>
      <c r="H8" s="50">
        <f t="shared" si="1"/>
        <v>21337.965464317931</v>
      </c>
      <c r="I8" s="51">
        <f t="shared" si="2"/>
        <v>77</v>
      </c>
    </row>
    <row r="9" spans="1:9">
      <c r="A9" s="29"/>
      <c r="B9" s="30" t="s">
        <v>49</v>
      </c>
      <c r="C9" s="52">
        <v>7227383.7889534896</v>
      </c>
      <c r="D9" s="52">
        <v>7360612.1779340301</v>
      </c>
      <c r="E9" s="52">
        <v>7913140.3765130602</v>
      </c>
      <c r="F9" s="53">
        <f t="shared" si="0"/>
        <v>7500378.781133526</v>
      </c>
      <c r="G9" s="54">
        <f>BEV!F9</f>
        <v>354121.66666666669</v>
      </c>
      <c r="H9" s="54">
        <f t="shared" si="1"/>
        <v>21180.231223167724</v>
      </c>
      <c r="I9" s="55">
        <f t="shared" si="2"/>
        <v>76.5</v>
      </c>
    </row>
    <row r="10" spans="1:9">
      <c r="A10" s="29"/>
      <c r="B10" s="47" t="s">
        <v>50</v>
      </c>
      <c r="C10" s="48">
        <v>583973.98953674803</v>
      </c>
      <c r="D10" s="48">
        <v>570454.14021585404</v>
      </c>
      <c r="E10" s="48">
        <v>594632.93903453299</v>
      </c>
      <c r="F10" s="49">
        <f t="shared" si="0"/>
        <v>583020.35626237828</v>
      </c>
      <c r="G10" s="50">
        <f>BEV!F10</f>
        <v>34719</v>
      </c>
      <c r="H10" s="50">
        <f t="shared" si="1"/>
        <v>16792.544608496162</v>
      </c>
      <c r="I10" s="51">
        <f t="shared" si="2"/>
        <v>60.6</v>
      </c>
    </row>
    <row r="11" spans="1:9">
      <c r="A11" s="29"/>
      <c r="B11" s="30" t="s">
        <v>51</v>
      </c>
      <c r="C11" s="52">
        <v>4391058.6653167903</v>
      </c>
      <c r="D11" s="52">
        <v>4583088.5669257902</v>
      </c>
      <c r="E11" s="52">
        <v>5045019.0243434301</v>
      </c>
      <c r="F11" s="53">
        <f t="shared" si="0"/>
        <v>4673055.4188620038</v>
      </c>
      <c r="G11" s="54">
        <f>BEV!F11</f>
        <v>135121.66666666666</v>
      </c>
      <c r="H11" s="54">
        <f t="shared" si="1"/>
        <v>34584.056977257569</v>
      </c>
      <c r="I11" s="55">
        <f t="shared" si="2"/>
        <v>124.9</v>
      </c>
    </row>
    <row r="12" spans="1:9">
      <c r="A12" s="29"/>
      <c r="B12" s="47" t="s">
        <v>52</v>
      </c>
      <c r="C12" s="48">
        <v>583122.89682859997</v>
      </c>
      <c r="D12" s="48">
        <v>610155.04073358304</v>
      </c>
      <c r="E12" s="48">
        <v>620312.066059059</v>
      </c>
      <c r="F12" s="49">
        <f t="shared" si="0"/>
        <v>604530.00120708067</v>
      </c>
      <c r="G12" s="50">
        <f>BEV!F12</f>
        <v>33047.666666666664</v>
      </c>
      <c r="H12" s="50">
        <f t="shared" si="1"/>
        <v>18292.668202709643</v>
      </c>
      <c r="I12" s="51">
        <f t="shared" si="2"/>
        <v>66.099999999999994</v>
      </c>
    </row>
    <row r="13" spans="1:9">
      <c r="A13" s="29"/>
      <c r="B13" s="30" t="s">
        <v>53</v>
      </c>
      <c r="C13" s="52">
        <v>1286618.0647072501</v>
      </c>
      <c r="D13" s="52">
        <v>1315314.5062619401</v>
      </c>
      <c r="E13" s="52">
        <v>1509168.03273691</v>
      </c>
      <c r="F13" s="53">
        <f t="shared" si="0"/>
        <v>1370366.8679020335</v>
      </c>
      <c r="G13" s="54">
        <f>BEV!F13</f>
        <v>38740</v>
      </c>
      <c r="H13" s="54">
        <f t="shared" si="1"/>
        <v>35373.434896800041</v>
      </c>
      <c r="I13" s="55">
        <f t="shared" si="2"/>
        <v>127.7</v>
      </c>
    </row>
    <row r="14" spans="1:9">
      <c r="A14" s="29"/>
      <c r="B14" s="47" t="s">
        <v>54</v>
      </c>
      <c r="C14" s="48">
        <v>701706.89847625606</v>
      </c>
      <c r="D14" s="48">
        <v>730835.98296523897</v>
      </c>
      <c r="E14" s="48">
        <v>755771.62629135698</v>
      </c>
      <c r="F14" s="49">
        <f t="shared" si="0"/>
        <v>729438.16924428393</v>
      </c>
      <c r="G14" s="50">
        <f>BEV!F14</f>
        <v>38218</v>
      </c>
      <c r="H14" s="50">
        <f t="shared" si="1"/>
        <v>19086.246513273429</v>
      </c>
      <c r="I14" s="51">
        <f t="shared" si="2"/>
        <v>68.900000000000006</v>
      </c>
    </row>
    <row r="15" spans="1:9">
      <c r="A15" s="29"/>
      <c r="B15" s="30" t="s">
        <v>55</v>
      </c>
      <c r="C15" s="52">
        <v>5704508.4604918798</v>
      </c>
      <c r="D15" s="52">
        <v>6311810.1161134299</v>
      </c>
      <c r="E15" s="52">
        <v>7460080.8183622099</v>
      </c>
      <c r="F15" s="53">
        <f t="shared" si="0"/>
        <v>6492133.1316558393</v>
      </c>
      <c r="G15" s="54">
        <f>BEV!F15</f>
        <v>104728.66666666667</v>
      </c>
      <c r="H15" s="54">
        <f t="shared" si="1"/>
        <v>61990.029456969809</v>
      </c>
      <c r="I15" s="55">
        <f t="shared" si="2"/>
        <v>223.8</v>
      </c>
    </row>
    <row r="16" spans="1:9">
      <c r="A16" s="29"/>
      <c r="B16" s="47" t="s">
        <v>56</v>
      </c>
      <c r="C16" s="48">
        <v>5037690.5122223496</v>
      </c>
      <c r="D16" s="48">
        <v>5102016.0216353098</v>
      </c>
      <c r="E16" s="48">
        <v>5248877.2780377604</v>
      </c>
      <c r="F16" s="49">
        <f t="shared" si="0"/>
        <v>5129527.937298473</v>
      </c>
      <c r="G16" s="50">
        <f>BEV!F16</f>
        <v>251972</v>
      </c>
      <c r="H16" s="50">
        <f t="shared" si="1"/>
        <v>20357.53154040319</v>
      </c>
      <c r="I16" s="51">
        <f t="shared" si="2"/>
        <v>73.5</v>
      </c>
    </row>
    <row r="17" spans="1:9">
      <c r="A17" s="29"/>
      <c r="B17" s="30" t="s">
        <v>57</v>
      </c>
      <c r="C17" s="52">
        <v>4884963.3686186699</v>
      </c>
      <c r="D17" s="52">
        <v>5201027.7839718098</v>
      </c>
      <c r="E17" s="52">
        <v>5507623.9756076904</v>
      </c>
      <c r="F17" s="53">
        <f t="shared" si="0"/>
        <v>5197871.70939939</v>
      </c>
      <c r="G17" s="54">
        <f>BEV!F17</f>
        <v>246221.33333333334</v>
      </c>
      <c r="H17" s="54">
        <f t="shared" si="1"/>
        <v>21110.56600592173</v>
      </c>
      <c r="I17" s="55">
        <f t="shared" si="2"/>
        <v>76.2</v>
      </c>
    </row>
    <row r="18" spans="1:9">
      <c r="A18" s="29"/>
      <c r="B18" s="47" t="s">
        <v>58</v>
      </c>
      <c r="C18" s="48">
        <v>7204738.3331307899</v>
      </c>
      <c r="D18" s="48">
        <v>7195409.8852673098</v>
      </c>
      <c r="E18" s="48">
        <v>7686871.4984528804</v>
      </c>
      <c r="F18" s="49">
        <f t="shared" si="0"/>
        <v>7362339.905616994</v>
      </c>
      <c r="G18" s="50">
        <f>BEV!F18</f>
        <v>190734</v>
      </c>
      <c r="H18" s="50">
        <f t="shared" si="1"/>
        <v>38600.039351227329</v>
      </c>
      <c r="I18" s="51">
        <f t="shared" si="2"/>
        <v>139.4</v>
      </c>
    </row>
    <row r="19" spans="1:9">
      <c r="A19" s="29"/>
      <c r="B19" s="30" t="s">
        <v>59</v>
      </c>
      <c r="C19" s="52">
        <v>7246872.3466410097</v>
      </c>
      <c r="D19" s="52">
        <v>7493179.5278667603</v>
      </c>
      <c r="E19" s="52">
        <v>7746872.2666022498</v>
      </c>
      <c r="F19" s="53">
        <f t="shared" si="0"/>
        <v>7495641.380370006</v>
      </c>
      <c r="G19" s="54">
        <f>BEV!F19</f>
        <v>263868.33333333331</v>
      </c>
      <c r="H19" s="54">
        <f t="shared" si="1"/>
        <v>28406.748493390038</v>
      </c>
      <c r="I19" s="55">
        <f t="shared" si="2"/>
        <v>102.6</v>
      </c>
    </row>
    <row r="20" spans="1:9">
      <c r="A20" s="29"/>
      <c r="B20" s="47" t="s">
        <v>60</v>
      </c>
      <c r="C20" s="48">
        <v>1884206.46597876</v>
      </c>
      <c r="D20" s="48">
        <v>1956137.1218491099</v>
      </c>
      <c r="E20" s="48">
        <v>2079583.6213350999</v>
      </c>
      <c r="F20" s="49">
        <f t="shared" si="0"/>
        <v>1973309.0697209898</v>
      </c>
      <c r="G20" s="50">
        <f>BEV!F20</f>
        <v>74152</v>
      </c>
      <c r="H20" s="50">
        <f t="shared" si="1"/>
        <v>26611.67695707452</v>
      </c>
      <c r="I20" s="51">
        <f t="shared" si="2"/>
        <v>96.1</v>
      </c>
    </row>
    <row r="21" spans="1:9">
      <c r="A21" s="29"/>
      <c r="B21" s="30" t="s">
        <v>61</v>
      </c>
      <c r="C21" s="52">
        <v>1085915.4072402699</v>
      </c>
      <c r="D21" s="52">
        <v>1106589.4738765999</v>
      </c>
      <c r="E21" s="52">
        <v>1123930.1257624901</v>
      </c>
      <c r="F21" s="53">
        <f t="shared" si="0"/>
        <v>1105478.3356264534</v>
      </c>
      <c r="G21" s="54">
        <f>BEV!F21</f>
        <v>52550.333333333336</v>
      </c>
      <c r="H21" s="54">
        <f t="shared" si="1"/>
        <v>21036.56181615949</v>
      </c>
      <c r="I21" s="55">
        <f t="shared" si="2"/>
        <v>76</v>
      </c>
    </row>
    <row r="22" spans="1:9">
      <c r="A22" s="29"/>
      <c r="B22" s="47" t="s">
        <v>62</v>
      </c>
      <c r="C22" s="48">
        <v>314102.24213675898</v>
      </c>
      <c r="D22" s="48">
        <v>314698.33650327101</v>
      </c>
      <c r="E22" s="48">
        <v>367062.27890428301</v>
      </c>
      <c r="F22" s="49">
        <f t="shared" si="0"/>
        <v>331954.28584810434</v>
      </c>
      <c r="G22" s="50">
        <f>BEV!F22</f>
        <v>14779.333333333334</v>
      </c>
      <c r="H22" s="50">
        <f t="shared" si="1"/>
        <v>22460.707689663785</v>
      </c>
      <c r="I22" s="51">
        <f t="shared" si="2"/>
        <v>81.099999999999994</v>
      </c>
    </row>
    <row r="23" spans="1:9">
      <c r="A23" s="29"/>
      <c r="B23" s="30" t="s">
        <v>63</v>
      </c>
      <c r="C23" s="52">
        <v>9390941.3085606899</v>
      </c>
      <c r="D23" s="52">
        <v>9600644.9031617492</v>
      </c>
      <c r="E23" s="52">
        <v>10059814.090373499</v>
      </c>
      <c r="F23" s="53">
        <f t="shared" si="0"/>
        <v>9683800.100698648</v>
      </c>
      <c r="G23" s="54">
        <f>BEV!F23</f>
        <v>459391</v>
      </c>
      <c r="H23" s="54">
        <f t="shared" si="1"/>
        <v>21079.646968918954</v>
      </c>
      <c r="I23" s="55">
        <f t="shared" si="2"/>
        <v>76.099999999999994</v>
      </c>
    </row>
    <row r="24" spans="1:9">
      <c r="A24" s="29"/>
      <c r="B24" s="47" t="s">
        <v>64</v>
      </c>
      <c r="C24" s="48">
        <v>4126067.5320455199</v>
      </c>
      <c r="D24" s="48">
        <v>4268948.25550419</v>
      </c>
      <c r="E24" s="48">
        <v>4414345.6897541499</v>
      </c>
      <c r="F24" s="49">
        <f t="shared" si="0"/>
        <v>4269787.159101286</v>
      </c>
      <c r="G24" s="50">
        <f>BEV!F24</f>
        <v>191370.33333333334</v>
      </c>
      <c r="H24" s="50">
        <f t="shared" si="1"/>
        <v>22311.646140387234</v>
      </c>
      <c r="I24" s="51">
        <f t="shared" si="2"/>
        <v>80.599999999999994</v>
      </c>
    </row>
    <row r="25" spans="1:9">
      <c r="A25" s="29"/>
      <c r="B25" s="30" t="s">
        <v>65</v>
      </c>
      <c r="C25" s="52">
        <v>13396720.7095406</v>
      </c>
      <c r="D25" s="52">
        <v>13662799.059320901</v>
      </c>
      <c r="E25" s="52">
        <v>14495910.8889715</v>
      </c>
      <c r="F25" s="53">
        <f t="shared" si="0"/>
        <v>13851810.219277667</v>
      </c>
      <c r="G25" s="54">
        <f>BEV!F25</f>
        <v>563149</v>
      </c>
      <c r="H25" s="54">
        <f t="shared" si="1"/>
        <v>24597.060847622331</v>
      </c>
      <c r="I25" s="55">
        <f t="shared" si="2"/>
        <v>88.8</v>
      </c>
    </row>
    <row r="26" spans="1:9">
      <c r="A26" s="29"/>
      <c r="B26" s="47" t="s">
        <v>66</v>
      </c>
      <c r="C26" s="48">
        <v>4481068.7720264504</v>
      </c>
      <c r="D26" s="48">
        <v>4765635.1103698099</v>
      </c>
      <c r="E26" s="48">
        <v>4960212.2773724897</v>
      </c>
      <c r="F26" s="49">
        <f t="shared" si="0"/>
        <v>4735638.719922916</v>
      </c>
      <c r="G26" s="50">
        <f>BEV!F26</f>
        <v>232811.66666666666</v>
      </c>
      <c r="H26" s="50">
        <f t="shared" si="1"/>
        <v>20341.071337731853</v>
      </c>
      <c r="I26" s="51">
        <f t="shared" si="2"/>
        <v>73.400000000000006</v>
      </c>
    </row>
    <row r="27" spans="1:9">
      <c r="A27" s="29"/>
      <c r="B27" s="30" t="s">
        <v>67</v>
      </c>
      <c r="C27" s="52">
        <v>8241551.5227484098</v>
      </c>
      <c r="D27" s="52">
        <v>8363583.2223107098</v>
      </c>
      <c r="E27" s="52">
        <v>8836494.1597439405</v>
      </c>
      <c r="F27" s="53">
        <f t="shared" si="0"/>
        <v>8480542.9682676867</v>
      </c>
      <c r="G27" s="54">
        <f>BEV!F27</f>
        <v>319353.33333333331</v>
      </c>
      <c r="H27" s="54">
        <f t="shared" si="1"/>
        <v>26555.360733986454</v>
      </c>
      <c r="I27" s="55">
        <f t="shared" si="2"/>
        <v>95.9</v>
      </c>
    </row>
    <row r="28" spans="1:9">
      <c r="A28" s="29"/>
      <c r="B28" s="47" t="s">
        <v>68</v>
      </c>
      <c r="C28" s="48">
        <v>17878089.333528001</v>
      </c>
      <c r="D28" s="48">
        <v>19156711.336258698</v>
      </c>
      <c r="E28" s="48">
        <v>18300895.159080401</v>
      </c>
      <c r="F28" s="49">
        <f t="shared" si="0"/>
        <v>18445231.942955699</v>
      </c>
      <c r="G28" s="50">
        <f>BEV!F28</f>
        <v>656153.66666666663</v>
      </c>
      <c r="H28" s="50">
        <f t="shared" si="1"/>
        <v>28111.146641395029</v>
      </c>
      <c r="I28" s="51">
        <f t="shared" si="2"/>
        <v>101.5</v>
      </c>
    </row>
    <row r="29" spans="1:9">
      <c r="A29" s="29"/>
      <c r="B29" s="30" t="s">
        <v>69</v>
      </c>
      <c r="C29" s="52">
        <v>5171135.2268015603</v>
      </c>
      <c r="D29" s="52">
        <v>5415049.1388975503</v>
      </c>
      <c r="E29" s="52">
        <v>5615793.9116455801</v>
      </c>
      <c r="F29" s="53">
        <f t="shared" si="0"/>
        <v>5400659.4257815639</v>
      </c>
      <c r="G29" s="54">
        <f>BEV!F29</f>
        <v>286555.33333333331</v>
      </c>
      <c r="H29" s="54">
        <f t="shared" si="1"/>
        <v>18846.829207325511</v>
      </c>
      <c r="I29" s="55">
        <f t="shared" si="2"/>
        <v>68.099999999999994</v>
      </c>
    </row>
    <row r="30" spans="1:9">
      <c r="A30" s="29"/>
      <c r="B30" s="47" t="s">
        <v>70</v>
      </c>
      <c r="C30" s="48">
        <v>4235434.0500033395</v>
      </c>
      <c r="D30" s="48">
        <v>4515682.25937921</v>
      </c>
      <c r="E30" s="48">
        <v>4917265.11831892</v>
      </c>
      <c r="F30" s="49">
        <f t="shared" si="0"/>
        <v>4556127.1425671568</v>
      </c>
      <c r="G30" s="50">
        <f>BEV!F30</f>
        <v>168702</v>
      </c>
      <c r="H30" s="50">
        <f t="shared" si="1"/>
        <v>27006.953933961406</v>
      </c>
      <c r="I30" s="51">
        <f t="shared" si="2"/>
        <v>97.5</v>
      </c>
    </row>
    <row r="31" spans="1:9">
      <c r="A31" s="29"/>
      <c r="B31" s="30" t="s">
        <v>71</v>
      </c>
      <c r="C31" s="52">
        <v>17385715.481351901</v>
      </c>
      <c r="D31" s="52">
        <v>17465237.391197599</v>
      </c>
      <c r="E31" s="52">
        <v>19442389.9919127</v>
      </c>
      <c r="F31" s="53">
        <f t="shared" si="0"/>
        <v>18097780.954820734</v>
      </c>
      <c r="G31" s="54">
        <f>BEV!F31</f>
        <v>432290</v>
      </c>
      <c r="H31" s="54">
        <f t="shared" si="1"/>
        <v>41864.90771200059</v>
      </c>
      <c r="I31" s="55">
        <f t="shared" si="2"/>
        <v>151.19999999999999</v>
      </c>
    </row>
    <row r="32" spans="1:9">
      <c r="A32" s="29"/>
      <c r="B32" s="47" t="s">
        <v>72</v>
      </c>
      <c r="C32" s="48">
        <v>1225941.4873033401</v>
      </c>
      <c r="D32" s="48">
        <v>1286618.14831017</v>
      </c>
      <c r="E32" s="48">
        <v>1362836.5121248199</v>
      </c>
      <c r="F32" s="49">
        <f t="shared" si="0"/>
        <v>1291798.7159127768</v>
      </c>
      <c r="G32" s="50">
        <f>BEV!F32</f>
        <v>67902.333333333328</v>
      </c>
      <c r="H32" s="50">
        <f t="shared" si="1"/>
        <v>19024.364149186484</v>
      </c>
      <c r="I32" s="51">
        <f t="shared" si="2"/>
        <v>68.7</v>
      </c>
    </row>
    <row r="33" spans="1:9">
      <c r="A33" s="56"/>
      <c r="B33" s="57" t="s">
        <v>73</v>
      </c>
      <c r="C33" s="58">
        <f>SUM(C7:C32)</f>
        <v>194355444.10488647</v>
      </c>
      <c r="D33" s="58">
        <f>SUM(D7:D32)</f>
        <v>204365331.15894446</v>
      </c>
      <c r="E33" s="58">
        <f>SUM(E7:E32)</f>
        <v>220540875.30225509</v>
      </c>
      <c r="F33" s="58">
        <f>SUM(F7:F32)</f>
        <v>206420550.18869537</v>
      </c>
      <c r="G33" s="58">
        <f>SUM(G7:G32)</f>
        <v>7453472.666666666</v>
      </c>
      <c r="H33" s="58">
        <f t="shared" si="1"/>
        <v>27694.547148719947</v>
      </c>
      <c r="I33" s="59">
        <f t="shared" si="2"/>
        <v>100</v>
      </c>
    </row>
  </sheetData>
  <mergeCells count="1">
    <mergeCell ref="B1:G1"/>
  </mergeCells>
  <conditionalFormatting sqref="C7:F32">
    <cfRule type="expression" dxfId="7" priority="1" stopIfTrue="1">
      <formula>ISBLANK(C7)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>
    <oddHeader>&amp;L&amp;F&amp;R&amp;A</oddHeader>
    <oddFooter>&amp;CSeite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34"/>
  <sheetViews>
    <sheetView showGridLines="0" workbookViewId="0"/>
  </sheetViews>
  <sheetFormatPr baseColWidth="10" defaultColWidth="11.42578125" defaultRowHeight="12.75"/>
  <cols>
    <col min="1" max="1" width="1.42578125" style="1" customWidth="1"/>
    <col min="2" max="2" width="18.85546875" style="1" customWidth="1"/>
    <col min="3" max="3" width="16.28515625" style="1" customWidth="1"/>
    <col min="4" max="6" width="18.5703125" style="1" customWidth="1"/>
  </cols>
  <sheetData>
    <row r="1" spans="1:6" ht="38.25" customHeight="1">
      <c r="B1" s="60" t="str">
        <f>"Massgebende Wohnbevölkerung "&amp;Info!C30</f>
        <v>Massgebende Wohnbevölkerung 2009</v>
      </c>
      <c r="C1" s="60"/>
      <c r="D1" s="60"/>
      <c r="E1" s="61"/>
      <c r="F1" s="17" t="str">
        <f>Info!$C$28</f>
        <v>FA_2009_20120423</v>
      </c>
    </row>
    <row r="2" spans="1:6" s="1" customFormat="1">
      <c r="A2" s="18"/>
      <c r="B2" s="62" t="s">
        <v>27</v>
      </c>
      <c r="C2" s="63" t="s">
        <v>28</v>
      </c>
      <c r="D2" s="63" t="s">
        <v>29</v>
      </c>
      <c r="E2" s="63" t="s">
        <v>30</v>
      </c>
      <c r="F2" s="64" t="s">
        <v>31</v>
      </c>
    </row>
    <row r="3" spans="1:6" s="65" customFormat="1" ht="11.25" customHeight="1">
      <c r="A3" s="66"/>
      <c r="B3" s="67" t="s">
        <v>35</v>
      </c>
      <c r="C3" s="68"/>
      <c r="D3" s="68"/>
      <c r="E3" s="68"/>
      <c r="F3" s="69" t="s">
        <v>36</v>
      </c>
    </row>
    <row r="4" spans="1:6" ht="26.25" customHeight="1">
      <c r="A4" s="29"/>
      <c r="B4" s="70"/>
      <c r="C4" s="299" t="s">
        <v>74</v>
      </c>
      <c r="D4" s="300"/>
      <c r="E4" s="301"/>
      <c r="F4" s="71" t="s">
        <v>7</v>
      </c>
    </row>
    <row r="5" spans="1:6" ht="16.5" customHeight="1">
      <c r="A5" s="29"/>
      <c r="B5" s="72"/>
      <c r="C5" s="73">
        <v>2003</v>
      </c>
      <c r="D5" s="74">
        <v>2004</v>
      </c>
      <c r="E5" s="75">
        <v>2005</v>
      </c>
      <c r="F5" s="76">
        <f>Info!C30</f>
        <v>2009</v>
      </c>
    </row>
    <row r="6" spans="1:6" s="77" customFormat="1">
      <c r="A6" s="78"/>
      <c r="B6" s="39" t="s">
        <v>42</v>
      </c>
      <c r="C6" s="79" t="s">
        <v>75</v>
      </c>
      <c r="D6" s="80" t="s">
        <v>75</v>
      </c>
      <c r="E6" s="81" t="s">
        <v>75</v>
      </c>
      <c r="F6" s="82"/>
    </row>
    <row r="7" spans="1:6">
      <c r="A7" s="29"/>
      <c r="B7" s="42" t="s">
        <v>47</v>
      </c>
      <c r="C7" s="83">
        <v>1271011</v>
      </c>
      <c r="D7" s="43">
        <v>1281018</v>
      </c>
      <c r="E7" s="84">
        <v>1292481</v>
      </c>
      <c r="F7" s="85">
        <f t="shared" ref="F7:F32" si="0">AVERAGE(C7:E7)</f>
        <v>1281503.3333333333</v>
      </c>
    </row>
    <row r="8" spans="1:6">
      <c r="A8" s="29"/>
      <c r="B8" s="47" t="s">
        <v>48</v>
      </c>
      <c r="C8" s="86">
        <v>958646</v>
      </c>
      <c r="D8" s="48">
        <v>961647</v>
      </c>
      <c r="E8" s="87">
        <v>963657</v>
      </c>
      <c r="F8" s="88">
        <f t="shared" si="0"/>
        <v>961316.66666666663</v>
      </c>
    </row>
    <row r="9" spans="1:6">
      <c r="A9" s="29"/>
      <c r="B9" s="30" t="s">
        <v>49</v>
      </c>
      <c r="C9" s="89">
        <v>352708</v>
      </c>
      <c r="D9" s="52">
        <v>353891</v>
      </c>
      <c r="E9" s="90">
        <v>355766</v>
      </c>
      <c r="F9" s="91">
        <f t="shared" si="0"/>
        <v>354121.66666666669</v>
      </c>
    </row>
    <row r="10" spans="1:6">
      <c r="A10" s="29"/>
      <c r="B10" s="47" t="s">
        <v>50</v>
      </c>
      <c r="C10" s="86">
        <v>34740</v>
      </c>
      <c r="D10" s="48">
        <v>34765</v>
      </c>
      <c r="E10" s="87">
        <v>34652</v>
      </c>
      <c r="F10" s="88">
        <f t="shared" si="0"/>
        <v>34719</v>
      </c>
    </row>
    <row r="11" spans="1:6">
      <c r="A11" s="29"/>
      <c r="B11" s="30" t="s">
        <v>51</v>
      </c>
      <c r="C11" s="89">
        <v>133681</v>
      </c>
      <c r="D11" s="52">
        <v>135175</v>
      </c>
      <c r="E11" s="90">
        <v>136509</v>
      </c>
      <c r="F11" s="91">
        <f t="shared" si="0"/>
        <v>135121.66666666666</v>
      </c>
    </row>
    <row r="12" spans="1:6">
      <c r="A12" s="29"/>
      <c r="B12" s="47" t="s">
        <v>52</v>
      </c>
      <c r="C12" s="86">
        <v>33015</v>
      </c>
      <c r="D12" s="48">
        <v>33050</v>
      </c>
      <c r="E12" s="87">
        <v>33078</v>
      </c>
      <c r="F12" s="88">
        <f t="shared" si="0"/>
        <v>33047.666666666664</v>
      </c>
    </row>
    <row r="13" spans="1:6">
      <c r="A13" s="29"/>
      <c r="B13" s="30" t="s">
        <v>53</v>
      </c>
      <c r="C13" s="89">
        <v>38385</v>
      </c>
      <c r="D13" s="52">
        <v>38741</v>
      </c>
      <c r="E13" s="90">
        <v>39094</v>
      </c>
      <c r="F13" s="91">
        <f t="shared" si="0"/>
        <v>38740</v>
      </c>
    </row>
    <row r="14" spans="1:6">
      <c r="A14" s="29"/>
      <c r="B14" s="47" t="s">
        <v>54</v>
      </c>
      <c r="C14" s="86">
        <v>38283</v>
      </c>
      <c r="D14" s="48">
        <v>38273</v>
      </c>
      <c r="E14" s="87">
        <v>38098</v>
      </c>
      <c r="F14" s="88">
        <f t="shared" si="0"/>
        <v>38218</v>
      </c>
    </row>
    <row r="15" spans="1:6">
      <c r="A15" s="29"/>
      <c r="B15" s="30" t="s">
        <v>55</v>
      </c>
      <c r="C15" s="89">
        <v>103156</v>
      </c>
      <c r="D15" s="52">
        <v>104680</v>
      </c>
      <c r="E15" s="90">
        <v>106350</v>
      </c>
      <c r="F15" s="91">
        <f t="shared" si="0"/>
        <v>104728.66666666667</v>
      </c>
    </row>
    <row r="16" spans="1:6">
      <c r="A16" s="29"/>
      <c r="B16" s="47" t="s">
        <v>56</v>
      </c>
      <c r="C16" s="86">
        <v>248511</v>
      </c>
      <c r="D16" s="48">
        <v>251943</v>
      </c>
      <c r="E16" s="87">
        <v>255462</v>
      </c>
      <c r="F16" s="88">
        <f t="shared" si="0"/>
        <v>251972</v>
      </c>
    </row>
    <row r="17" spans="1:6">
      <c r="A17" s="29"/>
      <c r="B17" s="30" t="s">
        <v>57</v>
      </c>
      <c r="C17" s="89">
        <v>245673</v>
      </c>
      <c r="D17" s="52">
        <v>246139</v>
      </c>
      <c r="E17" s="90">
        <v>246852</v>
      </c>
      <c r="F17" s="91">
        <f t="shared" si="0"/>
        <v>246221.33333333334</v>
      </c>
    </row>
    <row r="18" spans="1:6">
      <c r="A18" s="29"/>
      <c r="B18" s="47" t="s">
        <v>58</v>
      </c>
      <c r="C18" s="86">
        <v>190718</v>
      </c>
      <c r="D18" s="48">
        <v>190948</v>
      </c>
      <c r="E18" s="87">
        <v>190536</v>
      </c>
      <c r="F18" s="88">
        <f t="shared" si="0"/>
        <v>190734</v>
      </c>
    </row>
    <row r="19" spans="1:6">
      <c r="A19" s="29"/>
      <c r="B19" s="30" t="s">
        <v>59</v>
      </c>
      <c r="C19" s="89">
        <v>262913</v>
      </c>
      <c r="D19" s="52">
        <v>264028</v>
      </c>
      <c r="E19" s="90">
        <v>264664</v>
      </c>
      <c r="F19" s="91">
        <f t="shared" si="0"/>
        <v>263868.33333333331</v>
      </c>
    </row>
    <row r="20" spans="1:6">
      <c r="A20" s="29"/>
      <c r="B20" s="47" t="s">
        <v>60</v>
      </c>
      <c r="C20" s="86">
        <v>74175</v>
      </c>
      <c r="D20" s="48">
        <v>74165</v>
      </c>
      <c r="E20" s="87">
        <v>74116</v>
      </c>
      <c r="F20" s="88">
        <f t="shared" si="0"/>
        <v>74152</v>
      </c>
    </row>
    <row r="21" spans="1:6">
      <c r="A21" s="29"/>
      <c r="B21" s="30" t="s">
        <v>61</v>
      </c>
      <c r="C21" s="89">
        <v>52701</v>
      </c>
      <c r="D21" s="52">
        <v>52540</v>
      </c>
      <c r="E21" s="90">
        <v>52410</v>
      </c>
      <c r="F21" s="91">
        <f t="shared" si="0"/>
        <v>52550.333333333336</v>
      </c>
    </row>
    <row r="22" spans="1:6">
      <c r="A22" s="29"/>
      <c r="B22" s="47" t="s">
        <v>62</v>
      </c>
      <c r="C22" s="86">
        <v>14676</v>
      </c>
      <c r="D22" s="48">
        <v>14675</v>
      </c>
      <c r="E22" s="87">
        <v>14987</v>
      </c>
      <c r="F22" s="88">
        <f t="shared" si="0"/>
        <v>14779.333333333334</v>
      </c>
    </row>
    <row r="23" spans="1:6">
      <c r="A23" s="29"/>
      <c r="B23" s="30" t="s">
        <v>63</v>
      </c>
      <c r="C23" s="89">
        <v>457879</v>
      </c>
      <c r="D23" s="52">
        <v>459377</v>
      </c>
      <c r="E23" s="90">
        <v>460917</v>
      </c>
      <c r="F23" s="91">
        <f t="shared" si="0"/>
        <v>459391</v>
      </c>
    </row>
    <row r="24" spans="1:6">
      <c r="A24" s="29"/>
      <c r="B24" s="47" t="s">
        <v>64</v>
      </c>
      <c r="C24" s="86">
        <v>191196</v>
      </c>
      <c r="D24" s="48">
        <v>191618</v>
      </c>
      <c r="E24" s="87">
        <v>191297</v>
      </c>
      <c r="F24" s="88">
        <f t="shared" si="0"/>
        <v>191370.33333333334</v>
      </c>
    </row>
    <row r="25" spans="1:6">
      <c r="A25" s="29"/>
      <c r="B25" s="30" t="s">
        <v>65</v>
      </c>
      <c r="C25" s="89">
        <v>558885</v>
      </c>
      <c r="D25" s="52">
        <v>563334</v>
      </c>
      <c r="E25" s="90">
        <v>567228</v>
      </c>
      <c r="F25" s="91">
        <f t="shared" si="0"/>
        <v>563149</v>
      </c>
    </row>
    <row r="26" spans="1:6">
      <c r="A26" s="29"/>
      <c r="B26" s="47" t="s">
        <v>66</v>
      </c>
      <c r="C26" s="86">
        <v>231461</v>
      </c>
      <c r="D26" s="48">
        <v>232953</v>
      </c>
      <c r="E26" s="87">
        <v>234021</v>
      </c>
      <c r="F26" s="88">
        <f t="shared" si="0"/>
        <v>232811.66666666666</v>
      </c>
    </row>
    <row r="27" spans="1:6">
      <c r="A27" s="29"/>
      <c r="B27" s="30" t="s">
        <v>67</v>
      </c>
      <c r="C27" s="89">
        <v>316521</v>
      </c>
      <c r="D27" s="52">
        <v>319394</v>
      </c>
      <c r="E27" s="90">
        <v>322145</v>
      </c>
      <c r="F27" s="91">
        <f t="shared" si="0"/>
        <v>319353.33333333331</v>
      </c>
    </row>
    <row r="28" spans="1:6">
      <c r="A28" s="29"/>
      <c r="B28" s="47" t="s">
        <v>68</v>
      </c>
      <c r="C28" s="86">
        <v>648526</v>
      </c>
      <c r="D28" s="48">
        <v>656405</v>
      </c>
      <c r="E28" s="87">
        <v>663530</v>
      </c>
      <c r="F28" s="88">
        <f t="shared" si="0"/>
        <v>656153.66666666663</v>
      </c>
    </row>
    <row r="29" spans="1:6">
      <c r="A29" s="29"/>
      <c r="B29" s="30" t="s">
        <v>69</v>
      </c>
      <c r="C29" s="89">
        <v>283590</v>
      </c>
      <c r="D29" s="52">
        <v>286549</v>
      </c>
      <c r="E29" s="90">
        <v>289527</v>
      </c>
      <c r="F29" s="91">
        <f t="shared" si="0"/>
        <v>286555.33333333331</v>
      </c>
    </row>
    <row r="30" spans="1:6">
      <c r="A30" s="29"/>
      <c r="B30" s="47" t="s">
        <v>70</v>
      </c>
      <c r="C30" s="86">
        <v>168171</v>
      </c>
      <c r="D30" s="48">
        <v>168676</v>
      </c>
      <c r="E30" s="87">
        <v>169259</v>
      </c>
      <c r="F30" s="88">
        <f t="shared" si="0"/>
        <v>168702</v>
      </c>
    </row>
    <row r="31" spans="1:6">
      <c r="A31" s="29"/>
      <c r="B31" s="30" t="s">
        <v>71</v>
      </c>
      <c r="C31" s="89">
        <v>427914</v>
      </c>
      <c r="D31" s="52">
        <v>432235</v>
      </c>
      <c r="E31" s="90">
        <v>436721</v>
      </c>
      <c r="F31" s="91">
        <f t="shared" si="0"/>
        <v>432290</v>
      </c>
    </row>
    <row r="32" spans="1:6">
      <c r="A32" s="29"/>
      <c r="B32" s="47" t="s">
        <v>72</v>
      </c>
      <c r="C32" s="86">
        <v>67916</v>
      </c>
      <c r="D32" s="48">
        <v>67893</v>
      </c>
      <c r="E32" s="87">
        <v>67898</v>
      </c>
      <c r="F32" s="88">
        <f t="shared" si="0"/>
        <v>67902.333333333328</v>
      </c>
    </row>
    <row r="33" spans="1:6">
      <c r="A33" s="56"/>
      <c r="B33" s="57" t="s">
        <v>73</v>
      </c>
      <c r="C33" s="92">
        <f>SUM(C7:C32)</f>
        <v>7405051</v>
      </c>
      <c r="D33" s="58">
        <f>SUM(D7:D32)</f>
        <v>7454112</v>
      </c>
      <c r="E33" s="93">
        <f>SUM(E7:E32)</f>
        <v>7501255</v>
      </c>
      <c r="F33" s="94">
        <f>SUM(F7:F32)</f>
        <v>7453472.666666666</v>
      </c>
    </row>
    <row r="34" spans="1:6">
      <c r="B34" s="95"/>
      <c r="C34" s="95"/>
      <c r="D34" s="95"/>
      <c r="E34" s="95"/>
      <c r="F34" s="95"/>
    </row>
  </sheetData>
  <mergeCells count="1">
    <mergeCell ref="C4:E4"/>
  </mergeCells>
  <conditionalFormatting sqref="C7:E32 C5:F5">
    <cfRule type="expression" dxfId="6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8" orientation="landscape" r:id="rId1"/>
  <headerFooter>
    <oddHeader>&amp;L&amp;F&amp;R&amp;A</oddHeader>
    <oddFooter>&amp;CSeite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35"/>
  <sheetViews>
    <sheetView showGridLines="0" workbookViewId="0"/>
  </sheetViews>
  <sheetFormatPr baseColWidth="10" defaultColWidth="11.42578125" defaultRowHeight="12.75"/>
  <cols>
    <col min="1" max="1" width="1.42578125" style="1" customWidth="1"/>
    <col min="2" max="2" width="15.85546875" style="1" customWidth="1"/>
    <col min="3" max="3" width="12.42578125" style="1" customWidth="1"/>
    <col min="4" max="5" width="13.28515625" style="1" customWidth="1"/>
    <col min="6" max="6" width="13.7109375" style="1" customWidth="1"/>
    <col min="7" max="8" width="13.28515625" style="1" customWidth="1"/>
    <col min="9" max="9" width="14" style="1" customWidth="1"/>
  </cols>
  <sheetData>
    <row r="1" spans="1:9" ht="26.25" customHeight="1">
      <c r="B1" s="302" t="str">
        <f>"Wachstumsraten der Ressourcenpotenziale "&amp;Info!C30</f>
        <v>Wachstumsraten der Ressourcenpotenziale 2009</v>
      </c>
      <c r="C1" s="302"/>
      <c r="D1" s="302"/>
      <c r="E1" s="302"/>
      <c r="F1" s="302"/>
      <c r="G1" s="302"/>
      <c r="H1" s="16"/>
    </row>
    <row r="2" spans="1:9" ht="18.75" customHeight="1">
      <c r="I2" s="17" t="str">
        <f>Info!$C$28</f>
        <v>FA_2009_20120423</v>
      </c>
    </row>
    <row r="3" spans="1:9">
      <c r="B3" s="62" t="s">
        <v>27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3" t="s">
        <v>33</v>
      </c>
      <c r="I3" s="64" t="s">
        <v>34</v>
      </c>
    </row>
    <row r="4" spans="1:9" ht="27.75" customHeight="1">
      <c r="A4" s="29"/>
      <c r="B4" s="42"/>
      <c r="C4" s="303" t="str">
        <f>"Ressourcen-index "&amp;Info!C30</f>
        <v>Ressourcen-index 2009</v>
      </c>
      <c r="D4" s="307" t="s">
        <v>76</v>
      </c>
      <c r="E4" s="308"/>
      <c r="F4" s="309"/>
      <c r="G4" s="305" t="s">
        <v>77</v>
      </c>
      <c r="H4" s="305"/>
      <c r="I4" s="306"/>
    </row>
    <row r="5" spans="1:9" ht="15.75" customHeight="1">
      <c r="A5" s="29"/>
      <c r="B5" s="96"/>
      <c r="C5" s="304"/>
      <c r="D5" s="97">
        <f>Info!C30-1</f>
        <v>2008</v>
      </c>
      <c r="E5" s="98">
        <f>Info!C30</f>
        <v>2009</v>
      </c>
      <c r="F5" s="99" t="s">
        <v>78</v>
      </c>
      <c r="G5" s="98">
        <f>D5</f>
        <v>2008</v>
      </c>
      <c r="H5" s="98">
        <f>E5</f>
        <v>2009</v>
      </c>
      <c r="I5" s="100" t="s">
        <v>78</v>
      </c>
    </row>
    <row r="6" spans="1:9" s="77" customFormat="1" ht="14.45" customHeight="1">
      <c r="A6" s="101"/>
      <c r="B6" s="39" t="s">
        <v>43</v>
      </c>
      <c r="C6" s="102" t="s">
        <v>79</v>
      </c>
      <c r="D6" s="103" t="s">
        <v>44</v>
      </c>
      <c r="E6" s="40" t="s">
        <v>44</v>
      </c>
      <c r="F6" s="104" t="s">
        <v>80</v>
      </c>
      <c r="G6" s="40" t="s">
        <v>44</v>
      </c>
      <c r="H6" s="40" t="s">
        <v>44</v>
      </c>
      <c r="I6" s="105" t="s">
        <v>80</v>
      </c>
    </row>
    <row r="7" spans="1:9">
      <c r="A7" s="106"/>
      <c r="B7" s="42" t="s">
        <v>47</v>
      </c>
      <c r="C7" s="107">
        <f>RP!I7</f>
        <v>131.1</v>
      </c>
      <c r="D7" s="108">
        <v>43444138.970550001</v>
      </c>
      <c r="E7" s="109">
        <f>RP!F7</f>
        <v>46545785.655635066</v>
      </c>
      <c r="F7" s="110">
        <f t="shared" ref="F7:F33" si="0">E7/D7-1</f>
        <v>7.1393903955321081E-2</v>
      </c>
      <c r="G7" s="45">
        <f t="shared" ref="G7:G32" si="1">IF($C7&gt;100,D7,"")</f>
        <v>43444138.970550001</v>
      </c>
      <c r="H7" s="45">
        <f t="shared" ref="H7:H32" si="2">IF($C7&gt;100,E7,"")</f>
        <v>46545785.655635066</v>
      </c>
      <c r="I7" s="111">
        <f t="shared" ref="I7:I32" si="3">IF(C7&gt;=100,H7/G7-1,"")</f>
        <v>7.1393903955321081E-2</v>
      </c>
    </row>
    <row r="8" spans="1:9">
      <c r="A8" s="106"/>
      <c r="B8" s="112" t="s">
        <v>48</v>
      </c>
      <c r="C8" s="113">
        <f>RP!I8</f>
        <v>77</v>
      </c>
      <c r="D8" s="114">
        <v>19916462.799005501</v>
      </c>
      <c r="E8" s="115">
        <f>RP!F8</f>
        <v>20512541.833606567</v>
      </c>
      <c r="F8" s="116">
        <f t="shared" si="0"/>
        <v>2.992896081079377E-2</v>
      </c>
      <c r="G8" s="50" t="str">
        <f t="shared" si="1"/>
        <v/>
      </c>
      <c r="H8" s="50" t="str">
        <f t="shared" si="2"/>
        <v/>
      </c>
      <c r="I8" s="117" t="str">
        <f t="shared" si="3"/>
        <v/>
      </c>
    </row>
    <row r="9" spans="1:9">
      <c r="A9" s="106"/>
      <c r="B9" s="118" t="s">
        <v>49</v>
      </c>
      <c r="C9" s="119">
        <f>RP!I9</f>
        <v>76.5</v>
      </c>
      <c r="D9" s="120">
        <v>7295865.0370660201</v>
      </c>
      <c r="E9" s="121">
        <f>RP!F9</f>
        <v>7500378.781133526</v>
      </c>
      <c r="F9" s="122">
        <f t="shared" si="0"/>
        <v>2.8031459330523756E-2</v>
      </c>
      <c r="G9" s="54" t="str">
        <f t="shared" si="1"/>
        <v/>
      </c>
      <c r="H9" s="54" t="str">
        <f t="shared" si="2"/>
        <v/>
      </c>
      <c r="I9" s="123" t="str">
        <f t="shared" si="3"/>
        <v/>
      </c>
    </row>
    <row r="10" spans="1:9">
      <c r="A10" s="106"/>
      <c r="B10" s="112" t="s">
        <v>50</v>
      </c>
      <c r="C10" s="113">
        <f>RP!I10</f>
        <v>60.6</v>
      </c>
      <c r="D10" s="114">
        <v>577415.12846602499</v>
      </c>
      <c r="E10" s="115">
        <f>RP!F10</f>
        <v>583020.35626237828</v>
      </c>
      <c r="F10" s="116">
        <f t="shared" si="0"/>
        <v>9.7074488007342641E-3</v>
      </c>
      <c r="G10" s="50" t="str">
        <f t="shared" si="1"/>
        <v/>
      </c>
      <c r="H10" s="50" t="str">
        <f t="shared" si="2"/>
        <v/>
      </c>
      <c r="I10" s="117" t="str">
        <f t="shared" si="3"/>
        <v/>
      </c>
    </row>
    <row r="11" spans="1:9">
      <c r="A11" s="106"/>
      <c r="B11" s="118" t="s">
        <v>51</v>
      </c>
      <c r="C11" s="119">
        <f>RP!I11</f>
        <v>124.9</v>
      </c>
      <c r="D11" s="120">
        <v>4487761.7565482296</v>
      </c>
      <c r="E11" s="121">
        <f>RP!F11</f>
        <v>4673055.4188620038</v>
      </c>
      <c r="F11" s="122">
        <f t="shared" si="0"/>
        <v>4.1288658437228065E-2</v>
      </c>
      <c r="G11" s="54">
        <f t="shared" si="1"/>
        <v>4487761.7565482296</v>
      </c>
      <c r="H11" s="54">
        <f t="shared" si="2"/>
        <v>4673055.4188620038</v>
      </c>
      <c r="I11" s="123">
        <f t="shared" si="3"/>
        <v>4.1288658437228065E-2</v>
      </c>
    </row>
    <row r="12" spans="1:9">
      <c r="A12" s="106"/>
      <c r="B12" s="112" t="s">
        <v>52</v>
      </c>
      <c r="C12" s="113">
        <f>RP!I12</f>
        <v>66.099999999999994</v>
      </c>
      <c r="D12" s="114">
        <v>596889.97531190503</v>
      </c>
      <c r="E12" s="115">
        <f>RP!F12</f>
        <v>604530.00120708067</v>
      </c>
      <c r="F12" s="116">
        <f t="shared" si="0"/>
        <v>1.2799722245600442E-2</v>
      </c>
      <c r="G12" s="50" t="str">
        <f t="shared" si="1"/>
        <v/>
      </c>
      <c r="H12" s="50" t="str">
        <f t="shared" si="2"/>
        <v/>
      </c>
      <c r="I12" s="117" t="str">
        <f t="shared" si="3"/>
        <v/>
      </c>
    </row>
    <row r="13" spans="1:9">
      <c r="A13" s="106"/>
      <c r="B13" s="118" t="s">
        <v>53</v>
      </c>
      <c r="C13" s="119">
        <f>RP!I13</f>
        <v>127.7</v>
      </c>
      <c r="D13" s="120">
        <v>1301189.68714653</v>
      </c>
      <c r="E13" s="121">
        <f>RP!F13</f>
        <v>1370366.8679020335</v>
      </c>
      <c r="F13" s="122">
        <f t="shared" si="0"/>
        <v>5.3164562737356924E-2</v>
      </c>
      <c r="G13" s="54">
        <f t="shared" si="1"/>
        <v>1301189.68714653</v>
      </c>
      <c r="H13" s="54">
        <f t="shared" si="2"/>
        <v>1370366.8679020335</v>
      </c>
      <c r="I13" s="123">
        <f t="shared" si="3"/>
        <v>5.3164562737356924E-2</v>
      </c>
    </row>
    <row r="14" spans="1:9">
      <c r="A14" s="106"/>
      <c r="B14" s="112" t="s">
        <v>54</v>
      </c>
      <c r="C14" s="113">
        <f>RP!I14</f>
        <v>68.900000000000006</v>
      </c>
      <c r="D14" s="114">
        <v>716492.80376351404</v>
      </c>
      <c r="E14" s="115">
        <f>RP!F14</f>
        <v>729438.16924428393</v>
      </c>
      <c r="F14" s="116">
        <f t="shared" si="0"/>
        <v>1.8067683880105934E-2</v>
      </c>
      <c r="G14" s="50" t="str">
        <f t="shared" si="1"/>
        <v/>
      </c>
      <c r="H14" s="50" t="str">
        <f t="shared" si="2"/>
        <v/>
      </c>
      <c r="I14" s="117" t="str">
        <f t="shared" si="3"/>
        <v/>
      </c>
    </row>
    <row r="15" spans="1:9">
      <c r="A15" s="106"/>
      <c r="B15" s="118" t="s">
        <v>55</v>
      </c>
      <c r="C15" s="119">
        <f>RP!I15</f>
        <v>223.8</v>
      </c>
      <c r="D15" s="120">
        <v>6008924.6488219304</v>
      </c>
      <c r="E15" s="121">
        <f>RP!F15</f>
        <v>6492133.1316558393</v>
      </c>
      <c r="F15" s="122">
        <f t="shared" si="0"/>
        <v>8.0415134333335914E-2</v>
      </c>
      <c r="G15" s="54">
        <f t="shared" si="1"/>
        <v>6008924.6488219304</v>
      </c>
      <c r="H15" s="54">
        <f t="shared" si="2"/>
        <v>6492133.1316558393</v>
      </c>
      <c r="I15" s="123">
        <f t="shared" si="3"/>
        <v>8.0415134333335914E-2</v>
      </c>
    </row>
    <row r="16" spans="1:9">
      <c r="A16" s="106"/>
      <c r="B16" s="112" t="s">
        <v>56</v>
      </c>
      <c r="C16" s="113">
        <f>RP!I16</f>
        <v>73.5</v>
      </c>
      <c r="D16" s="114">
        <v>5071392.1153863696</v>
      </c>
      <c r="E16" s="115">
        <f>RP!F16</f>
        <v>5129527.937298473</v>
      </c>
      <c r="F16" s="116">
        <f t="shared" si="0"/>
        <v>1.1463483909225136E-2</v>
      </c>
      <c r="G16" s="50" t="str">
        <f t="shared" si="1"/>
        <v/>
      </c>
      <c r="H16" s="50" t="str">
        <f t="shared" si="2"/>
        <v/>
      </c>
      <c r="I16" s="117" t="str">
        <f t="shared" si="3"/>
        <v/>
      </c>
    </row>
    <row r="17" spans="1:9">
      <c r="A17" s="106"/>
      <c r="B17" s="118" t="s">
        <v>57</v>
      </c>
      <c r="C17" s="119">
        <f>RP!I17</f>
        <v>76.2</v>
      </c>
      <c r="D17" s="120">
        <v>5042912.0431931997</v>
      </c>
      <c r="E17" s="121">
        <f>RP!F17</f>
        <v>5197871.70939939</v>
      </c>
      <c r="F17" s="122">
        <f t="shared" si="0"/>
        <v>3.0728211176189513E-2</v>
      </c>
      <c r="G17" s="54" t="str">
        <f t="shared" si="1"/>
        <v/>
      </c>
      <c r="H17" s="54" t="str">
        <f t="shared" si="2"/>
        <v/>
      </c>
      <c r="I17" s="123" t="str">
        <f t="shared" si="3"/>
        <v/>
      </c>
    </row>
    <row r="18" spans="1:9">
      <c r="A18" s="106"/>
      <c r="B18" s="112" t="s">
        <v>58</v>
      </c>
      <c r="C18" s="113">
        <f>RP!I18</f>
        <v>139.4</v>
      </c>
      <c r="D18" s="114">
        <v>7175704.9327571001</v>
      </c>
      <c r="E18" s="115">
        <f>RP!F18</f>
        <v>7362339.905616994</v>
      </c>
      <c r="F18" s="116">
        <f t="shared" si="0"/>
        <v>2.6009287534651149E-2</v>
      </c>
      <c r="G18" s="50">
        <f t="shared" si="1"/>
        <v>7175704.9327571001</v>
      </c>
      <c r="H18" s="50">
        <f t="shared" si="2"/>
        <v>7362339.905616994</v>
      </c>
      <c r="I18" s="117">
        <f t="shared" si="3"/>
        <v>2.6009287534651149E-2</v>
      </c>
    </row>
    <row r="19" spans="1:9">
      <c r="A19" s="106"/>
      <c r="B19" s="118" t="s">
        <v>59</v>
      </c>
      <c r="C19" s="119">
        <f>RP!I19</f>
        <v>102.6</v>
      </c>
      <c r="D19" s="120">
        <v>7357997.1742245601</v>
      </c>
      <c r="E19" s="121">
        <f>RP!F19</f>
        <v>7495641.380370006</v>
      </c>
      <c r="F19" s="122">
        <f t="shared" si="0"/>
        <v>1.8706748981587085E-2</v>
      </c>
      <c r="G19" s="54">
        <f t="shared" si="1"/>
        <v>7357997.1742245601</v>
      </c>
      <c r="H19" s="54">
        <f t="shared" si="2"/>
        <v>7495641.380370006</v>
      </c>
      <c r="I19" s="123">
        <f t="shared" si="3"/>
        <v>1.8706748981587085E-2</v>
      </c>
    </row>
    <row r="20" spans="1:9">
      <c r="A20" s="106"/>
      <c r="B20" s="112" t="s">
        <v>60</v>
      </c>
      <c r="C20" s="113">
        <f>RP!I20</f>
        <v>96.1</v>
      </c>
      <c r="D20" s="114">
        <v>1917898.6163134</v>
      </c>
      <c r="E20" s="115">
        <f>RP!F20</f>
        <v>1973309.0697209898</v>
      </c>
      <c r="F20" s="116">
        <f t="shared" si="0"/>
        <v>2.8891231755566071E-2</v>
      </c>
      <c r="G20" s="50" t="str">
        <f t="shared" si="1"/>
        <v/>
      </c>
      <c r="H20" s="50" t="str">
        <f t="shared" si="2"/>
        <v/>
      </c>
      <c r="I20" s="117" t="str">
        <f t="shared" si="3"/>
        <v/>
      </c>
    </row>
    <row r="21" spans="1:9">
      <c r="A21" s="106"/>
      <c r="B21" s="118" t="s">
        <v>61</v>
      </c>
      <c r="C21" s="119">
        <f>RP!I21</f>
        <v>76</v>
      </c>
      <c r="D21" s="120">
        <v>1096393.0362894901</v>
      </c>
      <c r="E21" s="121">
        <f>RP!F21</f>
        <v>1105478.3356264534</v>
      </c>
      <c r="F21" s="122">
        <f t="shared" si="0"/>
        <v>8.2865350620162648E-3</v>
      </c>
      <c r="G21" s="54" t="str">
        <f t="shared" si="1"/>
        <v/>
      </c>
      <c r="H21" s="54" t="str">
        <f t="shared" si="2"/>
        <v/>
      </c>
      <c r="I21" s="123" t="str">
        <f t="shared" si="3"/>
        <v/>
      </c>
    </row>
    <row r="22" spans="1:9">
      <c r="A22" s="106"/>
      <c r="B22" s="112" t="s">
        <v>62</v>
      </c>
      <c r="C22" s="113">
        <f>RP!I22</f>
        <v>81.099999999999994</v>
      </c>
      <c r="D22" s="114">
        <v>314442.03439774702</v>
      </c>
      <c r="E22" s="115">
        <f>RP!F22</f>
        <v>331954.28584810434</v>
      </c>
      <c r="F22" s="116">
        <f t="shared" si="0"/>
        <v>5.5693099314468641E-2</v>
      </c>
      <c r="G22" s="50" t="str">
        <f t="shared" si="1"/>
        <v/>
      </c>
      <c r="H22" s="50" t="str">
        <f t="shared" si="2"/>
        <v/>
      </c>
      <c r="I22" s="117" t="str">
        <f t="shared" si="3"/>
        <v/>
      </c>
    </row>
    <row r="23" spans="1:9">
      <c r="A23" s="106"/>
      <c r="B23" s="118" t="s">
        <v>63</v>
      </c>
      <c r="C23" s="119">
        <f>RP!I23</f>
        <v>76.099999999999994</v>
      </c>
      <c r="D23" s="120">
        <v>9494887.1077542994</v>
      </c>
      <c r="E23" s="121">
        <f>RP!F23</f>
        <v>9683800.100698648</v>
      </c>
      <c r="F23" s="122">
        <f t="shared" si="0"/>
        <v>1.989628636975227E-2</v>
      </c>
      <c r="G23" s="54" t="str">
        <f t="shared" si="1"/>
        <v/>
      </c>
      <c r="H23" s="54" t="str">
        <f t="shared" si="2"/>
        <v/>
      </c>
      <c r="I23" s="123" t="str">
        <f t="shared" si="3"/>
        <v/>
      </c>
    </row>
    <row r="24" spans="1:9">
      <c r="A24" s="106"/>
      <c r="B24" s="112" t="s">
        <v>64</v>
      </c>
      <c r="C24" s="113">
        <f>RP!I24</f>
        <v>80.599999999999994</v>
      </c>
      <c r="D24" s="114">
        <v>4200375.5312242499</v>
      </c>
      <c r="E24" s="115">
        <f>RP!F24</f>
        <v>4269787.159101286</v>
      </c>
      <c r="F24" s="116">
        <f t="shared" si="0"/>
        <v>1.6525100520430103E-2</v>
      </c>
      <c r="G24" s="50" t="str">
        <f t="shared" si="1"/>
        <v/>
      </c>
      <c r="H24" s="50" t="str">
        <f t="shared" si="2"/>
        <v/>
      </c>
      <c r="I24" s="117" t="str">
        <f t="shared" si="3"/>
        <v/>
      </c>
    </row>
    <row r="25" spans="1:9">
      <c r="A25" s="106"/>
      <c r="B25" s="118" t="s">
        <v>65</v>
      </c>
      <c r="C25" s="119">
        <f>RP!I25</f>
        <v>88.8</v>
      </c>
      <c r="D25" s="120">
        <v>13533496.847640499</v>
      </c>
      <c r="E25" s="121">
        <f>RP!F25</f>
        <v>13851810.219277667</v>
      </c>
      <c r="F25" s="122">
        <f t="shared" si="0"/>
        <v>2.352040830398261E-2</v>
      </c>
      <c r="G25" s="54" t="str">
        <f t="shared" si="1"/>
        <v/>
      </c>
      <c r="H25" s="54" t="str">
        <f t="shared" si="2"/>
        <v/>
      </c>
      <c r="I25" s="123" t="str">
        <f t="shared" si="3"/>
        <v/>
      </c>
    </row>
    <row r="26" spans="1:9">
      <c r="A26" s="106"/>
      <c r="B26" s="112" t="s">
        <v>66</v>
      </c>
      <c r="C26" s="113">
        <f>RP!I26</f>
        <v>73.400000000000006</v>
      </c>
      <c r="D26" s="114">
        <v>4622428.5829589199</v>
      </c>
      <c r="E26" s="115">
        <f>RP!F26</f>
        <v>4735638.719922916</v>
      </c>
      <c r="F26" s="116">
        <f t="shared" si="0"/>
        <v>2.4491484277627817E-2</v>
      </c>
      <c r="G26" s="50" t="str">
        <f t="shared" si="1"/>
        <v/>
      </c>
      <c r="H26" s="50" t="str">
        <f t="shared" si="2"/>
        <v/>
      </c>
      <c r="I26" s="117" t="str">
        <f t="shared" si="3"/>
        <v/>
      </c>
    </row>
    <row r="27" spans="1:9">
      <c r="A27" s="106"/>
      <c r="B27" s="118" t="s">
        <v>67</v>
      </c>
      <c r="C27" s="119">
        <f>RP!I27</f>
        <v>95.9</v>
      </c>
      <c r="D27" s="120">
        <v>8310306.3720507901</v>
      </c>
      <c r="E27" s="121">
        <f>RP!F27</f>
        <v>8480542.9682676867</v>
      </c>
      <c r="F27" s="122">
        <f t="shared" si="0"/>
        <v>2.0484996412338807E-2</v>
      </c>
      <c r="G27" s="54" t="str">
        <f t="shared" si="1"/>
        <v/>
      </c>
      <c r="H27" s="54" t="str">
        <f t="shared" si="2"/>
        <v/>
      </c>
      <c r="I27" s="123" t="str">
        <f t="shared" si="3"/>
        <v/>
      </c>
    </row>
    <row r="28" spans="1:9">
      <c r="A28" s="106"/>
      <c r="B28" s="112" t="s">
        <v>68</v>
      </c>
      <c r="C28" s="113">
        <f>RP!I28</f>
        <v>101.5</v>
      </c>
      <c r="D28" s="114">
        <v>18513048.8223162</v>
      </c>
      <c r="E28" s="115">
        <f>RP!F28</f>
        <v>18445231.942955699</v>
      </c>
      <c r="F28" s="116">
        <f t="shared" si="0"/>
        <v>-3.6631934594560933E-3</v>
      </c>
      <c r="G28" s="50">
        <f t="shared" si="1"/>
        <v>18513048.8223162</v>
      </c>
      <c r="H28" s="50">
        <f t="shared" si="2"/>
        <v>18445231.942955699</v>
      </c>
      <c r="I28" s="117">
        <f t="shared" si="3"/>
        <v>-3.6631934594560933E-3</v>
      </c>
    </row>
    <row r="29" spans="1:9">
      <c r="A29" s="106"/>
      <c r="B29" s="118" t="s">
        <v>69</v>
      </c>
      <c r="C29" s="119">
        <f>RP!I29</f>
        <v>68.099999999999994</v>
      </c>
      <c r="D29" s="120">
        <v>5295297.1621940704</v>
      </c>
      <c r="E29" s="121">
        <f>RP!F29</f>
        <v>5400659.4257815639</v>
      </c>
      <c r="F29" s="122">
        <f t="shared" si="0"/>
        <v>1.9897327828876321E-2</v>
      </c>
      <c r="G29" s="54" t="str">
        <f t="shared" si="1"/>
        <v/>
      </c>
      <c r="H29" s="54" t="str">
        <f t="shared" si="2"/>
        <v/>
      </c>
      <c r="I29" s="123" t="str">
        <f t="shared" si="3"/>
        <v/>
      </c>
    </row>
    <row r="30" spans="1:9">
      <c r="A30" s="106"/>
      <c r="B30" s="112" t="s">
        <v>70</v>
      </c>
      <c r="C30" s="113">
        <f>RP!I30</f>
        <v>97.5</v>
      </c>
      <c r="D30" s="114">
        <v>4372504.4961662795</v>
      </c>
      <c r="E30" s="115">
        <f>RP!F30</f>
        <v>4556127.1425671568</v>
      </c>
      <c r="F30" s="116">
        <f t="shared" si="0"/>
        <v>4.1994844502017958E-2</v>
      </c>
      <c r="G30" s="50" t="str">
        <f t="shared" si="1"/>
        <v/>
      </c>
      <c r="H30" s="50" t="str">
        <f t="shared" si="2"/>
        <v/>
      </c>
      <c r="I30" s="117" t="str">
        <f t="shared" si="3"/>
        <v/>
      </c>
    </row>
    <row r="31" spans="1:9">
      <c r="A31" s="106"/>
      <c r="B31" s="118" t="s">
        <v>71</v>
      </c>
      <c r="C31" s="119">
        <f>RP!I31</f>
        <v>151.19999999999999</v>
      </c>
      <c r="D31" s="120">
        <v>17486275.360045899</v>
      </c>
      <c r="E31" s="121">
        <f>RP!F31</f>
        <v>18097780.954820734</v>
      </c>
      <c r="F31" s="122">
        <f t="shared" si="0"/>
        <v>3.4970603069196526E-2</v>
      </c>
      <c r="G31" s="54">
        <f t="shared" si="1"/>
        <v>17486275.360045899</v>
      </c>
      <c r="H31" s="54">
        <f t="shared" si="2"/>
        <v>18097780.954820734</v>
      </c>
      <c r="I31" s="123">
        <f t="shared" si="3"/>
        <v>3.4970603069196526E-2</v>
      </c>
    </row>
    <row r="32" spans="1:9">
      <c r="A32" s="124"/>
      <c r="B32" s="125" t="s">
        <v>72</v>
      </c>
      <c r="C32" s="126">
        <f>RP!I32</f>
        <v>68.7</v>
      </c>
      <c r="D32" s="127">
        <v>1253647.05353362</v>
      </c>
      <c r="E32" s="128">
        <f>RP!F32</f>
        <v>1291798.7159127768</v>
      </c>
      <c r="F32" s="129">
        <f t="shared" si="0"/>
        <v>3.0432538625301042E-2</v>
      </c>
      <c r="G32" s="130" t="str">
        <f t="shared" si="1"/>
        <v/>
      </c>
      <c r="H32" s="130" t="str">
        <f t="shared" si="2"/>
        <v/>
      </c>
      <c r="I32" s="131" t="str">
        <f t="shared" si="3"/>
        <v/>
      </c>
    </row>
    <row r="33" spans="1:9">
      <c r="B33" s="57" t="s">
        <v>73</v>
      </c>
      <c r="C33" s="132">
        <f>RP!I33</f>
        <v>100</v>
      </c>
      <c r="D33" s="133">
        <f>SUM(D7:D32)</f>
        <v>199404148.09512636</v>
      </c>
      <c r="E33" s="134">
        <f>SUM(E7:E32)</f>
        <v>206420550.18869537</v>
      </c>
      <c r="F33" s="135">
        <f t="shared" si="0"/>
        <v>3.5186841199621455E-2</v>
      </c>
      <c r="G33" s="58">
        <f>SUM(G7:G32)</f>
        <v>105775041.35241044</v>
      </c>
      <c r="H33" s="58">
        <f>SUM(H7:H32)</f>
        <v>110482335.25781839</v>
      </c>
      <c r="I33" s="136">
        <f>IF(H33&gt;0,H33/G33-1,0)</f>
        <v>4.45028793675879E-2</v>
      </c>
    </row>
    <row r="34" spans="1:9">
      <c r="A34" s="137"/>
      <c r="B34" s="29"/>
      <c r="C34" s="29"/>
      <c r="D34" s="29"/>
    </row>
    <row r="35" spans="1:9">
      <c r="B35" s="29"/>
      <c r="C35" s="29"/>
      <c r="D35" s="29"/>
    </row>
  </sheetData>
  <mergeCells count="4">
    <mergeCell ref="B1:G1"/>
    <mergeCell ref="C4:C5"/>
    <mergeCell ref="G4:I4"/>
    <mergeCell ref="D4:F4"/>
  </mergeCells>
  <conditionalFormatting sqref="G5:H5 D5:E5 C33 D7:E33">
    <cfRule type="expression" dxfId="5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5"/>
  <sheetViews>
    <sheetView showGridLines="0" workbookViewId="0"/>
  </sheetViews>
  <sheetFormatPr baseColWidth="10" defaultColWidth="11.42578125" defaultRowHeight="12.75"/>
  <cols>
    <col min="1" max="1" width="1.7109375" style="1" customWidth="1"/>
    <col min="2" max="2" width="32" style="1" customWidth="1"/>
    <col min="3" max="3" width="15.85546875" style="1" customWidth="1"/>
    <col min="4" max="4" width="19" style="1" customWidth="1"/>
    <col min="5" max="5" width="17.140625" style="1" customWidth="1"/>
    <col min="6" max="6" width="14.5703125" style="1" customWidth="1"/>
    <col min="7" max="7" width="16.28515625" style="1" customWidth="1"/>
    <col min="8" max="8" width="6.140625" style="1" customWidth="1"/>
  </cols>
  <sheetData>
    <row r="1" spans="2:8" ht="18" customHeight="1">
      <c r="B1" s="138" t="str">
        <f>"Fortschreibung der Dotationen im Ressourcenausgleich "&amp;G4</f>
        <v>Fortschreibung der Dotationen im Ressourcenausgleich 2009</v>
      </c>
    </row>
    <row r="2" spans="2:8">
      <c r="B2" s="139" t="s">
        <v>81</v>
      </c>
      <c r="H2" s="29"/>
    </row>
    <row r="3" spans="2:8">
      <c r="G3" s="17" t="str">
        <f>Info!C28</f>
        <v>FA_2009_20120423</v>
      </c>
      <c r="H3" s="29"/>
    </row>
    <row r="4" spans="2:8" ht="24.75" customHeight="1">
      <c r="B4" s="140" t="s">
        <v>82</v>
      </c>
      <c r="C4" s="141">
        <f>G4-1</f>
        <v>2008</v>
      </c>
      <c r="D4" s="142" t="s">
        <v>83</v>
      </c>
      <c r="E4" s="143" t="s">
        <v>84</v>
      </c>
      <c r="F4" s="143" t="s">
        <v>85</v>
      </c>
      <c r="G4" s="144">
        <f>Info!C30</f>
        <v>2009</v>
      </c>
      <c r="H4" s="29"/>
    </row>
    <row r="5" spans="2:8">
      <c r="B5" s="42" t="s">
        <v>86</v>
      </c>
      <c r="C5" s="43">
        <v>1798568507</v>
      </c>
      <c r="D5" s="145">
        <f>Wachstum_RP!F33</f>
        <v>3.5186841199621455E-2</v>
      </c>
      <c r="E5" s="45">
        <f>C5*(1+D5)</f>
        <v>1861854451.4424493</v>
      </c>
      <c r="F5" s="43">
        <v>0</v>
      </c>
      <c r="G5" s="146">
        <f>E5+F5</f>
        <v>1861854451.4424493</v>
      </c>
      <c r="H5" s="29"/>
    </row>
    <row r="6" spans="2:8">
      <c r="B6" s="96" t="s">
        <v>87</v>
      </c>
      <c r="C6" s="147">
        <v>1258997955</v>
      </c>
      <c r="D6" s="148">
        <f>Wachstum_RP!I33</f>
        <v>4.45028793675879E-2</v>
      </c>
      <c r="E6" s="149">
        <f>C6*(1+D6)</f>
        <v>1315026989.1154048</v>
      </c>
      <c r="F6" s="147">
        <v>0</v>
      </c>
      <c r="G6" s="150">
        <f>E6+F6</f>
        <v>1315026989.1154048</v>
      </c>
      <c r="H6" s="29"/>
    </row>
    <row r="7" spans="2:8">
      <c r="B7" s="95"/>
      <c r="C7" s="29"/>
      <c r="D7" s="29"/>
      <c r="H7" s="29"/>
    </row>
    <row r="10" spans="2:8">
      <c r="E10" s="151"/>
    </row>
    <row r="11" spans="2:8">
      <c r="B11" s="139"/>
      <c r="C11" s="152"/>
      <c r="D11" s="152"/>
      <c r="E11" s="151"/>
      <c r="F11" s="153"/>
      <c r="G11" s="153"/>
    </row>
    <row r="12" spans="2:8">
      <c r="B12" s="140" t="s">
        <v>88</v>
      </c>
      <c r="C12" s="154">
        <f>C4</f>
        <v>2008</v>
      </c>
      <c r="D12" s="155">
        <f>G4</f>
        <v>2009</v>
      </c>
      <c r="E12" s="151"/>
      <c r="F12" s="153"/>
      <c r="G12" s="153"/>
    </row>
    <row r="13" spans="2:8">
      <c r="B13" s="118" t="s">
        <v>89</v>
      </c>
      <c r="C13" s="54">
        <f>0.8*C$5</f>
        <v>1438854805.6000001</v>
      </c>
      <c r="D13" s="91">
        <f>0.8*G5</f>
        <v>1489483561.1539595</v>
      </c>
      <c r="E13" s="151"/>
      <c r="F13" s="153"/>
      <c r="G13" s="153"/>
    </row>
    <row r="14" spans="2:8">
      <c r="B14" s="156" t="s">
        <v>90</v>
      </c>
      <c r="C14" s="157">
        <f>C6/C5</f>
        <v>0.70000000005559981</v>
      </c>
      <c r="D14" s="158">
        <f>G6/G5</f>
        <v>0.7062995649829682</v>
      </c>
    </row>
    <row r="15" spans="2:8">
      <c r="B15" s="96" t="s">
        <v>91</v>
      </c>
      <c r="C15" s="149">
        <f>(2/3)*C$5</f>
        <v>1199045671.3333333</v>
      </c>
      <c r="D15" s="159">
        <f>(2/3)*G5</f>
        <v>1241236300.9616327</v>
      </c>
    </row>
    <row r="16" spans="2:8">
      <c r="B16" s="160" t="s">
        <v>92</v>
      </c>
    </row>
    <row r="17" spans="2:4">
      <c r="B17" s="161" t="s">
        <v>93</v>
      </c>
    </row>
    <row r="22" spans="2:4">
      <c r="B22" s="139"/>
    </row>
    <row r="23" spans="2:4" ht="15.75" customHeight="1">
      <c r="B23" s="162" t="str">
        <f>"Dotationen "&amp;G4</f>
        <v>Dotationen 2009</v>
      </c>
      <c r="C23" s="163"/>
      <c r="D23" s="164"/>
    </row>
    <row r="24" spans="2:4" ht="15.75" customHeight="1">
      <c r="B24" s="165" t="s">
        <v>86</v>
      </c>
      <c r="C24" s="166"/>
      <c r="D24" s="167">
        <f>G5</f>
        <v>1861854451.4424493</v>
      </c>
    </row>
    <row r="25" spans="2:4" ht="15.75" customHeight="1">
      <c r="B25" s="165" t="s">
        <v>87</v>
      </c>
      <c r="C25" s="166"/>
      <c r="D25" s="167">
        <f>IF(G6&gt;D13,D13,IF(G6&lt;D15,D15,G6))</f>
        <v>1315026989.1154048</v>
      </c>
    </row>
    <row r="26" spans="2:4" ht="20.25" customHeight="1">
      <c r="B26" s="168" t="s">
        <v>94</v>
      </c>
      <c r="C26" s="169"/>
      <c r="D26" s="170">
        <f>D24+D25</f>
        <v>3176881440.5578542</v>
      </c>
    </row>
    <row r="28" spans="2:4" hidden="1"/>
    <row r="29" spans="2:4" hidden="1"/>
    <row r="31" spans="2:4">
      <c r="B31" s="310" t="str">
        <f>"Effektive Wachstumsraten* "&amp;C4&amp;"-"&amp;G4</f>
        <v>Effektive Wachstumsraten* 2008-2009</v>
      </c>
      <c r="C31" s="311"/>
    </row>
    <row r="32" spans="2:4">
      <c r="B32" s="171" t="s">
        <v>86</v>
      </c>
      <c r="C32" s="111">
        <f>D24/C5-1</f>
        <v>3.5186841199621455E-2</v>
      </c>
    </row>
    <row r="33" spans="2:3">
      <c r="B33" s="172" t="s">
        <v>87</v>
      </c>
      <c r="C33" s="173">
        <f>D25/C6-1</f>
        <v>4.45028793675879E-2</v>
      </c>
    </row>
    <row r="34" spans="2:3" ht="17.25" customHeight="1">
      <c r="B34" s="174" t="s">
        <v>95</v>
      </c>
      <c r="C34" s="175">
        <f>D26/(C5+C6)-1</f>
        <v>3.9022856916022253E-2</v>
      </c>
    </row>
    <row r="35" spans="2:3">
      <c r="B35" s="65" t="s">
        <v>96</v>
      </c>
    </row>
  </sheetData>
  <mergeCells count="1">
    <mergeCell ref="B31:C31"/>
  </mergeCells>
  <conditionalFormatting sqref="C5:C6 F5:F6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indexed="13"/>
    <pageSetUpPr fitToPage="1"/>
  </sheetPr>
  <dimension ref="A1:F33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6.5703125" style="1" customWidth="1"/>
    <col min="2" max="2" width="11.7109375" style="1" customWidth="1"/>
    <col min="3" max="3" width="14.28515625" style="1" customWidth="1"/>
    <col min="4" max="4" width="15.42578125" style="1" customWidth="1"/>
    <col min="5" max="5" width="17.7109375" style="1" customWidth="1"/>
    <col min="6" max="6" width="13" style="1" customWidth="1"/>
  </cols>
  <sheetData>
    <row r="1" spans="1:6" ht="26.25" customHeight="1">
      <c r="A1" s="302" t="str">
        <f>"Einzahlungen der ressourcenstarken Kantone "&amp;Info!C30</f>
        <v>Einzahlungen der ressourcenstarken Kantone 2009</v>
      </c>
      <c r="B1" s="302"/>
      <c r="C1" s="302"/>
      <c r="D1" s="302"/>
      <c r="E1" s="302"/>
      <c r="F1" s="302"/>
    </row>
    <row r="2" spans="1:6" ht="18.75" customHeight="1">
      <c r="F2" s="17" t="str">
        <f>Info!$C$28</f>
        <v>FA_2009_20120423</v>
      </c>
    </row>
    <row r="3" spans="1:6" s="1" customFormat="1">
      <c r="A3" s="62" t="s">
        <v>27</v>
      </c>
      <c r="B3" s="176" t="s">
        <v>97</v>
      </c>
      <c r="C3" s="63" t="s">
        <v>28</v>
      </c>
      <c r="D3" s="63" t="s">
        <v>29</v>
      </c>
      <c r="E3" s="63" t="s">
        <v>30</v>
      </c>
      <c r="F3" s="64" t="s">
        <v>31</v>
      </c>
    </row>
    <row r="4" spans="1:6" s="65" customFormat="1" ht="11.25" customHeight="1">
      <c r="A4" s="177" t="s">
        <v>35</v>
      </c>
      <c r="B4" s="178"/>
      <c r="C4" s="179"/>
      <c r="D4" s="179" t="s">
        <v>98</v>
      </c>
      <c r="E4" s="179" t="s">
        <v>99</v>
      </c>
      <c r="F4" s="180" t="s">
        <v>100</v>
      </c>
    </row>
    <row r="5" spans="1:6" ht="42.75" customHeight="1">
      <c r="A5" s="181"/>
      <c r="B5" s="182" t="s">
        <v>101</v>
      </c>
      <c r="C5" s="182" t="s">
        <v>102</v>
      </c>
      <c r="D5" s="183" t="s">
        <v>103</v>
      </c>
      <c r="E5" s="183" t="s">
        <v>104</v>
      </c>
      <c r="F5" s="184" t="s">
        <v>105</v>
      </c>
    </row>
    <row r="6" spans="1:6" s="185" customFormat="1">
      <c r="A6" s="39" t="s">
        <v>43</v>
      </c>
      <c r="B6" s="186" t="s">
        <v>79</v>
      </c>
      <c r="C6" s="40" t="s">
        <v>106</v>
      </c>
      <c r="D6" s="40"/>
      <c r="E6" s="40" t="s">
        <v>46</v>
      </c>
      <c r="F6" s="41" t="s">
        <v>46</v>
      </c>
    </row>
    <row r="7" spans="1:6" s="77" customFormat="1" ht="15" customHeight="1">
      <c r="A7" s="187" t="s">
        <v>47</v>
      </c>
      <c r="B7" s="188">
        <f>RP!I7</f>
        <v>131.1</v>
      </c>
      <c r="C7" s="189">
        <f>RP!G7</f>
        <v>1281503.3333333333</v>
      </c>
      <c r="D7" s="190">
        <f t="shared" ref="D7:D32" si="0">IF(B7&gt;100,(B7-100)*C7,0)</f>
        <v>39854753.666666657</v>
      </c>
      <c r="E7" s="190">
        <f t="shared" ref="E7:E32" si="1">IF(B7&gt;100,A/$D$33*(B7-100),0)</f>
        <v>461.71904172876805</v>
      </c>
      <c r="F7" s="191">
        <f t="shared" ref="F7:F32" si="2">E7*C7</f>
        <v>591694491.03888869</v>
      </c>
    </row>
    <row r="8" spans="1:6" s="77" customFormat="1" ht="15" customHeight="1">
      <c r="A8" s="192" t="s">
        <v>48</v>
      </c>
      <c r="B8" s="193">
        <f>RP!I8</f>
        <v>77</v>
      </c>
      <c r="C8" s="194">
        <f>RP!G8</f>
        <v>961316.66666666663</v>
      </c>
      <c r="D8" s="195">
        <f t="shared" si="0"/>
        <v>0</v>
      </c>
      <c r="E8" s="195">
        <f t="shared" si="1"/>
        <v>0</v>
      </c>
      <c r="F8" s="196">
        <f t="shared" si="2"/>
        <v>0</v>
      </c>
    </row>
    <row r="9" spans="1:6" s="77" customFormat="1" ht="15" customHeight="1">
      <c r="A9" s="187" t="s">
        <v>49</v>
      </c>
      <c r="B9" s="188">
        <f>RP!I9</f>
        <v>76.5</v>
      </c>
      <c r="C9" s="189">
        <f>RP!G9</f>
        <v>354121.66666666669</v>
      </c>
      <c r="D9" s="190">
        <f t="shared" si="0"/>
        <v>0</v>
      </c>
      <c r="E9" s="190">
        <f t="shared" si="1"/>
        <v>0</v>
      </c>
      <c r="F9" s="191">
        <f t="shared" si="2"/>
        <v>0</v>
      </c>
    </row>
    <row r="10" spans="1:6" s="77" customFormat="1" ht="15" customHeight="1">
      <c r="A10" s="192" t="s">
        <v>50</v>
      </c>
      <c r="B10" s="193">
        <f>RP!I10</f>
        <v>60.6</v>
      </c>
      <c r="C10" s="194">
        <f>RP!G10</f>
        <v>34719</v>
      </c>
      <c r="D10" s="195">
        <f t="shared" si="0"/>
        <v>0</v>
      </c>
      <c r="E10" s="195">
        <f t="shared" si="1"/>
        <v>0</v>
      </c>
      <c r="F10" s="196">
        <f t="shared" si="2"/>
        <v>0</v>
      </c>
    </row>
    <row r="11" spans="1:6" s="77" customFormat="1" ht="15" customHeight="1">
      <c r="A11" s="187" t="s">
        <v>51</v>
      </c>
      <c r="B11" s="188">
        <f>RP!I11</f>
        <v>124.9</v>
      </c>
      <c r="C11" s="189">
        <f>RP!G11</f>
        <v>135121.66666666666</v>
      </c>
      <c r="D11" s="190">
        <f t="shared" si="0"/>
        <v>3364529.5000000005</v>
      </c>
      <c r="E11" s="190">
        <f t="shared" si="1"/>
        <v>369.67215881177907</v>
      </c>
      <c r="F11" s="191">
        <f t="shared" si="2"/>
        <v>49950718.218912274</v>
      </c>
    </row>
    <row r="12" spans="1:6" s="77" customFormat="1" ht="15" customHeight="1">
      <c r="A12" s="192" t="s">
        <v>52</v>
      </c>
      <c r="B12" s="193">
        <f>RP!I12</f>
        <v>66.099999999999994</v>
      </c>
      <c r="C12" s="194">
        <f>RP!G12</f>
        <v>33047.666666666664</v>
      </c>
      <c r="D12" s="195">
        <f t="shared" si="0"/>
        <v>0</v>
      </c>
      <c r="E12" s="195">
        <f t="shared" si="1"/>
        <v>0</v>
      </c>
      <c r="F12" s="196">
        <f t="shared" si="2"/>
        <v>0</v>
      </c>
    </row>
    <row r="13" spans="1:6" s="77" customFormat="1" ht="15" customHeight="1">
      <c r="A13" s="187" t="s">
        <v>53</v>
      </c>
      <c r="B13" s="188">
        <f>RP!I13</f>
        <v>127.7</v>
      </c>
      <c r="C13" s="189">
        <f>RP!G13</f>
        <v>38740</v>
      </c>
      <c r="D13" s="190">
        <f t="shared" si="0"/>
        <v>1073098</v>
      </c>
      <c r="E13" s="190">
        <f t="shared" si="1"/>
        <v>411.24171883880638</v>
      </c>
      <c r="F13" s="191">
        <f t="shared" si="2"/>
        <v>15931504.187815359</v>
      </c>
    </row>
    <row r="14" spans="1:6" s="77" customFormat="1" ht="15" customHeight="1">
      <c r="A14" s="192" t="s">
        <v>54</v>
      </c>
      <c r="B14" s="193">
        <f>RP!I14</f>
        <v>68.900000000000006</v>
      </c>
      <c r="C14" s="194">
        <f>RP!G14</f>
        <v>38218</v>
      </c>
      <c r="D14" s="195">
        <f t="shared" si="0"/>
        <v>0</v>
      </c>
      <c r="E14" s="195">
        <f t="shared" si="1"/>
        <v>0</v>
      </c>
      <c r="F14" s="196">
        <f t="shared" si="2"/>
        <v>0</v>
      </c>
    </row>
    <row r="15" spans="1:6" s="77" customFormat="1" ht="15" customHeight="1">
      <c r="A15" s="187" t="s">
        <v>55</v>
      </c>
      <c r="B15" s="188">
        <f>RP!I15</f>
        <v>223.8</v>
      </c>
      <c r="C15" s="189">
        <f>RP!G15</f>
        <v>104728.66666666667</v>
      </c>
      <c r="D15" s="190">
        <f t="shared" si="0"/>
        <v>12965408.933333335</v>
      </c>
      <c r="E15" s="190">
        <f t="shared" si="1"/>
        <v>1837.9684040521383</v>
      </c>
      <c r="F15" s="191">
        <f t="shared" si="2"/>
        <v>192487980.33184171</v>
      </c>
    </row>
    <row r="16" spans="1:6" s="77" customFormat="1" ht="15" customHeight="1">
      <c r="A16" s="192" t="s">
        <v>56</v>
      </c>
      <c r="B16" s="193">
        <f>RP!I16</f>
        <v>73.5</v>
      </c>
      <c r="C16" s="194">
        <f>RP!G16</f>
        <v>251972</v>
      </c>
      <c r="D16" s="195">
        <f t="shared" si="0"/>
        <v>0</v>
      </c>
      <c r="E16" s="195">
        <f t="shared" si="1"/>
        <v>0</v>
      </c>
      <c r="F16" s="196">
        <f t="shared" si="2"/>
        <v>0</v>
      </c>
    </row>
    <row r="17" spans="1:6" s="77" customFormat="1" ht="15" customHeight="1">
      <c r="A17" s="187" t="s">
        <v>57</v>
      </c>
      <c r="B17" s="188">
        <f>RP!I17</f>
        <v>76.2</v>
      </c>
      <c r="C17" s="189">
        <f>RP!G17</f>
        <v>246221.33333333334</v>
      </c>
      <c r="D17" s="190">
        <f t="shared" si="0"/>
        <v>0</v>
      </c>
      <c r="E17" s="190">
        <f t="shared" si="1"/>
        <v>0</v>
      </c>
      <c r="F17" s="191">
        <f t="shared" si="2"/>
        <v>0</v>
      </c>
    </row>
    <row r="18" spans="1:6" s="77" customFormat="1" ht="15" customHeight="1">
      <c r="A18" s="192" t="s">
        <v>58</v>
      </c>
      <c r="B18" s="193">
        <f>RP!I18</f>
        <v>139.4</v>
      </c>
      <c r="C18" s="194">
        <f>RP!G18</f>
        <v>190734</v>
      </c>
      <c r="D18" s="195">
        <f t="shared" si="0"/>
        <v>7514919.6000000015</v>
      </c>
      <c r="E18" s="195">
        <f t="shared" si="1"/>
        <v>584.94309466602783</v>
      </c>
      <c r="F18" s="196">
        <f t="shared" si="2"/>
        <v>111568536.21803015</v>
      </c>
    </row>
    <row r="19" spans="1:6" s="77" customFormat="1" ht="15" customHeight="1">
      <c r="A19" s="187" t="s">
        <v>59</v>
      </c>
      <c r="B19" s="188">
        <f>RP!I19</f>
        <v>102.6</v>
      </c>
      <c r="C19" s="189">
        <f>RP!G19</f>
        <v>263868.33333333331</v>
      </c>
      <c r="D19" s="190">
        <f t="shared" si="0"/>
        <v>686057.66666666511</v>
      </c>
      <c r="E19" s="190">
        <f t="shared" si="1"/>
        <v>38.600305739382463</v>
      </c>
      <c r="F19" s="191">
        <f t="shared" si="2"/>
        <v>10185398.341607951</v>
      </c>
    </row>
    <row r="20" spans="1:6" s="77" customFormat="1" ht="15" customHeight="1">
      <c r="A20" s="192" t="s">
        <v>60</v>
      </c>
      <c r="B20" s="193">
        <f>RP!I20</f>
        <v>96.1</v>
      </c>
      <c r="C20" s="194">
        <f>RP!G20</f>
        <v>74152</v>
      </c>
      <c r="D20" s="195">
        <f t="shared" si="0"/>
        <v>0</v>
      </c>
      <c r="E20" s="195">
        <f t="shared" si="1"/>
        <v>0</v>
      </c>
      <c r="F20" s="196">
        <f t="shared" si="2"/>
        <v>0</v>
      </c>
    </row>
    <row r="21" spans="1:6" s="77" customFormat="1" ht="15" customHeight="1">
      <c r="A21" s="187" t="s">
        <v>61</v>
      </c>
      <c r="B21" s="188">
        <f>RP!I21</f>
        <v>76</v>
      </c>
      <c r="C21" s="189">
        <f>RP!G21</f>
        <v>52550.333333333336</v>
      </c>
      <c r="D21" s="190">
        <f t="shared" si="0"/>
        <v>0</v>
      </c>
      <c r="E21" s="190">
        <f t="shared" si="1"/>
        <v>0</v>
      </c>
      <c r="F21" s="191">
        <f t="shared" si="2"/>
        <v>0</v>
      </c>
    </row>
    <row r="22" spans="1:6" s="77" customFormat="1" ht="15" customHeight="1">
      <c r="A22" s="192" t="s">
        <v>62</v>
      </c>
      <c r="B22" s="193">
        <f>RP!I22</f>
        <v>81.099999999999994</v>
      </c>
      <c r="C22" s="194">
        <f>RP!G22</f>
        <v>14779.333333333334</v>
      </c>
      <c r="D22" s="195">
        <f t="shared" si="0"/>
        <v>0</v>
      </c>
      <c r="E22" s="195">
        <f t="shared" si="1"/>
        <v>0</v>
      </c>
      <c r="F22" s="196">
        <f t="shared" si="2"/>
        <v>0</v>
      </c>
    </row>
    <row r="23" spans="1:6" s="77" customFormat="1" ht="15" customHeight="1">
      <c r="A23" s="187" t="s">
        <v>63</v>
      </c>
      <c r="B23" s="188">
        <f>RP!I23</f>
        <v>76.099999999999994</v>
      </c>
      <c r="C23" s="189">
        <f>RP!G23</f>
        <v>459391</v>
      </c>
      <c r="D23" s="190">
        <f t="shared" si="0"/>
        <v>0</v>
      </c>
      <c r="E23" s="190">
        <f t="shared" si="1"/>
        <v>0</v>
      </c>
      <c r="F23" s="191">
        <f t="shared" si="2"/>
        <v>0</v>
      </c>
    </row>
    <row r="24" spans="1:6" s="77" customFormat="1" ht="15" customHeight="1">
      <c r="A24" s="192" t="s">
        <v>64</v>
      </c>
      <c r="B24" s="193">
        <f>RP!I24</f>
        <v>80.599999999999994</v>
      </c>
      <c r="C24" s="194">
        <f>RP!G24</f>
        <v>191370.33333333334</v>
      </c>
      <c r="D24" s="195">
        <f t="shared" si="0"/>
        <v>0</v>
      </c>
      <c r="E24" s="195">
        <f t="shared" si="1"/>
        <v>0</v>
      </c>
      <c r="F24" s="196">
        <f t="shared" si="2"/>
        <v>0</v>
      </c>
    </row>
    <row r="25" spans="1:6" s="77" customFormat="1" ht="15" customHeight="1">
      <c r="A25" s="187" t="s">
        <v>65</v>
      </c>
      <c r="B25" s="188">
        <f>RP!I25</f>
        <v>88.8</v>
      </c>
      <c r="C25" s="189">
        <f>RP!G25</f>
        <v>563149</v>
      </c>
      <c r="D25" s="190">
        <f t="shared" si="0"/>
        <v>0</v>
      </c>
      <c r="E25" s="190">
        <f t="shared" si="1"/>
        <v>0</v>
      </c>
      <c r="F25" s="191">
        <f t="shared" si="2"/>
        <v>0</v>
      </c>
    </row>
    <row r="26" spans="1:6" s="77" customFormat="1" ht="15" customHeight="1">
      <c r="A26" s="192" t="s">
        <v>66</v>
      </c>
      <c r="B26" s="193">
        <f>RP!I26</f>
        <v>73.400000000000006</v>
      </c>
      <c r="C26" s="194">
        <f>RP!G26</f>
        <v>232811.66666666666</v>
      </c>
      <c r="D26" s="195">
        <f t="shared" si="0"/>
        <v>0</v>
      </c>
      <c r="E26" s="195">
        <f t="shared" si="1"/>
        <v>0</v>
      </c>
      <c r="F26" s="196">
        <f t="shared" si="2"/>
        <v>0</v>
      </c>
    </row>
    <row r="27" spans="1:6" s="77" customFormat="1" ht="15" customHeight="1">
      <c r="A27" s="187" t="s">
        <v>67</v>
      </c>
      <c r="B27" s="188">
        <f>RP!I27</f>
        <v>95.9</v>
      </c>
      <c r="C27" s="189">
        <f>RP!G27</f>
        <v>319353.33333333331</v>
      </c>
      <c r="D27" s="190">
        <f t="shared" si="0"/>
        <v>0</v>
      </c>
      <c r="E27" s="190">
        <f t="shared" si="1"/>
        <v>0</v>
      </c>
      <c r="F27" s="191">
        <f t="shared" si="2"/>
        <v>0</v>
      </c>
    </row>
    <row r="28" spans="1:6" s="77" customFormat="1" ht="15" customHeight="1">
      <c r="A28" s="192" t="s">
        <v>68</v>
      </c>
      <c r="B28" s="193">
        <f>RP!I28</f>
        <v>101.5</v>
      </c>
      <c r="C28" s="194">
        <f>RP!G28</f>
        <v>656153.66666666663</v>
      </c>
      <c r="D28" s="195">
        <f t="shared" si="0"/>
        <v>984230.5</v>
      </c>
      <c r="E28" s="195">
        <f t="shared" si="1"/>
        <v>22.269407157336083</v>
      </c>
      <c r="F28" s="196">
        <f t="shared" si="2"/>
        <v>14612153.160778981</v>
      </c>
    </row>
    <row r="29" spans="1:6" s="77" customFormat="1" ht="15" customHeight="1">
      <c r="A29" s="187" t="s">
        <v>69</v>
      </c>
      <c r="B29" s="188">
        <f>RP!I29</f>
        <v>68.099999999999994</v>
      </c>
      <c r="C29" s="189">
        <f>RP!G29</f>
        <v>286555.33333333331</v>
      </c>
      <c r="D29" s="190">
        <f t="shared" si="0"/>
        <v>0</v>
      </c>
      <c r="E29" s="190">
        <f t="shared" si="1"/>
        <v>0</v>
      </c>
      <c r="F29" s="191">
        <f t="shared" si="2"/>
        <v>0</v>
      </c>
    </row>
    <row r="30" spans="1:6" s="77" customFormat="1" ht="15" customHeight="1">
      <c r="A30" s="192" t="s">
        <v>70</v>
      </c>
      <c r="B30" s="193">
        <f>RP!I30</f>
        <v>97.5</v>
      </c>
      <c r="C30" s="194">
        <f>RP!G30</f>
        <v>168702</v>
      </c>
      <c r="D30" s="195">
        <f t="shared" si="0"/>
        <v>0</v>
      </c>
      <c r="E30" s="195">
        <f t="shared" si="1"/>
        <v>0</v>
      </c>
      <c r="F30" s="196">
        <f t="shared" si="2"/>
        <v>0</v>
      </c>
    </row>
    <row r="31" spans="1:6" s="77" customFormat="1" ht="15" customHeight="1">
      <c r="A31" s="187" t="s">
        <v>71</v>
      </c>
      <c r="B31" s="188">
        <f>RP!I31</f>
        <v>151.19999999999999</v>
      </c>
      <c r="C31" s="189">
        <f>RP!G31</f>
        <v>432290</v>
      </c>
      <c r="D31" s="190">
        <f t="shared" si="0"/>
        <v>22133247.999999996</v>
      </c>
      <c r="E31" s="190">
        <f t="shared" si="1"/>
        <v>760.12909763707148</v>
      </c>
      <c r="F31" s="191">
        <f t="shared" si="2"/>
        <v>328596207.61752963</v>
      </c>
    </row>
    <row r="32" spans="1:6" s="77" customFormat="1" ht="15" customHeight="1">
      <c r="A32" s="192" t="s">
        <v>72</v>
      </c>
      <c r="B32" s="193">
        <f>RP!I32</f>
        <v>68.7</v>
      </c>
      <c r="C32" s="194">
        <f>RP!G32</f>
        <v>67902.333333333328</v>
      </c>
      <c r="D32" s="195">
        <f t="shared" si="0"/>
        <v>0</v>
      </c>
      <c r="E32" s="195">
        <f t="shared" si="1"/>
        <v>0</v>
      </c>
      <c r="F32" s="196">
        <f t="shared" si="2"/>
        <v>0</v>
      </c>
    </row>
    <row r="33" spans="1:6" s="77" customFormat="1" ht="15" customHeight="1">
      <c r="A33" s="197" t="s">
        <v>73</v>
      </c>
      <c r="B33" s="198">
        <f>RP!I33</f>
        <v>100</v>
      </c>
      <c r="C33" s="199">
        <f>SUM(BEV)</f>
        <v>7453472.666666666</v>
      </c>
      <c r="D33" s="199">
        <f>SUM(D7:D32)</f>
        <v>88576245.86666666</v>
      </c>
      <c r="E33" s="199"/>
      <c r="F33" s="200">
        <f>SUM(F7:F32)</f>
        <v>1315026989.1154046</v>
      </c>
    </row>
  </sheetData>
  <mergeCells count="1">
    <mergeCell ref="A1:F1"/>
  </mergeCells>
  <conditionalFormatting sqref="B33">
    <cfRule type="expression" dxfId="3" priority="1" stopIfTrue="1">
      <formula>ISBLANK(B33)</formula>
    </cfRule>
  </conditionalFormatting>
  <printOptions horizontalCentered="1"/>
  <pageMargins left="0.78740157480314965" right="0.78740157480314965" top="0.74803149606299213" bottom="0.78740157480314965" header="0.51181102362204722" footer="0.51181102362204722"/>
  <pageSetup paperSize="9" scale="94" orientation="landscape" r:id="rId1"/>
  <headerFooter>
    <oddHeader>&amp;L&amp;F&amp;R&amp;A</oddHeader>
    <oddFooter>&amp;CSeite &amp;P von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tabColor indexed="52"/>
    <pageSetUpPr fitToPage="1"/>
  </sheetPr>
  <dimension ref="A1:L32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7.28515625" style="1" customWidth="1"/>
    <col min="2" max="2" width="11.85546875" style="1" customWidth="1"/>
    <col min="3" max="3" width="13.5703125" style="1" customWidth="1"/>
    <col min="4" max="4" width="15.140625" style="1" customWidth="1"/>
    <col min="5" max="5" width="13" style="1" customWidth="1"/>
    <col min="6" max="8" width="13.7109375" style="1" customWidth="1"/>
    <col min="9" max="9" width="5" style="1" customWidth="1"/>
    <col min="10" max="10" width="11.28515625" style="1" customWidth="1"/>
    <col min="11" max="11" width="12.42578125" style="1" customWidth="1"/>
  </cols>
  <sheetData>
    <row r="1" spans="1:12" ht="26.25" customHeight="1">
      <c r="A1" s="302" t="str">
        <f>"Auszahlungen an die ressourcenschwachen Kantone "&amp;Info!C30</f>
        <v>Auszahlungen an die ressourcenschwachen Kantone 2009</v>
      </c>
      <c r="B1" s="302"/>
      <c r="C1" s="302"/>
      <c r="D1" s="302"/>
      <c r="E1" s="302"/>
      <c r="F1" s="302"/>
      <c r="G1" s="302"/>
      <c r="H1" s="302"/>
    </row>
    <row r="2" spans="1:12" ht="18.75" customHeight="1">
      <c r="H2" s="17" t="str">
        <f>Info!$C$28</f>
        <v>FA_2009_20120423</v>
      </c>
    </row>
    <row r="3" spans="1:12" s="1" customFormat="1">
      <c r="A3" s="62" t="s">
        <v>27</v>
      </c>
      <c r="B3" s="176" t="s">
        <v>97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4" t="s">
        <v>33</v>
      </c>
    </row>
    <row r="4" spans="1:12" ht="45" customHeight="1">
      <c r="A4" s="181"/>
      <c r="B4" s="183" t="s">
        <v>101</v>
      </c>
      <c r="C4" s="183" t="s">
        <v>102</v>
      </c>
      <c r="D4" s="183" t="s">
        <v>103</v>
      </c>
      <c r="E4" s="183" t="s">
        <v>104</v>
      </c>
      <c r="F4" s="201" t="s">
        <v>105</v>
      </c>
      <c r="G4" s="202" t="s">
        <v>107</v>
      </c>
      <c r="H4" s="203" t="s">
        <v>108</v>
      </c>
      <c r="J4" s="312" t="s">
        <v>109</v>
      </c>
      <c r="K4" s="313"/>
    </row>
    <row r="5" spans="1:12" s="77" customFormat="1">
      <c r="A5" s="39" t="s">
        <v>43</v>
      </c>
      <c r="B5" s="186" t="s">
        <v>79</v>
      </c>
      <c r="C5" s="40" t="s">
        <v>106</v>
      </c>
      <c r="D5" s="40"/>
      <c r="E5" s="40" t="s">
        <v>46</v>
      </c>
      <c r="F5" s="40" t="s">
        <v>46</v>
      </c>
      <c r="G5" s="40" t="s">
        <v>46</v>
      </c>
      <c r="H5" s="41" t="s">
        <v>46</v>
      </c>
      <c r="J5" s="204" t="s">
        <v>110</v>
      </c>
      <c r="K5" s="205">
        <v>0.57332200145686996</v>
      </c>
      <c r="L5" s="206"/>
    </row>
    <row r="6" spans="1:12" s="77" customFormat="1" ht="15" customHeight="1">
      <c r="A6" s="207" t="s">
        <v>47</v>
      </c>
      <c r="B6" s="208">
        <f>RP!I7</f>
        <v>131.1</v>
      </c>
      <c r="C6" s="190">
        <f>RP!G7</f>
        <v>1281503.3333333333</v>
      </c>
      <c r="D6" s="190">
        <f>IF(B6&lt;100,(100-RI)^(1+p)*BEV,0)</f>
        <v>0</v>
      </c>
      <c r="E6" s="190">
        <f t="shared" ref="E6:E31" si="0">IF(B6&lt;100,B/SUM*(100-RI)^(1+p),0)</f>
        <v>0</v>
      </c>
      <c r="F6" s="209">
        <f t="shared" ref="F6:F31" si="1">E6*BEV</f>
        <v>0</v>
      </c>
      <c r="G6" s="210">
        <f>Dotation_RA!$D$25/Dotation_RA!$D$26*F6</f>
        <v>0</v>
      </c>
      <c r="H6" s="211">
        <f t="shared" ref="H6:H31" si="2">F6-G6</f>
        <v>0</v>
      </c>
      <c r="J6" s="204" t="s">
        <v>111</v>
      </c>
      <c r="K6" s="212">
        <f>(RI_26/RI_MIN)*p</f>
        <v>0.57332200145686896</v>
      </c>
    </row>
    <row r="7" spans="1:12" s="77" customFormat="1" ht="15" customHeight="1">
      <c r="A7" s="192" t="s">
        <v>48</v>
      </c>
      <c r="B7" s="213">
        <f>RP!I8</f>
        <v>77</v>
      </c>
      <c r="C7" s="195">
        <f>RP!G8</f>
        <v>961316.66666666663</v>
      </c>
      <c r="D7" s="195">
        <f>IF(B7&lt;100,(100-B7)^(1+p)*BEV,0)</f>
        <v>133445162.93671931</v>
      </c>
      <c r="E7" s="195">
        <f t="shared" si="0"/>
        <v>814.21697435541</v>
      </c>
      <c r="F7" s="214">
        <f t="shared" si="1"/>
        <v>782720347.73076153</v>
      </c>
      <c r="G7" s="215">
        <f>Dotation_RA!$D$25/Dotation_RA!$D$26*F7</f>
        <v>323996473.09941894</v>
      </c>
      <c r="H7" s="216">
        <f t="shared" si="2"/>
        <v>458723874.63134259</v>
      </c>
      <c r="J7" s="204" t="s">
        <v>112</v>
      </c>
      <c r="K7" s="217">
        <f>MIN(B6:B31)</f>
        <v>60.6</v>
      </c>
    </row>
    <row r="8" spans="1:12" s="77" customFormat="1" ht="15" customHeight="1">
      <c r="A8" s="187" t="s">
        <v>49</v>
      </c>
      <c r="B8" s="208">
        <f>RP!I9</f>
        <v>76.5</v>
      </c>
      <c r="C8" s="190">
        <f>RP!G9</f>
        <v>354121.66666666669</v>
      </c>
      <c r="D8" s="190">
        <f t="shared" ref="D8:D31" si="3">IF(B8&lt;100,(100-RI)^(1+p)*BEV,0)</f>
        <v>50849154.115335487</v>
      </c>
      <c r="E8" s="190">
        <f t="shared" si="0"/>
        <v>842.23836633464066</v>
      </c>
      <c r="F8" s="209">
        <f t="shared" si="1"/>
        <v>298254854.01703352</v>
      </c>
      <c r="G8" s="210">
        <f>Dotation_RA!$D$25/Dotation_RA!$D$26*F8</f>
        <v>123458552.0441085</v>
      </c>
      <c r="H8" s="211">
        <f t="shared" si="2"/>
        <v>174796301.97292501</v>
      </c>
      <c r="J8" s="204" t="s">
        <v>113</v>
      </c>
      <c r="K8" s="217">
        <f>100-((sse*SUM)/((1+p)*B*100))^(1/p)</f>
        <v>60.600000000000108</v>
      </c>
    </row>
    <row r="9" spans="1:12" s="77" customFormat="1" ht="15" customHeight="1">
      <c r="A9" s="192" t="s">
        <v>50</v>
      </c>
      <c r="B9" s="213">
        <f>RP!I10</f>
        <v>60.6</v>
      </c>
      <c r="C9" s="195">
        <f>RP!G10</f>
        <v>34719</v>
      </c>
      <c r="D9" s="195">
        <f t="shared" si="3"/>
        <v>11240781.781296894</v>
      </c>
      <c r="E9" s="195">
        <f t="shared" si="0"/>
        <v>1899.035558276895</v>
      </c>
      <c r="F9" s="214">
        <f t="shared" si="1"/>
        <v>65932615.547815517</v>
      </c>
      <c r="G9" s="215">
        <f>Dotation_RA!$D$25/Dotation_RA!$D$26*F9</f>
        <v>27291912.062391117</v>
      </c>
      <c r="H9" s="216">
        <f t="shared" si="2"/>
        <v>38640703.485424399</v>
      </c>
      <c r="J9" s="218"/>
      <c r="K9" s="219"/>
    </row>
    <row r="10" spans="1:12" s="77" customFormat="1" ht="15" customHeight="1">
      <c r="A10" s="187" t="s">
        <v>51</v>
      </c>
      <c r="B10" s="208">
        <f>RP!I11</f>
        <v>124.9</v>
      </c>
      <c r="C10" s="190">
        <f>RP!G11</f>
        <v>135121.66666666666</v>
      </c>
      <c r="D10" s="190">
        <f t="shared" si="3"/>
        <v>0</v>
      </c>
      <c r="E10" s="190">
        <f t="shared" si="0"/>
        <v>0</v>
      </c>
      <c r="F10" s="209">
        <f t="shared" si="1"/>
        <v>0</v>
      </c>
      <c r="G10" s="210">
        <f>Dotation_RA!$D$25/Dotation_RA!$D$26*F10</f>
        <v>0</v>
      </c>
      <c r="H10" s="211">
        <f t="shared" si="2"/>
        <v>0</v>
      </c>
      <c r="J10" s="218"/>
      <c r="K10" s="219"/>
    </row>
    <row r="11" spans="1:12" s="77" customFormat="1" ht="15" customHeight="1">
      <c r="A11" s="192" t="s">
        <v>52</v>
      </c>
      <c r="B11" s="213">
        <f>RP!I12</f>
        <v>66.099999999999994</v>
      </c>
      <c r="C11" s="195">
        <f>RP!G12</f>
        <v>33047.666666666664</v>
      </c>
      <c r="D11" s="195">
        <f t="shared" si="3"/>
        <v>8445738.9433118477</v>
      </c>
      <c r="E11" s="195">
        <f t="shared" si="0"/>
        <v>1498.996571309179</v>
      </c>
      <c r="F11" s="214">
        <f t="shared" si="1"/>
        <v>49538339.023101971</v>
      </c>
      <c r="G11" s="215">
        <f>Dotation_RA!$D$25/Dotation_RA!$D$26*F11</f>
        <v>20505723.62558445</v>
      </c>
      <c r="H11" s="216">
        <f t="shared" si="2"/>
        <v>29032615.397517521</v>
      </c>
      <c r="J11" s="218"/>
      <c r="K11" s="219"/>
    </row>
    <row r="12" spans="1:12" s="77" customFormat="1" ht="15" customHeight="1">
      <c r="A12" s="187" t="s">
        <v>53</v>
      </c>
      <c r="B12" s="208">
        <f>RP!I13</f>
        <v>127.7</v>
      </c>
      <c r="C12" s="190">
        <f>RP!G13</f>
        <v>38740</v>
      </c>
      <c r="D12" s="190">
        <f t="shared" si="3"/>
        <v>0</v>
      </c>
      <c r="E12" s="190">
        <f t="shared" si="0"/>
        <v>0</v>
      </c>
      <c r="F12" s="209">
        <f t="shared" si="1"/>
        <v>0</v>
      </c>
      <c r="G12" s="210">
        <f>Dotation_RA!$D$25/Dotation_RA!$D$26*F12</f>
        <v>0</v>
      </c>
      <c r="H12" s="211">
        <f t="shared" si="2"/>
        <v>0</v>
      </c>
      <c r="J12" s="204" t="s">
        <v>97</v>
      </c>
      <c r="K12" s="220">
        <f>Dotation_RA!D26</f>
        <v>3176881440.5578542</v>
      </c>
    </row>
    <row r="13" spans="1:12" s="77" customFormat="1" ht="15" customHeight="1">
      <c r="A13" s="192" t="s">
        <v>54</v>
      </c>
      <c r="B13" s="213">
        <f>RP!I14</f>
        <v>68.900000000000006</v>
      </c>
      <c r="C13" s="195">
        <f>RP!G14</f>
        <v>38218</v>
      </c>
      <c r="D13" s="195">
        <f t="shared" si="3"/>
        <v>8528265.6335748024</v>
      </c>
      <c r="E13" s="195">
        <f t="shared" si="0"/>
        <v>1308.8701117270095</v>
      </c>
      <c r="F13" s="214">
        <f t="shared" si="1"/>
        <v>50022397.929982848</v>
      </c>
      <c r="G13" s="215">
        <f>Dotation_RA!$D$25/Dotation_RA!$D$26*F13</f>
        <v>20706093.245534219</v>
      </c>
      <c r="H13" s="216">
        <f t="shared" si="2"/>
        <v>29316304.68444863</v>
      </c>
      <c r="J13" s="204" t="s">
        <v>16</v>
      </c>
      <c r="K13" s="220">
        <f>SSE!E32</f>
        <v>7583.2345821978806</v>
      </c>
    </row>
    <row r="14" spans="1:12" s="77" customFormat="1" ht="15" customHeight="1">
      <c r="A14" s="187" t="s">
        <v>55</v>
      </c>
      <c r="B14" s="208">
        <f>RP!I15</f>
        <v>223.8</v>
      </c>
      <c r="C14" s="190">
        <f>RP!G15</f>
        <v>104728.66666666667</v>
      </c>
      <c r="D14" s="190">
        <f t="shared" si="3"/>
        <v>0</v>
      </c>
      <c r="E14" s="190">
        <f t="shared" si="0"/>
        <v>0</v>
      </c>
      <c r="F14" s="209">
        <f t="shared" si="1"/>
        <v>0</v>
      </c>
      <c r="G14" s="210">
        <f>Dotation_RA!$D$25/Dotation_RA!$D$26*F14</f>
        <v>0</v>
      </c>
      <c r="H14" s="211">
        <f t="shared" si="2"/>
        <v>0</v>
      </c>
    </row>
    <row r="15" spans="1:12" s="77" customFormat="1" ht="15" customHeight="1">
      <c r="A15" s="192" t="s">
        <v>56</v>
      </c>
      <c r="B15" s="213">
        <f>RP!I16</f>
        <v>73.5</v>
      </c>
      <c r="C15" s="195">
        <f>RP!G16</f>
        <v>251972</v>
      </c>
      <c r="D15" s="195">
        <f t="shared" si="3"/>
        <v>43709549.472194709</v>
      </c>
      <c r="E15" s="195">
        <f t="shared" si="0"/>
        <v>1017.4845762840932</v>
      </c>
      <c r="F15" s="214">
        <f t="shared" si="1"/>
        <v>256377623.65545553</v>
      </c>
      <c r="G15" s="215">
        <f>Dotation_RA!$D$25/Dotation_RA!$D$26*F15</f>
        <v>106124040.45301557</v>
      </c>
      <c r="H15" s="216">
        <f t="shared" si="2"/>
        <v>150253583.20243996</v>
      </c>
    </row>
    <row r="16" spans="1:12" s="77" customFormat="1" ht="15" customHeight="1">
      <c r="A16" s="187" t="s">
        <v>57</v>
      </c>
      <c r="B16" s="208">
        <f>RP!I17</f>
        <v>76.2</v>
      </c>
      <c r="C16" s="190">
        <f>RP!G17</f>
        <v>246221.33333333334</v>
      </c>
      <c r="D16" s="190">
        <f t="shared" si="3"/>
        <v>36068201.893962577</v>
      </c>
      <c r="E16" s="190">
        <f t="shared" si="0"/>
        <v>859.21648512110914</v>
      </c>
      <c r="F16" s="209">
        <f t="shared" si="1"/>
        <v>211557428.58849967</v>
      </c>
      <c r="G16" s="210">
        <f>Dotation_RA!$D$25/Dotation_RA!$D$26*F16</f>
        <v>87571328.533078641</v>
      </c>
      <c r="H16" s="211">
        <f t="shared" si="2"/>
        <v>123986100.05542102</v>
      </c>
    </row>
    <row r="17" spans="1:8" s="77" customFormat="1" ht="15" customHeight="1">
      <c r="A17" s="192" t="s">
        <v>58</v>
      </c>
      <c r="B17" s="213">
        <f>RP!I18</f>
        <v>139.4</v>
      </c>
      <c r="C17" s="195">
        <f>RP!G18</f>
        <v>190734</v>
      </c>
      <c r="D17" s="195">
        <f t="shared" si="3"/>
        <v>0</v>
      </c>
      <c r="E17" s="195">
        <f t="shared" si="0"/>
        <v>0</v>
      </c>
      <c r="F17" s="214">
        <f t="shared" si="1"/>
        <v>0</v>
      </c>
      <c r="G17" s="215">
        <f>Dotation_RA!$D$25/Dotation_RA!$D$26*F17</f>
        <v>0</v>
      </c>
      <c r="H17" s="216">
        <f t="shared" si="2"/>
        <v>0</v>
      </c>
    </row>
    <row r="18" spans="1:8" s="77" customFormat="1" ht="15" customHeight="1">
      <c r="A18" s="187" t="s">
        <v>59</v>
      </c>
      <c r="B18" s="208">
        <f>RP!I19</f>
        <v>102.6</v>
      </c>
      <c r="C18" s="190">
        <f>RP!G19</f>
        <v>263868.33333333331</v>
      </c>
      <c r="D18" s="190">
        <f t="shared" si="3"/>
        <v>0</v>
      </c>
      <c r="E18" s="190">
        <f t="shared" si="0"/>
        <v>0</v>
      </c>
      <c r="F18" s="209">
        <f t="shared" si="1"/>
        <v>0</v>
      </c>
      <c r="G18" s="210">
        <f>Dotation_RA!$D$25/Dotation_RA!$D$26*F18</f>
        <v>0</v>
      </c>
      <c r="H18" s="211">
        <f t="shared" si="2"/>
        <v>0</v>
      </c>
    </row>
    <row r="19" spans="1:8" s="77" customFormat="1" ht="15" customHeight="1">
      <c r="A19" s="192" t="s">
        <v>60</v>
      </c>
      <c r="B19" s="213">
        <f>RP!I20</f>
        <v>96.1</v>
      </c>
      <c r="C19" s="195">
        <f>RP!G20</f>
        <v>74152</v>
      </c>
      <c r="D19" s="195">
        <f t="shared" si="3"/>
        <v>631041.35239241901</v>
      </c>
      <c r="E19" s="195">
        <f t="shared" si="0"/>
        <v>49.915880713540609</v>
      </c>
      <c r="F19" s="214">
        <f t="shared" si="1"/>
        <v>3701362.3866704633</v>
      </c>
      <c r="G19" s="215">
        <f>Dotation_RA!$D$25/Dotation_RA!$D$26*F19</f>
        <v>1532128.7640226083</v>
      </c>
      <c r="H19" s="216">
        <f t="shared" si="2"/>
        <v>2169233.622647855</v>
      </c>
    </row>
    <row r="20" spans="1:8" s="77" customFormat="1" ht="15" customHeight="1">
      <c r="A20" s="187" t="s">
        <v>61</v>
      </c>
      <c r="B20" s="208">
        <f>RP!I21</f>
        <v>76</v>
      </c>
      <c r="C20" s="190">
        <f>RP!G21</f>
        <v>52550.333333333336</v>
      </c>
      <c r="D20" s="190">
        <f t="shared" si="3"/>
        <v>7799956.6390711097</v>
      </c>
      <c r="E20" s="190">
        <f t="shared" si="0"/>
        <v>870.60368470574326</v>
      </c>
      <c r="F20" s="209">
        <f t="shared" si="1"/>
        <v>45750513.832515046</v>
      </c>
      <c r="G20" s="210">
        <f>Dotation_RA!$D$25/Dotation_RA!$D$26*F20</f>
        <v>18937804.756443921</v>
      </c>
      <c r="H20" s="211">
        <f t="shared" si="2"/>
        <v>26812709.076071125</v>
      </c>
    </row>
    <row r="21" spans="1:8" s="77" customFormat="1" ht="15" customHeight="1">
      <c r="A21" s="192" t="s">
        <v>62</v>
      </c>
      <c r="B21" s="213">
        <f>RP!I22</f>
        <v>81.099999999999994</v>
      </c>
      <c r="C21" s="195">
        <f>RP!G22</f>
        <v>14779.333333333334</v>
      </c>
      <c r="D21" s="195">
        <f t="shared" si="3"/>
        <v>1506399.9231597045</v>
      </c>
      <c r="E21" s="195">
        <f t="shared" si="0"/>
        <v>597.84586280149779</v>
      </c>
      <c r="F21" s="214">
        <f t="shared" si="1"/>
        <v>8835763.2882976029</v>
      </c>
      <c r="G21" s="215">
        <f>Dotation_RA!$D$25/Dotation_RA!$D$26*F21</f>
        <v>3657444.3871931541</v>
      </c>
      <c r="H21" s="216">
        <f t="shared" si="2"/>
        <v>5178318.9011044484</v>
      </c>
    </row>
    <row r="22" spans="1:8" s="77" customFormat="1" ht="15" customHeight="1">
      <c r="A22" s="187" t="s">
        <v>63</v>
      </c>
      <c r="B22" s="208">
        <f>RP!I23</f>
        <v>76.099999999999994</v>
      </c>
      <c r="C22" s="190">
        <f>RP!G23</f>
        <v>459391</v>
      </c>
      <c r="D22" s="190">
        <f t="shared" si="3"/>
        <v>67740161.378352687</v>
      </c>
      <c r="E22" s="190">
        <f t="shared" si="0"/>
        <v>864.90325589405984</v>
      </c>
      <c r="F22" s="209">
        <f t="shared" si="1"/>
        <v>397328771.62842804</v>
      </c>
      <c r="G22" s="210">
        <f>Dotation_RA!$D$25/Dotation_RA!$D$26*F22</f>
        <v>164468856.65072361</v>
      </c>
      <c r="H22" s="211">
        <f t="shared" si="2"/>
        <v>232859914.97770444</v>
      </c>
    </row>
    <row r="23" spans="1:8" s="77" customFormat="1" ht="15" customHeight="1">
      <c r="A23" s="192" t="s">
        <v>64</v>
      </c>
      <c r="B23" s="213">
        <f>RP!I24</f>
        <v>80.599999999999994</v>
      </c>
      <c r="C23" s="195">
        <f>RP!G24</f>
        <v>191370.33333333334</v>
      </c>
      <c r="D23" s="195">
        <f t="shared" si="3"/>
        <v>20323636.024962172</v>
      </c>
      <c r="E23" s="195">
        <f t="shared" si="0"/>
        <v>622.91757306527188</v>
      </c>
      <c r="F23" s="214">
        <f t="shared" si="1"/>
        <v>119207943.59669212</v>
      </c>
      <c r="G23" s="215">
        <f>Dotation_RA!$D$25/Dotation_RA!$D$26*F23</f>
        <v>49344511.616105512</v>
      </c>
      <c r="H23" s="216">
        <f t="shared" si="2"/>
        <v>69863431.980586603</v>
      </c>
    </row>
    <row r="24" spans="1:8" s="77" customFormat="1" ht="15" customHeight="1">
      <c r="A24" s="187" t="s">
        <v>65</v>
      </c>
      <c r="B24" s="208">
        <f>RP!I25</f>
        <v>88.8</v>
      </c>
      <c r="C24" s="190">
        <f>RP!G25</f>
        <v>563149</v>
      </c>
      <c r="D24" s="190">
        <f t="shared" si="3"/>
        <v>25198872.937328182</v>
      </c>
      <c r="E24" s="190">
        <f t="shared" si="0"/>
        <v>262.45907087731626</v>
      </c>
      <c r="F24" s="209">
        <f t="shared" si="1"/>
        <v>147803563.30548978</v>
      </c>
      <c r="G24" s="210">
        <f>Dotation_RA!$D$25/Dotation_RA!$D$26*F24</f>
        <v>61181280.595732942</v>
      </c>
      <c r="H24" s="211">
        <f t="shared" si="2"/>
        <v>86622282.709756836</v>
      </c>
    </row>
    <row r="25" spans="1:8" s="77" customFormat="1" ht="15" customHeight="1">
      <c r="A25" s="192" t="s">
        <v>66</v>
      </c>
      <c r="B25" s="213">
        <f>RP!I26</f>
        <v>73.400000000000006</v>
      </c>
      <c r="C25" s="195">
        <f>RP!G26</f>
        <v>232811.66666666666</v>
      </c>
      <c r="D25" s="195">
        <f t="shared" si="3"/>
        <v>40625841.358247802</v>
      </c>
      <c r="E25" s="195">
        <f t="shared" si="0"/>
        <v>1023.5319786389908</v>
      </c>
      <c r="F25" s="214">
        <f t="shared" si="1"/>
        <v>238290185.8335745</v>
      </c>
      <c r="G25" s="215">
        <f>Dotation_RA!$D$25/Dotation_RA!$D$26*F25</f>
        <v>98636990.859013841</v>
      </c>
      <c r="H25" s="216">
        <f t="shared" si="2"/>
        <v>139653194.97456068</v>
      </c>
    </row>
    <row r="26" spans="1:8" s="77" customFormat="1" ht="15" customHeight="1">
      <c r="A26" s="187" t="s">
        <v>67</v>
      </c>
      <c r="B26" s="208">
        <f>RP!I27</f>
        <v>95.9</v>
      </c>
      <c r="C26" s="190">
        <f>RP!G27</f>
        <v>319353.33333333331</v>
      </c>
      <c r="D26" s="190">
        <f t="shared" si="3"/>
        <v>2940206.1217945716</v>
      </c>
      <c r="E26" s="190">
        <f t="shared" si="0"/>
        <v>54.002033209920349</v>
      </c>
      <c r="F26" s="209">
        <f t="shared" si="1"/>
        <v>17245729.312365428</v>
      </c>
      <c r="G26" s="210">
        <f>Dotation_RA!$D$25/Dotation_RA!$D$26*F26</f>
        <v>7138635.7712980537</v>
      </c>
      <c r="H26" s="211">
        <f t="shared" si="2"/>
        <v>10107093.541067373</v>
      </c>
    </row>
    <row r="27" spans="1:8" s="77" customFormat="1" ht="15" customHeight="1">
      <c r="A27" s="192" t="s">
        <v>68</v>
      </c>
      <c r="B27" s="213">
        <f>RP!I28</f>
        <v>101.5</v>
      </c>
      <c r="C27" s="195">
        <f>RP!G28</f>
        <v>656153.66666666663</v>
      </c>
      <c r="D27" s="195">
        <f t="shared" si="3"/>
        <v>0</v>
      </c>
      <c r="E27" s="195">
        <f t="shared" si="0"/>
        <v>0</v>
      </c>
      <c r="F27" s="214">
        <f t="shared" si="1"/>
        <v>0</v>
      </c>
      <c r="G27" s="215">
        <f>Dotation_RA!$D$25/Dotation_RA!$D$26*F27</f>
        <v>0</v>
      </c>
      <c r="H27" s="216">
        <f t="shared" si="2"/>
        <v>0</v>
      </c>
    </row>
    <row r="28" spans="1:8" s="77" customFormat="1" ht="15" customHeight="1">
      <c r="A28" s="187" t="s">
        <v>69</v>
      </c>
      <c r="B28" s="208">
        <f>RP!I29</f>
        <v>68.099999999999994</v>
      </c>
      <c r="C28" s="190">
        <f>RP!G29</f>
        <v>286555.33333333331</v>
      </c>
      <c r="D28" s="190">
        <f t="shared" si="3"/>
        <v>66551134.474730991</v>
      </c>
      <c r="E28" s="190">
        <f t="shared" si="0"/>
        <v>1362.2309865297532</v>
      </c>
      <c r="F28" s="209">
        <f t="shared" si="1"/>
        <v>390354554.4220289</v>
      </c>
      <c r="G28" s="210">
        <f>Dotation_RA!$D$25/Dotation_RA!$D$26*F28</f>
        <v>161581974.01881859</v>
      </c>
      <c r="H28" s="211">
        <f t="shared" si="2"/>
        <v>228772580.40321031</v>
      </c>
    </row>
    <row r="29" spans="1:8" s="77" customFormat="1" ht="15" customHeight="1">
      <c r="A29" s="192" t="s">
        <v>70</v>
      </c>
      <c r="B29" s="213">
        <f>RP!I30</f>
        <v>97.5</v>
      </c>
      <c r="C29" s="195">
        <f>RP!G30</f>
        <v>168702</v>
      </c>
      <c r="D29" s="195">
        <f t="shared" si="3"/>
        <v>713194.52767008846</v>
      </c>
      <c r="E29" s="195">
        <f t="shared" si="0"/>
        <v>24.796567009983612</v>
      </c>
      <c r="F29" s="214">
        <f t="shared" si="1"/>
        <v>4183230.4477182552</v>
      </c>
      <c r="G29" s="215">
        <f>Dotation_RA!$D$25/Dotation_RA!$D$26*F29</f>
        <v>1731591.513050877</v>
      </c>
      <c r="H29" s="216">
        <f t="shared" si="2"/>
        <v>2451638.9346673782</v>
      </c>
    </row>
    <row r="30" spans="1:8" s="77" customFormat="1" ht="15" customHeight="1">
      <c r="A30" s="187" t="s">
        <v>71</v>
      </c>
      <c r="B30" s="208">
        <f>RP!I31</f>
        <v>151.19999999999999</v>
      </c>
      <c r="C30" s="190">
        <f>RP!G31</f>
        <v>432290</v>
      </c>
      <c r="D30" s="190">
        <f t="shared" si="3"/>
        <v>0</v>
      </c>
      <c r="E30" s="190">
        <f t="shared" si="0"/>
        <v>0</v>
      </c>
      <c r="F30" s="209">
        <f t="shared" si="1"/>
        <v>0</v>
      </c>
      <c r="G30" s="210">
        <f>Dotation_RA!$D$25/Dotation_RA!$D$26*F30</f>
        <v>0</v>
      </c>
      <c r="H30" s="211">
        <f t="shared" si="2"/>
        <v>0</v>
      </c>
    </row>
    <row r="31" spans="1:8" s="77" customFormat="1" ht="15" customHeight="1">
      <c r="A31" s="192" t="s">
        <v>72</v>
      </c>
      <c r="B31" s="213">
        <f>RP!I32</f>
        <v>68.7</v>
      </c>
      <c r="C31" s="195">
        <f>RP!G32</f>
        <v>67902.333333333328</v>
      </c>
      <c r="D31" s="195">
        <f t="shared" si="3"/>
        <v>15305851.966438742</v>
      </c>
      <c r="E31" s="195">
        <f t="shared" si="0"/>
        <v>1322.1374230353888</v>
      </c>
      <c r="F31" s="214">
        <f t="shared" si="1"/>
        <v>89776216.011423305</v>
      </c>
      <c r="G31" s="215">
        <f>Dotation_RA!$D$25/Dotation_RA!$D$26*F31</f>
        <v>37161647.119870298</v>
      </c>
      <c r="H31" s="216">
        <f t="shared" si="2"/>
        <v>52614568.891553007</v>
      </c>
    </row>
    <row r="32" spans="1:8">
      <c r="A32" s="197" t="s">
        <v>114</v>
      </c>
      <c r="B32" s="221">
        <f>RP!I33</f>
        <v>100</v>
      </c>
      <c r="C32" s="199">
        <f>RP!G33</f>
        <v>7453472.666666666</v>
      </c>
      <c r="D32" s="199">
        <f>SUM(D6:D31)</f>
        <v>541623151.48054409</v>
      </c>
      <c r="E32" s="199"/>
      <c r="F32" s="199">
        <f>SUM(F6:F31)</f>
        <v>3176881440.5578537</v>
      </c>
      <c r="G32" s="222">
        <f>SUM(G6:G31)</f>
        <v>1315026989.1154048</v>
      </c>
      <c r="H32" s="223">
        <f>SUM(H6:H31)</f>
        <v>1861854451.4424491</v>
      </c>
    </row>
  </sheetData>
  <mergeCells count="2">
    <mergeCell ref="A1:H1"/>
    <mergeCell ref="J4:K4"/>
  </mergeCells>
  <conditionalFormatting sqref="K5">
    <cfRule type="expression" dxfId="2" priority="1" stopIfTrue="1">
      <formula>ISBLANK(K5)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Header>&amp;L&amp;F&amp;R&amp;A</oddHeader>
    <oddFooter>&amp;CSeite &amp;P von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J48"/>
  <sheetViews>
    <sheetView showGridLines="0" workbookViewId="0">
      <selection activeCell="A2" sqref="A2"/>
    </sheetView>
  </sheetViews>
  <sheetFormatPr baseColWidth="10" defaultColWidth="11.42578125" defaultRowHeight="12.75"/>
  <cols>
    <col min="1" max="2" width="15.28515625" style="1" customWidth="1"/>
    <col min="3" max="3" width="17.42578125" style="1" customWidth="1"/>
    <col min="4" max="4" width="16.7109375" style="1" customWidth="1"/>
    <col min="5" max="5" width="19.140625" style="1" customWidth="1"/>
    <col min="6" max="6" width="15.140625" style="1" customWidth="1"/>
    <col min="7" max="7" width="18.5703125" style="1" customWidth="1"/>
    <col min="8" max="8" width="13.42578125" style="1" customWidth="1"/>
    <col min="9" max="9" width="2.42578125" style="1" customWidth="1"/>
    <col min="10" max="10" width="16.7109375" style="1" customWidth="1"/>
  </cols>
  <sheetData>
    <row r="1" spans="1:10" ht="27" customHeight="1">
      <c r="A1" s="298" t="str">
        <f>"Standardisierte Steuererträge (SSE) "&amp;Info!C30</f>
        <v>Standardisierte Steuererträge (SSE) 2009</v>
      </c>
      <c r="B1" s="298"/>
      <c r="C1" s="298"/>
      <c r="D1" s="298"/>
      <c r="E1" s="298"/>
      <c r="F1" s="61"/>
      <c r="G1" s="61"/>
      <c r="H1" s="61"/>
      <c r="J1" s="17" t="str">
        <f>Info!$C$28</f>
        <v>FA_2009_20120423</v>
      </c>
    </row>
    <row r="2" spans="1:10" s="1" customFormat="1">
      <c r="A2" s="62" t="s">
        <v>27</v>
      </c>
      <c r="B2" s="176" t="s">
        <v>97</v>
      </c>
      <c r="C2" s="63" t="s">
        <v>28</v>
      </c>
      <c r="D2" s="63" t="s">
        <v>29</v>
      </c>
      <c r="E2" s="63" t="s">
        <v>30</v>
      </c>
      <c r="F2" s="63" t="s">
        <v>31</v>
      </c>
      <c r="G2" s="63" t="s">
        <v>32</v>
      </c>
      <c r="H2" s="64" t="s">
        <v>33</v>
      </c>
      <c r="J2" s="224" t="s">
        <v>115</v>
      </c>
    </row>
    <row r="3" spans="1:10" s="22" customFormat="1" ht="11.25" customHeight="1">
      <c r="A3" s="67" t="s">
        <v>35</v>
      </c>
      <c r="B3" s="225"/>
      <c r="C3" s="68"/>
      <c r="D3" s="68"/>
      <c r="E3" s="68" t="s">
        <v>116</v>
      </c>
      <c r="F3" s="68"/>
      <c r="G3" s="68" t="s">
        <v>117</v>
      </c>
      <c r="H3" s="226" t="s">
        <v>118</v>
      </c>
      <c r="J3" s="227" t="s">
        <v>119</v>
      </c>
    </row>
    <row r="4" spans="1:10" ht="63.75" customHeight="1">
      <c r="A4" s="181"/>
      <c r="B4" s="228" t="s">
        <v>101</v>
      </c>
      <c r="C4" s="228" t="s">
        <v>120</v>
      </c>
      <c r="D4" s="201" t="s">
        <v>102</v>
      </c>
      <c r="E4" s="228" t="s">
        <v>121</v>
      </c>
      <c r="F4" s="201" t="s">
        <v>122</v>
      </c>
      <c r="G4" s="228" t="s">
        <v>123</v>
      </c>
      <c r="H4" s="184" t="s">
        <v>124</v>
      </c>
      <c r="I4" s="229"/>
      <c r="J4" s="230" t="s">
        <v>125</v>
      </c>
    </row>
    <row r="5" spans="1:10" s="33" customFormat="1" ht="13.5" customHeight="1">
      <c r="A5" s="39" t="s">
        <v>43</v>
      </c>
      <c r="B5" s="186" t="s">
        <v>79</v>
      </c>
      <c r="C5" s="40" t="s">
        <v>46</v>
      </c>
      <c r="D5" s="40" t="s">
        <v>106</v>
      </c>
      <c r="E5" s="40" t="s">
        <v>46</v>
      </c>
      <c r="F5" s="231" t="s">
        <v>46</v>
      </c>
      <c r="G5" s="232" t="s">
        <v>46</v>
      </c>
      <c r="H5" s="233" t="s">
        <v>79</v>
      </c>
      <c r="I5" s="234"/>
      <c r="J5" s="235" t="s">
        <v>46</v>
      </c>
    </row>
    <row r="6" spans="1:10">
      <c r="A6" s="236" t="s">
        <v>47</v>
      </c>
      <c r="B6" s="237">
        <f>RP!I7</f>
        <v>131.1</v>
      </c>
      <c r="C6" s="45">
        <f>RP!H7/RP!$H$33*sse*D6</f>
        <v>12745021954.825367</v>
      </c>
      <c r="D6" s="238">
        <f>RP!G7</f>
        <v>1281503.3333333333</v>
      </c>
      <c r="E6" s="45">
        <f t="shared" ref="E6:E32" si="0">C6/D6</f>
        <v>9945.3677749508006</v>
      </c>
      <c r="F6" s="45">
        <f>IF(B6&gt;100,-Einzahlungen!F7,Auszahlungen!F6)/D6</f>
        <v>-461.7190417287681</v>
      </c>
      <c r="G6" s="45">
        <f t="shared" ref="G6:G31" si="1">E6+F6</f>
        <v>9483.6487332220331</v>
      </c>
      <c r="H6" s="46">
        <f t="shared" ref="H6:H31" si="2">ROUND(G6/E$32*100,1)</f>
        <v>125.1</v>
      </c>
      <c r="J6" s="239">
        <f t="shared" ref="J6:J32" si="3">E6-E$32</f>
        <v>2362.13319275292</v>
      </c>
    </row>
    <row r="7" spans="1:10">
      <c r="A7" s="240" t="s">
        <v>48</v>
      </c>
      <c r="B7" s="241">
        <f>RP!I8</f>
        <v>77</v>
      </c>
      <c r="C7" s="50">
        <f>RP!H8/RP!$H$33*sse*D7</f>
        <v>5616680271.6099195</v>
      </c>
      <c r="D7" s="242">
        <f>RP!G8</f>
        <v>961316.66666666663</v>
      </c>
      <c r="E7" s="50">
        <f t="shared" si="0"/>
        <v>5842.6951974998728</v>
      </c>
      <c r="F7" s="50">
        <f>IF(B7&gt;100,-Einzahlungen!F8,Auszahlungen!F7)/D7</f>
        <v>814.21697435541</v>
      </c>
      <c r="G7" s="50">
        <f t="shared" si="1"/>
        <v>6656.9121718552833</v>
      </c>
      <c r="H7" s="51">
        <f t="shared" si="2"/>
        <v>87.8</v>
      </c>
      <c r="J7" s="243">
        <f t="shared" si="3"/>
        <v>-1740.5393846980078</v>
      </c>
    </row>
    <row r="8" spans="1:10">
      <c r="A8" s="244" t="s">
        <v>49</v>
      </c>
      <c r="B8" s="245">
        <f>RP!I9</f>
        <v>76.5</v>
      </c>
      <c r="C8" s="54">
        <f>RP!H9/RP!$H$33*sse*D8</f>
        <v>2053730340.7506285</v>
      </c>
      <c r="D8" s="246">
        <f>RP!G9</f>
        <v>354121.66666666669</v>
      </c>
      <c r="E8" s="54">
        <f t="shared" si="0"/>
        <v>5799.5048992124975</v>
      </c>
      <c r="F8" s="54">
        <f>IF(B8&gt;100,-Einzahlungen!F9,Auszahlungen!F8)/D8</f>
        <v>842.23836633464066</v>
      </c>
      <c r="G8" s="54">
        <f t="shared" si="1"/>
        <v>6641.7432655471384</v>
      </c>
      <c r="H8" s="55">
        <f t="shared" si="2"/>
        <v>87.6</v>
      </c>
      <c r="J8" s="247">
        <f t="shared" si="3"/>
        <v>-1783.7296829853831</v>
      </c>
    </row>
    <row r="9" spans="1:10">
      <c r="A9" s="240" t="s">
        <v>50</v>
      </c>
      <c r="B9" s="241">
        <f>RP!I10</f>
        <v>60.6</v>
      </c>
      <c r="C9" s="50">
        <f>RP!H10/RP!$H$33*sse*D9</f>
        <v>159640816.80023229</v>
      </c>
      <c r="D9" s="242">
        <f>RP!G10</f>
        <v>34719</v>
      </c>
      <c r="E9" s="50">
        <f t="shared" si="0"/>
        <v>4598.0822258772514</v>
      </c>
      <c r="F9" s="50">
        <f>IF(B9&gt;100,-Einzahlungen!F10,Auszahlungen!F9)/D9</f>
        <v>1899.035558276895</v>
      </c>
      <c r="G9" s="50">
        <f t="shared" si="1"/>
        <v>6497.1177841541466</v>
      </c>
      <c r="H9" s="51">
        <f t="shared" si="2"/>
        <v>85.7</v>
      </c>
      <c r="J9" s="243">
        <f t="shared" si="3"/>
        <v>-2985.1523563206292</v>
      </c>
    </row>
    <row r="10" spans="1:10">
      <c r="A10" s="244" t="s">
        <v>51</v>
      </c>
      <c r="B10" s="245">
        <f>RP!I11</f>
        <v>124.9</v>
      </c>
      <c r="C10" s="54">
        <f>RP!H11/RP!$H$33*sse*D10</f>
        <v>1279561469.8642752</v>
      </c>
      <c r="D10" s="246">
        <f>RP!G11</f>
        <v>135121.66666666666</v>
      </c>
      <c r="E10" s="54">
        <f t="shared" si="0"/>
        <v>9469.6986902984372</v>
      </c>
      <c r="F10" s="54">
        <f>IF(B10&gt;100,-Einzahlungen!F11,Auszahlungen!F10)/D10</f>
        <v>-369.67215881177907</v>
      </c>
      <c r="G10" s="54">
        <f t="shared" si="1"/>
        <v>9100.0265314866574</v>
      </c>
      <c r="H10" s="55">
        <f t="shared" si="2"/>
        <v>120</v>
      </c>
      <c r="J10" s="247">
        <f t="shared" si="3"/>
        <v>1886.4641081005566</v>
      </c>
    </row>
    <row r="11" spans="1:10">
      <c r="A11" s="240" t="s">
        <v>52</v>
      </c>
      <c r="B11" s="241">
        <f>RP!I12</f>
        <v>66.099999999999994</v>
      </c>
      <c r="C11" s="50">
        <f>RP!H12/RP!$H$33*sse*D11</f>
        <v>165530520.73796228</v>
      </c>
      <c r="D11" s="242">
        <f>RP!G12</f>
        <v>33047.666666666664</v>
      </c>
      <c r="E11" s="50">
        <f t="shared" si="0"/>
        <v>5008.8413928758146</v>
      </c>
      <c r="F11" s="50">
        <f>IF(B11&gt;100,-Einzahlungen!F12,Auszahlungen!F11)/D11</f>
        <v>1498.996571309179</v>
      </c>
      <c r="G11" s="50">
        <f t="shared" si="1"/>
        <v>6507.8379641849933</v>
      </c>
      <c r="H11" s="51">
        <f t="shared" si="2"/>
        <v>85.8</v>
      </c>
      <c r="J11" s="243">
        <f t="shared" si="3"/>
        <v>-2574.3931893220661</v>
      </c>
    </row>
    <row r="12" spans="1:10">
      <c r="A12" s="244" t="s">
        <v>53</v>
      </c>
      <c r="B12" s="245">
        <f>RP!I13</f>
        <v>127.7</v>
      </c>
      <c r="C12" s="54">
        <f>RP!H13/RP!$H$33*sse*D12</f>
        <v>375229584.62432247</v>
      </c>
      <c r="D12" s="246">
        <f>RP!G13</f>
        <v>38740</v>
      </c>
      <c r="E12" s="54">
        <f t="shared" si="0"/>
        <v>9685.8436919030064</v>
      </c>
      <c r="F12" s="54">
        <f>IF(B12&gt;100,-Einzahlungen!F13,Auszahlungen!F12)/D12</f>
        <v>-411.24171883880638</v>
      </c>
      <c r="G12" s="54">
        <f t="shared" si="1"/>
        <v>9274.6019730642001</v>
      </c>
      <c r="H12" s="55">
        <f t="shared" si="2"/>
        <v>122.3</v>
      </c>
      <c r="J12" s="247">
        <f t="shared" si="3"/>
        <v>2102.6091097051258</v>
      </c>
    </row>
    <row r="13" spans="1:10">
      <c r="A13" s="240" t="s">
        <v>54</v>
      </c>
      <c r="B13" s="241">
        <f>RP!I14</f>
        <v>68.900000000000006</v>
      </c>
      <c r="C13" s="50">
        <f>RP!H14/RP!$H$33*sse*D13</f>
        <v>199732485.99748394</v>
      </c>
      <c r="D13" s="242">
        <f>RP!G14</f>
        <v>38218</v>
      </c>
      <c r="E13" s="50">
        <f t="shared" si="0"/>
        <v>5226.1365324581075</v>
      </c>
      <c r="F13" s="50">
        <f>IF(B13&gt;100,-Einzahlungen!F14,Auszahlungen!F13)/D13</f>
        <v>1308.8701117270095</v>
      </c>
      <c r="G13" s="50">
        <f t="shared" si="1"/>
        <v>6535.0066441851168</v>
      </c>
      <c r="H13" s="51">
        <f t="shared" si="2"/>
        <v>86.2</v>
      </c>
      <c r="J13" s="243">
        <f t="shared" si="3"/>
        <v>-2357.0980497397732</v>
      </c>
    </row>
    <row r="14" spans="1:10">
      <c r="A14" s="244" t="s">
        <v>55</v>
      </c>
      <c r="B14" s="245">
        <f>RP!I15</f>
        <v>223.8</v>
      </c>
      <c r="C14" s="54">
        <f>RP!H15/RP!$H$33*sse*D14</f>
        <v>1777655659.4997685</v>
      </c>
      <c r="D14" s="246">
        <f>RP!G15</f>
        <v>104728.66666666667</v>
      </c>
      <c r="E14" s="54">
        <f t="shared" si="0"/>
        <v>16973.916656055029</v>
      </c>
      <c r="F14" s="54">
        <f>IF(B14&gt;100,-Einzahlungen!F15,Auszahlungen!F14)/D14</f>
        <v>-1837.9684040521381</v>
      </c>
      <c r="G14" s="54">
        <f t="shared" si="1"/>
        <v>15135.948252002891</v>
      </c>
      <c r="H14" s="55">
        <f t="shared" si="2"/>
        <v>199.6</v>
      </c>
      <c r="J14" s="247">
        <f t="shared" si="3"/>
        <v>9390.6820738571478</v>
      </c>
    </row>
    <row r="15" spans="1:10">
      <c r="A15" s="240" t="s">
        <v>56</v>
      </c>
      <c r="B15" s="241">
        <f>RP!I16</f>
        <v>73.5</v>
      </c>
      <c r="C15" s="50">
        <f>RP!H16/RP!$H$33*sse*D15</f>
        <v>1404551352.1339469</v>
      </c>
      <c r="D15" s="242">
        <f>RP!G16</f>
        <v>251972</v>
      </c>
      <c r="E15" s="50">
        <f t="shared" si="0"/>
        <v>5574.2358362593741</v>
      </c>
      <c r="F15" s="50">
        <f>IF(B15&gt;100,-Einzahlungen!F16,Auszahlungen!F15)/D15</f>
        <v>1017.4845762840932</v>
      </c>
      <c r="G15" s="50">
        <f t="shared" si="1"/>
        <v>6591.7204125434673</v>
      </c>
      <c r="H15" s="51">
        <f t="shared" si="2"/>
        <v>86.9</v>
      </c>
      <c r="J15" s="243">
        <f t="shared" si="3"/>
        <v>-2008.9987459385065</v>
      </c>
    </row>
    <row r="16" spans="1:10">
      <c r="A16" s="244" t="s">
        <v>57</v>
      </c>
      <c r="B16" s="245">
        <f>RP!I17</f>
        <v>76.2</v>
      </c>
      <c r="C16" s="54">
        <f>RP!H17/RP!$H$33*sse*D16</f>
        <v>1423265030.7974913</v>
      </c>
      <c r="D16" s="246">
        <f>RP!G17</f>
        <v>246221.33333333334</v>
      </c>
      <c r="E16" s="54">
        <f t="shared" si="0"/>
        <v>5780.4293865579939</v>
      </c>
      <c r="F16" s="54">
        <f>IF(B16&gt;100,-Einzahlungen!F17,Auszahlungen!F16)/D16</f>
        <v>859.21648512110914</v>
      </c>
      <c r="G16" s="54">
        <f t="shared" si="1"/>
        <v>6639.645871679103</v>
      </c>
      <c r="H16" s="55">
        <f t="shared" si="2"/>
        <v>87.6</v>
      </c>
      <c r="J16" s="247">
        <f t="shared" si="3"/>
        <v>-1802.8051956398867</v>
      </c>
    </row>
    <row r="17" spans="1:10">
      <c r="A17" s="240" t="s">
        <v>58</v>
      </c>
      <c r="B17" s="241">
        <f>RP!I18</f>
        <v>139.4</v>
      </c>
      <c r="C17" s="50">
        <f>RP!H18/RP!$H$33*sse*D17</f>
        <v>2015932966.0947635</v>
      </c>
      <c r="D17" s="242">
        <f>RP!G18</f>
        <v>190734</v>
      </c>
      <c r="E17" s="50">
        <f t="shared" si="0"/>
        <v>10569.342466968466</v>
      </c>
      <c r="F17" s="50">
        <f>IF(B17&gt;100,-Einzahlungen!F18,Auszahlungen!F17)/D17</f>
        <v>-584.94309466602783</v>
      </c>
      <c r="G17" s="50">
        <f t="shared" si="1"/>
        <v>9984.3993723024378</v>
      </c>
      <c r="H17" s="51">
        <f t="shared" si="2"/>
        <v>131.69999999999999</v>
      </c>
      <c r="J17" s="243">
        <f t="shared" si="3"/>
        <v>2986.1078847705858</v>
      </c>
    </row>
    <row r="18" spans="1:10">
      <c r="A18" s="244" t="s">
        <v>59</v>
      </c>
      <c r="B18" s="245">
        <f>RP!I19</f>
        <v>102.6</v>
      </c>
      <c r="C18" s="54">
        <f>RP!H19/RP!$H$33*sse*D18</f>
        <v>2052433160.4390409</v>
      </c>
      <c r="D18" s="246">
        <f>RP!G19</f>
        <v>263868.33333333331</v>
      </c>
      <c r="E18" s="54">
        <f t="shared" si="0"/>
        <v>7778.2473346140096</v>
      </c>
      <c r="F18" s="54">
        <f>IF(B18&gt;100,-Einzahlungen!F19,Auszahlungen!F18)/D18</f>
        <v>-38.600305739382463</v>
      </c>
      <c r="G18" s="54">
        <f t="shared" si="1"/>
        <v>7739.6470288746268</v>
      </c>
      <c r="H18" s="55">
        <f t="shared" si="2"/>
        <v>102.1</v>
      </c>
      <c r="J18" s="247">
        <f t="shared" si="3"/>
        <v>195.01275241612893</v>
      </c>
    </row>
    <row r="19" spans="1:10">
      <c r="A19" s="240" t="s">
        <v>60</v>
      </c>
      <c r="B19" s="241">
        <f>RP!I20</f>
        <v>96.1</v>
      </c>
      <c r="C19" s="50">
        <f>RP!H20/RP!$H$33*sse*D19</f>
        <v>540325339.08266437</v>
      </c>
      <c r="D19" s="242">
        <f>RP!G20</f>
        <v>74152</v>
      </c>
      <c r="E19" s="50">
        <f t="shared" si="0"/>
        <v>7286.7264413996163</v>
      </c>
      <c r="F19" s="50">
        <f>IF(B19&gt;100,-Einzahlungen!F20,Auszahlungen!F19)/D19</f>
        <v>49.915880713540609</v>
      </c>
      <c r="G19" s="50">
        <f t="shared" si="1"/>
        <v>7336.6423221131572</v>
      </c>
      <c r="H19" s="51">
        <f t="shared" si="2"/>
        <v>96.7</v>
      </c>
      <c r="J19" s="243">
        <f t="shared" si="3"/>
        <v>-296.50814079826432</v>
      </c>
    </row>
    <row r="20" spans="1:10">
      <c r="A20" s="244" t="s">
        <v>61</v>
      </c>
      <c r="B20" s="245">
        <f>RP!I21</f>
        <v>76</v>
      </c>
      <c r="C20" s="54">
        <f>RP!H21/RP!$H$33*sse*D20</f>
        <v>302698632.3183316</v>
      </c>
      <c r="D20" s="246">
        <f>RP!G21</f>
        <v>52550.333333333336</v>
      </c>
      <c r="E20" s="54">
        <f t="shared" si="0"/>
        <v>5760.1657899727543</v>
      </c>
      <c r="F20" s="54">
        <f>IF(B20&gt;100,-Einzahlungen!F21,Auszahlungen!F20)/D20</f>
        <v>870.60368470574326</v>
      </c>
      <c r="G20" s="54">
        <f t="shared" si="1"/>
        <v>6630.7694746784973</v>
      </c>
      <c r="H20" s="55">
        <f t="shared" si="2"/>
        <v>87.4</v>
      </c>
      <c r="J20" s="247">
        <f t="shared" si="3"/>
        <v>-1823.0687922251263</v>
      </c>
    </row>
    <row r="21" spans="1:10">
      <c r="A21" s="240" t="s">
        <v>62</v>
      </c>
      <c r="B21" s="241">
        <f>RP!I22</f>
        <v>81.099999999999994</v>
      </c>
      <c r="C21" s="50">
        <f>RP!H22/RP!$H$33*sse*D21</f>
        <v>90894687.919404954</v>
      </c>
      <c r="D21" s="242">
        <f>RP!G22</f>
        <v>14779.333333333334</v>
      </c>
      <c r="E21" s="50">
        <f t="shared" si="0"/>
        <v>6150.120974293266</v>
      </c>
      <c r="F21" s="50">
        <f>IF(B21&gt;100,-Einzahlungen!F22,Auszahlungen!F21)/D21</f>
        <v>597.84586280149779</v>
      </c>
      <c r="G21" s="50">
        <f t="shared" si="1"/>
        <v>6747.9668370947638</v>
      </c>
      <c r="H21" s="51">
        <f t="shared" si="2"/>
        <v>89</v>
      </c>
      <c r="J21" s="243">
        <f t="shared" si="3"/>
        <v>-1433.1136079046146</v>
      </c>
    </row>
    <row r="22" spans="1:10">
      <c r="A22" s="244" t="s">
        <v>63</v>
      </c>
      <c r="B22" s="245">
        <f>RP!I23</f>
        <v>76.099999999999994</v>
      </c>
      <c r="C22" s="54">
        <f>RP!H23/RP!$H$33*sse*D22</f>
        <v>2651587961.2100277</v>
      </c>
      <c r="D22" s="246">
        <f>RP!G23</f>
        <v>459391</v>
      </c>
      <c r="E22" s="54">
        <f t="shared" si="0"/>
        <v>5771.9632322140133</v>
      </c>
      <c r="F22" s="54">
        <f>IF(B22&gt;100,-Einzahlungen!F23,Auszahlungen!F22)/D22</f>
        <v>864.90325589405984</v>
      </c>
      <c r="G22" s="54">
        <f t="shared" si="1"/>
        <v>6636.8664881080731</v>
      </c>
      <c r="H22" s="55">
        <f t="shared" si="2"/>
        <v>87.5</v>
      </c>
      <c r="J22" s="247">
        <f t="shared" si="3"/>
        <v>-1811.2713499838674</v>
      </c>
    </row>
    <row r="23" spans="1:10">
      <c r="A23" s="240" t="s">
        <v>64</v>
      </c>
      <c r="B23" s="241">
        <f>RP!I24</f>
        <v>80.599999999999994</v>
      </c>
      <c r="C23" s="50">
        <f>RP!H24/RP!$H$33*sse*D23</f>
        <v>1169139811.8787394</v>
      </c>
      <c r="D23" s="242">
        <f>RP!G24</f>
        <v>191370.33333333334</v>
      </c>
      <c r="E23" s="50">
        <f t="shared" si="0"/>
        <v>6109.3054054637832</v>
      </c>
      <c r="F23" s="50">
        <f>IF(B23&gt;100,-Einzahlungen!F24,Auszahlungen!F23)/D23</f>
        <v>622.91757306527188</v>
      </c>
      <c r="G23" s="50">
        <f t="shared" si="1"/>
        <v>6732.2229785290547</v>
      </c>
      <c r="H23" s="51">
        <f t="shared" si="2"/>
        <v>88.8</v>
      </c>
      <c r="J23" s="243">
        <f t="shared" si="3"/>
        <v>-1473.9291767340974</v>
      </c>
    </row>
    <row r="24" spans="1:10">
      <c r="A24" s="244" t="s">
        <v>65</v>
      </c>
      <c r="B24" s="245">
        <f>RP!I25</f>
        <v>88.8</v>
      </c>
      <c r="C24" s="54">
        <f>RP!H25/RP!$H$33*sse*D24</f>
        <v>3792859501.070539</v>
      </c>
      <c r="D24" s="246">
        <f>RP!G25</f>
        <v>563149</v>
      </c>
      <c r="E24" s="54">
        <f t="shared" si="0"/>
        <v>6735.0905374430904</v>
      </c>
      <c r="F24" s="54">
        <f>IF(B24&gt;100,-Einzahlungen!F25,Auszahlungen!F24)/D24</f>
        <v>262.45907087731626</v>
      </c>
      <c r="G24" s="54">
        <f t="shared" si="1"/>
        <v>6997.5496083204071</v>
      </c>
      <c r="H24" s="55">
        <f t="shared" si="2"/>
        <v>92.3</v>
      </c>
      <c r="J24" s="247">
        <f t="shared" si="3"/>
        <v>-848.14404475479023</v>
      </c>
    </row>
    <row r="25" spans="1:10">
      <c r="A25" s="240" t="s">
        <v>66</v>
      </c>
      <c r="B25" s="241">
        <f>RP!I26</f>
        <v>73.400000000000006</v>
      </c>
      <c r="C25" s="50">
        <f>RP!H26/RP!$H$33*sse*D25</f>
        <v>1296697834.3018188</v>
      </c>
      <c r="D25" s="242">
        <f>RP!G26</f>
        <v>232811.66666666666</v>
      </c>
      <c r="E25" s="50">
        <f t="shared" si="0"/>
        <v>5569.728754866891</v>
      </c>
      <c r="F25" s="50">
        <f>IF(B25&gt;100,-Einzahlungen!F26,Auszahlungen!F25)/D25</f>
        <v>1023.5319786389908</v>
      </c>
      <c r="G25" s="50">
        <f t="shared" si="1"/>
        <v>6593.2607335058819</v>
      </c>
      <c r="H25" s="51">
        <f t="shared" si="2"/>
        <v>86.9</v>
      </c>
      <c r="J25" s="243">
        <f t="shared" si="3"/>
        <v>-2013.5058273309896</v>
      </c>
    </row>
    <row r="26" spans="1:10">
      <c r="A26" s="244" t="s">
        <v>67</v>
      </c>
      <c r="B26" s="245">
        <f>RP!I27</f>
        <v>95.9</v>
      </c>
      <c r="C26" s="54">
        <f>RP!H27/RP!$H$33*sse*D26</f>
        <v>2322115843.5065808</v>
      </c>
      <c r="D26" s="246">
        <f>RP!G27</f>
        <v>319353.33333333331</v>
      </c>
      <c r="E26" s="54">
        <f t="shared" si="0"/>
        <v>7271.3061087194365</v>
      </c>
      <c r="F26" s="54">
        <f>IF(B26&gt;100,-Einzahlungen!F27,Auszahlungen!F26)/D26</f>
        <v>54.002033209920349</v>
      </c>
      <c r="G26" s="54">
        <f t="shared" si="1"/>
        <v>7325.3081419293567</v>
      </c>
      <c r="H26" s="55">
        <f t="shared" si="2"/>
        <v>96.6</v>
      </c>
      <c r="J26" s="247">
        <f t="shared" si="3"/>
        <v>-311.92847347844418</v>
      </c>
    </row>
    <row r="27" spans="1:10">
      <c r="A27" s="240" t="s">
        <v>68</v>
      </c>
      <c r="B27" s="241">
        <f>RP!I28</f>
        <v>101.5</v>
      </c>
      <c r="C27" s="50">
        <f>RP!H28/RP!$H$33*sse*D27</f>
        <v>5050615920.7209768</v>
      </c>
      <c r="D27" s="242">
        <f>RP!G28</f>
        <v>656153.66666666663</v>
      </c>
      <c r="E27" s="50">
        <f t="shared" si="0"/>
        <v>7697.3065568293869</v>
      </c>
      <c r="F27" s="50">
        <f>IF(B27&gt;100,-Einzahlungen!F28,Auszahlungen!F27)/D27</f>
        <v>-22.269407157336083</v>
      </c>
      <c r="G27" s="50">
        <f t="shared" si="1"/>
        <v>7675.0371496720509</v>
      </c>
      <c r="H27" s="51">
        <f t="shared" si="2"/>
        <v>101.2</v>
      </c>
      <c r="J27" s="243">
        <f t="shared" si="3"/>
        <v>114.07197463150624</v>
      </c>
    </row>
    <row r="28" spans="1:10">
      <c r="A28" s="244" t="s">
        <v>69</v>
      </c>
      <c r="B28" s="245">
        <f>RP!I29</f>
        <v>68.099999999999994</v>
      </c>
      <c r="C28" s="54">
        <f>RP!H29/RP!$H$33*sse*D28</f>
        <v>1478791731.2507005</v>
      </c>
      <c r="D28" s="246">
        <f>RP!G29</f>
        <v>286555.33333333331</v>
      </c>
      <c r="E28" s="54">
        <f t="shared" si="0"/>
        <v>5160.5800319567152</v>
      </c>
      <c r="F28" s="54">
        <f>IF(B28&gt;100,-Einzahlungen!F29,Auszahlungen!F28)/D28</f>
        <v>1362.2309865297532</v>
      </c>
      <c r="G28" s="54">
        <f t="shared" si="1"/>
        <v>6522.8110184864681</v>
      </c>
      <c r="H28" s="55">
        <f t="shared" si="2"/>
        <v>86</v>
      </c>
      <c r="J28" s="247">
        <f t="shared" si="3"/>
        <v>-2422.6545502411655</v>
      </c>
    </row>
    <row r="29" spans="1:10">
      <c r="A29" s="240" t="s">
        <v>70</v>
      </c>
      <c r="B29" s="241">
        <f>RP!I30</f>
        <v>97.5</v>
      </c>
      <c r="C29" s="50">
        <f>RP!H30/RP!$H$33*sse*D29</f>
        <v>1247544533.6900051</v>
      </c>
      <c r="D29" s="242">
        <f>RP!G30</f>
        <v>168702</v>
      </c>
      <c r="E29" s="50">
        <f t="shared" si="0"/>
        <v>7394.9599512157829</v>
      </c>
      <c r="F29" s="50">
        <f>IF(B29&gt;100,-Einzahlungen!F30,Auszahlungen!F29)/D29</f>
        <v>24.796567009983612</v>
      </c>
      <c r="G29" s="50">
        <f t="shared" si="1"/>
        <v>7419.7565182257667</v>
      </c>
      <c r="H29" s="51">
        <f t="shared" si="2"/>
        <v>97.8</v>
      </c>
      <c r="J29" s="243">
        <f t="shared" si="3"/>
        <v>-188.27463098209773</v>
      </c>
    </row>
    <row r="30" spans="1:10">
      <c r="A30" s="244" t="s">
        <v>71</v>
      </c>
      <c r="B30" s="245">
        <f>RP!I31</f>
        <v>151.19999999999999</v>
      </c>
      <c r="C30" s="54">
        <f>RP!H31/RP!$H$33*sse*D30</f>
        <v>4955477974.0813379</v>
      </c>
      <c r="D30" s="246">
        <f>RP!G31</f>
        <v>432290</v>
      </c>
      <c r="E30" s="54">
        <f t="shared" si="0"/>
        <v>11463.318545609054</v>
      </c>
      <c r="F30" s="54">
        <f>IF(B30&gt;100,-Einzahlungen!F31,Auszahlungen!F30)/D30</f>
        <v>-760.12909763707148</v>
      </c>
      <c r="G30" s="54">
        <f t="shared" si="1"/>
        <v>10703.189447971983</v>
      </c>
      <c r="H30" s="55">
        <f t="shared" si="2"/>
        <v>141.1</v>
      </c>
      <c r="J30" s="247">
        <f t="shared" si="3"/>
        <v>3880.0839634111735</v>
      </c>
    </row>
    <row r="31" spans="1:10">
      <c r="A31" s="240" t="s">
        <v>72</v>
      </c>
      <c r="B31" s="248">
        <f>RP!I32</f>
        <v>68.7</v>
      </c>
      <c r="C31" s="130">
        <f>RP!H32/RP!$H$33*sse*D31</f>
        <v>353716298.12698936</v>
      </c>
      <c r="D31" s="249">
        <f>RP!G32</f>
        <v>67902.333333333328</v>
      </c>
      <c r="E31" s="130">
        <f t="shared" si="0"/>
        <v>5209.192096398102</v>
      </c>
      <c r="F31" s="130">
        <f>IF(B31&gt;100,-Einzahlungen!F32,Auszahlungen!F31)/D31</f>
        <v>1322.1374230353888</v>
      </c>
      <c r="G31" s="130">
        <f t="shared" si="1"/>
        <v>6531.3295194334905</v>
      </c>
      <c r="H31" s="250">
        <f t="shared" si="2"/>
        <v>86.1</v>
      </c>
      <c r="J31" s="251">
        <f t="shared" si="3"/>
        <v>-2374.0424857997787</v>
      </c>
    </row>
    <row r="32" spans="1:10" s="77" customFormat="1" ht="15" customHeight="1">
      <c r="A32" s="197" t="s">
        <v>114</v>
      </c>
      <c r="B32" s="221">
        <f>RP!I33</f>
        <v>100</v>
      </c>
      <c r="C32" s="199">
        <f>SUM(C6:C31)</f>
        <v>56521431683.333321</v>
      </c>
      <c r="D32" s="252">
        <f>SUM(D6:D31)</f>
        <v>7453472.666666666</v>
      </c>
      <c r="E32" s="199">
        <f t="shared" si="0"/>
        <v>7583.2345821978806</v>
      </c>
      <c r="F32" s="199"/>
      <c r="G32" s="199"/>
      <c r="H32" s="253"/>
      <c r="J32" s="254">
        <f t="shared" si="3"/>
        <v>0</v>
      </c>
    </row>
    <row r="33" spans="1:10" s="255" customFormat="1" ht="18.75" customHeight="1">
      <c r="A33" s="256" t="s">
        <v>126</v>
      </c>
      <c r="B33" s="257">
        <f>MIN(B6:B31)</f>
        <v>60.6</v>
      </c>
      <c r="C33" s="257"/>
      <c r="D33" s="258"/>
      <c r="E33" s="259"/>
      <c r="F33" s="259"/>
      <c r="G33" s="259"/>
      <c r="H33" s="260">
        <f>MIN(H6:H31)</f>
        <v>85.7</v>
      </c>
    </row>
    <row r="34" spans="1:10" s="1" customFormat="1" ht="14.25" customHeight="1">
      <c r="A34" s="56"/>
      <c r="B34" s="261"/>
      <c r="C34" s="261"/>
      <c r="D34" s="262"/>
      <c r="E34" s="29"/>
      <c r="F34" s="29"/>
      <c r="G34" s="29"/>
      <c r="H34" s="261"/>
    </row>
    <row r="35" spans="1:10" ht="26.25" customHeight="1">
      <c r="A35" s="302" t="str">
        <f>"Standardisierter Steuersatz "&amp;Info!C30</f>
        <v>Standardisierter Steuersatz 2009</v>
      </c>
      <c r="B35" s="302"/>
      <c r="C35" s="302"/>
      <c r="D35" s="302"/>
      <c r="E35" s="302"/>
      <c r="F35" s="302"/>
      <c r="G35" s="302"/>
      <c r="H35" s="302"/>
    </row>
    <row r="36" spans="1:10" ht="15.75" customHeight="1">
      <c r="A36" s="181"/>
      <c r="B36" s="263"/>
      <c r="C36" s="263"/>
      <c r="D36" s="264" t="s">
        <v>43</v>
      </c>
      <c r="E36" s="265" t="s">
        <v>35</v>
      </c>
      <c r="F36" s="266">
        <v>2003</v>
      </c>
      <c r="G36" s="267">
        <v>2004</v>
      </c>
      <c r="H36" s="268">
        <v>2005</v>
      </c>
      <c r="I36" s="269"/>
      <c r="J36" s="270" t="str">
        <f>F36&amp;" - "&amp;H36</f>
        <v>2003 - 2005</v>
      </c>
    </row>
    <row r="37" spans="1:10" ht="15" customHeight="1">
      <c r="A37" s="256" t="s">
        <v>127</v>
      </c>
      <c r="B37" s="263"/>
      <c r="C37" s="263"/>
      <c r="D37" s="264" t="s">
        <v>44</v>
      </c>
      <c r="E37" s="265"/>
      <c r="F37" s="271">
        <v>52772854</v>
      </c>
      <c r="G37" s="272">
        <v>54386868</v>
      </c>
      <c r="H37" s="273">
        <v>56210714</v>
      </c>
      <c r="I37" s="274"/>
      <c r="J37" s="275"/>
    </row>
    <row r="38" spans="1:10" ht="15" customHeight="1">
      <c r="A38" s="256" t="s">
        <v>128</v>
      </c>
      <c r="B38" s="263"/>
      <c r="C38" s="263"/>
      <c r="D38" s="264" t="s">
        <v>44</v>
      </c>
      <c r="E38" s="265"/>
      <c r="F38" s="271">
        <v>12399642</v>
      </c>
      <c r="G38" s="272">
        <v>11821740</v>
      </c>
      <c r="H38" s="273">
        <v>12213083</v>
      </c>
      <c r="I38" s="276"/>
      <c r="J38" s="277"/>
    </row>
    <row r="39" spans="1:10" ht="15" customHeight="1">
      <c r="A39" s="256" t="s">
        <v>129</v>
      </c>
      <c r="B39" s="263"/>
      <c r="C39" s="263"/>
      <c r="D39" s="264" t="s">
        <v>44</v>
      </c>
      <c r="E39" s="265" t="s">
        <v>130</v>
      </c>
      <c r="F39" s="278">
        <f>0.17*F38</f>
        <v>2107939.14</v>
      </c>
      <c r="G39" s="279">
        <f>0.17*G38</f>
        <v>2009695.8</v>
      </c>
      <c r="H39" s="280">
        <f>0.17*H38</f>
        <v>2076224.11</v>
      </c>
      <c r="I39" s="281"/>
      <c r="J39" s="282"/>
    </row>
    <row r="40" spans="1:10" ht="15.75" customHeight="1">
      <c r="A40" s="283" t="s">
        <v>131</v>
      </c>
      <c r="B40" s="284"/>
      <c r="C40" s="284"/>
      <c r="D40" s="285" t="s">
        <v>44</v>
      </c>
      <c r="E40" s="286" t="s">
        <v>132</v>
      </c>
      <c r="F40" s="287">
        <f>F37+F39</f>
        <v>54880793.140000001</v>
      </c>
      <c r="G40" s="288">
        <f>G37+G39</f>
        <v>56396563.799999997</v>
      </c>
      <c r="H40" s="288">
        <f>H37+H39</f>
        <v>58286938.109999999</v>
      </c>
      <c r="I40" s="142"/>
      <c r="J40" s="289">
        <f>AVERAGE(F40:H40)</f>
        <v>56521431.683333337</v>
      </c>
    </row>
    <row r="41" spans="1:10" ht="15" customHeight="1">
      <c r="A41" s="181" t="s">
        <v>133</v>
      </c>
      <c r="B41" s="263"/>
      <c r="C41" s="263"/>
      <c r="D41" s="264" t="s">
        <v>106</v>
      </c>
      <c r="E41" s="265"/>
      <c r="F41" s="278"/>
      <c r="G41" s="279"/>
      <c r="H41" s="279"/>
      <c r="I41" s="290"/>
      <c r="J41" s="280">
        <f>BEV!F33</f>
        <v>7453472.666666666</v>
      </c>
    </row>
    <row r="42" spans="1:10" ht="15.75" customHeight="1">
      <c r="A42" s="283" t="s">
        <v>134</v>
      </c>
      <c r="B42" s="284"/>
      <c r="C42" s="284"/>
      <c r="D42" s="285" t="s">
        <v>46</v>
      </c>
      <c r="E42" s="286" t="s">
        <v>135</v>
      </c>
      <c r="F42" s="291"/>
      <c r="G42" s="142"/>
      <c r="H42" s="142"/>
      <c r="I42" s="142"/>
      <c r="J42" s="292">
        <f>J40/J41*1000</f>
        <v>7583.2345821978824</v>
      </c>
    </row>
    <row r="43" spans="1:10" ht="15" customHeight="1">
      <c r="A43" s="181" t="s">
        <v>136</v>
      </c>
      <c r="B43" s="263"/>
      <c r="C43" s="263"/>
      <c r="D43" s="264" t="s">
        <v>46</v>
      </c>
      <c r="E43" s="265"/>
      <c r="F43" s="269"/>
      <c r="G43" s="290"/>
      <c r="H43" s="290"/>
      <c r="I43" s="290"/>
      <c r="J43" s="280">
        <f>RP!H33</f>
        <v>27694.547148719947</v>
      </c>
    </row>
    <row r="44" spans="1:10" ht="15.75" customHeight="1">
      <c r="A44" s="283" t="s">
        <v>137</v>
      </c>
      <c r="B44" s="284"/>
      <c r="C44" s="284"/>
      <c r="D44" s="285" t="s">
        <v>80</v>
      </c>
      <c r="E44" s="286" t="s">
        <v>138</v>
      </c>
      <c r="F44" s="291"/>
      <c r="G44" s="142"/>
      <c r="H44" s="142"/>
      <c r="I44" s="142"/>
      <c r="J44" s="293">
        <f>sse/J43</f>
        <v>0.27381688321083031</v>
      </c>
    </row>
    <row r="48" spans="1:10">
      <c r="A48" s="294"/>
    </row>
  </sheetData>
  <mergeCells count="2">
    <mergeCell ref="A1:E1"/>
    <mergeCell ref="A35:H35"/>
  </mergeCells>
  <conditionalFormatting sqref="J43">
    <cfRule type="expression" dxfId="1" priority="1" stopIfTrue="1">
      <formula>ISBLANK($F$12)</formula>
    </cfRule>
  </conditionalFormatting>
  <conditionalFormatting sqref="F36:H38">
    <cfRule type="expression" dxfId="0" priority="2" stopIfTrue="1">
      <formula>ISBLANK(F36)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3" orientation="landscape" r:id="rId1"/>
  <headerFooter>
    <oddHeader>&amp;L&amp;F&amp;R&amp;A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Info</vt:lpstr>
      <vt:lpstr>RP</vt:lpstr>
      <vt:lpstr>BEV</vt:lpstr>
      <vt:lpstr>Wachstum_RP</vt:lpstr>
      <vt:lpstr>Dotation_RA</vt:lpstr>
      <vt:lpstr>Einzahlungen</vt:lpstr>
      <vt:lpstr>Auszahlungen</vt:lpstr>
      <vt:lpstr>SSE</vt:lpstr>
      <vt:lpstr>A</vt:lpstr>
      <vt:lpstr>B</vt:lpstr>
      <vt:lpstr>BEV</vt:lpstr>
      <vt:lpstr>Druckbereich</vt:lpstr>
      <vt:lpstr>p</vt:lpstr>
      <vt:lpstr>RI</vt:lpstr>
      <vt:lpstr>RI_26</vt:lpstr>
      <vt:lpstr>RI_MIN</vt:lpstr>
      <vt:lpstr>solver_adj</vt:lpstr>
      <vt:lpstr>solver_lhs1</vt:lpstr>
      <vt:lpstr>solver_opt</vt:lpstr>
      <vt:lpstr>solver_rhs1</vt:lpstr>
      <vt:lpstr>sse</vt:lpstr>
      <vt:lpstr>SUM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U80820015</cp:lastModifiedBy>
  <cp:lastPrinted>2012-02-23T07:29:53Z</cp:lastPrinted>
  <dcterms:created xsi:type="dcterms:W3CDTF">2010-11-03T16:06:04Z</dcterms:created>
  <dcterms:modified xsi:type="dcterms:W3CDTF">2012-05-15T08:58:10Z</dcterms:modified>
</cp:coreProperties>
</file>