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Y:\FP-Archiv\FA\380 Allgemeines\Medien\Homepage\2021\Zahlen\Dateien\Tabellen\"/>
    </mc:Choice>
  </mc:AlternateContent>
  <bookViews>
    <workbookView xWindow="0" yWindow="0" windowWidth="13125" windowHeight="6105"/>
  </bookViews>
  <sheets>
    <sheet name="INTRO" sheetId="30" r:id="rId1"/>
    <sheet name="TOTAL" sheetId="26" r:id="rId2"/>
    <sheet name="NP" sheetId="10" r:id="rId3"/>
    <sheet name="QS" sheetId="16" r:id="rId4"/>
    <sheet name="VERM" sheetId="12" r:id="rId5"/>
    <sheet name="JP" sheetId="27" r:id="rId6"/>
    <sheet name="REP" sheetId="13" r:id="rId7"/>
    <sheet name="ASG" sheetId="15" r:id="rId8"/>
    <sheet name="BEV" sheetId="18" r:id="rId9"/>
    <sheet name="RP" sheetId="19" r:id="rId10"/>
    <sheet name="SST" sheetId="28" r:id="rId11"/>
    <sheet name="AUSZ" sheetId="6" r:id="rId12"/>
    <sheet name="DOT" sheetId="21" r:id="rId13"/>
    <sheet name="EINZ" sheetId="22" r:id="rId14"/>
    <sheet name="SSE" sheetId="24" r:id="rId15"/>
    <sheet name="DFIE" sheetId="29" state="veryHidden" r:id="rId16"/>
  </sheets>
  <definedNames>
    <definedName name="_xlnm.Print_Area" localSheetId="7">ASG!$A$1:$I$91</definedName>
    <definedName name="_xlnm.Print_Area" localSheetId="11">AUSZ!$B$1:$J$35</definedName>
    <definedName name="_xlnm.Print_Area" localSheetId="8">BEV!$B$1:$F$35</definedName>
    <definedName name="_xlnm.Print_Area" localSheetId="12">DOT!$B$1:$F$7</definedName>
    <definedName name="_xlnm.Print_Area" localSheetId="13">EINZ!$B$1:$G$35</definedName>
    <definedName name="_xlnm.Print_Area" localSheetId="5">JP!$A$1:$I$91</definedName>
    <definedName name="_xlnm.Print_Area" localSheetId="2">NP!$A$1:$I$91</definedName>
    <definedName name="_xlnm.Print_Area" localSheetId="3">QS!$A$1:$AB$91</definedName>
    <definedName name="_xlnm.Print_Area" localSheetId="6">REP!$A$1:$J$91</definedName>
    <definedName name="_xlnm.Print_Area" localSheetId="9">RP!$B$1:$I$38</definedName>
    <definedName name="_xlnm.Print_Area" localSheetId="14">SSE!$B$1:$I$37</definedName>
    <definedName name="_xlnm.Print_Area" localSheetId="10">SST!$B$1:$I$14</definedName>
    <definedName name="_xlnm.Print_Area" localSheetId="1">TOTAL!$A$1:$F$36</definedName>
    <definedName name="_xlnm.Print_Area" localSheetId="4">VERM!$B$1:$V$36</definedName>
    <definedName name="_xlnm.Print_Titles" localSheetId="7">ASG!$1:$8</definedName>
    <definedName name="_xlnm.Print_Titles" localSheetId="5">JP!$1:$8</definedName>
    <definedName name="_xlnm.Print_Titles" localSheetId="2">NP!$1:$8</definedName>
    <definedName name="_xlnm.Print_Titles" localSheetId="3">QS!$1:$8</definedName>
    <definedName name="_xlnm.Print_Titles" localSheetId="6">REP!$1:$8</definedName>
    <definedName name="solver_adj" localSheetId="11" hidden="1">AUSZ!#REF!</definedName>
    <definedName name="solver_cvg" localSheetId="11" hidden="1">0.0001</definedName>
    <definedName name="solver_drv" localSheetId="11" hidden="1">1</definedName>
    <definedName name="solver_est" localSheetId="11" hidden="1">1</definedName>
    <definedName name="solver_itr" localSheetId="11" hidden="1">100</definedName>
    <definedName name="solver_lhs1" localSheetId="11" hidden="1">AUSZ!#REF!</definedName>
    <definedName name="solver_lin" localSheetId="11" hidden="1">2</definedName>
    <definedName name="solver_neg" localSheetId="11" hidden="1">2</definedName>
    <definedName name="solver_num" localSheetId="11" hidden="1">1</definedName>
    <definedName name="solver_nwt" localSheetId="11" hidden="1">1</definedName>
    <definedName name="solver_opt" localSheetId="11" hidden="1">AUSZ!#REF!</definedName>
    <definedName name="solver_pre" localSheetId="11" hidden="1">0.00000000000001</definedName>
    <definedName name="solver_rel1" localSheetId="11" hidden="1">2</definedName>
    <definedName name="solver_rhs1" localSheetId="11" hidden="1">AUSZ!#REF!</definedName>
    <definedName name="solver_scl" localSheetId="11" hidden="1">2</definedName>
    <definedName name="solver_sho" localSheetId="11" hidden="1">2</definedName>
    <definedName name="solver_tim" localSheetId="11" hidden="1">100</definedName>
    <definedName name="solver_tol" localSheetId="11" hidden="1">0.05</definedName>
    <definedName name="solver_typ" localSheetId="11" hidden="1">1</definedName>
    <definedName name="solver_val" localSheetId="11" hidden="1">0</definedName>
  </definedNames>
  <calcPr calcId="162913"/>
</workbook>
</file>

<file path=xl/calcChain.xml><?xml version="1.0" encoding="utf-8"?>
<calcChain xmlns="http://schemas.openxmlformats.org/spreadsheetml/2006/main">
  <c r="B220" i="29" l="1"/>
  <c r="B216" i="29"/>
  <c r="D211" i="29"/>
  <c r="B196" i="29"/>
  <c r="B184" i="29"/>
  <c r="C6" i="28" s="1"/>
  <c r="B180" i="29"/>
  <c r="F173" i="29"/>
  <c r="E170" i="29"/>
  <c r="D167" i="29"/>
  <c r="G160" i="29"/>
  <c r="B156" i="29"/>
  <c r="G144" i="29"/>
  <c r="B140" i="29"/>
  <c r="B132" i="29"/>
  <c r="F125" i="29"/>
  <c r="G120" i="29"/>
  <c r="B116" i="29"/>
  <c r="G112" i="29"/>
  <c r="D111" i="29"/>
  <c r="F109" i="29"/>
  <c r="F101" i="29"/>
  <c r="F97" i="29"/>
  <c r="B92" i="29"/>
  <c r="E86" i="29"/>
  <c r="B80" i="29"/>
  <c r="B76" i="29"/>
  <c r="B72" i="29"/>
  <c r="E70" i="29"/>
  <c r="B68" i="29"/>
  <c r="B60" i="29"/>
  <c r="B52" i="29"/>
  <c r="B33" i="24" s="1"/>
  <c r="B44" i="29"/>
  <c r="B36" i="29"/>
  <c r="B17" i="24" s="1"/>
  <c r="B28" i="29"/>
  <c r="B22" i="29"/>
  <c r="B18" i="29"/>
  <c r="B14" i="29"/>
  <c r="D13" i="29"/>
  <c r="B10" i="29"/>
  <c r="B9" i="29"/>
  <c r="B224" i="29" s="1"/>
  <c r="H7" i="24" s="1"/>
  <c r="B8" i="29"/>
  <c r="G2" i="29"/>
  <c r="C35" i="24"/>
  <c r="B9" i="24"/>
  <c r="D7" i="24"/>
  <c r="B33" i="22"/>
  <c r="D28" i="22"/>
  <c r="B25" i="22"/>
  <c r="D20" i="22"/>
  <c r="B17" i="22"/>
  <c r="D12" i="22"/>
  <c r="B9" i="22"/>
  <c r="G7" i="22"/>
  <c r="E5" i="21"/>
  <c r="D5" i="21"/>
  <c r="C35" i="6"/>
  <c r="B33" i="6"/>
  <c r="B17" i="6"/>
  <c r="J15" i="6"/>
  <c r="J16" i="6" s="1"/>
  <c r="B9" i="6"/>
  <c r="F7" i="6"/>
  <c r="H9" i="28"/>
  <c r="F9" i="28"/>
  <c r="D9" i="28"/>
  <c r="H8" i="28"/>
  <c r="G8" i="28"/>
  <c r="G9" i="28" s="1"/>
  <c r="F8" i="28"/>
  <c r="D8" i="28"/>
  <c r="D6" i="28"/>
  <c r="D5" i="28"/>
  <c r="D4" i="28"/>
  <c r="I3" i="28"/>
  <c r="H3" i="28"/>
  <c r="G3" i="28"/>
  <c r="F3" i="28"/>
  <c r="H38" i="19"/>
  <c r="B33" i="19"/>
  <c r="B25" i="19"/>
  <c r="G17" i="19"/>
  <c r="B17" i="19"/>
  <c r="B9" i="19"/>
  <c r="F8" i="19"/>
  <c r="E8" i="19"/>
  <c r="D8" i="19"/>
  <c r="C8" i="19"/>
  <c r="E35" i="18"/>
  <c r="D35" i="18"/>
  <c r="C35" i="18"/>
  <c r="F34" i="18"/>
  <c r="G34" i="19" s="1"/>
  <c r="E34" i="24" s="1"/>
  <c r="F33" i="18"/>
  <c r="G33" i="19" s="1"/>
  <c r="B33" i="18"/>
  <c r="F32" i="18"/>
  <c r="G32" i="19" s="1"/>
  <c r="E32" i="24" s="1"/>
  <c r="F31" i="18"/>
  <c r="G31" i="19" s="1"/>
  <c r="F30" i="18"/>
  <c r="G30" i="19" s="1"/>
  <c r="E30" i="24" s="1"/>
  <c r="F29" i="18"/>
  <c r="G29" i="19" s="1"/>
  <c r="F28" i="18"/>
  <c r="G28" i="19" s="1"/>
  <c r="E28" i="24" s="1"/>
  <c r="F27" i="18"/>
  <c r="G27" i="19" s="1"/>
  <c r="F26" i="18"/>
  <c r="G26" i="19" s="1"/>
  <c r="E26" i="24" s="1"/>
  <c r="F25" i="18"/>
  <c r="G25" i="19" s="1"/>
  <c r="B25" i="18"/>
  <c r="F24" i="18"/>
  <c r="G24" i="19" s="1"/>
  <c r="E24" i="24" s="1"/>
  <c r="F23" i="18"/>
  <c r="G23" i="19" s="1"/>
  <c r="F22" i="18"/>
  <c r="G22" i="19" s="1"/>
  <c r="E22" i="24" s="1"/>
  <c r="F21" i="18"/>
  <c r="G21" i="19" s="1"/>
  <c r="F20" i="18"/>
  <c r="G20" i="19" s="1"/>
  <c r="E20" i="24" s="1"/>
  <c r="F19" i="18"/>
  <c r="G19" i="19" s="1"/>
  <c r="F18" i="18"/>
  <c r="G18" i="19" s="1"/>
  <c r="F17" i="18"/>
  <c r="B17" i="18"/>
  <c r="F16" i="18"/>
  <c r="G16" i="19" s="1"/>
  <c r="F15" i="18"/>
  <c r="G15" i="19" s="1"/>
  <c r="F14" i="18"/>
  <c r="G14" i="19" s="1"/>
  <c r="F13" i="18"/>
  <c r="G13" i="19" s="1"/>
  <c r="F12" i="18"/>
  <c r="G12" i="19" s="1"/>
  <c r="E12" i="24" s="1"/>
  <c r="F11" i="18"/>
  <c r="G11" i="19" s="1"/>
  <c r="F10" i="18"/>
  <c r="G10" i="19" s="1"/>
  <c r="F9" i="18"/>
  <c r="G9" i="19" s="1"/>
  <c r="B9" i="18"/>
  <c r="F7" i="18"/>
  <c r="E7" i="18"/>
  <c r="D7" i="18"/>
  <c r="C7" i="18"/>
  <c r="B89" i="15"/>
  <c r="B81" i="15"/>
  <c r="B73" i="15"/>
  <c r="F72" i="15"/>
  <c r="B65" i="15"/>
  <c r="B61" i="15"/>
  <c r="B53" i="15"/>
  <c r="F50" i="15"/>
  <c r="B45" i="15"/>
  <c r="E44" i="15"/>
  <c r="B37" i="15"/>
  <c r="B33" i="15"/>
  <c r="B25" i="15"/>
  <c r="B17" i="15"/>
  <c r="E13" i="15"/>
  <c r="B9" i="15"/>
  <c r="H8" i="15"/>
  <c r="G8" i="15"/>
  <c r="F8" i="15"/>
  <c r="E8" i="15"/>
  <c r="D8" i="15"/>
  <c r="C8" i="15"/>
  <c r="F91" i="13"/>
  <c r="D91" i="13"/>
  <c r="C91" i="13"/>
  <c r="E90" i="13"/>
  <c r="E89" i="13"/>
  <c r="B89" i="13"/>
  <c r="E88" i="13"/>
  <c r="E87" i="13"/>
  <c r="E86" i="13"/>
  <c r="E85" i="13"/>
  <c r="E84" i="13"/>
  <c r="E83" i="13"/>
  <c r="E82" i="13"/>
  <c r="E81" i="13"/>
  <c r="B81" i="13"/>
  <c r="E80" i="13"/>
  <c r="E79" i="13"/>
  <c r="E78" i="13"/>
  <c r="E77" i="13"/>
  <c r="E76" i="13"/>
  <c r="E75" i="13"/>
  <c r="E74" i="13"/>
  <c r="E73" i="13"/>
  <c r="E91" i="13" s="1"/>
  <c r="B73" i="13"/>
  <c r="E72" i="13"/>
  <c r="E71" i="13"/>
  <c r="E70" i="13"/>
  <c r="E69" i="13"/>
  <c r="E68" i="13"/>
  <c r="E67" i="13"/>
  <c r="E66" i="13"/>
  <c r="E65" i="13"/>
  <c r="B65" i="13"/>
  <c r="F63" i="13"/>
  <c r="D63" i="13"/>
  <c r="C63" i="13"/>
  <c r="E62" i="13"/>
  <c r="E61" i="13"/>
  <c r="B61" i="13"/>
  <c r="E60" i="13"/>
  <c r="E59" i="13"/>
  <c r="E58" i="13"/>
  <c r="E57" i="13"/>
  <c r="E56" i="13"/>
  <c r="E55" i="13"/>
  <c r="E54" i="13"/>
  <c r="E53" i="13"/>
  <c r="B53" i="13"/>
  <c r="E52" i="13"/>
  <c r="E51" i="13"/>
  <c r="E50" i="13"/>
  <c r="E49" i="13"/>
  <c r="E48" i="13"/>
  <c r="E47" i="13"/>
  <c r="E46" i="13"/>
  <c r="E45" i="13"/>
  <c r="B45" i="13"/>
  <c r="E44" i="13"/>
  <c r="E43" i="13"/>
  <c r="E42" i="13"/>
  <c r="E41" i="13"/>
  <c r="E40" i="13"/>
  <c r="E39" i="13"/>
  <c r="E38" i="13"/>
  <c r="E37" i="13"/>
  <c r="B37" i="13"/>
  <c r="F35" i="13"/>
  <c r="D35" i="13"/>
  <c r="C35" i="13"/>
  <c r="E34" i="13"/>
  <c r="E33" i="13"/>
  <c r="B33" i="13"/>
  <c r="E32" i="13"/>
  <c r="E31" i="13"/>
  <c r="E30" i="13"/>
  <c r="E29" i="13"/>
  <c r="E28" i="13"/>
  <c r="E27" i="13"/>
  <c r="E26" i="13"/>
  <c r="E25" i="13"/>
  <c r="B25" i="13"/>
  <c r="E24" i="13"/>
  <c r="E23" i="13"/>
  <c r="E22" i="13"/>
  <c r="E21" i="13"/>
  <c r="E20" i="13"/>
  <c r="E19" i="13"/>
  <c r="E18" i="13"/>
  <c r="E17" i="13"/>
  <c r="B17" i="13"/>
  <c r="E16" i="13"/>
  <c r="E15" i="13"/>
  <c r="E14" i="13"/>
  <c r="E13" i="13"/>
  <c r="E12" i="13"/>
  <c r="E11" i="13"/>
  <c r="E10" i="13"/>
  <c r="E9" i="13"/>
  <c r="B9" i="13"/>
  <c r="I8" i="13"/>
  <c r="G8" i="13"/>
  <c r="F8" i="13"/>
  <c r="E8" i="13"/>
  <c r="D8" i="13"/>
  <c r="C8" i="13"/>
  <c r="F7" i="13"/>
  <c r="D91" i="27"/>
  <c r="C91" i="27"/>
  <c r="E90" i="27"/>
  <c r="F90" i="15" s="1"/>
  <c r="E89" i="27"/>
  <c r="F89" i="15" s="1"/>
  <c r="B89" i="27"/>
  <c r="E88" i="27"/>
  <c r="F88" i="15" s="1"/>
  <c r="E87" i="27"/>
  <c r="F87" i="15" s="1"/>
  <c r="E86" i="27"/>
  <c r="F86" i="15" s="1"/>
  <c r="E85" i="27"/>
  <c r="F85" i="15" s="1"/>
  <c r="E84" i="27"/>
  <c r="F84" i="15" s="1"/>
  <c r="E83" i="27"/>
  <c r="F83" i="15" s="1"/>
  <c r="E82" i="27"/>
  <c r="F82" i="15" s="1"/>
  <c r="E81" i="27"/>
  <c r="F81" i="15" s="1"/>
  <c r="B81" i="27"/>
  <c r="E80" i="27"/>
  <c r="F80" i="15" s="1"/>
  <c r="E79" i="27"/>
  <c r="F79" i="15" s="1"/>
  <c r="E78" i="27"/>
  <c r="F78" i="15" s="1"/>
  <c r="E77" i="27"/>
  <c r="F77" i="15" s="1"/>
  <c r="E76" i="27"/>
  <c r="F76" i="15" s="1"/>
  <c r="E75" i="27"/>
  <c r="F75" i="15" s="1"/>
  <c r="E74" i="27"/>
  <c r="F74" i="15" s="1"/>
  <c r="E73" i="27"/>
  <c r="F73" i="15" s="1"/>
  <c r="B73" i="27"/>
  <c r="E72" i="27"/>
  <c r="E71" i="27"/>
  <c r="F71" i="15" s="1"/>
  <c r="E70" i="27"/>
  <c r="F70" i="15" s="1"/>
  <c r="E69" i="27"/>
  <c r="F69" i="15" s="1"/>
  <c r="E68" i="27"/>
  <c r="F68" i="15" s="1"/>
  <c r="I67" i="27"/>
  <c r="E67" i="27"/>
  <c r="F67" i="15" s="1"/>
  <c r="I66" i="27"/>
  <c r="E66" i="27"/>
  <c r="F66" i="15" s="1"/>
  <c r="I65" i="27"/>
  <c r="E65" i="27"/>
  <c r="F65" i="15" s="1"/>
  <c r="B65" i="27"/>
  <c r="D63" i="27"/>
  <c r="C63" i="27"/>
  <c r="E62" i="27"/>
  <c r="F62" i="15" s="1"/>
  <c r="E61" i="27"/>
  <c r="F61" i="15" s="1"/>
  <c r="B61" i="27"/>
  <c r="E60" i="27"/>
  <c r="F60" i="15" s="1"/>
  <c r="E59" i="27"/>
  <c r="F59" i="15" s="1"/>
  <c r="E58" i="27"/>
  <c r="F58" i="15" s="1"/>
  <c r="E57" i="27"/>
  <c r="F57" i="15" s="1"/>
  <c r="E56" i="27"/>
  <c r="F56" i="15" s="1"/>
  <c r="E55" i="27"/>
  <c r="F55" i="15" s="1"/>
  <c r="E54" i="27"/>
  <c r="F54" i="15" s="1"/>
  <c r="E53" i="27"/>
  <c r="F53" i="15" s="1"/>
  <c r="B53" i="27"/>
  <c r="E52" i="27"/>
  <c r="F52" i="15" s="1"/>
  <c r="E51" i="27"/>
  <c r="F51" i="15" s="1"/>
  <c r="E50" i="27"/>
  <c r="E49" i="27"/>
  <c r="F49" i="15" s="1"/>
  <c r="E48" i="27"/>
  <c r="F48" i="15" s="1"/>
  <c r="E47" i="27"/>
  <c r="F47" i="15" s="1"/>
  <c r="E46" i="27"/>
  <c r="F46" i="15" s="1"/>
  <c r="E45" i="27"/>
  <c r="F45" i="15" s="1"/>
  <c r="B45" i="27"/>
  <c r="E44" i="27"/>
  <c r="F44" i="15" s="1"/>
  <c r="E43" i="27"/>
  <c r="F43" i="15" s="1"/>
  <c r="E42" i="27"/>
  <c r="F42" i="15" s="1"/>
  <c r="E41" i="27"/>
  <c r="F41" i="15" s="1"/>
  <c r="E40" i="27"/>
  <c r="F40" i="15" s="1"/>
  <c r="I39" i="27"/>
  <c r="E39" i="27"/>
  <c r="F39" i="15" s="1"/>
  <c r="I38" i="27"/>
  <c r="E38" i="27"/>
  <c r="F38" i="15" s="1"/>
  <c r="I37" i="27"/>
  <c r="E37" i="27"/>
  <c r="F37" i="15" s="1"/>
  <c r="B37" i="27"/>
  <c r="D35" i="27"/>
  <c r="C35" i="27"/>
  <c r="E34" i="27"/>
  <c r="F34" i="15" s="1"/>
  <c r="E33" i="27"/>
  <c r="F33" i="15" s="1"/>
  <c r="B33" i="27"/>
  <c r="E32" i="27"/>
  <c r="F32" i="15" s="1"/>
  <c r="E31" i="27"/>
  <c r="F31" i="15" s="1"/>
  <c r="E30" i="27"/>
  <c r="F30" i="15" s="1"/>
  <c r="E29" i="27"/>
  <c r="F29" i="15" s="1"/>
  <c r="E28" i="27"/>
  <c r="F28" i="15" s="1"/>
  <c r="E27" i="27"/>
  <c r="F27" i="15" s="1"/>
  <c r="E26" i="27"/>
  <c r="F26" i="15" s="1"/>
  <c r="E25" i="27"/>
  <c r="F25" i="15" s="1"/>
  <c r="B25" i="27"/>
  <c r="E24" i="27"/>
  <c r="F24" i="15" s="1"/>
  <c r="E23" i="27"/>
  <c r="F23" i="15" s="1"/>
  <c r="E22" i="27"/>
  <c r="F22" i="15" s="1"/>
  <c r="E21" i="27"/>
  <c r="F21" i="15" s="1"/>
  <c r="E20" i="27"/>
  <c r="F20" i="15" s="1"/>
  <c r="E19" i="27"/>
  <c r="F19" i="15" s="1"/>
  <c r="E18" i="27"/>
  <c r="F18" i="15" s="1"/>
  <c r="E17" i="27"/>
  <c r="F17" i="15" s="1"/>
  <c r="B17" i="27"/>
  <c r="E16" i="27"/>
  <c r="F16" i="15" s="1"/>
  <c r="E15" i="27"/>
  <c r="F15" i="15" s="1"/>
  <c r="E14" i="27"/>
  <c r="F14" i="15" s="1"/>
  <c r="E13" i="27"/>
  <c r="F13" i="15" s="1"/>
  <c r="E12" i="27"/>
  <c r="F12" i="15" s="1"/>
  <c r="E11" i="27"/>
  <c r="F11" i="15" s="1"/>
  <c r="E10" i="27"/>
  <c r="F10" i="15" s="1"/>
  <c r="E9" i="27"/>
  <c r="F9" i="15" s="1"/>
  <c r="B9" i="27"/>
  <c r="E8" i="27"/>
  <c r="D8" i="27"/>
  <c r="C8" i="27"/>
  <c r="I35" i="12"/>
  <c r="U22" i="12" s="1"/>
  <c r="V22" i="12" s="1"/>
  <c r="F35" i="12"/>
  <c r="C35" i="12"/>
  <c r="S22" i="12" s="1"/>
  <c r="G34" i="12"/>
  <c r="E62" i="15" s="1"/>
  <c r="D34" i="12"/>
  <c r="E34" i="15" s="1"/>
  <c r="G33" i="12"/>
  <c r="E61" i="15" s="1"/>
  <c r="D33" i="12"/>
  <c r="E33" i="15" s="1"/>
  <c r="B33" i="12"/>
  <c r="G32" i="12"/>
  <c r="E60" i="15" s="1"/>
  <c r="D32" i="12"/>
  <c r="E32" i="15" s="1"/>
  <c r="G31" i="12"/>
  <c r="E59" i="15" s="1"/>
  <c r="D31" i="12"/>
  <c r="E31" i="15" s="1"/>
  <c r="G30" i="12"/>
  <c r="E58" i="15" s="1"/>
  <c r="D30" i="12"/>
  <c r="E30" i="15" s="1"/>
  <c r="G29" i="12"/>
  <c r="E57" i="15" s="1"/>
  <c r="D29" i="12"/>
  <c r="E29" i="15" s="1"/>
  <c r="G28" i="12"/>
  <c r="E56" i="15" s="1"/>
  <c r="D28" i="12"/>
  <c r="E28" i="15" s="1"/>
  <c r="G27" i="12"/>
  <c r="E55" i="15" s="1"/>
  <c r="D27" i="12"/>
  <c r="E27" i="15" s="1"/>
  <c r="G26" i="12"/>
  <c r="E54" i="15" s="1"/>
  <c r="D26" i="12"/>
  <c r="E26" i="15" s="1"/>
  <c r="M25" i="12"/>
  <c r="G25" i="12"/>
  <c r="E53" i="15" s="1"/>
  <c r="D25" i="12"/>
  <c r="E25" i="15" s="1"/>
  <c r="B25" i="12"/>
  <c r="G24" i="12"/>
  <c r="E52" i="15" s="1"/>
  <c r="D24" i="12"/>
  <c r="E24" i="15" s="1"/>
  <c r="G23" i="12"/>
  <c r="E51" i="15" s="1"/>
  <c r="D23" i="12"/>
  <c r="E23" i="15" s="1"/>
  <c r="T22" i="12"/>
  <c r="N22" i="12"/>
  <c r="G22" i="12"/>
  <c r="E50" i="15" s="1"/>
  <c r="D22" i="12"/>
  <c r="E22" i="15" s="1"/>
  <c r="R21" i="12"/>
  <c r="Q21" i="12"/>
  <c r="P21" i="12"/>
  <c r="N21" i="12"/>
  <c r="G21" i="12"/>
  <c r="E49" i="15" s="1"/>
  <c r="D21" i="12"/>
  <c r="E21" i="15" s="1"/>
  <c r="N20" i="12"/>
  <c r="G20" i="12"/>
  <c r="E48" i="15" s="1"/>
  <c r="D20" i="12"/>
  <c r="E20" i="15" s="1"/>
  <c r="N19" i="12"/>
  <c r="G19" i="12"/>
  <c r="E47" i="15" s="1"/>
  <c r="D19" i="12"/>
  <c r="E19" i="15" s="1"/>
  <c r="G18" i="12"/>
  <c r="E46" i="15" s="1"/>
  <c r="D18" i="12"/>
  <c r="E18" i="15" s="1"/>
  <c r="G17" i="12"/>
  <c r="E45" i="15" s="1"/>
  <c r="D17" i="12"/>
  <c r="E17" i="15" s="1"/>
  <c r="B17" i="12"/>
  <c r="V16" i="12"/>
  <c r="N16" i="12"/>
  <c r="G16" i="12"/>
  <c r="D16" i="12"/>
  <c r="E16" i="15" s="1"/>
  <c r="N15" i="12"/>
  <c r="M15" i="12"/>
  <c r="G15" i="12"/>
  <c r="E43" i="15" s="1"/>
  <c r="D15" i="12"/>
  <c r="E15" i="15" s="1"/>
  <c r="U14" i="12"/>
  <c r="U15" i="12" s="1"/>
  <c r="T14" i="12"/>
  <c r="T15" i="12" s="1"/>
  <c r="S14" i="12"/>
  <c r="S15" i="12" s="1"/>
  <c r="R14" i="12"/>
  <c r="R15" i="12" s="1"/>
  <c r="Q14" i="12"/>
  <c r="Q15" i="12" s="1"/>
  <c r="P14" i="12"/>
  <c r="P15" i="12" s="1"/>
  <c r="N14" i="12"/>
  <c r="G14" i="12"/>
  <c r="E42" i="15" s="1"/>
  <c r="D14" i="12"/>
  <c r="E14" i="15" s="1"/>
  <c r="G13" i="12"/>
  <c r="E41" i="15" s="1"/>
  <c r="D13" i="12"/>
  <c r="N12" i="12"/>
  <c r="G12" i="12"/>
  <c r="E40" i="15" s="1"/>
  <c r="D12" i="12"/>
  <c r="E12" i="15" s="1"/>
  <c r="N11" i="12"/>
  <c r="G11" i="12"/>
  <c r="E39" i="15" s="1"/>
  <c r="D11" i="12"/>
  <c r="E11" i="15" s="1"/>
  <c r="N10" i="12"/>
  <c r="G10" i="12"/>
  <c r="E38" i="15" s="1"/>
  <c r="D10" i="12"/>
  <c r="E10" i="15" s="1"/>
  <c r="G9" i="12"/>
  <c r="D9" i="12"/>
  <c r="E9" i="15" s="1"/>
  <c r="B9" i="12"/>
  <c r="J8" i="12"/>
  <c r="I8" i="12"/>
  <c r="G8" i="12"/>
  <c r="F8" i="12"/>
  <c r="D8" i="12"/>
  <c r="C8" i="12"/>
  <c r="U7" i="12"/>
  <c r="T7" i="12"/>
  <c r="S7" i="12"/>
  <c r="R7" i="12"/>
  <c r="Q7" i="12"/>
  <c r="P7" i="12"/>
  <c r="Z91" i="16"/>
  <c r="I91" i="16"/>
  <c r="H91" i="16"/>
  <c r="G91" i="16"/>
  <c r="F91" i="16"/>
  <c r="E91" i="16"/>
  <c r="D91" i="16"/>
  <c r="C91" i="16"/>
  <c r="J91" i="16" s="1"/>
  <c r="T90" i="16"/>
  <c r="J90" i="16"/>
  <c r="P89" i="16"/>
  <c r="J89" i="16"/>
  <c r="B89" i="16"/>
  <c r="V88" i="16"/>
  <c r="J88" i="16"/>
  <c r="J87" i="16"/>
  <c r="J86" i="16"/>
  <c r="J85" i="16"/>
  <c r="V84" i="16"/>
  <c r="J84" i="16"/>
  <c r="J83" i="16"/>
  <c r="N82" i="16"/>
  <c r="V87" i="16" s="1"/>
  <c r="J82" i="16"/>
  <c r="V81" i="16"/>
  <c r="T81" i="16"/>
  <c r="P81" i="16"/>
  <c r="J81" i="16"/>
  <c r="B81" i="16"/>
  <c r="N80" i="16"/>
  <c r="J80" i="16"/>
  <c r="V79" i="16"/>
  <c r="J79" i="16"/>
  <c r="V78" i="16"/>
  <c r="T78" i="16"/>
  <c r="J78" i="16"/>
  <c r="V77" i="16"/>
  <c r="J77" i="16"/>
  <c r="V76" i="16"/>
  <c r="T76" i="16"/>
  <c r="J76" i="16"/>
  <c r="V75" i="16"/>
  <c r="T75" i="16"/>
  <c r="J75" i="16"/>
  <c r="V74" i="16"/>
  <c r="J74" i="16"/>
  <c r="V73" i="16"/>
  <c r="T73" i="16"/>
  <c r="P73" i="16"/>
  <c r="J73" i="16"/>
  <c r="B73" i="16"/>
  <c r="V72" i="16"/>
  <c r="J72" i="16"/>
  <c r="V71" i="16"/>
  <c r="J71" i="16"/>
  <c r="V70" i="16"/>
  <c r="J70" i="16"/>
  <c r="V69" i="16"/>
  <c r="T69" i="16"/>
  <c r="J69" i="16"/>
  <c r="V68" i="16"/>
  <c r="J68" i="16"/>
  <c r="V67" i="16"/>
  <c r="J67" i="16"/>
  <c r="V66" i="16"/>
  <c r="J66" i="16"/>
  <c r="V65" i="16"/>
  <c r="T65" i="16"/>
  <c r="P65" i="16"/>
  <c r="J65" i="16"/>
  <c r="B65" i="16"/>
  <c r="Z63" i="16"/>
  <c r="I63" i="16"/>
  <c r="H63" i="16"/>
  <c r="G63" i="16"/>
  <c r="F63" i="16"/>
  <c r="J63" i="16" s="1"/>
  <c r="E63" i="16"/>
  <c r="D63" i="16"/>
  <c r="C63" i="16"/>
  <c r="S62" i="16"/>
  <c r="J62" i="16"/>
  <c r="P61" i="16"/>
  <c r="J61" i="16"/>
  <c r="B61" i="16"/>
  <c r="U60" i="16"/>
  <c r="Q60" i="16"/>
  <c r="J60" i="16"/>
  <c r="V59" i="16"/>
  <c r="R59" i="16"/>
  <c r="J59" i="16"/>
  <c r="S58" i="16"/>
  <c r="J58" i="16"/>
  <c r="J57" i="16"/>
  <c r="U56" i="16"/>
  <c r="Q56" i="16"/>
  <c r="J56" i="16"/>
  <c r="V55" i="16"/>
  <c r="R55" i="16"/>
  <c r="J55" i="16"/>
  <c r="S54" i="16"/>
  <c r="J54" i="16"/>
  <c r="P53" i="16"/>
  <c r="J53" i="16"/>
  <c r="B53" i="16"/>
  <c r="U52" i="16"/>
  <c r="Q52" i="16"/>
  <c r="J52" i="16"/>
  <c r="V51" i="16"/>
  <c r="R51" i="16"/>
  <c r="J51" i="16"/>
  <c r="W50" i="16"/>
  <c r="S50" i="16"/>
  <c r="N50" i="16"/>
  <c r="W58" i="16" s="1"/>
  <c r="J50" i="16"/>
  <c r="U49" i="16"/>
  <c r="Q49" i="16"/>
  <c r="N49" i="16"/>
  <c r="V62" i="16" s="1"/>
  <c r="J49" i="16"/>
  <c r="V48" i="16"/>
  <c r="N48" i="16"/>
  <c r="U59" i="16" s="1"/>
  <c r="J48" i="16"/>
  <c r="W47" i="16"/>
  <c r="U47" i="16"/>
  <c r="S47" i="16"/>
  <c r="N47" i="16"/>
  <c r="J47" i="16"/>
  <c r="V46" i="16"/>
  <c r="U46" i="16"/>
  <c r="R46" i="16"/>
  <c r="N46" i="16"/>
  <c r="S61" i="16" s="1"/>
  <c r="J46" i="16"/>
  <c r="V45" i="16"/>
  <c r="U45" i="16"/>
  <c r="T45" i="16"/>
  <c r="S45" i="16"/>
  <c r="R45" i="16"/>
  <c r="P45" i="16"/>
  <c r="N45" i="16"/>
  <c r="R62" i="16" s="1"/>
  <c r="J45" i="16"/>
  <c r="B45" i="16"/>
  <c r="V44" i="16"/>
  <c r="U44" i="16"/>
  <c r="S44" i="16"/>
  <c r="R44" i="16"/>
  <c r="N44" i="16"/>
  <c r="Q59" i="16" s="1"/>
  <c r="J44" i="16"/>
  <c r="V43" i="16"/>
  <c r="U43" i="16"/>
  <c r="T43" i="16"/>
  <c r="S43" i="16"/>
  <c r="R43" i="16"/>
  <c r="Q43" i="16"/>
  <c r="J43" i="16"/>
  <c r="V42" i="16"/>
  <c r="U42" i="16"/>
  <c r="T42" i="16"/>
  <c r="S42" i="16"/>
  <c r="R42" i="16"/>
  <c r="Q42" i="16"/>
  <c r="J42" i="16"/>
  <c r="V41" i="16"/>
  <c r="U41" i="16"/>
  <c r="S41" i="16"/>
  <c r="R41" i="16"/>
  <c r="Q41" i="16"/>
  <c r="J41" i="16"/>
  <c r="W40" i="16"/>
  <c r="V40" i="16"/>
  <c r="U40" i="16"/>
  <c r="S40" i="16"/>
  <c r="R40" i="16"/>
  <c r="Q40" i="16"/>
  <c r="J40" i="16"/>
  <c r="V39" i="16"/>
  <c r="U39" i="16"/>
  <c r="T39" i="16"/>
  <c r="S39" i="16"/>
  <c r="R39" i="16"/>
  <c r="Q39" i="16"/>
  <c r="J39" i="16"/>
  <c r="V38" i="16"/>
  <c r="U38" i="16"/>
  <c r="S38" i="16"/>
  <c r="R38" i="16"/>
  <c r="Q38" i="16"/>
  <c r="J38" i="16"/>
  <c r="V37" i="16"/>
  <c r="U37" i="16"/>
  <c r="S37" i="16"/>
  <c r="R37" i="16"/>
  <c r="Q37" i="16"/>
  <c r="P37" i="16"/>
  <c r="J37" i="16"/>
  <c r="B37" i="16"/>
  <c r="Z35" i="16"/>
  <c r="I35" i="16"/>
  <c r="H35" i="16"/>
  <c r="G35" i="16"/>
  <c r="F35" i="16"/>
  <c r="E35" i="16"/>
  <c r="D35" i="16"/>
  <c r="C35" i="16"/>
  <c r="J35" i="16" s="1"/>
  <c r="T34" i="16"/>
  <c r="J34" i="16"/>
  <c r="U33" i="16"/>
  <c r="P33" i="16"/>
  <c r="J33" i="16"/>
  <c r="B33" i="16"/>
  <c r="V32" i="16"/>
  <c r="R32" i="16"/>
  <c r="J32" i="16"/>
  <c r="W31" i="16"/>
  <c r="J31" i="16"/>
  <c r="T30" i="16"/>
  <c r="J30" i="16"/>
  <c r="U29" i="16"/>
  <c r="J29" i="16"/>
  <c r="V28" i="16"/>
  <c r="R28" i="16"/>
  <c r="J28" i="16"/>
  <c r="W27" i="16"/>
  <c r="J27" i="16"/>
  <c r="T26" i="16"/>
  <c r="J26" i="16"/>
  <c r="U25" i="16"/>
  <c r="P25" i="16"/>
  <c r="J25" i="16"/>
  <c r="B25" i="16"/>
  <c r="V24" i="16"/>
  <c r="R24" i="16"/>
  <c r="J24" i="16"/>
  <c r="W23" i="16"/>
  <c r="S23" i="16"/>
  <c r="J23" i="16"/>
  <c r="T22" i="16"/>
  <c r="N22" i="16"/>
  <c r="W34" i="16" s="1"/>
  <c r="J22" i="16"/>
  <c r="W21" i="16"/>
  <c r="V21" i="16"/>
  <c r="R21" i="16"/>
  <c r="N21" i="16"/>
  <c r="V31" i="16" s="1"/>
  <c r="J21" i="16"/>
  <c r="W20" i="16"/>
  <c r="V20" i="16"/>
  <c r="U20" i="16"/>
  <c r="N20" i="16"/>
  <c r="U32" i="16" s="1"/>
  <c r="J20" i="16"/>
  <c r="W19" i="16"/>
  <c r="V19" i="16"/>
  <c r="U19" i="16"/>
  <c r="T19" i="16"/>
  <c r="N19" i="16"/>
  <c r="T33" i="16" s="1"/>
  <c r="J19" i="16"/>
  <c r="W18" i="16"/>
  <c r="V18" i="16"/>
  <c r="U18" i="16"/>
  <c r="T18" i="16"/>
  <c r="S18" i="16"/>
  <c r="N18" i="16"/>
  <c r="J18" i="16"/>
  <c r="W17" i="16"/>
  <c r="V17" i="16"/>
  <c r="U17" i="16"/>
  <c r="T17" i="16"/>
  <c r="R17" i="16"/>
  <c r="P17" i="16"/>
  <c r="N17" i="16"/>
  <c r="R31" i="16" s="1"/>
  <c r="J17" i="16"/>
  <c r="B17" i="16"/>
  <c r="W16" i="16"/>
  <c r="V16" i="16"/>
  <c r="U16" i="16"/>
  <c r="T16" i="16"/>
  <c r="X16" i="16" s="1"/>
  <c r="Y16" i="16" s="1"/>
  <c r="S16" i="16"/>
  <c r="R16" i="16"/>
  <c r="N16" i="16"/>
  <c r="Q29" i="16" s="1"/>
  <c r="J16" i="16"/>
  <c r="W15" i="16"/>
  <c r="V15" i="16"/>
  <c r="U15" i="16"/>
  <c r="T15" i="16"/>
  <c r="S15" i="16"/>
  <c r="R15" i="16"/>
  <c r="J15" i="16"/>
  <c r="W14" i="16"/>
  <c r="V14" i="16"/>
  <c r="U14" i="16"/>
  <c r="T14" i="16"/>
  <c r="X14" i="16" s="1"/>
  <c r="Y14" i="16" s="1"/>
  <c r="S14" i="16"/>
  <c r="R14" i="16"/>
  <c r="J14" i="16"/>
  <c r="W13" i="16"/>
  <c r="V13" i="16"/>
  <c r="U13" i="16"/>
  <c r="T13" i="16"/>
  <c r="X13" i="16" s="1"/>
  <c r="Y13" i="16" s="1"/>
  <c r="AA13" i="16" s="1"/>
  <c r="D13" i="15" s="1"/>
  <c r="S13" i="16"/>
  <c r="R13" i="16"/>
  <c r="Q13" i="16"/>
  <c r="J13" i="16"/>
  <c r="W12" i="16"/>
  <c r="V12" i="16"/>
  <c r="U12" i="16"/>
  <c r="T12" i="16"/>
  <c r="S12" i="16"/>
  <c r="R12" i="16"/>
  <c r="X12" i="16" s="1"/>
  <c r="Y12" i="16" s="1"/>
  <c r="J12" i="16"/>
  <c r="X11" i="16"/>
  <c r="Y11" i="16" s="1"/>
  <c r="W11" i="16"/>
  <c r="V11" i="16"/>
  <c r="U11" i="16"/>
  <c r="T11" i="16"/>
  <c r="S11" i="16"/>
  <c r="R11" i="16"/>
  <c r="J11" i="16"/>
  <c r="W10" i="16"/>
  <c r="V10" i="16"/>
  <c r="U10" i="16"/>
  <c r="T10" i="16"/>
  <c r="S10" i="16"/>
  <c r="R10" i="16"/>
  <c r="X10" i="16" s="1"/>
  <c r="Y10" i="16" s="1"/>
  <c r="J10" i="16"/>
  <c r="W9" i="16"/>
  <c r="V9" i="16"/>
  <c r="U9" i="16"/>
  <c r="T9" i="16"/>
  <c r="S9" i="16"/>
  <c r="R9" i="16"/>
  <c r="Q9" i="16"/>
  <c r="P9" i="16"/>
  <c r="J9" i="16"/>
  <c r="B9" i="16"/>
  <c r="AA8" i="16"/>
  <c r="Y8" i="16"/>
  <c r="X8" i="16"/>
  <c r="W8" i="16"/>
  <c r="V8" i="16"/>
  <c r="U8" i="16"/>
  <c r="T8" i="16"/>
  <c r="S8" i="16"/>
  <c r="R8" i="16"/>
  <c r="Q8" i="16"/>
  <c r="U7" i="16"/>
  <c r="G7" i="16"/>
  <c r="Z6" i="16"/>
  <c r="D91" i="10"/>
  <c r="C91" i="10"/>
  <c r="E90" i="10"/>
  <c r="E89" i="10"/>
  <c r="B89" i="10"/>
  <c r="E88" i="10"/>
  <c r="C88" i="15" s="1"/>
  <c r="E87" i="10"/>
  <c r="E86" i="10"/>
  <c r="E85" i="10"/>
  <c r="E84" i="10"/>
  <c r="C84" i="15" s="1"/>
  <c r="E83" i="10"/>
  <c r="E82" i="10"/>
  <c r="E81" i="10"/>
  <c r="B81" i="10"/>
  <c r="E80" i="10"/>
  <c r="E79" i="10"/>
  <c r="E78" i="10"/>
  <c r="E77" i="10"/>
  <c r="E76" i="10"/>
  <c r="E75" i="10"/>
  <c r="E74" i="10"/>
  <c r="E73" i="10"/>
  <c r="B73" i="10"/>
  <c r="E72" i="10"/>
  <c r="E71" i="10"/>
  <c r="E70" i="10"/>
  <c r="E69" i="10"/>
  <c r="E68" i="10"/>
  <c r="E67" i="10"/>
  <c r="E66" i="10"/>
  <c r="H65" i="10"/>
  <c r="E65" i="10"/>
  <c r="E91" i="10" s="1"/>
  <c r="B65" i="10"/>
  <c r="D63" i="10"/>
  <c r="C63" i="10"/>
  <c r="E62" i="10"/>
  <c r="E61" i="10"/>
  <c r="B61" i="10"/>
  <c r="E60" i="10"/>
  <c r="E59" i="10"/>
  <c r="E58" i="10"/>
  <c r="E57" i="10"/>
  <c r="E56" i="10"/>
  <c r="E55" i="10"/>
  <c r="E54" i="10"/>
  <c r="E53" i="10"/>
  <c r="B53" i="10"/>
  <c r="E52" i="10"/>
  <c r="E51" i="10"/>
  <c r="E50" i="10"/>
  <c r="E49" i="10"/>
  <c r="E48" i="10"/>
  <c r="E47" i="10"/>
  <c r="E46" i="10"/>
  <c r="E45" i="10"/>
  <c r="B45" i="10"/>
  <c r="E44" i="10"/>
  <c r="E43" i="10"/>
  <c r="E42" i="10"/>
  <c r="E41" i="10"/>
  <c r="E40" i="10"/>
  <c r="E39" i="10"/>
  <c r="E38" i="10"/>
  <c r="H37" i="10"/>
  <c r="E37" i="10"/>
  <c r="B37" i="10"/>
  <c r="D35" i="10"/>
  <c r="C35" i="10"/>
  <c r="E34" i="10"/>
  <c r="C34" i="15" s="1"/>
  <c r="E33" i="10"/>
  <c r="B33" i="10"/>
  <c r="E32" i="10"/>
  <c r="E31" i="10"/>
  <c r="E30" i="10"/>
  <c r="E29" i="10"/>
  <c r="E28" i="10"/>
  <c r="E27" i="10"/>
  <c r="E26" i="10"/>
  <c r="E25" i="10"/>
  <c r="B25" i="10"/>
  <c r="E24" i="10"/>
  <c r="E23" i="10"/>
  <c r="E22" i="10"/>
  <c r="E21" i="10"/>
  <c r="E20" i="10"/>
  <c r="E19" i="10"/>
  <c r="E18" i="10"/>
  <c r="E17" i="10"/>
  <c r="B17" i="10"/>
  <c r="E16" i="10"/>
  <c r="E15" i="10"/>
  <c r="E14" i="10"/>
  <c r="E13" i="10"/>
  <c r="E12" i="10"/>
  <c r="E11" i="10"/>
  <c r="E10" i="10"/>
  <c r="H9" i="10"/>
  <c r="E9" i="10"/>
  <c r="E35" i="10" s="1"/>
  <c r="S19" i="12" s="1"/>
  <c r="B9" i="10"/>
  <c r="E8" i="10"/>
  <c r="D8" i="10"/>
  <c r="C6" i="10"/>
  <c r="C35" i="26"/>
  <c r="B33" i="26"/>
  <c r="B25" i="26"/>
  <c r="B17" i="26"/>
  <c r="B9" i="26"/>
  <c r="D7" i="26"/>
  <c r="A2" i="26"/>
  <c r="C26" i="30"/>
  <c r="C22" i="30"/>
  <c r="C17" i="30"/>
  <c r="E1" i="30"/>
  <c r="AA11" i="16" l="1"/>
  <c r="D11" i="15" s="1"/>
  <c r="N73" i="16"/>
  <c r="N74" i="16" s="1"/>
  <c r="U19" i="12"/>
  <c r="X42" i="16"/>
  <c r="Y42" i="16" s="1"/>
  <c r="AA42" i="16" s="1"/>
  <c r="D42" i="15" s="1"/>
  <c r="AA12" i="16"/>
  <c r="D12" i="15" s="1"/>
  <c r="C10" i="15"/>
  <c r="C12" i="15"/>
  <c r="C14" i="15"/>
  <c r="C16" i="15"/>
  <c r="C18" i="15"/>
  <c r="C20" i="15"/>
  <c r="C22" i="15"/>
  <c r="C24" i="15"/>
  <c r="C26" i="15"/>
  <c r="C28" i="15"/>
  <c r="C30" i="15"/>
  <c r="C32" i="15"/>
  <c r="C39" i="15"/>
  <c r="C41" i="15"/>
  <c r="C43" i="15"/>
  <c r="G43" i="13"/>
  <c r="H43" i="13" s="1"/>
  <c r="C45" i="15"/>
  <c r="C47" i="15"/>
  <c r="C49" i="15"/>
  <c r="C51" i="15"/>
  <c r="C53" i="15"/>
  <c r="C55" i="15"/>
  <c r="C57" i="15"/>
  <c r="C59" i="15"/>
  <c r="C61" i="15"/>
  <c r="C66" i="15"/>
  <c r="C68" i="15"/>
  <c r="C70" i="15"/>
  <c r="C72" i="15"/>
  <c r="C74" i="15"/>
  <c r="C76" i="15"/>
  <c r="C78" i="15"/>
  <c r="C80" i="15"/>
  <c r="C82" i="15"/>
  <c r="C86" i="15"/>
  <c r="C90" i="15"/>
  <c r="Q11" i="16"/>
  <c r="Q14" i="16"/>
  <c r="AA14" i="16" s="1"/>
  <c r="Q15" i="16"/>
  <c r="Q17" i="16"/>
  <c r="S34" i="16"/>
  <c r="S30" i="16"/>
  <c r="S26" i="16"/>
  <c r="S22" i="16"/>
  <c r="S19" i="16"/>
  <c r="S33" i="16"/>
  <c r="S29" i="16"/>
  <c r="S25" i="16"/>
  <c r="S20" i="16"/>
  <c r="S17" i="16"/>
  <c r="S32" i="16"/>
  <c r="X32" i="16" s="1"/>
  <c r="Y32" i="16" s="1"/>
  <c r="AA32" i="16" s="1"/>
  <c r="S28" i="16"/>
  <c r="S24" i="16"/>
  <c r="S21" i="16"/>
  <c r="T60" i="16"/>
  <c r="T56" i="16"/>
  <c r="T52" i="16"/>
  <c r="T49" i="16"/>
  <c r="T41" i="16"/>
  <c r="X41" i="16" s="1"/>
  <c r="Y41" i="16" s="1"/>
  <c r="AA41" i="16" s="1"/>
  <c r="T37" i="16"/>
  <c r="T59" i="16"/>
  <c r="T55" i="16"/>
  <c r="T51" i="16"/>
  <c r="T46" i="16"/>
  <c r="T44" i="16"/>
  <c r="T38" i="16"/>
  <c r="X38" i="16" s="1"/>
  <c r="Y38" i="16" s="1"/>
  <c r="AA38" i="16" s="1"/>
  <c r="T62" i="16"/>
  <c r="T58" i="16"/>
  <c r="T54" i="16"/>
  <c r="T50" i="16"/>
  <c r="T47" i="16"/>
  <c r="T40" i="16"/>
  <c r="T48" i="16"/>
  <c r="T53" i="16"/>
  <c r="W54" i="16"/>
  <c r="T57" i="16"/>
  <c r="T89" i="16"/>
  <c r="T85" i="16"/>
  <c r="T82" i="16"/>
  <c r="T74" i="16"/>
  <c r="T71" i="16"/>
  <c r="T66" i="16"/>
  <c r="T91" i="16" s="1"/>
  <c r="T88" i="16"/>
  <c r="T84" i="16"/>
  <c r="T79" i="16"/>
  <c r="T77" i="16"/>
  <c r="T68" i="16"/>
  <c r="T87" i="16"/>
  <c r="T83" i="16"/>
  <c r="T80" i="16"/>
  <c r="T72" i="16"/>
  <c r="T70" i="16"/>
  <c r="T67" i="16"/>
  <c r="E35" i="15"/>
  <c r="E18" i="24"/>
  <c r="D18" i="22"/>
  <c r="X46" i="16"/>
  <c r="Y46" i="16" s="1"/>
  <c r="E35" i="27"/>
  <c r="C9" i="15"/>
  <c r="C65" i="15"/>
  <c r="Q12" i="16"/>
  <c r="X15" i="16"/>
  <c r="Y15" i="16" s="1"/>
  <c r="X17" i="16"/>
  <c r="Y17" i="16" s="1"/>
  <c r="AA17" i="16" s="1"/>
  <c r="D17" i="15" s="1"/>
  <c r="Q20" i="16"/>
  <c r="Q25" i="16"/>
  <c r="S27" i="16"/>
  <c r="S35" i="16" s="1"/>
  <c r="S31" i="16"/>
  <c r="X62" i="16"/>
  <c r="Y62" i="16" s="1"/>
  <c r="AA62" i="16" s="1"/>
  <c r="D62" i="15" s="1"/>
  <c r="W61" i="16"/>
  <c r="W57" i="16"/>
  <c r="W53" i="16"/>
  <c r="W48" i="16"/>
  <c r="W45" i="16"/>
  <c r="X45" i="16" s="1"/>
  <c r="Y45" i="16" s="1"/>
  <c r="AA45" i="16" s="1"/>
  <c r="D45" i="15" s="1"/>
  <c r="W43" i="16"/>
  <c r="X43" i="16" s="1"/>
  <c r="Y43" i="16" s="1"/>
  <c r="AA43" i="16" s="1"/>
  <c r="D43" i="15" s="1"/>
  <c r="W42" i="16"/>
  <c r="W39" i="16"/>
  <c r="X39" i="16" s="1"/>
  <c r="Y39" i="16" s="1"/>
  <c r="AA39" i="16" s="1"/>
  <c r="W60" i="16"/>
  <c r="W56" i="16"/>
  <c r="W52" i="16"/>
  <c r="W49" i="16"/>
  <c r="W41" i="16"/>
  <c r="W37" i="16"/>
  <c r="W59" i="16"/>
  <c r="W55" i="16"/>
  <c r="W51" i="16"/>
  <c r="W46" i="16"/>
  <c r="W44" i="16"/>
  <c r="W38" i="16"/>
  <c r="T61" i="16"/>
  <c r="W62" i="16"/>
  <c r="T86" i="16"/>
  <c r="E37" i="15"/>
  <c r="E63" i="15" s="1"/>
  <c r="G35" i="12"/>
  <c r="Q32" i="16"/>
  <c r="Q28" i="16"/>
  <c r="Q24" i="16"/>
  <c r="Q21" i="16"/>
  <c r="Q31" i="16"/>
  <c r="Q27" i="16"/>
  <c r="Q23" i="16"/>
  <c r="Q18" i="16"/>
  <c r="Q16" i="16"/>
  <c r="AA16" i="16" s="1"/>
  <c r="Q34" i="16"/>
  <c r="Q30" i="16"/>
  <c r="Q26" i="16"/>
  <c r="Q22" i="16"/>
  <c r="Q19" i="16"/>
  <c r="Q33" i="16"/>
  <c r="G11" i="13"/>
  <c r="H11" i="13" s="1"/>
  <c r="I11" i="13" s="1"/>
  <c r="G11" i="15" s="1"/>
  <c r="C13" i="15"/>
  <c r="G13" i="13"/>
  <c r="H13" i="13" s="1"/>
  <c r="I13" i="13" s="1"/>
  <c r="G13" i="15" s="1"/>
  <c r="C15" i="15"/>
  <c r="C17" i="15"/>
  <c r="C19" i="15"/>
  <c r="C21" i="15"/>
  <c r="C23" i="15"/>
  <c r="C25" i="15"/>
  <c r="C27" i="15"/>
  <c r="C29" i="15"/>
  <c r="C31" i="15"/>
  <c r="C33" i="15"/>
  <c r="C38" i="15"/>
  <c r="C40" i="15"/>
  <c r="G42" i="13"/>
  <c r="H42" i="13" s="1"/>
  <c r="I42" i="13" s="1"/>
  <c r="G42" i="15" s="1"/>
  <c r="C42" i="15"/>
  <c r="C44" i="15"/>
  <c r="C46" i="15"/>
  <c r="C48" i="15"/>
  <c r="C50" i="15"/>
  <c r="C52" i="15"/>
  <c r="C54" i="15"/>
  <c r="C56" i="15"/>
  <c r="C58" i="15"/>
  <c r="C60" i="15"/>
  <c r="C62" i="15"/>
  <c r="G62" i="13"/>
  <c r="H62" i="13" s="1"/>
  <c r="I62" i="13" s="1"/>
  <c r="G62" i="15" s="1"/>
  <c r="E63" i="10"/>
  <c r="T19" i="12" s="1"/>
  <c r="C67" i="15"/>
  <c r="C69" i="15"/>
  <c r="C71" i="15"/>
  <c r="C73" i="15"/>
  <c r="C75" i="15"/>
  <c r="C77" i="15"/>
  <c r="C79" i="15"/>
  <c r="C81" i="15"/>
  <c r="C83" i="15"/>
  <c r="C85" i="15"/>
  <c r="C87" i="15"/>
  <c r="C89" i="15"/>
  <c r="X9" i="16"/>
  <c r="Q10" i="16"/>
  <c r="AA10" i="16" s="1"/>
  <c r="X40" i="16"/>
  <c r="Y40" i="16" s="1"/>
  <c r="AA40" i="16" s="1"/>
  <c r="D40" i="15" s="1"/>
  <c r="X44" i="16"/>
  <c r="Y44" i="16" s="1"/>
  <c r="AA44" i="16" s="1"/>
  <c r="D44" i="15" s="1"/>
  <c r="V15" i="12"/>
  <c r="V25" i="12"/>
  <c r="C11" i="15"/>
  <c r="C37" i="15"/>
  <c r="R20" i="16"/>
  <c r="U22" i="16"/>
  <c r="T23" i="16"/>
  <c r="W24" i="16"/>
  <c r="R25" i="16"/>
  <c r="X25" i="16" s="1"/>
  <c r="Y25" i="16" s="1"/>
  <c r="AA25" i="16" s="1"/>
  <c r="D25" i="15" s="1"/>
  <c r="V25" i="16"/>
  <c r="U26" i="16"/>
  <c r="T27" i="16"/>
  <c r="W28" i="16"/>
  <c r="R29" i="16"/>
  <c r="V29" i="16"/>
  <c r="U30" i="16"/>
  <c r="T31" i="16"/>
  <c r="X31" i="16" s="1"/>
  <c r="Y31" i="16" s="1"/>
  <c r="AA31" i="16" s="1"/>
  <c r="W32" i="16"/>
  <c r="R33" i="16"/>
  <c r="V33" i="16"/>
  <c r="U34" i="16"/>
  <c r="Q45" i="16"/>
  <c r="S46" i="16"/>
  <c r="Q48" i="16"/>
  <c r="U48" i="16"/>
  <c r="U63" i="16" s="1"/>
  <c r="R49" i="16"/>
  <c r="V49" i="16"/>
  <c r="S51" i="16"/>
  <c r="X51" i="16" s="1"/>
  <c r="Y51" i="16" s="1"/>
  <c r="AA51" i="16" s="1"/>
  <c r="R52" i="16"/>
  <c r="V52" i="16"/>
  <c r="Q53" i="16"/>
  <c r="U53" i="16"/>
  <c r="S55" i="16"/>
  <c r="X55" i="16" s="1"/>
  <c r="Y55" i="16" s="1"/>
  <c r="AA55" i="16" s="1"/>
  <c r="R56" i="16"/>
  <c r="V56" i="16"/>
  <c r="Q57" i="16"/>
  <c r="U57" i="16"/>
  <c r="S59" i="16"/>
  <c r="X59" i="16" s="1"/>
  <c r="Y59" i="16" s="1"/>
  <c r="AA59" i="16" s="1"/>
  <c r="R60" i="16"/>
  <c r="V60" i="16"/>
  <c r="Q61" i="16"/>
  <c r="U61" i="16"/>
  <c r="V82" i="16"/>
  <c r="V85" i="16"/>
  <c r="V89" i="16"/>
  <c r="D35" i="12"/>
  <c r="E16" i="24"/>
  <c r="D16" i="22"/>
  <c r="R19" i="16"/>
  <c r="X19" i="16" s="1"/>
  <c r="Y19" i="16" s="1"/>
  <c r="AA19" i="16" s="1"/>
  <c r="D19" i="15" s="1"/>
  <c r="T21" i="16"/>
  <c r="X21" i="16" s="1"/>
  <c r="Y21" i="16" s="1"/>
  <c r="AA21" i="16" s="1"/>
  <c r="R22" i="16"/>
  <c r="V22" i="16"/>
  <c r="V35" i="16" s="1"/>
  <c r="U23" i="16"/>
  <c r="T24" i="16"/>
  <c r="X24" i="16" s="1"/>
  <c r="Y24" i="16" s="1"/>
  <c r="AA24" i="16" s="1"/>
  <c r="W25" i="16"/>
  <c r="R26" i="16"/>
  <c r="X26" i="16" s="1"/>
  <c r="Y26" i="16" s="1"/>
  <c r="AA26" i="16" s="1"/>
  <c r="D26" i="15" s="1"/>
  <c r="V26" i="16"/>
  <c r="U27" i="16"/>
  <c r="T28" i="16"/>
  <c r="X28" i="16" s="1"/>
  <c r="Y28" i="16" s="1"/>
  <c r="AA28" i="16" s="1"/>
  <c r="W29" i="16"/>
  <c r="R30" i="16"/>
  <c r="V30" i="16"/>
  <c r="U31" i="16"/>
  <c r="T32" i="16"/>
  <c r="W33" i="16"/>
  <c r="R34" i="16"/>
  <c r="V34" i="16"/>
  <c r="Q47" i="16"/>
  <c r="R48" i="16"/>
  <c r="X48" i="16" s="1"/>
  <c r="Y48" i="16" s="1"/>
  <c r="S49" i="16"/>
  <c r="Q50" i="16"/>
  <c r="U50" i="16"/>
  <c r="S52" i="16"/>
  <c r="R53" i="16"/>
  <c r="V53" i="16"/>
  <c r="Q54" i="16"/>
  <c r="U54" i="16"/>
  <c r="S56" i="16"/>
  <c r="R57" i="16"/>
  <c r="V57" i="16"/>
  <c r="Q58" i="16"/>
  <c r="U58" i="16"/>
  <c r="S60" i="16"/>
  <c r="R61" i="16"/>
  <c r="X61" i="16" s="1"/>
  <c r="Y61" i="16" s="1"/>
  <c r="AA61" i="16" s="1"/>
  <c r="D61" i="15" s="1"/>
  <c r="V61" i="16"/>
  <c r="Q62" i="16"/>
  <c r="U62" i="16"/>
  <c r="V86" i="16"/>
  <c r="V90" i="16"/>
  <c r="F91" i="15"/>
  <c r="E91" i="27"/>
  <c r="E35" i="13"/>
  <c r="E63" i="13"/>
  <c r="I43" i="13"/>
  <c r="G43" i="15" s="1"/>
  <c r="R18" i="16"/>
  <c r="X18" i="16" s="1"/>
  <c r="Y18" i="16" s="1"/>
  <c r="T20" i="16"/>
  <c r="T35" i="16" s="1"/>
  <c r="U21" i="16"/>
  <c r="U35" i="16" s="1"/>
  <c r="W22" i="16"/>
  <c r="W35" i="16" s="1"/>
  <c r="R23" i="16"/>
  <c r="V23" i="16"/>
  <c r="U24" i="16"/>
  <c r="T25" i="16"/>
  <c r="W26" i="16"/>
  <c r="R27" i="16"/>
  <c r="X27" i="16" s="1"/>
  <c r="Y27" i="16" s="1"/>
  <c r="AA27" i="16" s="1"/>
  <c r="D27" i="15" s="1"/>
  <c r="V27" i="16"/>
  <c r="U28" i="16"/>
  <c r="T29" i="16"/>
  <c r="W30" i="16"/>
  <c r="X37" i="16"/>
  <c r="Q44" i="16"/>
  <c r="Q63" i="16" s="1"/>
  <c r="Q46" i="16"/>
  <c r="R47" i="16"/>
  <c r="X47" i="16" s="1"/>
  <c r="Y47" i="16" s="1"/>
  <c r="AA47" i="16" s="1"/>
  <c r="D47" i="15" s="1"/>
  <c r="V47" i="16"/>
  <c r="V63" i="16" s="1"/>
  <c r="S48" i="16"/>
  <c r="R50" i="16"/>
  <c r="V50" i="16"/>
  <c r="Q51" i="16"/>
  <c r="U51" i="16"/>
  <c r="S53" i="16"/>
  <c r="R54" i="16"/>
  <c r="X54" i="16" s="1"/>
  <c r="Y54" i="16" s="1"/>
  <c r="AA54" i="16" s="1"/>
  <c r="D54" i="15" s="1"/>
  <c r="V54" i="16"/>
  <c r="Q55" i="16"/>
  <c r="U55" i="16"/>
  <c r="S57" i="16"/>
  <c r="R58" i="16"/>
  <c r="X58" i="16" s="1"/>
  <c r="Y58" i="16" s="1"/>
  <c r="AA58" i="16" s="1"/>
  <c r="D58" i="15" s="1"/>
  <c r="V58" i="16"/>
  <c r="V80" i="16"/>
  <c r="V91" i="16" s="1"/>
  <c r="V83" i="16"/>
  <c r="F35" i="15"/>
  <c r="F63" i="15"/>
  <c r="E63" i="27"/>
  <c r="E11" i="24"/>
  <c r="D11" i="22"/>
  <c r="E9" i="24"/>
  <c r="D9" i="22"/>
  <c r="G35" i="19"/>
  <c r="E14" i="24"/>
  <c r="D14" i="22"/>
  <c r="E15" i="24"/>
  <c r="D15" i="22"/>
  <c r="E10" i="24"/>
  <c r="D10" i="22"/>
  <c r="E13" i="24"/>
  <c r="D13" i="22"/>
  <c r="E17" i="24"/>
  <c r="D17" i="22"/>
  <c r="D26" i="22"/>
  <c r="D34" i="22"/>
  <c r="B25" i="24"/>
  <c r="B25" i="6"/>
  <c r="F35" i="18"/>
  <c r="I11" i="28" s="1"/>
  <c r="I9" i="28"/>
  <c r="D24" i="22"/>
  <c r="D32" i="22"/>
  <c r="E19" i="24"/>
  <c r="D19" i="22"/>
  <c r="E21" i="24"/>
  <c r="D21" i="22"/>
  <c r="E23" i="24"/>
  <c r="D23" i="22"/>
  <c r="E25" i="24"/>
  <c r="D25" i="22"/>
  <c r="E27" i="24"/>
  <c r="D27" i="22"/>
  <c r="E29" i="24"/>
  <c r="D29" i="22"/>
  <c r="E31" i="24"/>
  <c r="D31" i="22"/>
  <c r="E33" i="24"/>
  <c r="D33" i="22"/>
  <c r="D22" i="22"/>
  <c r="D30" i="22"/>
  <c r="D218" i="29"/>
  <c r="G211" i="29"/>
  <c r="F208" i="29"/>
  <c r="F204" i="29"/>
  <c r="F192" i="29"/>
  <c r="E181" i="29"/>
  <c r="E173" i="29"/>
  <c r="F172" i="29"/>
  <c r="G171" i="29"/>
  <c r="D170" i="29"/>
  <c r="G167" i="29"/>
  <c r="F160" i="29"/>
  <c r="F152" i="29"/>
  <c r="F144" i="29"/>
  <c r="E125" i="29"/>
  <c r="F120" i="29"/>
  <c r="E113" i="29"/>
  <c r="F112" i="29"/>
  <c r="G111" i="29"/>
  <c r="D110" i="29"/>
  <c r="E109" i="29"/>
  <c r="F108" i="29"/>
  <c r="E101" i="29"/>
  <c r="F100" i="29"/>
  <c r="G99" i="29"/>
  <c r="E97" i="29"/>
  <c r="F96" i="29"/>
  <c r="G95" i="29"/>
  <c r="D86" i="29"/>
  <c r="G79" i="29"/>
  <c r="E73" i="29"/>
  <c r="G71" i="29"/>
  <c r="D70" i="29"/>
  <c r="E69" i="29"/>
  <c r="G218" i="29"/>
  <c r="F211" i="29"/>
  <c r="E208" i="29"/>
  <c r="E204" i="29"/>
  <c r="E192" i="29"/>
  <c r="D181" i="29"/>
  <c r="D173" i="29"/>
  <c r="E172" i="29"/>
  <c r="F171" i="29"/>
  <c r="G170" i="29"/>
  <c r="F167" i="29"/>
  <c r="E160" i="29"/>
  <c r="E152" i="29"/>
  <c r="E144" i="29"/>
  <c r="D125" i="29"/>
  <c r="E120" i="29"/>
  <c r="D113" i="29"/>
  <c r="B113" i="29" s="1"/>
  <c r="M81" i="16" s="1"/>
  <c r="E112" i="29"/>
  <c r="F111" i="29"/>
  <c r="G110" i="29"/>
  <c r="D109" i="29"/>
  <c r="E108" i="29"/>
  <c r="D101" i="29"/>
  <c r="E100" i="29"/>
  <c r="F99" i="29"/>
  <c r="D97" i="29"/>
  <c r="E96" i="29"/>
  <c r="F95" i="29"/>
  <c r="G86" i="29"/>
  <c r="F79" i="29"/>
  <c r="D73" i="29"/>
  <c r="F71" i="29"/>
  <c r="G70" i="29"/>
  <c r="D69" i="29"/>
  <c r="B11" i="29"/>
  <c r="E2" i="30" s="1"/>
  <c r="E13" i="29"/>
  <c r="B15" i="29"/>
  <c r="C19" i="30" s="1"/>
  <c r="B19" i="29"/>
  <c r="C23" i="30" s="1"/>
  <c r="B23" i="29"/>
  <c r="C27" i="30" s="1"/>
  <c r="B29" i="29"/>
  <c r="B37" i="29"/>
  <c r="B45" i="29"/>
  <c r="B53" i="29"/>
  <c r="B61" i="29"/>
  <c r="B69" i="29"/>
  <c r="F70" i="29"/>
  <c r="B73" i="29"/>
  <c r="A3" i="26" s="1"/>
  <c r="B77" i="29"/>
  <c r="E8" i="26" s="1"/>
  <c r="B81" i="29"/>
  <c r="C7" i="10" s="1"/>
  <c r="F86" i="29"/>
  <c r="B93" i="29"/>
  <c r="D96" i="29"/>
  <c r="B96" i="29" s="1"/>
  <c r="L38" i="16" s="1"/>
  <c r="G97" i="29"/>
  <c r="D100" i="29"/>
  <c r="B100" i="29" s="1"/>
  <c r="L41" i="16" s="1"/>
  <c r="G101" i="29"/>
  <c r="D108" i="29"/>
  <c r="B108" i="29" s="1"/>
  <c r="G109" i="29"/>
  <c r="E111" i="29"/>
  <c r="B117" i="29"/>
  <c r="AA6" i="16" s="1"/>
  <c r="B121" i="29"/>
  <c r="G125" i="29"/>
  <c r="B133" i="29"/>
  <c r="M16" i="12" s="1"/>
  <c r="B141" i="29"/>
  <c r="M27" i="12" s="1"/>
  <c r="B145" i="29"/>
  <c r="C7" i="27" s="1"/>
  <c r="D152" i="29"/>
  <c r="B152" i="29" s="1"/>
  <c r="B1" i="13" s="1"/>
  <c r="B157" i="29"/>
  <c r="G7" i="13" s="1"/>
  <c r="B161" i="29"/>
  <c r="C7" i="15" s="1"/>
  <c r="E167" i="29"/>
  <c r="F170" i="29"/>
  <c r="D172" i="29"/>
  <c r="B172" i="29" s="1"/>
  <c r="D7" i="19" s="1"/>
  <c r="G173" i="29"/>
  <c r="B181" i="29"/>
  <c r="B1" i="28" s="1"/>
  <c r="B185" i="29"/>
  <c r="C7" i="28" s="1"/>
  <c r="D192" i="29"/>
  <c r="B192" i="29" s="1"/>
  <c r="B1" i="6" s="1"/>
  <c r="B197" i="29"/>
  <c r="G7" i="6" s="1"/>
  <c r="D204" i="29"/>
  <c r="B204" i="29" s="1"/>
  <c r="B1" i="21" s="1"/>
  <c r="D208" i="29"/>
  <c r="B208" i="29" s="1"/>
  <c r="B4" i="21" s="1"/>
  <c r="E211" i="29"/>
  <c r="B217" i="29"/>
  <c r="G6" i="22" s="1"/>
  <c r="B221" i="29"/>
  <c r="E7" i="24" s="1"/>
  <c r="B12" i="29"/>
  <c r="B13" i="30" s="1"/>
  <c r="F13" i="29"/>
  <c r="B16" i="29"/>
  <c r="C20" i="30" s="1"/>
  <c r="B20" i="29"/>
  <c r="C24" i="30" s="1"/>
  <c r="B24" i="29"/>
  <c r="C28" i="30" s="1"/>
  <c r="B32" i="29"/>
  <c r="B40" i="29"/>
  <c r="B48" i="29"/>
  <c r="B56" i="29"/>
  <c r="B64" i="29"/>
  <c r="F69" i="29"/>
  <c r="D71" i="29"/>
  <c r="F73" i="29"/>
  <c r="D79" i="29"/>
  <c r="B84" i="29"/>
  <c r="H6" i="10" s="1"/>
  <c r="B88" i="29"/>
  <c r="D95" i="29"/>
  <c r="G96" i="29"/>
  <c r="D99" i="29"/>
  <c r="G100" i="29"/>
  <c r="B104" i="29"/>
  <c r="L73" i="16" s="1"/>
  <c r="G108" i="29"/>
  <c r="E110" i="29"/>
  <c r="F113" i="29"/>
  <c r="B124" i="29"/>
  <c r="B6" i="12" s="1"/>
  <c r="B128" i="29"/>
  <c r="M11" i="12" s="1"/>
  <c r="B136" i="29"/>
  <c r="M20" i="12" s="1"/>
  <c r="B148" i="29"/>
  <c r="H7" i="27" s="1"/>
  <c r="G152" i="29"/>
  <c r="B164" i="29"/>
  <c r="F7" i="15" s="1"/>
  <c r="B168" i="29"/>
  <c r="C6" i="18" s="1"/>
  <c r="D171" i="29"/>
  <c r="B171" i="29" s="1"/>
  <c r="C7" i="19" s="1"/>
  <c r="G172" i="29"/>
  <c r="B176" i="29"/>
  <c r="H7" i="19" s="1"/>
  <c r="F181" i="29"/>
  <c r="B188" i="29"/>
  <c r="C11" i="28" s="1"/>
  <c r="G192" i="29"/>
  <c r="B200" i="29"/>
  <c r="I12" i="6" s="1"/>
  <c r="G204" i="29"/>
  <c r="G208" i="29"/>
  <c r="B212" i="29"/>
  <c r="C7" i="22" s="1"/>
  <c r="E218" i="29"/>
  <c r="B227" i="29"/>
  <c r="B37" i="24" s="1"/>
  <c r="B223" i="29"/>
  <c r="G7" i="24" s="1"/>
  <c r="B219" i="29"/>
  <c r="C7" i="24" s="1"/>
  <c r="B215" i="29"/>
  <c r="F7" i="22" s="1"/>
  <c r="B211" i="29"/>
  <c r="B1" i="22" s="1"/>
  <c r="B207" i="29"/>
  <c r="F3" i="21" s="1"/>
  <c r="B203" i="29"/>
  <c r="I16" i="6" s="1"/>
  <c r="B199" i="29"/>
  <c r="I11" i="6" s="1"/>
  <c r="B195" i="29"/>
  <c r="E7" i="6" s="1"/>
  <c r="B191" i="29"/>
  <c r="C14" i="28" s="1"/>
  <c r="B187" i="29"/>
  <c r="C9" i="28" s="1"/>
  <c r="B183" i="29"/>
  <c r="C5" i="28" s="1"/>
  <c r="B179" i="29"/>
  <c r="B38" i="19" s="1"/>
  <c r="B175" i="29"/>
  <c r="G7" i="19" s="1"/>
  <c r="B167" i="29"/>
  <c r="B1" i="18" s="1"/>
  <c r="B163" i="29"/>
  <c r="E7" i="15" s="1"/>
  <c r="B159" i="29"/>
  <c r="I7" i="13" s="1"/>
  <c r="B155" i="29"/>
  <c r="E7" i="13" s="1"/>
  <c r="B151" i="29"/>
  <c r="H11" i="27" s="1"/>
  <c r="B147" i="29"/>
  <c r="E7" i="27" s="1"/>
  <c r="B143" i="29"/>
  <c r="L30" i="12" s="1"/>
  <c r="B139" i="29"/>
  <c r="M24" i="12" s="1"/>
  <c r="B135" i="29"/>
  <c r="M19" i="12" s="1"/>
  <c r="B131" i="29"/>
  <c r="M14" i="12" s="1"/>
  <c r="B127" i="29"/>
  <c r="M10" i="12" s="1"/>
  <c r="B123" i="29"/>
  <c r="B119" i="29"/>
  <c r="AA5" i="16" s="1"/>
  <c r="B115" i="29"/>
  <c r="Y7" i="16" s="1"/>
  <c r="B111" i="29"/>
  <c r="M48" i="16" s="1"/>
  <c r="B107" i="29"/>
  <c r="B103" i="29"/>
  <c r="L72" i="16" s="1"/>
  <c r="B99" i="29"/>
  <c r="L13" i="16" s="1"/>
  <c r="B95" i="29"/>
  <c r="L10" i="16" s="1"/>
  <c r="B91" i="29"/>
  <c r="B87" i="29"/>
  <c r="C3" i="16" s="1"/>
  <c r="B83" i="29"/>
  <c r="E6" i="10" s="1"/>
  <c r="B79" i="29"/>
  <c r="B1" i="10" s="1"/>
  <c r="B75" i="29"/>
  <c r="C7" i="26" s="1"/>
  <c r="B71" i="29"/>
  <c r="B67" i="29"/>
  <c r="C46" i="30" s="1"/>
  <c r="B63" i="29"/>
  <c r="B59" i="29"/>
  <c r="B55" i="29"/>
  <c r="B51" i="29"/>
  <c r="B47" i="29"/>
  <c r="B43" i="29"/>
  <c r="B39" i="29"/>
  <c r="B35" i="29"/>
  <c r="B31" i="29"/>
  <c r="B27" i="29"/>
  <c r="C31" i="30" s="1"/>
  <c r="B226" i="29"/>
  <c r="I6" i="24" s="1"/>
  <c r="B222" i="29"/>
  <c r="F7" i="24" s="1"/>
  <c r="B218" i="29"/>
  <c r="B1" i="24" s="1"/>
  <c r="B214" i="29"/>
  <c r="E7" i="22" s="1"/>
  <c r="B210" i="29"/>
  <c r="B7" i="21" s="1"/>
  <c r="B206" i="29"/>
  <c r="E3" i="21" s="1"/>
  <c r="B202" i="29"/>
  <c r="I15" i="6" s="1"/>
  <c r="B198" i="29"/>
  <c r="I10" i="6" s="1"/>
  <c r="B194" i="29"/>
  <c r="D7" i="6" s="1"/>
  <c r="B190" i="29"/>
  <c r="C13" i="28" s="1"/>
  <c r="B186" i="29"/>
  <c r="C8" i="28" s="1"/>
  <c r="B182" i="29"/>
  <c r="C4" i="28" s="1"/>
  <c r="B178" i="29"/>
  <c r="I6" i="19" s="1"/>
  <c r="B174" i="29"/>
  <c r="F7" i="19" s="1"/>
  <c r="B170" i="29"/>
  <c r="B1" i="19" s="1"/>
  <c r="B166" i="29"/>
  <c r="H7" i="15" s="1"/>
  <c r="B162" i="29"/>
  <c r="D7" i="15" s="1"/>
  <c r="B158" i="29"/>
  <c r="H7" i="13" s="1"/>
  <c r="B154" i="29"/>
  <c r="D7" i="13" s="1"/>
  <c r="B150" i="29"/>
  <c r="H10" i="27" s="1"/>
  <c r="B146" i="29"/>
  <c r="D7" i="27" s="1"/>
  <c r="B142" i="29"/>
  <c r="V7" i="12" s="1"/>
  <c r="B138" i="29"/>
  <c r="M22" i="12" s="1"/>
  <c r="B134" i="29"/>
  <c r="M18" i="12" s="1"/>
  <c r="B130" i="29"/>
  <c r="M13" i="12" s="1"/>
  <c r="B126" i="29"/>
  <c r="M9" i="12" s="1"/>
  <c r="B122" i="29"/>
  <c r="B118" i="29"/>
  <c r="Q3" i="16" s="1"/>
  <c r="B114" i="29"/>
  <c r="X7" i="16" s="1"/>
  <c r="B110" i="29"/>
  <c r="B106" i="29"/>
  <c r="B102" i="29"/>
  <c r="L71" i="16" s="1"/>
  <c r="B98" i="29"/>
  <c r="B94" i="29"/>
  <c r="B90" i="29"/>
  <c r="B86" i="29"/>
  <c r="B1" i="16" s="1"/>
  <c r="P1" i="16" s="1"/>
  <c r="B82" i="29"/>
  <c r="D7" i="10" s="1"/>
  <c r="B78" i="29"/>
  <c r="B36" i="26" s="1"/>
  <c r="B74" i="29"/>
  <c r="B6" i="26" s="1"/>
  <c r="B70" i="29"/>
  <c r="B66" i="29"/>
  <c r="C45" i="30" s="1"/>
  <c r="B62" i="29"/>
  <c r="B58" i="29"/>
  <c r="B54" i="29"/>
  <c r="B50" i="29"/>
  <c r="B46" i="29"/>
  <c r="B42" i="29"/>
  <c r="B38" i="29"/>
  <c r="B34" i="29"/>
  <c r="B30" i="29"/>
  <c r="B26" i="29"/>
  <c r="C30" i="30" s="1"/>
  <c r="B13" i="29"/>
  <c r="B14" i="30" s="1"/>
  <c r="G13" i="29"/>
  <c r="B17" i="29"/>
  <c r="C21" i="30" s="1"/>
  <c r="B21" i="29"/>
  <c r="C25" i="30" s="1"/>
  <c r="B25" i="29"/>
  <c r="C29" i="30" s="1"/>
  <c r="B33" i="29"/>
  <c r="B41" i="29"/>
  <c r="B49" i="29"/>
  <c r="B57" i="29"/>
  <c r="B65" i="29"/>
  <c r="C44" i="30" s="1"/>
  <c r="G69" i="29"/>
  <c r="E71" i="29"/>
  <c r="G73" i="29"/>
  <c r="E79" i="29"/>
  <c r="B85" i="29"/>
  <c r="H8" i="10" s="1"/>
  <c r="B89" i="29"/>
  <c r="E95" i="29"/>
  <c r="B97" i="29"/>
  <c r="L66" i="16" s="1"/>
  <c r="E99" i="29"/>
  <c r="B101" i="29"/>
  <c r="L69" i="16" s="1"/>
  <c r="B105" i="29"/>
  <c r="L74" i="16" s="1"/>
  <c r="B109" i="29"/>
  <c r="M20" i="16" s="1"/>
  <c r="F110" i="29"/>
  <c r="D112" i="29"/>
  <c r="B112" i="29" s="1"/>
  <c r="G113" i="29"/>
  <c r="D120" i="29"/>
  <c r="B120" i="29" s="1"/>
  <c r="B1" i="12" s="1"/>
  <c r="B125" i="29"/>
  <c r="L3" i="12" s="1"/>
  <c r="B129" i="29"/>
  <c r="M12" i="12" s="1"/>
  <c r="B137" i="29"/>
  <c r="M21" i="12" s="1"/>
  <c r="D144" i="29"/>
  <c r="B144" i="29" s="1"/>
  <c r="B1" i="27" s="1"/>
  <c r="B149" i="29"/>
  <c r="H9" i="27" s="1"/>
  <c r="B153" i="29"/>
  <c r="C7" i="13" s="1"/>
  <c r="D160" i="29"/>
  <c r="B160" i="29" s="1"/>
  <c r="B1" i="15" s="1"/>
  <c r="B165" i="29"/>
  <c r="G7" i="15" s="1"/>
  <c r="B169" i="29"/>
  <c r="F6" i="18" s="1"/>
  <c r="E171" i="29"/>
  <c r="B173" i="29"/>
  <c r="E7" i="19" s="1"/>
  <c r="B177" i="29"/>
  <c r="I7" i="19" s="1"/>
  <c r="G181" i="29"/>
  <c r="B189" i="29"/>
  <c r="C12" i="28" s="1"/>
  <c r="B193" i="29"/>
  <c r="C7" i="6" s="1"/>
  <c r="B201" i="29"/>
  <c r="I14" i="6" s="1"/>
  <c r="B205" i="29"/>
  <c r="D3" i="21" s="1"/>
  <c r="B209" i="29"/>
  <c r="B5" i="21" s="1"/>
  <c r="B213" i="29"/>
  <c r="D7" i="22" s="1"/>
  <c r="F218" i="29"/>
  <c r="B225" i="29"/>
  <c r="I7" i="24" s="1"/>
  <c r="D24" i="15" l="1"/>
  <c r="G24" i="13"/>
  <c r="H24" i="13" s="1"/>
  <c r="I24" i="13" s="1"/>
  <c r="G24" i="15" s="1"/>
  <c r="D59" i="15"/>
  <c r="G59" i="13"/>
  <c r="H59" i="13" s="1"/>
  <c r="I59" i="13" s="1"/>
  <c r="G59" i="15" s="1"/>
  <c r="H59" i="15" s="1"/>
  <c r="D31" i="19" s="1"/>
  <c r="D41" i="15"/>
  <c r="G41" i="13"/>
  <c r="H41" i="13" s="1"/>
  <c r="I41" i="13" s="1"/>
  <c r="G41" i="15" s="1"/>
  <c r="M80" i="16"/>
  <c r="M82" i="16"/>
  <c r="D55" i="15"/>
  <c r="G55" i="13"/>
  <c r="H55" i="13" s="1"/>
  <c r="I55" i="13" s="1"/>
  <c r="G55" i="15" s="1"/>
  <c r="D31" i="15"/>
  <c r="G31" i="13"/>
  <c r="H31" i="13" s="1"/>
  <c r="I31" i="13" s="1"/>
  <c r="G31" i="15" s="1"/>
  <c r="H31" i="15" s="1"/>
  <c r="C31" i="19" s="1"/>
  <c r="D16" i="15"/>
  <c r="G16" i="13"/>
  <c r="H16" i="13" s="1"/>
  <c r="I16" i="13" s="1"/>
  <c r="G16" i="15" s="1"/>
  <c r="D38" i="15"/>
  <c r="G38" i="13"/>
  <c r="H38" i="13" s="1"/>
  <c r="I38" i="13" s="1"/>
  <c r="G38" i="15" s="1"/>
  <c r="H38" i="15" s="1"/>
  <c r="D10" i="19" s="1"/>
  <c r="D14" i="15"/>
  <c r="G14" i="13"/>
  <c r="H14" i="13" s="1"/>
  <c r="I14" i="13" s="1"/>
  <c r="G14" i="15" s="1"/>
  <c r="D21" i="15"/>
  <c r="G21" i="13"/>
  <c r="H21" i="13" s="1"/>
  <c r="I21" i="13" s="1"/>
  <c r="G21" i="15" s="1"/>
  <c r="D10" i="15"/>
  <c r="G10" i="13"/>
  <c r="H10" i="13" s="1"/>
  <c r="I10" i="13" s="1"/>
  <c r="G10" i="15" s="1"/>
  <c r="D32" i="15"/>
  <c r="G32" i="13"/>
  <c r="H32" i="13" s="1"/>
  <c r="I32" i="13" s="1"/>
  <c r="G32" i="15" s="1"/>
  <c r="H32" i="15" s="1"/>
  <c r="C32" i="19" s="1"/>
  <c r="D51" i="15"/>
  <c r="G51" i="13"/>
  <c r="H51" i="13" s="1"/>
  <c r="I51" i="13" s="1"/>
  <c r="G51" i="15" s="1"/>
  <c r="D28" i="15"/>
  <c r="G28" i="13"/>
  <c r="H28" i="13" s="1"/>
  <c r="I28" i="13" s="1"/>
  <c r="G28" i="15" s="1"/>
  <c r="H28" i="15" s="1"/>
  <c r="C28" i="19" s="1"/>
  <c r="D39" i="15"/>
  <c r="G39" i="13"/>
  <c r="H39" i="13" s="1"/>
  <c r="I39" i="13" s="1"/>
  <c r="G39" i="15" s="1"/>
  <c r="H65" i="27"/>
  <c r="H37" i="27"/>
  <c r="D7" i="16"/>
  <c r="R7" i="16"/>
  <c r="B30" i="24"/>
  <c r="B30" i="22"/>
  <c r="B30" i="6"/>
  <c r="B86" i="15"/>
  <c r="B30" i="19"/>
  <c r="B30" i="18"/>
  <c r="B58" i="15"/>
  <c r="B30" i="13"/>
  <c r="B58" i="13"/>
  <c r="B30" i="15"/>
  <c r="B30" i="27"/>
  <c r="B58" i="16"/>
  <c r="B86" i="13"/>
  <c r="B58" i="27"/>
  <c r="B30" i="12"/>
  <c r="B86" i="16"/>
  <c r="B30" i="16"/>
  <c r="B86" i="27"/>
  <c r="P58" i="16"/>
  <c r="B86" i="10"/>
  <c r="B30" i="10"/>
  <c r="P30" i="16"/>
  <c r="B58" i="10"/>
  <c r="B30" i="26"/>
  <c r="P86" i="16"/>
  <c r="B23" i="24"/>
  <c r="B23" i="6"/>
  <c r="B23" i="19"/>
  <c r="B51" i="15"/>
  <c r="B23" i="18"/>
  <c r="B79" i="15"/>
  <c r="B23" i="15"/>
  <c r="B23" i="13"/>
  <c r="B51" i="13"/>
  <c r="B23" i="22"/>
  <c r="B79" i="13"/>
  <c r="B79" i="27"/>
  <c r="B79" i="16"/>
  <c r="B23" i="16"/>
  <c r="P79" i="16"/>
  <c r="P51" i="16"/>
  <c r="B23" i="27"/>
  <c r="B23" i="12"/>
  <c r="P23" i="16"/>
  <c r="B51" i="27"/>
  <c r="B79" i="10"/>
  <c r="B23" i="10"/>
  <c r="B23" i="26"/>
  <c r="B51" i="16"/>
  <c r="B51" i="10"/>
  <c r="B8" i="22"/>
  <c r="C3" i="21"/>
  <c r="B8" i="6"/>
  <c r="D3" i="28"/>
  <c r="B8" i="24"/>
  <c r="B8" i="19"/>
  <c r="B8" i="18"/>
  <c r="B8" i="15"/>
  <c r="B8" i="13"/>
  <c r="B8" i="27"/>
  <c r="B8" i="12"/>
  <c r="N8" i="12"/>
  <c r="B8" i="10"/>
  <c r="P8" i="16"/>
  <c r="B8" i="16"/>
  <c r="S7" i="16"/>
  <c r="E7" i="16"/>
  <c r="M76" i="16"/>
  <c r="M43" i="16"/>
  <c r="M15" i="16"/>
  <c r="G7" i="12"/>
  <c r="J7" i="12"/>
  <c r="D7" i="12"/>
  <c r="B12" i="22"/>
  <c r="B12" i="6"/>
  <c r="B12" i="24"/>
  <c r="B12" i="19"/>
  <c r="B40" i="15"/>
  <c r="B40" i="13"/>
  <c r="B12" i="15"/>
  <c r="B68" i="13"/>
  <c r="B12" i="18"/>
  <c r="B12" i="27"/>
  <c r="B12" i="12"/>
  <c r="B40" i="16"/>
  <c r="B68" i="15"/>
  <c r="B40" i="27"/>
  <c r="P68" i="16"/>
  <c r="B12" i="13"/>
  <c r="B68" i="27"/>
  <c r="P40" i="16"/>
  <c r="B12" i="16"/>
  <c r="B40" i="10"/>
  <c r="B12" i="26"/>
  <c r="B12" i="10"/>
  <c r="B68" i="16"/>
  <c r="P12" i="16"/>
  <c r="B68" i="10"/>
  <c r="B28" i="24"/>
  <c r="B28" i="22"/>
  <c r="B28" i="6"/>
  <c r="B56" i="15"/>
  <c r="B28" i="19"/>
  <c r="B28" i="18"/>
  <c r="B56" i="13"/>
  <c r="B84" i="15"/>
  <c r="B28" i="15"/>
  <c r="B84" i="13"/>
  <c r="B28" i="27"/>
  <c r="P56" i="16"/>
  <c r="B56" i="27"/>
  <c r="B28" i="12"/>
  <c r="P84" i="16"/>
  <c r="P28" i="16"/>
  <c r="B28" i="13"/>
  <c r="B84" i="27"/>
  <c r="B56" i="16"/>
  <c r="B84" i="16"/>
  <c r="B28" i="16"/>
  <c r="B28" i="10"/>
  <c r="B56" i="10"/>
  <c r="B28" i="26"/>
  <c r="B84" i="10"/>
  <c r="D7" i="28"/>
  <c r="C7" i="21"/>
  <c r="C5" i="21"/>
  <c r="D14" i="28"/>
  <c r="N24" i="12"/>
  <c r="N13" i="12"/>
  <c r="N25" i="12"/>
  <c r="N27" i="12"/>
  <c r="Q7" i="16"/>
  <c r="C7" i="16"/>
  <c r="B29" i="24"/>
  <c r="B29" i="6"/>
  <c r="B29" i="19"/>
  <c r="B85" i="15"/>
  <c r="B29" i="18"/>
  <c r="B29" i="22"/>
  <c r="B57" i="15"/>
  <c r="B85" i="13"/>
  <c r="B29" i="15"/>
  <c r="B29" i="13"/>
  <c r="B85" i="27"/>
  <c r="P85" i="16"/>
  <c r="P29" i="16"/>
  <c r="B29" i="12"/>
  <c r="B57" i="16"/>
  <c r="B57" i="13"/>
  <c r="B29" i="27"/>
  <c r="B85" i="16"/>
  <c r="B29" i="16"/>
  <c r="B85" i="10"/>
  <c r="B29" i="10"/>
  <c r="B29" i="26"/>
  <c r="B57" i="27"/>
  <c r="B57" i="10"/>
  <c r="P57" i="16"/>
  <c r="F7" i="12"/>
  <c r="C7" i="12"/>
  <c r="I7" i="12"/>
  <c r="A9" i="15"/>
  <c r="A9" i="27"/>
  <c r="C3" i="12"/>
  <c r="A9" i="10"/>
  <c r="A9" i="13"/>
  <c r="AB9" i="16"/>
  <c r="A9" i="16"/>
  <c r="B18" i="24"/>
  <c r="B18" i="22"/>
  <c r="B18" i="6"/>
  <c r="B18" i="19"/>
  <c r="B74" i="15"/>
  <c r="B18" i="18"/>
  <c r="B18" i="13"/>
  <c r="B46" i="13"/>
  <c r="B18" i="27"/>
  <c r="B18" i="12"/>
  <c r="P74" i="16"/>
  <c r="B74" i="16"/>
  <c r="B46" i="16"/>
  <c r="B46" i="15"/>
  <c r="B46" i="27"/>
  <c r="P46" i="16"/>
  <c r="B18" i="16"/>
  <c r="B18" i="15"/>
  <c r="B74" i="13"/>
  <c r="B74" i="27"/>
  <c r="P18" i="16"/>
  <c r="B74" i="10"/>
  <c r="B46" i="10"/>
  <c r="B18" i="26"/>
  <c r="B18" i="10"/>
  <c r="Y37" i="16"/>
  <c r="AA48" i="16"/>
  <c r="X30" i="16"/>
  <c r="Y30" i="16" s="1"/>
  <c r="AA30" i="16" s="1"/>
  <c r="X52" i="16"/>
  <c r="Y52" i="16" s="1"/>
  <c r="AA52" i="16" s="1"/>
  <c r="X20" i="16"/>
  <c r="Y20" i="16" s="1"/>
  <c r="AA20" i="16" s="1"/>
  <c r="G58" i="13"/>
  <c r="H58" i="13" s="1"/>
  <c r="I58" i="13" s="1"/>
  <c r="G58" i="15" s="1"/>
  <c r="G54" i="13"/>
  <c r="H54" i="13" s="1"/>
  <c r="I54" i="13" s="1"/>
  <c r="G54" i="15" s="1"/>
  <c r="H42" i="15"/>
  <c r="D14" i="19" s="1"/>
  <c r="AA46" i="16"/>
  <c r="G47" i="13"/>
  <c r="H47" i="13" s="1"/>
  <c r="I47" i="13" s="1"/>
  <c r="G47" i="15" s="1"/>
  <c r="H47" i="15" s="1"/>
  <c r="D19" i="19" s="1"/>
  <c r="H24" i="15"/>
  <c r="C24" i="19" s="1"/>
  <c r="H16" i="15"/>
  <c r="C16" i="19" s="1"/>
  <c r="I8" i="24"/>
  <c r="C8" i="6"/>
  <c r="C8" i="24"/>
  <c r="C8" i="22"/>
  <c r="I8" i="19"/>
  <c r="M47" i="16"/>
  <c r="M49" i="16"/>
  <c r="B16" i="6"/>
  <c r="B16" i="22"/>
  <c r="B16" i="24"/>
  <c r="B16" i="19"/>
  <c r="B44" i="15"/>
  <c r="B16" i="18"/>
  <c r="B72" i="15"/>
  <c r="B44" i="13"/>
  <c r="B16" i="15"/>
  <c r="B72" i="13"/>
  <c r="B16" i="13"/>
  <c r="B16" i="27"/>
  <c r="B44" i="16"/>
  <c r="B44" i="27"/>
  <c r="B72" i="16"/>
  <c r="P44" i="16"/>
  <c r="B72" i="27"/>
  <c r="P72" i="16"/>
  <c r="B16" i="12"/>
  <c r="B16" i="16"/>
  <c r="B44" i="10"/>
  <c r="B16" i="26"/>
  <c r="P16" i="16"/>
  <c r="B72" i="10"/>
  <c r="B16" i="10"/>
  <c r="B32" i="24"/>
  <c r="B32" i="22"/>
  <c r="B32" i="6"/>
  <c r="B60" i="15"/>
  <c r="B32" i="19"/>
  <c r="B60" i="13"/>
  <c r="B32" i="15"/>
  <c r="B88" i="13"/>
  <c r="B32" i="18"/>
  <c r="B88" i="15"/>
  <c r="B32" i="27"/>
  <c r="B32" i="12"/>
  <c r="P60" i="16"/>
  <c r="B60" i="27"/>
  <c r="P88" i="16"/>
  <c r="P32" i="16"/>
  <c r="B32" i="13"/>
  <c r="B88" i="27"/>
  <c r="B60" i="16"/>
  <c r="B88" i="16"/>
  <c r="B32" i="10"/>
  <c r="B60" i="10"/>
  <c r="B32" i="26"/>
  <c r="B32" i="16"/>
  <c r="B88" i="10"/>
  <c r="B21" i="24"/>
  <c r="B21" i="6"/>
  <c r="B21" i="19"/>
  <c r="B77" i="15"/>
  <c r="B21" i="18"/>
  <c r="B21" i="22"/>
  <c r="B49" i="15"/>
  <c r="B77" i="13"/>
  <c r="B21" i="15"/>
  <c r="B21" i="13"/>
  <c r="B77" i="27"/>
  <c r="B77" i="16"/>
  <c r="P49" i="16"/>
  <c r="B49" i="16"/>
  <c r="B21" i="12"/>
  <c r="P77" i="16"/>
  <c r="P21" i="16"/>
  <c r="B21" i="16"/>
  <c r="B49" i="13"/>
  <c r="B21" i="27"/>
  <c r="B77" i="10"/>
  <c r="B21" i="10"/>
  <c r="B21" i="26"/>
  <c r="B49" i="27"/>
  <c r="B49" i="10"/>
  <c r="M19" i="16"/>
  <c r="M21" i="16"/>
  <c r="E8" i="24"/>
  <c r="D8" i="6"/>
  <c r="D11" i="28"/>
  <c r="D8" i="22"/>
  <c r="G8" i="19"/>
  <c r="D8" i="18"/>
  <c r="C8" i="18"/>
  <c r="F8" i="18"/>
  <c r="E8" i="18"/>
  <c r="C8" i="10"/>
  <c r="B10" i="22"/>
  <c r="B10" i="24"/>
  <c r="B10" i="19"/>
  <c r="B66" i="15"/>
  <c r="B10" i="6"/>
  <c r="B10" i="18"/>
  <c r="B38" i="15"/>
  <c r="B10" i="13"/>
  <c r="B38" i="13"/>
  <c r="B10" i="12"/>
  <c r="P66" i="16"/>
  <c r="B38" i="16"/>
  <c r="B10" i="15"/>
  <c r="B38" i="27"/>
  <c r="P38" i="16"/>
  <c r="B66" i="27"/>
  <c r="B10" i="27"/>
  <c r="B66" i="13"/>
  <c r="B10" i="16"/>
  <c r="B66" i="16"/>
  <c r="P10" i="16"/>
  <c r="B38" i="10"/>
  <c r="B10" i="26"/>
  <c r="B66" i="10"/>
  <c r="B10" i="10"/>
  <c r="D35" i="22"/>
  <c r="C63" i="15"/>
  <c r="H62" i="15"/>
  <c r="D34" i="19" s="1"/>
  <c r="H58" i="15"/>
  <c r="D30" i="19" s="1"/>
  <c r="H54" i="15"/>
  <c r="D26" i="19" s="1"/>
  <c r="G27" i="13"/>
  <c r="H27" i="13" s="1"/>
  <c r="I27" i="13" s="1"/>
  <c r="G27" i="15" s="1"/>
  <c r="H27" i="15" s="1"/>
  <c r="C27" i="19" s="1"/>
  <c r="G19" i="13"/>
  <c r="H19" i="13" s="1"/>
  <c r="I19" i="13" s="1"/>
  <c r="G19" i="15" s="1"/>
  <c r="H19" i="15" s="1"/>
  <c r="C19" i="19" s="1"/>
  <c r="C35" i="15"/>
  <c r="R35" i="16"/>
  <c r="H55" i="15"/>
  <c r="D27" i="19" s="1"/>
  <c r="H51" i="15"/>
  <c r="D23" i="19" s="1"/>
  <c r="H43" i="15"/>
  <c r="D15" i="19" s="1"/>
  <c r="H39" i="15"/>
  <c r="D11" i="19" s="1"/>
  <c r="G26" i="13"/>
  <c r="H26" i="13" s="1"/>
  <c r="I26" i="13" s="1"/>
  <c r="G26" i="15" s="1"/>
  <c r="B11" i="6"/>
  <c r="B39" i="15"/>
  <c r="B11" i="22"/>
  <c r="B11" i="19"/>
  <c r="B11" i="18"/>
  <c r="B11" i="24"/>
  <c r="B67" i="15"/>
  <c r="B11" i="15"/>
  <c r="B39" i="13"/>
  <c r="B67" i="13"/>
  <c r="B39" i="27"/>
  <c r="B67" i="16"/>
  <c r="B11" i="13"/>
  <c r="B67" i="27"/>
  <c r="B11" i="12"/>
  <c r="P67" i="16"/>
  <c r="B39" i="16"/>
  <c r="B11" i="27"/>
  <c r="B67" i="10"/>
  <c r="B11" i="10"/>
  <c r="B11" i="26"/>
  <c r="P39" i="16"/>
  <c r="B11" i="16"/>
  <c r="P11" i="16"/>
  <c r="B39" i="10"/>
  <c r="W7" i="16"/>
  <c r="I7" i="16"/>
  <c r="B14" i="6"/>
  <c r="B14" i="22"/>
  <c r="B14" i="24"/>
  <c r="B14" i="19"/>
  <c r="B70" i="15"/>
  <c r="B42" i="15"/>
  <c r="B14" i="13"/>
  <c r="B42" i="13"/>
  <c r="B14" i="27"/>
  <c r="B14" i="12"/>
  <c r="B70" i="16"/>
  <c r="B14" i="18"/>
  <c r="B42" i="27"/>
  <c r="B42" i="16"/>
  <c r="B14" i="15"/>
  <c r="B70" i="27"/>
  <c r="P70" i="16"/>
  <c r="P42" i="16"/>
  <c r="B70" i="10"/>
  <c r="B14" i="10"/>
  <c r="B14" i="16"/>
  <c r="B42" i="10"/>
  <c r="B14" i="26"/>
  <c r="B70" i="13"/>
  <c r="P14" i="16"/>
  <c r="B15" i="6"/>
  <c r="B43" i="15"/>
  <c r="B15" i="19"/>
  <c r="B15" i="18"/>
  <c r="B15" i="24"/>
  <c r="B71" i="15"/>
  <c r="B15" i="15"/>
  <c r="B43" i="13"/>
  <c r="B15" i="22"/>
  <c r="B71" i="13"/>
  <c r="B71" i="27"/>
  <c r="B15" i="12"/>
  <c r="P71" i="16"/>
  <c r="B43" i="16"/>
  <c r="B15" i="27"/>
  <c r="B15" i="13"/>
  <c r="B43" i="27"/>
  <c r="B71" i="16"/>
  <c r="B15" i="16"/>
  <c r="B71" i="10"/>
  <c r="B15" i="10"/>
  <c r="B15" i="26"/>
  <c r="P43" i="16"/>
  <c r="P15" i="16"/>
  <c r="B43" i="10"/>
  <c r="B31" i="24"/>
  <c r="B31" i="6"/>
  <c r="B31" i="19"/>
  <c r="B59" i="15"/>
  <c r="B31" i="18"/>
  <c r="B87" i="15"/>
  <c r="B31" i="15"/>
  <c r="B31" i="13"/>
  <c r="B59" i="13"/>
  <c r="B31" i="22"/>
  <c r="B87" i="13"/>
  <c r="B87" i="27"/>
  <c r="B31" i="12"/>
  <c r="B87" i="16"/>
  <c r="B31" i="16"/>
  <c r="P59" i="16"/>
  <c r="B31" i="27"/>
  <c r="P87" i="16"/>
  <c r="P31" i="16"/>
  <c r="B59" i="27"/>
  <c r="B59" i="16"/>
  <c r="B87" i="10"/>
  <c r="B31" i="10"/>
  <c r="B31" i="26"/>
  <c r="B59" i="10"/>
  <c r="L39" i="16"/>
  <c r="L11" i="16"/>
  <c r="L67" i="16"/>
  <c r="B20" i="24"/>
  <c r="B20" i="22"/>
  <c r="B20" i="6"/>
  <c r="B48" i="15"/>
  <c r="B20" i="19"/>
  <c r="B76" i="15"/>
  <c r="B48" i="13"/>
  <c r="B20" i="18"/>
  <c r="B20" i="15"/>
  <c r="B76" i="13"/>
  <c r="B20" i="27"/>
  <c r="B76" i="16"/>
  <c r="P20" i="16"/>
  <c r="B20" i="16"/>
  <c r="B48" i="27"/>
  <c r="B76" i="27"/>
  <c r="B20" i="12"/>
  <c r="B20" i="13"/>
  <c r="P76" i="16"/>
  <c r="B20" i="10"/>
  <c r="B48" i="10"/>
  <c r="B20" i="26"/>
  <c r="P48" i="16"/>
  <c r="B48" i="16"/>
  <c r="B76" i="10"/>
  <c r="B5" i="22"/>
  <c r="B6" i="6"/>
  <c r="B5" i="24"/>
  <c r="B4" i="18"/>
  <c r="B5" i="19"/>
  <c r="B6" i="15"/>
  <c r="B5" i="27"/>
  <c r="B4" i="12"/>
  <c r="P4" i="16"/>
  <c r="B4" i="10"/>
  <c r="B4" i="16"/>
  <c r="B5" i="13"/>
  <c r="A65" i="15"/>
  <c r="A65" i="13"/>
  <c r="I3" i="12"/>
  <c r="AB65" i="16"/>
  <c r="A65" i="16"/>
  <c r="A65" i="10"/>
  <c r="A65" i="27"/>
  <c r="H67" i="27"/>
  <c r="H39" i="27"/>
  <c r="J7" i="16"/>
  <c r="D8" i="26"/>
  <c r="B13" i="6"/>
  <c r="B69" i="15"/>
  <c r="B13" i="19"/>
  <c r="B13" i="18"/>
  <c r="B13" i="24"/>
  <c r="B13" i="22"/>
  <c r="B69" i="13"/>
  <c r="B13" i="15"/>
  <c r="B69" i="27"/>
  <c r="P41" i="16"/>
  <c r="B41" i="15"/>
  <c r="B41" i="13"/>
  <c r="B13" i="13"/>
  <c r="B13" i="27"/>
  <c r="B13" i="12"/>
  <c r="B69" i="16"/>
  <c r="P69" i="16"/>
  <c r="B41" i="16"/>
  <c r="P13" i="16"/>
  <c r="B69" i="10"/>
  <c r="B13" i="10"/>
  <c r="B13" i="26"/>
  <c r="B41" i="10"/>
  <c r="B41" i="27"/>
  <c r="B13" i="16"/>
  <c r="V7" i="16"/>
  <c r="H7" i="16"/>
  <c r="B34" i="24"/>
  <c r="B34" i="22"/>
  <c r="B34" i="6"/>
  <c r="B90" i="15"/>
  <c r="B34" i="19"/>
  <c r="B62" i="15"/>
  <c r="B34" i="13"/>
  <c r="B34" i="18"/>
  <c r="B62" i="13"/>
  <c r="B34" i="15"/>
  <c r="B90" i="13"/>
  <c r="B34" i="27"/>
  <c r="B34" i="12"/>
  <c r="B62" i="16"/>
  <c r="B62" i="27"/>
  <c r="B90" i="16"/>
  <c r="B34" i="16"/>
  <c r="B90" i="27"/>
  <c r="P62" i="16"/>
  <c r="P90" i="16"/>
  <c r="B90" i="10"/>
  <c r="B34" i="10"/>
  <c r="B62" i="10"/>
  <c r="B34" i="26"/>
  <c r="P34" i="16"/>
  <c r="E35" i="24"/>
  <c r="X50" i="16"/>
  <c r="Y50" i="16" s="1"/>
  <c r="AA50" i="16" s="1"/>
  <c r="X23" i="16"/>
  <c r="Y23" i="16" s="1"/>
  <c r="AA23" i="16" s="1"/>
  <c r="AA18" i="16"/>
  <c r="X57" i="16"/>
  <c r="Y57" i="16" s="1"/>
  <c r="AA57" i="16" s="1"/>
  <c r="X22" i="16"/>
  <c r="Y22" i="16" s="1"/>
  <c r="AA22" i="16" s="1"/>
  <c r="X60" i="16"/>
  <c r="Y60" i="16" s="1"/>
  <c r="AA60" i="16" s="1"/>
  <c r="S63" i="16"/>
  <c r="X33" i="16"/>
  <c r="Y33" i="16" s="1"/>
  <c r="AA33" i="16" s="1"/>
  <c r="H11" i="15"/>
  <c r="C11" i="19" s="1"/>
  <c r="Y9" i="16"/>
  <c r="G44" i="13"/>
  <c r="H44" i="13" s="1"/>
  <c r="I44" i="13" s="1"/>
  <c r="G44" i="15" s="1"/>
  <c r="G40" i="13"/>
  <c r="H40" i="13" s="1"/>
  <c r="I40" i="13" s="1"/>
  <c r="G40" i="15" s="1"/>
  <c r="H40" i="15" s="1"/>
  <c r="D12" i="19" s="1"/>
  <c r="H21" i="15"/>
  <c r="C21" i="19" s="1"/>
  <c r="AA15" i="16"/>
  <c r="G61" i="13"/>
  <c r="H61" i="13" s="1"/>
  <c r="I61" i="13" s="1"/>
  <c r="G61" i="15" s="1"/>
  <c r="G45" i="13"/>
  <c r="H45" i="13" s="1"/>
  <c r="I45" i="13" s="1"/>
  <c r="G45" i="15" s="1"/>
  <c r="H26" i="15"/>
  <c r="C26" i="19" s="1"/>
  <c r="H14" i="15"/>
  <c r="C14" i="19" s="1"/>
  <c r="H10" i="15"/>
  <c r="C10" i="19" s="1"/>
  <c r="Q35" i="16"/>
  <c r="B22" i="24"/>
  <c r="B22" i="22"/>
  <c r="B22" i="6"/>
  <c r="B78" i="15"/>
  <c r="B22" i="19"/>
  <c r="B50" i="15"/>
  <c r="B22" i="13"/>
  <c r="B22" i="18"/>
  <c r="B50" i="13"/>
  <c r="B22" i="27"/>
  <c r="B22" i="12"/>
  <c r="B50" i="27"/>
  <c r="B50" i="16"/>
  <c r="B78" i="13"/>
  <c r="B78" i="27"/>
  <c r="B78" i="16"/>
  <c r="P50" i="16"/>
  <c r="B22" i="16"/>
  <c r="B78" i="10"/>
  <c r="B22" i="10"/>
  <c r="B50" i="10"/>
  <c r="B22" i="26"/>
  <c r="P78" i="16"/>
  <c r="B22" i="15"/>
  <c r="P22" i="16"/>
  <c r="B27" i="24"/>
  <c r="B27" i="6"/>
  <c r="B27" i="19"/>
  <c r="B55" i="15"/>
  <c r="B27" i="22"/>
  <c r="B27" i="18"/>
  <c r="B83" i="15"/>
  <c r="B27" i="15"/>
  <c r="B27" i="13"/>
  <c r="B55" i="13"/>
  <c r="B83" i="13"/>
  <c r="B83" i="27"/>
  <c r="B27" i="12"/>
  <c r="B27" i="16"/>
  <c r="B83" i="16"/>
  <c r="P55" i="16"/>
  <c r="B27" i="27"/>
  <c r="P83" i="16"/>
  <c r="P27" i="16"/>
  <c r="B55" i="16"/>
  <c r="B83" i="10"/>
  <c r="B27" i="10"/>
  <c r="B27" i="26"/>
  <c r="B55" i="27"/>
  <c r="B55" i="10"/>
  <c r="L76" i="16"/>
  <c r="L43" i="16"/>
  <c r="B6" i="16"/>
  <c r="L15" i="16"/>
  <c r="P6" i="16"/>
  <c r="B19" i="24"/>
  <c r="B19" i="6"/>
  <c r="B47" i="15"/>
  <c r="B19" i="22"/>
  <c r="B19" i="18"/>
  <c r="B75" i="15"/>
  <c r="B19" i="15"/>
  <c r="B19" i="13"/>
  <c r="B47" i="13"/>
  <c r="B19" i="19"/>
  <c r="B75" i="13"/>
  <c r="B75" i="27"/>
  <c r="B75" i="16"/>
  <c r="B19" i="27"/>
  <c r="P47" i="16"/>
  <c r="B47" i="16"/>
  <c r="B19" i="16"/>
  <c r="P75" i="16"/>
  <c r="P19" i="16"/>
  <c r="B75" i="10"/>
  <c r="B19" i="10"/>
  <c r="B19" i="26"/>
  <c r="B47" i="27"/>
  <c r="B19" i="12"/>
  <c r="B47" i="10"/>
  <c r="B35" i="24"/>
  <c r="B35" i="6"/>
  <c r="B35" i="19"/>
  <c r="B63" i="15"/>
  <c r="B35" i="22"/>
  <c r="B35" i="18"/>
  <c r="B91" i="15"/>
  <c r="B35" i="15"/>
  <c r="B35" i="13"/>
  <c r="B63" i="13"/>
  <c r="B91" i="13"/>
  <c r="B91" i="27"/>
  <c r="B35" i="12"/>
  <c r="B91" i="16"/>
  <c r="B35" i="16"/>
  <c r="B35" i="27"/>
  <c r="P63" i="16"/>
  <c r="B63" i="16"/>
  <c r="P35" i="16"/>
  <c r="B91" i="10"/>
  <c r="B35" i="10"/>
  <c r="B35" i="26"/>
  <c r="B63" i="27"/>
  <c r="P91" i="16"/>
  <c r="B63" i="10"/>
  <c r="A37" i="13"/>
  <c r="A37" i="15"/>
  <c r="F3" i="12"/>
  <c r="AB37" i="16"/>
  <c r="A37" i="27"/>
  <c r="A37" i="16"/>
  <c r="A37" i="10"/>
  <c r="H66" i="27"/>
  <c r="H38" i="27"/>
  <c r="B24" i="24"/>
  <c r="B24" i="22"/>
  <c r="B24" i="6"/>
  <c r="B52" i="15"/>
  <c r="B24" i="19"/>
  <c r="B52" i="13"/>
  <c r="B80" i="15"/>
  <c r="B24" i="15"/>
  <c r="B80" i="13"/>
  <c r="B24" i="27"/>
  <c r="P52" i="16"/>
  <c r="B24" i="18"/>
  <c r="B52" i="27"/>
  <c r="P24" i="16"/>
  <c r="B80" i="27"/>
  <c r="B24" i="12"/>
  <c r="P80" i="16"/>
  <c r="B80" i="16"/>
  <c r="B52" i="16"/>
  <c r="B24" i="16"/>
  <c r="B52" i="10"/>
  <c r="B24" i="26"/>
  <c r="B24" i="10"/>
  <c r="B24" i="13"/>
  <c r="B80" i="10"/>
  <c r="G8" i="22"/>
  <c r="H8" i="24"/>
  <c r="D8" i="24"/>
  <c r="F8" i="22"/>
  <c r="D12" i="28"/>
  <c r="G8" i="24"/>
  <c r="G8" i="6"/>
  <c r="D13" i="28"/>
  <c r="C4" i="21"/>
  <c r="F8" i="6"/>
  <c r="F8" i="24"/>
  <c r="H8" i="19"/>
  <c r="I8" i="16"/>
  <c r="E8" i="16"/>
  <c r="I8" i="10"/>
  <c r="H8" i="16"/>
  <c r="D8" i="16"/>
  <c r="G8" i="16"/>
  <c r="C8" i="16"/>
  <c r="J8" i="16"/>
  <c r="F8" i="16"/>
  <c r="T7" i="16"/>
  <c r="F7" i="16"/>
  <c r="N76" i="16"/>
  <c r="N43" i="16"/>
  <c r="N15" i="16"/>
  <c r="D5" i="12"/>
  <c r="J5" i="12"/>
  <c r="G5" i="12"/>
  <c r="B6" i="24"/>
  <c r="E3" i="28"/>
  <c r="B6" i="22"/>
  <c r="B5" i="18"/>
  <c r="B6" i="19"/>
  <c r="B5" i="12"/>
  <c r="B6" i="13"/>
  <c r="O8" i="12"/>
  <c r="B5" i="16"/>
  <c r="B5" i="10"/>
  <c r="B6" i="27"/>
  <c r="P5" i="16"/>
  <c r="B26" i="24"/>
  <c r="B26" i="22"/>
  <c r="B26" i="6"/>
  <c r="B82" i="15"/>
  <c r="B26" i="19"/>
  <c r="B54" i="15"/>
  <c r="B26" i="13"/>
  <c r="B54" i="13"/>
  <c r="B26" i="27"/>
  <c r="B26" i="12"/>
  <c r="P82" i="16"/>
  <c r="B82" i="16"/>
  <c r="B54" i="16"/>
  <c r="B26" i="18"/>
  <c r="B82" i="13"/>
  <c r="B54" i="27"/>
  <c r="B26" i="16"/>
  <c r="B82" i="27"/>
  <c r="P54" i="16"/>
  <c r="B82" i="10"/>
  <c r="P26" i="16"/>
  <c r="B54" i="10"/>
  <c r="B26" i="26"/>
  <c r="B26" i="15"/>
  <c r="B26" i="10"/>
  <c r="I12" i="28"/>
  <c r="X53" i="16"/>
  <c r="Y53" i="16" s="1"/>
  <c r="AA53" i="16" s="1"/>
  <c r="X34" i="16"/>
  <c r="Y34" i="16" s="1"/>
  <c r="AA34" i="16" s="1"/>
  <c r="X56" i="16"/>
  <c r="Y56" i="16" s="1"/>
  <c r="AA56" i="16" s="1"/>
  <c r="X49" i="16"/>
  <c r="Y49" i="16" s="1"/>
  <c r="AA49" i="16" s="1"/>
  <c r="X29" i="16"/>
  <c r="Y29" i="16" s="1"/>
  <c r="AA29" i="16" s="1"/>
  <c r="R63" i="16"/>
  <c r="H44" i="15"/>
  <c r="D16" i="19" s="1"/>
  <c r="G25" i="13"/>
  <c r="H25" i="13" s="1"/>
  <c r="I25" i="13" s="1"/>
  <c r="G25" i="15" s="1"/>
  <c r="H25" i="15" s="1"/>
  <c r="C25" i="19" s="1"/>
  <c r="G17" i="13"/>
  <c r="H17" i="13" s="1"/>
  <c r="I17" i="13" s="1"/>
  <c r="G17" i="15" s="1"/>
  <c r="H17" i="15" s="1"/>
  <c r="C17" i="19" s="1"/>
  <c r="H13" i="15"/>
  <c r="C13" i="19" s="1"/>
  <c r="W63" i="16"/>
  <c r="C91" i="15"/>
  <c r="T63" i="16"/>
  <c r="H61" i="15"/>
  <c r="D33" i="19" s="1"/>
  <c r="H45" i="15"/>
  <c r="D17" i="19" s="1"/>
  <c r="H41" i="15"/>
  <c r="D13" i="19" s="1"/>
  <c r="G12" i="13"/>
  <c r="H12" i="13" s="1"/>
  <c r="I12" i="13" s="1"/>
  <c r="G12" i="15" s="1"/>
  <c r="H12" i="15" s="1"/>
  <c r="C12" i="19" s="1"/>
  <c r="N81" i="16"/>
  <c r="N78" i="16"/>
  <c r="N79" i="16"/>
  <c r="N77" i="16"/>
  <c r="N83" i="16"/>
  <c r="R87" i="16" l="1"/>
  <c r="R83" i="16"/>
  <c r="R80" i="16"/>
  <c r="X80" i="16" s="1"/>
  <c r="Y80" i="16" s="1"/>
  <c r="R72" i="16"/>
  <c r="X72" i="16" s="1"/>
  <c r="Y72" i="16" s="1"/>
  <c r="AA72" i="16" s="1"/>
  <c r="R70" i="16"/>
  <c r="R67" i="16"/>
  <c r="R90" i="16"/>
  <c r="X90" i="16" s="1"/>
  <c r="Y90" i="16" s="1"/>
  <c r="R86" i="16"/>
  <c r="X86" i="16" s="1"/>
  <c r="Y86" i="16" s="1"/>
  <c r="AA86" i="16" s="1"/>
  <c r="R81" i="16"/>
  <c r="R78" i="16"/>
  <c r="R76" i="16"/>
  <c r="X76" i="16" s="1"/>
  <c r="Y76" i="16" s="1"/>
  <c r="R75" i="16"/>
  <c r="X75" i="16" s="1"/>
  <c r="Y75" i="16" s="1"/>
  <c r="AA75" i="16" s="1"/>
  <c r="R73" i="16"/>
  <c r="R69" i="16"/>
  <c r="R65" i="16"/>
  <c r="R89" i="16"/>
  <c r="X89" i="16" s="1"/>
  <c r="Y89" i="16" s="1"/>
  <c r="AA89" i="16" s="1"/>
  <c r="R85" i="16"/>
  <c r="R82" i="16"/>
  <c r="R74" i="16"/>
  <c r="R71" i="16"/>
  <c r="X71" i="16" s="1"/>
  <c r="Y71" i="16" s="1"/>
  <c r="AA71" i="16" s="1"/>
  <c r="R66" i="16"/>
  <c r="R68" i="16"/>
  <c r="R77" i="16"/>
  <c r="R88" i="16"/>
  <c r="R84" i="16"/>
  <c r="R79" i="16"/>
  <c r="D29" i="15"/>
  <c r="G29" i="13"/>
  <c r="H29" i="13" s="1"/>
  <c r="I29" i="13" s="1"/>
  <c r="G29" i="15" s="1"/>
  <c r="Y35" i="16"/>
  <c r="AA9" i="16"/>
  <c r="D52" i="15"/>
  <c r="G52" i="13"/>
  <c r="H52" i="13" s="1"/>
  <c r="I52" i="13" s="1"/>
  <c r="G52" i="15" s="1"/>
  <c r="W90" i="16"/>
  <c r="W86" i="16"/>
  <c r="W81" i="16"/>
  <c r="W78" i="16"/>
  <c r="W76" i="16"/>
  <c r="W75" i="16"/>
  <c r="W73" i="16"/>
  <c r="W69" i="16"/>
  <c r="W65" i="16"/>
  <c r="W89" i="16"/>
  <c r="W85" i="16"/>
  <c r="W82" i="16"/>
  <c r="W74" i="16"/>
  <c r="W71" i="16"/>
  <c r="W66" i="16"/>
  <c r="W88" i="16"/>
  <c r="W84" i="16"/>
  <c r="W79" i="16"/>
  <c r="W77" i="16"/>
  <c r="W68" i="16"/>
  <c r="W80" i="16"/>
  <c r="W87" i="16"/>
  <c r="W83" i="16"/>
  <c r="W70" i="16"/>
  <c r="W72" i="16"/>
  <c r="W67" i="16"/>
  <c r="U88" i="16"/>
  <c r="U84" i="16"/>
  <c r="U79" i="16"/>
  <c r="U77" i="16"/>
  <c r="U68" i="16"/>
  <c r="U87" i="16"/>
  <c r="U83" i="16"/>
  <c r="U80" i="16"/>
  <c r="U72" i="16"/>
  <c r="U70" i="16"/>
  <c r="U67" i="16"/>
  <c r="U90" i="16"/>
  <c r="U86" i="16"/>
  <c r="U81" i="16"/>
  <c r="U78" i="16"/>
  <c r="U76" i="16"/>
  <c r="U75" i="16"/>
  <c r="U73" i="16"/>
  <c r="U69" i="16"/>
  <c r="U65" i="16"/>
  <c r="U85" i="16"/>
  <c r="U74" i="16"/>
  <c r="U71" i="16"/>
  <c r="U89" i="16"/>
  <c r="U82" i="16"/>
  <c r="U66" i="16"/>
  <c r="D49" i="15"/>
  <c r="G49" i="13"/>
  <c r="H49" i="13" s="1"/>
  <c r="I49" i="13" s="1"/>
  <c r="G49" i="15" s="1"/>
  <c r="J14" i="6"/>
  <c r="X35" i="16"/>
  <c r="D18" i="15"/>
  <c r="H18" i="15" s="1"/>
  <c r="C18" i="19" s="1"/>
  <c r="G18" i="13"/>
  <c r="H18" i="13" s="1"/>
  <c r="I18" i="13" s="1"/>
  <c r="G18" i="15" s="1"/>
  <c r="D30" i="15"/>
  <c r="G30" i="13"/>
  <c r="H30" i="13" s="1"/>
  <c r="I30" i="13" s="1"/>
  <c r="G30" i="15" s="1"/>
  <c r="D53" i="15"/>
  <c r="G53" i="13"/>
  <c r="H53" i="13" s="1"/>
  <c r="I53" i="13" s="1"/>
  <c r="G53" i="15" s="1"/>
  <c r="D33" i="15"/>
  <c r="H33" i="15" s="1"/>
  <c r="C33" i="19" s="1"/>
  <c r="G33" i="13"/>
  <c r="H33" i="13" s="1"/>
  <c r="I33" i="13" s="1"/>
  <c r="G33" i="15" s="1"/>
  <c r="D57" i="15"/>
  <c r="G57" i="13"/>
  <c r="H57" i="13" s="1"/>
  <c r="I57" i="13" s="1"/>
  <c r="G57" i="15" s="1"/>
  <c r="X63" i="16"/>
  <c r="Q88" i="16"/>
  <c r="Q84" i="16"/>
  <c r="Q79" i="16"/>
  <c r="Q77" i="16"/>
  <c r="Q68" i="16"/>
  <c r="Q87" i="16"/>
  <c r="Q83" i="16"/>
  <c r="Q80" i="16"/>
  <c r="Q72" i="16"/>
  <c r="Q70" i="16"/>
  <c r="Q67" i="16"/>
  <c r="Q90" i="16"/>
  <c r="Q86" i="16"/>
  <c r="Q81" i="16"/>
  <c r="Q78" i="16"/>
  <c r="Q76" i="16"/>
  <c r="Q75" i="16"/>
  <c r="Q73" i="16"/>
  <c r="Q69" i="16"/>
  <c r="Q65" i="16"/>
  <c r="Q89" i="16"/>
  <c r="Q82" i="16"/>
  <c r="Q66" i="16"/>
  <c r="Q85" i="16"/>
  <c r="Q74" i="16"/>
  <c r="Q71" i="16"/>
  <c r="D56" i="15"/>
  <c r="H56" i="15" s="1"/>
  <c r="D28" i="19" s="1"/>
  <c r="G56" i="13"/>
  <c r="H56" i="13" s="1"/>
  <c r="I56" i="13" s="1"/>
  <c r="G56" i="15" s="1"/>
  <c r="D15" i="15"/>
  <c r="G15" i="13"/>
  <c r="H15" i="13" s="1"/>
  <c r="I15" i="13" s="1"/>
  <c r="G15" i="15" s="1"/>
  <c r="D60" i="15"/>
  <c r="G60" i="13"/>
  <c r="H60" i="13" s="1"/>
  <c r="I60" i="13" s="1"/>
  <c r="G60" i="15" s="1"/>
  <c r="D23" i="15"/>
  <c r="G23" i="13"/>
  <c r="H23" i="13" s="1"/>
  <c r="I23" i="13" s="1"/>
  <c r="G23" i="15" s="1"/>
  <c r="D46" i="15"/>
  <c r="G46" i="13"/>
  <c r="H46" i="13" s="1"/>
  <c r="I46" i="13" s="1"/>
  <c r="G46" i="15" s="1"/>
  <c r="D48" i="15"/>
  <c r="G48" i="13"/>
  <c r="H48" i="13" s="1"/>
  <c r="I48" i="13" s="1"/>
  <c r="G48" i="15" s="1"/>
  <c r="S90" i="16"/>
  <c r="S86" i="16"/>
  <c r="S81" i="16"/>
  <c r="S78" i="16"/>
  <c r="S76" i="16"/>
  <c r="S75" i="16"/>
  <c r="S73" i="16"/>
  <c r="S69" i="16"/>
  <c r="S65" i="16"/>
  <c r="S89" i="16"/>
  <c r="S85" i="16"/>
  <c r="S82" i="16"/>
  <c r="S74" i="16"/>
  <c r="S71" i="16"/>
  <c r="S66" i="16"/>
  <c r="S88" i="16"/>
  <c r="S84" i="16"/>
  <c r="S79" i="16"/>
  <c r="S77" i="16"/>
  <c r="S68" i="16"/>
  <c r="S72" i="16"/>
  <c r="S80" i="16"/>
  <c r="S67" i="16"/>
  <c r="S87" i="16"/>
  <c r="S83" i="16"/>
  <c r="S70" i="16"/>
  <c r="D34" i="15"/>
  <c r="G34" i="13"/>
  <c r="H34" i="13" s="1"/>
  <c r="I34" i="13" s="1"/>
  <c r="G34" i="15" s="1"/>
  <c r="D22" i="15"/>
  <c r="G22" i="13"/>
  <c r="H22" i="13" s="1"/>
  <c r="I22" i="13" s="1"/>
  <c r="G22" i="15" s="1"/>
  <c r="D50" i="15"/>
  <c r="H50" i="15" s="1"/>
  <c r="D22" i="19" s="1"/>
  <c r="G50" i="13"/>
  <c r="H50" i="13" s="1"/>
  <c r="I50" i="13" s="1"/>
  <c r="G50" i="15" s="1"/>
  <c r="D20" i="15"/>
  <c r="G20" i="13"/>
  <c r="H20" i="13" s="1"/>
  <c r="I20" i="13" s="1"/>
  <c r="G20" i="15" s="1"/>
  <c r="Y63" i="16"/>
  <c r="AA37" i="16"/>
  <c r="Q91" i="16" l="1"/>
  <c r="D71" i="15"/>
  <c r="G71" i="13"/>
  <c r="H71" i="13" s="1"/>
  <c r="I71" i="13" s="1"/>
  <c r="G71" i="15" s="1"/>
  <c r="D72" i="15"/>
  <c r="G72" i="13"/>
  <c r="H72" i="13" s="1"/>
  <c r="I72" i="13" s="1"/>
  <c r="G72" i="15" s="1"/>
  <c r="H34" i="15"/>
  <c r="C34" i="19" s="1"/>
  <c r="H57" i="15"/>
  <c r="D29" i="19" s="1"/>
  <c r="U91" i="16"/>
  <c r="D9" i="15"/>
  <c r="AA35" i="16"/>
  <c r="S20" i="12" s="1"/>
  <c r="S21" i="12" s="1"/>
  <c r="G9" i="13"/>
  <c r="X79" i="16"/>
  <c r="Y79" i="16" s="1"/>
  <c r="AA79" i="16" s="1"/>
  <c r="X68" i="16"/>
  <c r="Y68" i="16" s="1"/>
  <c r="AA68" i="16" s="1"/>
  <c r="X82" i="16"/>
  <c r="Y82" i="16" s="1"/>
  <c r="AA82" i="16" s="1"/>
  <c r="X69" i="16"/>
  <c r="Y69" i="16" s="1"/>
  <c r="AA69" i="16" s="1"/>
  <c r="X78" i="16"/>
  <c r="Y78" i="16" s="1"/>
  <c r="AA78" i="16" s="1"/>
  <c r="X67" i="16"/>
  <c r="Y67" i="16" s="1"/>
  <c r="AA67" i="16" s="1"/>
  <c r="X83" i="16"/>
  <c r="Y83" i="16" s="1"/>
  <c r="AA83" i="16" s="1"/>
  <c r="X88" i="16"/>
  <c r="Y88" i="16" s="1"/>
  <c r="AA88" i="16" s="1"/>
  <c r="D89" i="15"/>
  <c r="G89" i="13"/>
  <c r="H89" i="13" s="1"/>
  <c r="I89" i="13" s="1"/>
  <c r="G89" i="15" s="1"/>
  <c r="D75" i="15"/>
  <c r="G75" i="13"/>
  <c r="H75" i="13" s="1"/>
  <c r="I75" i="13" s="1"/>
  <c r="G75" i="15" s="1"/>
  <c r="D86" i="15"/>
  <c r="G86" i="13"/>
  <c r="H86" i="13" s="1"/>
  <c r="I86" i="13" s="1"/>
  <c r="G86" i="15" s="1"/>
  <c r="H20" i="15"/>
  <c r="C20" i="19" s="1"/>
  <c r="H48" i="15"/>
  <c r="D20" i="19" s="1"/>
  <c r="H23" i="15"/>
  <c r="C23" i="19" s="1"/>
  <c r="H15" i="15"/>
  <c r="C15" i="19" s="1"/>
  <c r="H30" i="15"/>
  <c r="C30" i="19" s="1"/>
  <c r="H52" i="15"/>
  <c r="D24" i="19" s="1"/>
  <c r="H29" i="15"/>
  <c r="C29" i="19" s="1"/>
  <c r="X77" i="16"/>
  <c r="Y77" i="16" s="1"/>
  <c r="AA77" i="16" s="1"/>
  <c r="X74" i="16"/>
  <c r="Y74" i="16" s="1"/>
  <c r="AA74" i="16" s="1"/>
  <c r="R91" i="16"/>
  <c r="X65" i="16"/>
  <c r="AA76" i="16"/>
  <c r="AA90" i="16"/>
  <c r="AA80" i="16"/>
  <c r="D37" i="15"/>
  <c r="AA63" i="16"/>
  <c r="T20" i="12" s="1"/>
  <c r="T21" i="12" s="1"/>
  <c r="G37" i="13"/>
  <c r="H22" i="15"/>
  <c r="C22" i="19" s="1"/>
  <c r="S91" i="16"/>
  <c r="H46" i="15"/>
  <c r="D18" i="19" s="1"/>
  <c r="H60" i="15"/>
  <c r="D32" i="19" s="1"/>
  <c r="H53" i="15"/>
  <c r="D25" i="19" s="1"/>
  <c r="H49" i="15"/>
  <c r="D21" i="19" s="1"/>
  <c r="W91" i="16"/>
  <c r="X84" i="16"/>
  <c r="Y84" i="16" s="1"/>
  <c r="AA84" i="16" s="1"/>
  <c r="X66" i="16"/>
  <c r="Y66" i="16" s="1"/>
  <c r="AA66" i="16" s="1"/>
  <c r="X85" i="16"/>
  <c r="Y85" i="16" s="1"/>
  <c r="AA85" i="16" s="1"/>
  <c r="X73" i="16"/>
  <c r="Y73" i="16" s="1"/>
  <c r="AA73" i="16" s="1"/>
  <c r="X81" i="16"/>
  <c r="Y81" i="16" s="1"/>
  <c r="AA81" i="16" s="1"/>
  <c r="X70" i="16"/>
  <c r="Y70" i="16" s="1"/>
  <c r="AA70" i="16" s="1"/>
  <c r="X87" i="16"/>
  <c r="Y87" i="16" s="1"/>
  <c r="AA87" i="16" s="1"/>
  <c r="D87" i="15" l="1"/>
  <c r="G87" i="13"/>
  <c r="H87" i="13" s="1"/>
  <c r="I87" i="13" s="1"/>
  <c r="G87" i="15" s="1"/>
  <c r="D68" i="15"/>
  <c r="G68" i="13"/>
  <c r="H68" i="13" s="1"/>
  <c r="I68" i="13" s="1"/>
  <c r="G68" i="15" s="1"/>
  <c r="D35" i="15"/>
  <c r="D73" i="15"/>
  <c r="G73" i="13"/>
  <c r="H73" i="13" s="1"/>
  <c r="I73" i="13" s="1"/>
  <c r="G73" i="15" s="1"/>
  <c r="D76" i="15"/>
  <c r="G76" i="13"/>
  <c r="H76" i="13" s="1"/>
  <c r="I76" i="13" s="1"/>
  <c r="G76" i="15" s="1"/>
  <c r="D83" i="15"/>
  <c r="G83" i="13"/>
  <c r="H83" i="13" s="1"/>
  <c r="I83" i="13" s="1"/>
  <c r="G83" i="15" s="1"/>
  <c r="D85" i="15"/>
  <c r="G85" i="13"/>
  <c r="H85" i="13" s="1"/>
  <c r="I85" i="13" s="1"/>
  <c r="G85" i="15" s="1"/>
  <c r="Y65" i="16"/>
  <c r="X91" i="16"/>
  <c r="D66" i="15"/>
  <c r="G66" i="13"/>
  <c r="H66" i="13" s="1"/>
  <c r="I66" i="13" s="1"/>
  <c r="G66" i="15" s="1"/>
  <c r="D79" i="15"/>
  <c r="G79" i="13"/>
  <c r="H79" i="13" s="1"/>
  <c r="I79" i="13" s="1"/>
  <c r="G79" i="15" s="1"/>
  <c r="D77" i="15"/>
  <c r="G77" i="13"/>
  <c r="H77" i="13" s="1"/>
  <c r="I77" i="13" s="1"/>
  <c r="G77" i="15" s="1"/>
  <c r="D82" i="15"/>
  <c r="G82" i="13"/>
  <c r="H82" i="13" s="1"/>
  <c r="I82" i="13" s="1"/>
  <c r="G82" i="15" s="1"/>
  <c r="D63" i="15"/>
  <c r="D67" i="15"/>
  <c r="G67" i="13"/>
  <c r="H67" i="13" s="1"/>
  <c r="I67" i="13" s="1"/>
  <c r="G67" i="15" s="1"/>
  <c r="D70" i="15"/>
  <c r="G70" i="13"/>
  <c r="H70" i="13" s="1"/>
  <c r="I70" i="13" s="1"/>
  <c r="G70" i="15" s="1"/>
  <c r="D80" i="15"/>
  <c r="G80" i="13"/>
  <c r="H80" i="13" s="1"/>
  <c r="I80" i="13" s="1"/>
  <c r="G80" i="15" s="1"/>
  <c r="D88" i="15"/>
  <c r="G88" i="13"/>
  <c r="H88" i="13" s="1"/>
  <c r="I88" i="13" s="1"/>
  <c r="G88" i="15" s="1"/>
  <c r="D78" i="15"/>
  <c r="G78" i="13"/>
  <c r="H78" i="13" s="1"/>
  <c r="I78" i="13" s="1"/>
  <c r="G78" i="15" s="1"/>
  <c r="D81" i="15"/>
  <c r="G81" i="13"/>
  <c r="H81" i="13" s="1"/>
  <c r="I81" i="13" s="1"/>
  <c r="G81" i="15" s="1"/>
  <c r="D84" i="15"/>
  <c r="G84" i="13"/>
  <c r="H84" i="13" s="1"/>
  <c r="I84" i="13" s="1"/>
  <c r="G84" i="15" s="1"/>
  <c r="G63" i="13"/>
  <c r="H63" i="13" s="1"/>
  <c r="H37" i="13"/>
  <c r="I37" i="13" s="1"/>
  <c r="D90" i="15"/>
  <c r="G90" i="13"/>
  <c r="H90" i="13" s="1"/>
  <c r="I90" i="13" s="1"/>
  <c r="G90" i="15" s="1"/>
  <c r="D74" i="15"/>
  <c r="G74" i="13"/>
  <c r="H74" i="13" s="1"/>
  <c r="I74" i="13" s="1"/>
  <c r="G74" i="15" s="1"/>
  <c r="D69" i="15"/>
  <c r="G69" i="13"/>
  <c r="H69" i="13" s="1"/>
  <c r="I69" i="13" s="1"/>
  <c r="G69" i="15" s="1"/>
  <c r="G35" i="13"/>
  <c r="H35" i="13" s="1"/>
  <c r="H9" i="13"/>
  <c r="I9" i="13" s="1"/>
  <c r="G9" i="15" l="1"/>
  <c r="I35" i="13"/>
  <c r="I63" i="13"/>
  <c r="G37" i="15"/>
  <c r="AA65" i="16"/>
  <c r="Y91" i="16"/>
  <c r="D65" i="15" l="1"/>
  <c r="AA91" i="16"/>
  <c r="U20" i="12" s="1"/>
  <c r="U21" i="12" s="1"/>
  <c r="V21" i="12" s="1"/>
  <c r="V24" i="12" s="1"/>
  <c r="V27" i="12" s="1"/>
  <c r="J6" i="12" s="1"/>
  <c r="G65" i="13"/>
  <c r="G35" i="15"/>
  <c r="H9" i="15"/>
  <c r="G63" i="15"/>
  <c r="H37" i="15"/>
  <c r="J25" i="12" l="1"/>
  <c r="E81" i="15" s="1"/>
  <c r="H81" i="15" s="1"/>
  <c r="E25" i="19" s="1"/>
  <c r="F25" i="19" s="1"/>
  <c r="H25" i="19" s="1"/>
  <c r="J19" i="12"/>
  <c r="E75" i="15" s="1"/>
  <c r="H75" i="15" s="1"/>
  <c r="E19" i="19" s="1"/>
  <c r="F19" i="19" s="1"/>
  <c r="H19" i="19" s="1"/>
  <c r="J16" i="12"/>
  <c r="E72" i="15" s="1"/>
  <c r="H72" i="15" s="1"/>
  <c r="E16" i="19" s="1"/>
  <c r="F16" i="19" s="1"/>
  <c r="H16" i="19" s="1"/>
  <c r="J34" i="12"/>
  <c r="E90" i="15" s="1"/>
  <c r="H90" i="15" s="1"/>
  <c r="E34" i="19" s="1"/>
  <c r="F34" i="19" s="1"/>
  <c r="H34" i="19" s="1"/>
  <c r="J33" i="12"/>
  <c r="E89" i="15" s="1"/>
  <c r="H89" i="15" s="1"/>
  <c r="E33" i="19" s="1"/>
  <c r="F33" i="19" s="1"/>
  <c r="H33" i="19" s="1"/>
  <c r="J32" i="12"/>
  <c r="E88" i="15" s="1"/>
  <c r="H88" i="15" s="1"/>
  <c r="E32" i="19" s="1"/>
  <c r="F32" i="19" s="1"/>
  <c r="H32" i="19" s="1"/>
  <c r="J31" i="12"/>
  <c r="E87" i="15" s="1"/>
  <c r="H87" i="15" s="1"/>
  <c r="E31" i="19" s="1"/>
  <c r="F31" i="19" s="1"/>
  <c r="H31" i="19" s="1"/>
  <c r="J27" i="12"/>
  <c r="E83" i="15" s="1"/>
  <c r="H83" i="15" s="1"/>
  <c r="E27" i="19" s="1"/>
  <c r="F27" i="19" s="1"/>
  <c r="H27" i="19" s="1"/>
  <c r="J26" i="12"/>
  <c r="E82" i="15" s="1"/>
  <c r="H82" i="15" s="1"/>
  <c r="E26" i="19" s="1"/>
  <c r="F26" i="19" s="1"/>
  <c r="H26" i="19" s="1"/>
  <c r="J22" i="12"/>
  <c r="E78" i="15" s="1"/>
  <c r="H78" i="15" s="1"/>
  <c r="E22" i="19" s="1"/>
  <c r="F22" i="19" s="1"/>
  <c r="H22" i="19" s="1"/>
  <c r="J18" i="12"/>
  <c r="E74" i="15" s="1"/>
  <c r="H74" i="15" s="1"/>
  <c r="E18" i="19" s="1"/>
  <c r="F18" i="19" s="1"/>
  <c r="H18" i="19" s="1"/>
  <c r="J17" i="12"/>
  <c r="E73" i="15" s="1"/>
  <c r="H73" i="15" s="1"/>
  <c r="E17" i="19" s="1"/>
  <c r="F17" i="19" s="1"/>
  <c r="H17" i="19" s="1"/>
  <c r="J15" i="12"/>
  <c r="E71" i="15" s="1"/>
  <c r="H71" i="15" s="1"/>
  <c r="E15" i="19" s="1"/>
  <c r="F15" i="19" s="1"/>
  <c r="H15" i="19" s="1"/>
  <c r="J14" i="12"/>
  <c r="E70" i="15" s="1"/>
  <c r="H70" i="15" s="1"/>
  <c r="E14" i="19" s="1"/>
  <c r="F14" i="19" s="1"/>
  <c r="H14" i="19" s="1"/>
  <c r="J12" i="12"/>
  <c r="E68" i="15" s="1"/>
  <c r="H68" i="15" s="1"/>
  <c r="E12" i="19" s="1"/>
  <c r="F12" i="19" s="1"/>
  <c r="H12" i="19" s="1"/>
  <c r="J10" i="12"/>
  <c r="E66" i="15" s="1"/>
  <c r="H66" i="15" s="1"/>
  <c r="E10" i="19" s="1"/>
  <c r="F10" i="19" s="1"/>
  <c r="H10" i="19" s="1"/>
  <c r="J30" i="12"/>
  <c r="E86" i="15" s="1"/>
  <c r="H86" i="15" s="1"/>
  <c r="E30" i="19" s="1"/>
  <c r="F30" i="19" s="1"/>
  <c r="H30" i="19" s="1"/>
  <c r="J29" i="12"/>
  <c r="E85" i="15" s="1"/>
  <c r="H85" i="15" s="1"/>
  <c r="E29" i="19" s="1"/>
  <c r="F29" i="19" s="1"/>
  <c r="H29" i="19" s="1"/>
  <c r="J28" i="12"/>
  <c r="E84" i="15" s="1"/>
  <c r="H84" i="15" s="1"/>
  <c r="E28" i="19" s="1"/>
  <c r="F28" i="19" s="1"/>
  <c r="H28" i="19" s="1"/>
  <c r="J21" i="12"/>
  <c r="E77" i="15" s="1"/>
  <c r="H77" i="15" s="1"/>
  <c r="E21" i="19" s="1"/>
  <c r="F21" i="19" s="1"/>
  <c r="H21" i="19" s="1"/>
  <c r="J9" i="12"/>
  <c r="J13" i="12"/>
  <c r="E69" i="15" s="1"/>
  <c r="H69" i="15" s="1"/>
  <c r="E13" i="19" s="1"/>
  <c r="F13" i="19" s="1"/>
  <c r="H13" i="19" s="1"/>
  <c r="J23" i="12"/>
  <c r="E79" i="15" s="1"/>
  <c r="H79" i="15" s="1"/>
  <c r="E23" i="19" s="1"/>
  <c r="F23" i="19" s="1"/>
  <c r="H23" i="19" s="1"/>
  <c r="J11" i="12"/>
  <c r="E67" i="15" s="1"/>
  <c r="H67" i="15" s="1"/>
  <c r="E11" i="19" s="1"/>
  <c r="F11" i="19" s="1"/>
  <c r="H11" i="19" s="1"/>
  <c r="J24" i="12"/>
  <c r="E80" i="15" s="1"/>
  <c r="H80" i="15" s="1"/>
  <c r="E24" i="19" s="1"/>
  <c r="F24" i="19" s="1"/>
  <c r="H24" i="19" s="1"/>
  <c r="J20" i="12"/>
  <c r="E76" i="15" s="1"/>
  <c r="H76" i="15" s="1"/>
  <c r="E20" i="19" s="1"/>
  <c r="F20" i="19" s="1"/>
  <c r="H20" i="19" s="1"/>
  <c r="H63" i="15"/>
  <c r="D9" i="19"/>
  <c r="G91" i="13"/>
  <c r="H91" i="13" s="1"/>
  <c r="H65" i="13"/>
  <c r="I65" i="13" s="1"/>
  <c r="C9" i="19"/>
  <c r="H35" i="15"/>
  <c r="D91" i="15"/>
  <c r="I91" i="13" l="1"/>
  <c r="G65" i="15"/>
  <c r="G91" i="15" s="1"/>
  <c r="D35" i="19"/>
  <c r="D38" i="19" s="1" a="1"/>
  <c r="D38" i="19" s="1"/>
  <c r="C35" i="19"/>
  <c r="C38" i="19" s="1" a="1"/>
  <c r="C38" i="19" s="1"/>
  <c r="E65" i="15"/>
  <c r="J35" i="12"/>
  <c r="E91" i="15" l="1"/>
  <c r="H65" i="15"/>
  <c r="H91" i="15" l="1"/>
  <c r="E9" i="19"/>
  <c r="E35" i="19" l="1"/>
  <c r="E38" i="19" a="1"/>
  <c r="E38" i="19" s="1"/>
  <c r="F9" i="19"/>
  <c r="H9" i="19" l="1"/>
  <c r="F35" i="19"/>
  <c r="H35" i="19" s="1"/>
  <c r="I13" i="28" l="1"/>
  <c r="I14" i="28" s="1"/>
  <c r="C35" i="22"/>
  <c r="D11" i="24"/>
  <c r="F11" i="24" s="1"/>
  <c r="D34" i="24"/>
  <c r="F34" i="24" s="1"/>
  <c r="D18" i="24"/>
  <c r="F18" i="24" s="1"/>
  <c r="D29" i="24"/>
  <c r="F29" i="24" s="1"/>
  <c r="D22" i="24"/>
  <c r="F22" i="24" s="1"/>
  <c r="D19" i="24"/>
  <c r="F19" i="24" s="1"/>
  <c r="I21" i="19"/>
  <c r="D27" i="24"/>
  <c r="F27" i="24" s="1"/>
  <c r="I12" i="19"/>
  <c r="D20" i="24"/>
  <c r="F20" i="24" s="1"/>
  <c r="I15" i="19"/>
  <c r="I33" i="19"/>
  <c r="D26" i="24"/>
  <c r="F26" i="24" s="1"/>
  <c r="D17" i="24"/>
  <c r="F17" i="24" s="1"/>
  <c r="I23" i="19"/>
  <c r="I16" i="19"/>
  <c r="I24" i="19"/>
  <c r="I30" i="19"/>
  <c r="I26" i="19"/>
  <c r="I25" i="19"/>
  <c r="I10" i="19"/>
  <c r="I28" i="19"/>
  <c r="I31" i="19"/>
  <c r="I13" i="19"/>
  <c r="I14" i="19"/>
  <c r="I32" i="19"/>
  <c r="I17" i="19"/>
  <c r="I20" i="19"/>
  <c r="D33" i="24"/>
  <c r="F33" i="24" s="1"/>
  <c r="I11" i="19"/>
  <c r="I34" i="19"/>
  <c r="I18" i="19"/>
  <c r="I29" i="19"/>
  <c r="I22" i="19"/>
  <c r="I19" i="19"/>
  <c r="D21" i="24"/>
  <c r="F21" i="24" s="1"/>
  <c r="I27" i="19"/>
  <c r="D23" i="24"/>
  <c r="F23" i="24" s="1"/>
  <c r="D16" i="24"/>
  <c r="F16" i="24" s="1"/>
  <c r="D24" i="24"/>
  <c r="F24" i="24" s="1"/>
  <c r="D30" i="24"/>
  <c r="F30" i="24" s="1"/>
  <c r="D25" i="24"/>
  <c r="F25" i="24" s="1"/>
  <c r="D10" i="24"/>
  <c r="F10" i="24" s="1"/>
  <c r="D28" i="24"/>
  <c r="F28" i="24" s="1"/>
  <c r="D31" i="24"/>
  <c r="F31" i="24" s="1"/>
  <c r="D13" i="24"/>
  <c r="F13" i="24" s="1"/>
  <c r="D14" i="24"/>
  <c r="F14" i="24" s="1"/>
  <c r="D32" i="24"/>
  <c r="F32" i="24" s="1"/>
  <c r="D12" i="24"/>
  <c r="F12" i="24" s="1"/>
  <c r="D15" i="24"/>
  <c r="F15" i="24" s="1"/>
  <c r="D9" i="24"/>
  <c r="I9" i="19"/>
  <c r="C11" i="24" l="1"/>
  <c r="C11" i="22"/>
  <c r="E11" i="22" s="1"/>
  <c r="C11" i="6"/>
  <c r="C11" i="26"/>
  <c r="C30" i="24"/>
  <c r="C30" i="22"/>
  <c r="E30" i="22" s="1"/>
  <c r="C30" i="6"/>
  <c r="C30" i="26"/>
  <c r="C10" i="22"/>
  <c r="E10" i="22" s="1"/>
  <c r="C10" i="24"/>
  <c r="C10" i="6"/>
  <c r="C10" i="26"/>
  <c r="C24" i="24"/>
  <c r="C24" i="22"/>
  <c r="E24" i="22" s="1"/>
  <c r="C24" i="6"/>
  <c r="C24" i="26"/>
  <c r="C12" i="22"/>
  <c r="E12" i="22" s="1"/>
  <c r="C12" i="6"/>
  <c r="C12" i="24"/>
  <c r="C12" i="26"/>
  <c r="C22" i="24"/>
  <c r="C22" i="22"/>
  <c r="E22" i="22" s="1"/>
  <c r="C22" i="6"/>
  <c r="C22" i="26"/>
  <c r="C32" i="24"/>
  <c r="C32" i="22"/>
  <c r="E32" i="22" s="1"/>
  <c r="C32" i="6"/>
  <c r="C32" i="26"/>
  <c r="C29" i="24"/>
  <c r="C29" i="22"/>
  <c r="E29" i="22" s="1"/>
  <c r="C29" i="6"/>
  <c r="C29" i="26"/>
  <c r="C9" i="6"/>
  <c r="I38" i="19"/>
  <c r="C9" i="24"/>
  <c r="C9" i="22"/>
  <c r="E9" i="22" s="1"/>
  <c r="C9" i="26"/>
  <c r="C18" i="24"/>
  <c r="C18" i="22"/>
  <c r="E18" i="22" s="1"/>
  <c r="C18" i="6"/>
  <c r="C18" i="26"/>
  <c r="C20" i="24"/>
  <c r="C20" i="22"/>
  <c r="E20" i="22" s="1"/>
  <c r="C20" i="6"/>
  <c r="C20" i="26"/>
  <c r="C13" i="6"/>
  <c r="C13" i="24"/>
  <c r="C13" i="22"/>
  <c r="E13" i="22" s="1"/>
  <c r="C13" i="26"/>
  <c r="C25" i="24"/>
  <c r="C25" i="22"/>
  <c r="E25" i="22" s="1"/>
  <c r="C25" i="6"/>
  <c r="C25" i="26"/>
  <c r="C16" i="22"/>
  <c r="E16" i="22" s="1"/>
  <c r="C16" i="24"/>
  <c r="C16" i="6"/>
  <c r="C16" i="26"/>
  <c r="C33" i="24"/>
  <c r="C33" i="22"/>
  <c r="E33" i="22" s="1"/>
  <c r="C33" i="6"/>
  <c r="C33" i="26"/>
  <c r="C28" i="24"/>
  <c r="C28" i="22"/>
  <c r="E28" i="22" s="1"/>
  <c r="C28" i="6"/>
  <c r="C28" i="26"/>
  <c r="C27" i="24"/>
  <c r="C27" i="22"/>
  <c r="E27" i="22" s="1"/>
  <c r="C27" i="6"/>
  <c r="C27" i="26"/>
  <c r="C14" i="22"/>
  <c r="E14" i="22" s="1"/>
  <c r="C14" i="24"/>
  <c r="C14" i="6"/>
  <c r="C14" i="26"/>
  <c r="D35" i="24"/>
  <c r="F35" i="24" s="1"/>
  <c r="F9" i="24"/>
  <c r="C19" i="24"/>
  <c r="C19" i="22"/>
  <c r="E19" i="22" s="1"/>
  <c r="C19" i="6"/>
  <c r="C19" i="26"/>
  <c r="C34" i="24"/>
  <c r="C34" i="22"/>
  <c r="E34" i="22" s="1"/>
  <c r="C34" i="6"/>
  <c r="C34" i="26"/>
  <c r="C17" i="22"/>
  <c r="E17" i="22" s="1"/>
  <c r="C17" i="24"/>
  <c r="C17" i="6"/>
  <c r="C17" i="26"/>
  <c r="C31" i="24"/>
  <c r="C31" i="22"/>
  <c r="E31" i="22" s="1"/>
  <c r="C31" i="6"/>
  <c r="C31" i="26"/>
  <c r="C26" i="24"/>
  <c r="C26" i="22"/>
  <c r="E26" i="22" s="1"/>
  <c r="C26" i="6"/>
  <c r="C26" i="26"/>
  <c r="C23" i="24"/>
  <c r="C23" i="22"/>
  <c r="E23" i="22" s="1"/>
  <c r="C23" i="6"/>
  <c r="C23" i="26"/>
  <c r="C15" i="24"/>
  <c r="C15" i="22"/>
  <c r="E15" i="22" s="1"/>
  <c r="C15" i="6"/>
  <c r="C15" i="26"/>
  <c r="C21" i="24"/>
  <c r="C21" i="22"/>
  <c r="E21" i="22" s="1"/>
  <c r="C21" i="6"/>
  <c r="C21" i="26"/>
  <c r="G28" i="24" l="1"/>
  <c r="D13" i="6"/>
  <c r="F13" i="6" s="1"/>
  <c r="G13" i="6" s="1"/>
  <c r="E13" i="6"/>
  <c r="G18" i="24"/>
  <c r="D30" i="6"/>
  <c r="F30" i="6" s="1"/>
  <c r="G30" i="6" s="1"/>
  <c r="D21" i="6"/>
  <c r="F21" i="6" s="1"/>
  <c r="G21" i="6" s="1"/>
  <c r="E15" i="6"/>
  <c r="D15" i="6"/>
  <c r="F15" i="6" s="1"/>
  <c r="G15" i="6" s="1"/>
  <c r="D23" i="6"/>
  <c r="F23" i="6" s="1"/>
  <c r="G23" i="6" s="1"/>
  <c r="D26" i="6"/>
  <c r="F26" i="6" s="1"/>
  <c r="G26" i="6" s="1"/>
  <c r="E26" i="6"/>
  <c r="D31" i="6"/>
  <c r="F31" i="6" s="1"/>
  <c r="G31" i="6" s="1"/>
  <c r="E17" i="6"/>
  <c r="D17" i="6"/>
  <c r="F17" i="6" s="1"/>
  <c r="G17" i="6" s="1"/>
  <c r="D34" i="6"/>
  <c r="F34" i="6" s="1"/>
  <c r="G34" i="6" s="1"/>
  <c r="E34" i="6"/>
  <c r="D19" i="6"/>
  <c r="F19" i="6" s="1"/>
  <c r="G19" i="6" s="1"/>
  <c r="D28" i="6"/>
  <c r="F28" i="6" s="1"/>
  <c r="G28" i="6" s="1"/>
  <c r="E28" i="6"/>
  <c r="E33" i="6"/>
  <c r="D33" i="6"/>
  <c r="F33" i="6" s="1"/>
  <c r="G33" i="6" s="1"/>
  <c r="D16" i="6"/>
  <c r="F16" i="6" s="1"/>
  <c r="G16" i="6" s="1"/>
  <c r="D25" i="6"/>
  <c r="F25" i="6" s="1"/>
  <c r="G25" i="6" s="1"/>
  <c r="D20" i="6"/>
  <c r="F20" i="6" s="1"/>
  <c r="G20" i="6" s="1"/>
  <c r="E20" i="6"/>
  <c r="D18" i="6"/>
  <c r="F18" i="6" s="1"/>
  <c r="G18" i="6" s="1"/>
  <c r="E18" i="6"/>
  <c r="E35" i="22"/>
  <c r="D32" i="6"/>
  <c r="F32" i="6" s="1"/>
  <c r="G32" i="6" s="1"/>
  <c r="D22" i="6"/>
  <c r="F22" i="6" s="1"/>
  <c r="G22" i="6" s="1"/>
  <c r="E12" i="6"/>
  <c r="D12" i="6"/>
  <c r="F12" i="6" s="1"/>
  <c r="G12" i="6" s="1"/>
  <c r="G12" i="24" s="1"/>
  <c r="D24" i="6"/>
  <c r="F24" i="6" s="1"/>
  <c r="G24" i="6" s="1"/>
  <c r="E10" i="6"/>
  <c r="D10" i="6"/>
  <c r="F10" i="6" s="1"/>
  <c r="G10" i="6" s="1"/>
  <c r="G30" i="24"/>
  <c r="G19" i="24"/>
  <c r="G32" i="24"/>
  <c r="E11" i="6"/>
  <c r="D11" i="6"/>
  <c r="F11" i="6" s="1"/>
  <c r="G11" i="6" s="1"/>
  <c r="E9" i="6"/>
  <c r="D9" i="6"/>
  <c r="F9" i="6" s="1"/>
  <c r="G9" i="6" s="1"/>
  <c r="E14" i="6"/>
  <c r="D14" i="6"/>
  <c r="F14" i="6" s="1"/>
  <c r="G14" i="6" s="1"/>
  <c r="D27" i="6"/>
  <c r="F27" i="6" s="1"/>
  <c r="G27" i="6" s="1"/>
  <c r="G27" i="24" s="1"/>
  <c r="C37" i="24"/>
  <c r="D29" i="6"/>
  <c r="F29" i="6" s="1"/>
  <c r="G29" i="6" s="1"/>
  <c r="G10" i="24"/>
  <c r="E12" i="26" l="1"/>
  <c r="H12" i="24"/>
  <c r="I12" i="24" s="1"/>
  <c r="E27" i="26"/>
  <c r="H27" i="24"/>
  <c r="I27" i="24" s="1"/>
  <c r="E32" i="26"/>
  <c r="H32" i="24"/>
  <c r="I32" i="24" s="1"/>
  <c r="E18" i="26"/>
  <c r="H18" i="24"/>
  <c r="I18" i="24" s="1"/>
  <c r="E28" i="26"/>
  <c r="H28" i="24"/>
  <c r="I28" i="24" s="1"/>
  <c r="G21" i="24"/>
  <c r="E29" i="6"/>
  <c r="G16" i="24"/>
  <c r="G11" i="24"/>
  <c r="E24" i="6"/>
  <c r="E22" i="6"/>
  <c r="E16" i="6"/>
  <c r="E31" i="6"/>
  <c r="E23" i="6"/>
  <c r="E21" i="6"/>
  <c r="E30" i="6"/>
  <c r="E30" i="26"/>
  <c r="H30" i="24"/>
  <c r="I30" i="24" s="1"/>
  <c r="G34" i="24"/>
  <c r="E19" i="26"/>
  <c r="H19" i="24"/>
  <c r="I19" i="24" s="1"/>
  <c r="E10" i="26"/>
  <c r="H10" i="24"/>
  <c r="I10" i="24" s="1"/>
  <c r="E27" i="6"/>
  <c r="G35" i="6"/>
  <c r="F4" i="21" s="1"/>
  <c r="G24" i="24"/>
  <c r="G31" i="24"/>
  <c r="E32" i="6"/>
  <c r="E25" i="6"/>
  <c r="E19" i="6"/>
  <c r="G29" i="24"/>
  <c r="G22" i="24"/>
  <c r="G25" i="24"/>
  <c r="G26" i="24"/>
  <c r="G23" i="24"/>
  <c r="E4" i="21" l="1"/>
  <c r="D4" i="21"/>
  <c r="E25" i="26"/>
  <c r="H25" i="24"/>
  <c r="I25" i="24" s="1"/>
  <c r="E11" i="26"/>
  <c r="H11" i="24"/>
  <c r="I11" i="24" s="1"/>
  <c r="E29" i="26"/>
  <c r="H29" i="24"/>
  <c r="I29" i="24" s="1"/>
  <c r="E31" i="26"/>
  <c r="H31" i="24"/>
  <c r="I31" i="24" s="1"/>
  <c r="E34" i="26"/>
  <c r="H34" i="24"/>
  <c r="I34" i="24" s="1"/>
  <c r="E16" i="26"/>
  <c r="H16" i="24"/>
  <c r="I16" i="24" s="1"/>
  <c r="E21" i="26"/>
  <c r="H21" i="24"/>
  <c r="I21" i="24" s="1"/>
  <c r="E22" i="26"/>
  <c r="H22" i="24"/>
  <c r="I22" i="24" s="1"/>
  <c r="E23" i="26"/>
  <c r="H23" i="24"/>
  <c r="I23" i="24" s="1"/>
  <c r="E26" i="26"/>
  <c r="H26" i="24"/>
  <c r="I26" i="24" s="1"/>
  <c r="E24" i="26"/>
  <c r="H24" i="24"/>
  <c r="I24" i="24" s="1"/>
  <c r="G34" i="22" l="1"/>
  <c r="G32" i="22"/>
  <c r="G30" i="22"/>
  <c r="G28" i="22"/>
  <c r="G26" i="22"/>
  <c r="G24" i="22"/>
  <c r="G22" i="22"/>
  <c r="G20" i="22"/>
  <c r="G18" i="22"/>
  <c r="G16" i="22"/>
  <c r="G14" i="22"/>
  <c r="G12" i="22"/>
  <c r="G10" i="22"/>
  <c r="G33" i="22"/>
  <c r="G31" i="22"/>
  <c r="G29" i="22"/>
  <c r="G27" i="22"/>
  <c r="G25" i="22"/>
  <c r="G23" i="22"/>
  <c r="G21" i="22"/>
  <c r="G19" i="22"/>
  <c r="G17" i="22"/>
  <c r="G15" i="22"/>
  <c r="G13" i="22"/>
  <c r="G11" i="22"/>
  <c r="G9" i="22"/>
  <c r="F13" i="22" l="1"/>
  <c r="G13" i="24"/>
  <c r="D13" i="26"/>
  <c r="F12" i="22"/>
  <c r="D12" i="26"/>
  <c r="F31" i="22"/>
  <c r="D31" i="26"/>
  <c r="F30" i="22"/>
  <c r="D30" i="26"/>
  <c r="F21" i="22"/>
  <c r="D21" i="26"/>
  <c r="F28" i="22"/>
  <c r="D28" i="26"/>
  <c r="F15" i="22"/>
  <c r="G15" i="24"/>
  <c r="D15" i="26"/>
  <c r="F14" i="22"/>
  <c r="G14" i="24"/>
  <c r="D14" i="26"/>
  <c r="F25" i="22"/>
  <c r="D25" i="26"/>
  <c r="F29" i="22"/>
  <c r="D29" i="26"/>
  <c r="F20" i="22"/>
  <c r="G20" i="24"/>
  <c r="D20" i="26"/>
  <c r="F23" i="22"/>
  <c r="D23" i="26"/>
  <c r="F22" i="22"/>
  <c r="D22" i="26"/>
  <c r="G35" i="22"/>
  <c r="F9" i="22"/>
  <c r="G9" i="24"/>
  <c r="D9" i="26"/>
  <c r="F17" i="22"/>
  <c r="G17" i="24"/>
  <c r="D17" i="26"/>
  <c r="F33" i="22"/>
  <c r="G33" i="24"/>
  <c r="D33" i="26"/>
  <c r="F16" i="22"/>
  <c r="D16" i="26"/>
  <c r="F24" i="22"/>
  <c r="D24" i="26"/>
  <c r="F32" i="22"/>
  <c r="D32" i="26"/>
  <c r="F11" i="22"/>
  <c r="D11" i="26"/>
  <c r="F19" i="22"/>
  <c r="D19" i="26"/>
  <c r="F27" i="22"/>
  <c r="D27" i="26"/>
  <c r="F10" i="22"/>
  <c r="D10" i="26"/>
  <c r="F18" i="22"/>
  <c r="D18" i="26"/>
  <c r="F26" i="22"/>
  <c r="D26" i="26"/>
  <c r="F34" i="22"/>
  <c r="D34" i="26"/>
  <c r="E17" i="26" l="1"/>
  <c r="H17" i="24"/>
  <c r="I17" i="24" s="1"/>
  <c r="E33" i="26"/>
  <c r="H33" i="24"/>
  <c r="I33" i="24" s="1"/>
  <c r="E15" i="26"/>
  <c r="H15" i="24"/>
  <c r="I15" i="24" s="1"/>
  <c r="D35" i="26"/>
  <c r="E14" i="26"/>
  <c r="H14" i="24"/>
  <c r="I14" i="24" s="1"/>
  <c r="E13" i="26"/>
  <c r="H13" i="24"/>
  <c r="I13" i="24" s="1"/>
  <c r="E9" i="26"/>
  <c r="H9" i="24"/>
  <c r="I9" i="24" s="1"/>
  <c r="E20" i="26"/>
  <c r="H20" i="24"/>
  <c r="I20" i="24" s="1"/>
  <c r="I37" i="24" l="1"/>
</calcChain>
</file>

<file path=xl/sharedStrings.xml><?xml version="1.0" encoding="utf-8"?>
<sst xmlns="http://schemas.openxmlformats.org/spreadsheetml/2006/main" count="1348" uniqueCount="725">
  <si>
    <t>Massgebende Wohnbevölkerung</t>
  </si>
  <si>
    <t>Einheit</t>
  </si>
  <si>
    <t>Zürich</t>
  </si>
  <si>
    <t>Bern</t>
  </si>
  <si>
    <t>Luzern</t>
  </si>
  <si>
    <t>Uri</t>
  </si>
  <si>
    <t>Schwyz</t>
  </si>
  <si>
    <t>Obwalden</t>
  </si>
  <si>
    <t>Nidwalden</t>
  </si>
  <si>
    <t>Glarus</t>
  </si>
  <si>
    <t>Zug</t>
  </si>
  <si>
    <t>Freiburg</t>
  </si>
  <si>
    <t>Solothurn</t>
  </si>
  <si>
    <t>Basel-Stadt</t>
  </si>
  <si>
    <t>Basel-Landschaft</t>
  </si>
  <si>
    <t>Schaffhausen</t>
  </si>
  <si>
    <t>Appenzell A.Rh.</t>
  </si>
  <si>
    <t>Appenzell I.Rh.</t>
  </si>
  <si>
    <t>St. Gallen</t>
  </si>
  <si>
    <t>Graubünden</t>
  </si>
  <si>
    <t>Aargau</t>
  </si>
  <si>
    <t>Thurgau</t>
  </si>
  <si>
    <t>Tessin</t>
  </si>
  <si>
    <t>Waadt</t>
  </si>
  <si>
    <t>Wallis</t>
  </si>
  <si>
    <t>Neuenburg</t>
  </si>
  <si>
    <t>Genf</t>
  </si>
  <si>
    <t>Jura</t>
  </si>
  <si>
    <t>Total</t>
  </si>
  <si>
    <t>Spalte</t>
  </si>
  <si>
    <t>C</t>
  </si>
  <si>
    <t>D</t>
  </si>
  <si>
    <t>E</t>
  </si>
  <si>
    <t>H</t>
  </si>
  <si>
    <t>I</t>
  </si>
  <si>
    <t>J</t>
  </si>
  <si>
    <t>Formel</t>
  </si>
  <si>
    <t>CHF 1'000</t>
  </si>
  <si>
    <t>CHF</t>
  </si>
  <si>
    <t>in CHF 1'000</t>
  </si>
  <si>
    <t>Schweiz</t>
  </si>
  <si>
    <t>Minimum</t>
  </si>
  <si>
    <t>G</t>
  </si>
  <si>
    <t>F</t>
  </si>
  <si>
    <t>Faktor Alpha</t>
  </si>
  <si>
    <t>Reinvermögen</t>
  </si>
  <si>
    <t>Massgebende Steuerbemessungs-grundlage DBSt</t>
  </si>
  <si>
    <t>Saldo</t>
  </si>
  <si>
    <t>Erhalten von
anderen
Kantonen</t>
  </si>
  <si>
    <t>Zu Gunsten
anderer
Kantone</t>
  </si>
  <si>
    <t>T</t>
  </si>
  <si>
    <t>S</t>
  </si>
  <si>
    <t>R</t>
  </si>
  <si>
    <t>ASG Total</t>
  </si>
  <si>
    <t>Referenzjahr</t>
  </si>
  <si>
    <t>Kategorie</t>
  </si>
  <si>
    <t>A2</t>
  </si>
  <si>
    <t>D2</t>
  </si>
  <si>
    <t>F2</t>
  </si>
  <si>
    <t>F3</t>
  </si>
  <si>
    <t>I2</t>
  </si>
  <si>
    <t>U</t>
  </si>
  <si>
    <t>Y</t>
  </si>
  <si>
    <t>(C + D + E) / 3</t>
  </si>
  <si>
    <t>F / G * 1000</t>
  </si>
  <si>
    <t>Punkte</t>
  </si>
  <si>
    <t>Prozent</t>
  </si>
  <si>
    <t>γ</t>
  </si>
  <si>
    <t>Ausgleichszahlungen</t>
  </si>
  <si>
    <t>Pro Einwohner</t>
  </si>
  <si>
    <t>Berechnungsdatum</t>
  </si>
  <si>
    <t>Berechnungs-ID</t>
  </si>
  <si>
    <t>Q</t>
  </si>
  <si>
    <t>V</t>
  </si>
  <si>
    <t>W</t>
  </si>
  <si>
    <t>X</t>
  </si>
  <si>
    <t>Faktor Delta</t>
  </si>
  <si>
    <t>E = C + D</t>
  </si>
  <si>
    <t>(C - 100) * D</t>
  </si>
  <si>
    <t>G / D</t>
  </si>
  <si>
    <t>D / E</t>
  </si>
  <si>
    <t>F + G</t>
  </si>
  <si>
    <t>A    Primäreinkommen der privaten Haushalte</t>
  </si>
  <si>
    <t>B    Massgebendes Einkommen</t>
  </si>
  <si>
    <t>Beta-Faktoren</t>
  </si>
  <si>
    <t>Holdinggesellschaften</t>
  </si>
  <si>
    <t>Domizilgesellschaften</t>
  </si>
  <si>
    <t>Gemischte Gesellschaften</t>
  </si>
  <si>
    <t>D-C</t>
  </si>
  <si>
    <t>G / F</t>
  </si>
  <si>
    <t>H * E</t>
  </si>
  <si>
    <t>(1 - 0.125) γ</t>
  </si>
  <si>
    <t>(1 - 0.4) γ</t>
  </si>
  <si>
    <t xml:space="preserve">I </t>
  </si>
  <si>
    <t>Formel für Gewicht</t>
  </si>
  <si>
    <t>Zahlungen im</t>
  </si>
  <si>
    <t>H / H[Schweiz] * 100</t>
  </si>
  <si>
    <t>Anzahl</t>
  </si>
  <si>
    <t>Dotation/E[Schweiz]*E</t>
  </si>
  <si>
    <t>Index SSE
nach
Ausgleich</t>
  </si>
  <si>
    <t>H / F[Schweiz]</t>
  </si>
  <si>
    <t>Steuerpflichtige</t>
  </si>
  <si>
    <t>Mittlere ständige und nichtständige Wohnbevölkerung</t>
  </si>
  <si>
    <t>Bemessungsjahr</t>
  </si>
  <si>
    <t>D - (I / 1000 * C)</t>
  </si>
  <si>
    <t>Bruttoeinkommen</t>
  </si>
  <si>
    <t>Gewicht (ω)</t>
  </si>
  <si>
    <t>C * ω</t>
  </si>
  <si>
    <t>D * ω</t>
  </si>
  <si>
    <t>E * ω</t>
  </si>
  <si>
    <t>F * ω</t>
  </si>
  <si>
    <t>G * ω</t>
  </si>
  <si>
    <t>H * ω</t>
  </si>
  <si>
    <t>I * ω</t>
  </si>
  <si>
    <t>Z</t>
  </si>
  <si>
    <t>R+S+T+U+V+W</t>
  </si>
  <si>
    <t>X * Delta</t>
  </si>
  <si>
    <t>Ressourcen-
index</t>
  </si>
  <si>
    <t>A</t>
  </si>
  <si>
    <t>B</t>
  </si>
  <si>
    <t>Massgebender Gewinn
der juristischen Personen</t>
  </si>
  <si>
    <t>Auszahlung</t>
  </si>
  <si>
    <t>Auszahlung
pro Einwohner</t>
  </si>
  <si>
    <t>Einzahlung</t>
  </si>
  <si>
    <t>Die Berechnung des Ressourcenausgleichs wird im technischen Bericht detailliert beschrieben:
www.efv.admin.ch → Themen  → Finanzausgleich  → Dokumentation</t>
  </si>
  <si>
    <t>(+) Einzahlungen; (-) Auszahlungen in CHF</t>
  </si>
  <si>
    <t>Progressionsmass p</t>
  </si>
  <si>
    <t>Beschriftung der Tabellen</t>
  </si>
  <si>
    <t>Sprache</t>
  </si>
  <si>
    <t>Auswahl der Sprache</t>
  </si>
  <si>
    <t>Deutsch</t>
  </si>
  <si>
    <t>Français</t>
  </si>
  <si>
    <t xml:space="preserve">Die Sprache wird über das Steuerelement auf dem </t>
  </si>
  <si>
    <t>Italiano</t>
  </si>
  <si>
    <t>Tabellenblatt "INTRO" ausgewählt.</t>
  </si>
  <si>
    <t>English</t>
  </si>
  <si>
    <t xml:space="preserve"> </t>
  </si>
  <si>
    <t>Eidgenössisches Finanzdepartement EFD</t>
  </si>
  <si>
    <t>Département fédéral des finances DFF</t>
  </si>
  <si>
    <t>Eidgenössische Finanzverwaltung EFV</t>
  </si>
  <si>
    <t>Administration fédérale des finances AFF</t>
  </si>
  <si>
    <t>Finanzausgleich zwischen Bund und Kantonen</t>
  </si>
  <si>
    <t>Péréquation financière entre la Confédération et les cantons</t>
  </si>
  <si>
    <t>Suisse</t>
  </si>
  <si>
    <t>Zurich</t>
  </si>
  <si>
    <t>Berne</t>
  </si>
  <si>
    <t>Lucerne</t>
  </si>
  <si>
    <t>Obwald</t>
  </si>
  <si>
    <t>Nidwald</t>
  </si>
  <si>
    <t>Glaris</t>
  </si>
  <si>
    <t>Zoug</t>
  </si>
  <si>
    <t>Fribourg</t>
  </si>
  <si>
    <t>Soleure</t>
  </si>
  <si>
    <t>Bâle-Ville</t>
  </si>
  <si>
    <t>Bâle-Campagne</t>
  </si>
  <si>
    <t>Schaffhouse</t>
  </si>
  <si>
    <t>Appenzell Rh.-Ext.</t>
  </si>
  <si>
    <t>Appenzell Rh.-Int.</t>
  </si>
  <si>
    <t>St-Gall</t>
  </si>
  <si>
    <t>Grisons</t>
  </si>
  <si>
    <t>Argovie</t>
  </si>
  <si>
    <t>Thurgovie</t>
  </si>
  <si>
    <t>Vaud</t>
  </si>
  <si>
    <t>Valais</t>
  </si>
  <si>
    <t>Neuchâtel</t>
  </si>
  <si>
    <t>Genève</t>
  </si>
  <si>
    <t>Wählen Sie Ihre Sprache</t>
  </si>
  <si>
    <t>Choisissez votre langue</t>
  </si>
  <si>
    <t>Selezionare la vostra lingua</t>
  </si>
  <si>
    <t>Choose your language</t>
  </si>
  <si>
    <t>TOTAL</t>
  </si>
  <si>
    <t>NP</t>
  </si>
  <si>
    <t>QS</t>
  </si>
  <si>
    <t>VERM</t>
  </si>
  <si>
    <t>JP</t>
  </si>
  <si>
    <t>REP</t>
  </si>
  <si>
    <t>ASG</t>
  </si>
  <si>
    <t>BEV</t>
  </si>
  <si>
    <t>RP</t>
  </si>
  <si>
    <t>DOT</t>
  </si>
  <si>
    <t>EINZ</t>
  </si>
  <si>
    <t>AUSZ</t>
  </si>
  <si>
    <t>SSE</t>
  </si>
  <si>
    <t>SST</t>
  </si>
  <si>
    <t>Einkommen natürlicher Personen</t>
  </si>
  <si>
    <t>Quellenbesteuerte Einkommen natürlicher Personen</t>
  </si>
  <si>
    <t>Vermögen natürlicher Personen</t>
  </si>
  <si>
    <t>Gewinne juristischer Personen</t>
  </si>
  <si>
    <t>Steuerrepartitionen</t>
  </si>
  <si>
    <t>Berechnung Ressourcenpotenzial und -index</t>
  </si>
  <si>
    <t>Einzahlungen der ressourcenstarken Kantone</t>
  </si>
  <si>
    <t>Auszahlungen an die ressourcenschwachen Kantone</t>
  </si>
  <si>
    <t>C    Gamma (B / A)</t>
  </si>
  <si>
    <t>Ressourcen-
potenzial</t>
  </si>
  <si>
    <t>Grenzgänger
Total</t>
  </si>
  <si>
    <t>Revenu des personnes physiques</t>
  </si>
  <si>
    <t>Fortune des personnes physiques</t>
  </si>
  <si>
    <t>Bénéfice des personnes morales</t>
  </si>
  <si>
    <t>Répartitions fiscales</t>
  </si>
  <si>
    <t>Montants versés par les cantons à fort potentiel de ressources</t>
  </si>
  <si>
    <t>Montants reçus par les cantons à faible potentiel de ressources</t>
  </si>
  <si>
    <t>Taux fiscal standardisé</t>
  </si>
  <si>
    <t>Übersicht über die Zahlungen im Ressourcenausgleich</t>
  </si>
  <si>
    <t>Aggregierte Steuerbemessungsgrundlage</t>
  </si>
  <si>
    <t>Assiette fiscale agrégée</t>
  </si>
  <si>
    <t>Calcul du potentiel de ressources et de l'indice des ressources</t>
  </si>
  <si>
    <t>Standardisierter Steuerertrag</t>
  </si>
  <si>
    <t>Standardisierter Steuersatz</t>
  </si>
  <si>
    <t>Wealth</t>
  </si>
  <si>
    <t>Profit of legal entities</t>
  </si>
  <si>
    <t>Standardized tax revenue</t>
  </si>
  <si>
    <t>Standardized tax rate</t>
  </si>
  <si>
    <t>Ticino</t>
  </si>
  <si>
    <t>Geneva</t>
  </si>
  <si>
    <t>Switzerland</t>
  </si>
  <si>
    <t>Column</t>
  </si>
  <si>
    <t>Formula</t>
  </si>
  <si>
    <t>Category</t>
  </si>
  <si>
    <t>Unit</t>
  </si>
  <si>
    <t>CHF 1,000</t>
  </si>
  <si>
    <t>Points</t>
  </si>
  <si>
    <t>Reference year</t>
  </si>
  <si>
    <t>Assessment year</t>
  </si>
  <si>
    <t>Colonne</t>
  </si>
  <si>
    <t>Formule</t>
  </si>
  <si>
    <t>Catégorie</t>
  </si>
  <si>
    <t>Unité</t>
  </si>
  <si>
    <t>Nombre</t>
  </si>
  <si>
    <t>Année de référence</t>
  </si>
  <si>
    <t>Année de calcul</t>
  </si>
  <si>
    <t>Paiements compensatoires</t>
  </si>
  <si>
    <t>Par habitant</t>
  </si>
  <si>
    <t>Salaires bruts</t>
  </si>
  <si>
    <t>Facteur delta</t>
  </si>
  <si>
    <t>A    Revenu primaire des ménages privés</t>
  </si>
  <si>
    <t>B    Revenu déterminant</t>
  </si>
  <si>
    <t>Formule pour pondération</t>
  </si>
  <si>
    <t>Pondération (ω)</t>
  </si>
  <si>
    <t>Revenu déterminant pour l'imposition à la source</t>
  </si>
  <si>
    <t>Fortune nette</t>
  </si>
  <si>
    <t>Facteur alpha</t>
  </si>
  <si>
    <t>Facteurs bêta</t>
  </si>
  <si>
    <t>Sociétés holding</t>
  </si>
  <si>
    <t>Sociétés de domicile</t>
  </si>
  <si>
    <t>Sociétés mixtes</t>
  </si>
  <si>
    <t>Solde</t>
  </si>
  <si>
    <t>AFA totale</t>
  </si>
  <si>
    <t>H / H[Suisse] * 100</t>
  </si>
  <si>
    <t>Dotation/E[Suisse]*E</t>
  </si>
  <si>
    <t>H / F[Suisse]</t>
  </si>
  <si>
    <t>Delta factor</t>
  </si>
  <si>
    <t>A    Primary income of households</t>
  </si>
  <si>
    <t>B    Relevant income</t>
  </si>
  <si>
    <t>Relevant income taxed at source</t>
  </si>
  <si>
    <t>Net wealth</t>
  </si>
  <si>
    <t>Alpha factor</t>
  </si>
  <si>
    <t>Beta factors</t>
  </si>
  <si>
    <t>Balance</t>
  </si>
  <si>
    <t>Total ATB</t>
  </si>
  <si>
    <t>Relevant resident population</t>
  </si>
  <si>
    <t>H / H[Switzerland] * 100</t>
  </si>
  <si>
    <t>H / F[Switzerland]</t>
  </si>
  <si>
    <t>Federal Department of Finance FDF</t>
  </si>
  <si>
    <t>AA</t>
  </si>
  <si>
    <t>(Q + Y) oder Z</t>
  </si>
  <si>
    <t>Federal Finance Administration FFA</t>
  </si>
  <si>
    <t>Fiscal equalization between the Confederation and the cantons</t>
  </si>
  <si>
    <t>Overview of resource equalization payments</t>
  </si>
  <si>
    <t>Income of natural persons</t>
  </si>
  <si>
    <t>Income of natural persons taxed at source</t>
  </si>
  <si>
    <t>Tax repartitions</t>
  </si>
  <si>
    <t>Aggregated tax base</t>
  </si>
  <si>
    <t>Resource potential and resource index calculation</t>
  </si>
  <si>
    <t>Inpayments of financially strong cantons</t>
  </si>
  <si>
    <t>Outpayments to financially weak cantons</t>
  </si>
  <si>
    <t>Basel Stadt</t>
  </si>
  <si>
    <t>Basel Landschaft</t>
  </si>
  <si>
    <t>Number</t>
  </si>
  <si>
    <t>Percent</t>
  </si>
  <si>
    <t>Calculation date</t>
  </si>
  <si>
    <t>Calculation ID</t>
  </si>
  <si>
    <t>Payments in</t>
  </si>
  <si>
    <t>(+) inpayments; (-) outpayments in CHF</t>
  </si>
  <si>
    <t>Equalization payments</t>
  </si>
  <si>
    <t>Per capita</t>
  </si>
  <si>
    <t>Gross income</t>
  </si>
  <si>
    <t>in CHF 1,000</t>
  </si>
  <si>
    <t>Weighting formula</t>
  </si>
  <si>
    <t>Weighting (ω)</t>
  </si>
  <si>
    <t>Holding companies</t>
  </si>
  <si>
    <t>Domiciliary companies</t>
  </si>
  <si>
    <t>Mixed companies</t>
  </si>
  <si>
    <t>Average permanent and non-permanent resident population</t>
  </si>
  <si>
    <t>Inpayment</t>
  </si>
  <si>
    <t>Outpayment</t>
  </si>
  <si>
    <t>Progression rate p</t>
  </si>
  <si>
    <t>Aperçu des paiements au titre de la péréquation des ressources</t>
  </si>
  <si>
    <t>Revenu pour l’imposition à la source des personnes physiques</t>
  </si>
  <si>
    <t>Population résidante déterminante</t>
  </si>
  <si>
    <t>Recettes fiscales standardisées</t>
  </si>
  <si>
    <t>Date de calcul</t>
  </si>
  <si>
    <t>Code de calcul</t>
  </si>
  <si>
    <t>Paiements au titre de la</t>
  </si>
  <si>
    <t>Contribuables</t>
  </si>
  <si>
    <t>Dipartimento federale delle finanze DFF</t>
  </si>
  <si>
    <t>Amministrazione federale delle finanze AFF</t>
  </si>
  <si>
    <t>Perequazione finanziaria tra Confederazione e Cantoni</t>
  </si>
  <si>
    <t>Panoramica dei pagamenti nella perequazione delle risorse</t>
  </si>
  <si>
    <t>Reddito delle persone fisiche</t>
  </si>
  <si>
    <t>Reddito tassato alla fonte delle persone fisiche</t>
  </si>
  <si>
    <t>Sostanza delle persone fisiche</t>
  </si>
  <si>
    <t>Utili delle persone giuridiche</t>
  </si>
  <si>
    <t>Riparti fiscali</t>
  </si>
  <si>
    <t>Base imponibile aggregata</t>
  </si>
  <si>
    <t>Popolazione residente determinante</t>
  </si>
  <si>
    <t>Calcolo del potenziale e dell'indice delle risorse</t>
  </si>
  <si>
    <t>Contributi dei Cantoni finanziariamente forti</t>
  </si>
  <si>
    <t>Versamenti ai Cantoni finanziariamente deboli</t>
  </si>
  <si>
    <t>Gettito fiscale standardizzato</t>
  </si>
  <si>
    <t>Aliquota d'imposizione standardizzata</t>
  </si>
  <si>
    <t>Zurigo</t>
  </si>
  <si>
    <t>Berna</t>
  </si>
  <si>
    <t>Lucerna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</si>
  <si>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</si>
  <si>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</si>
  <si>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</si>
  <si>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</si>
  <si>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</si>
  <si>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</si>
  <si>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</si>
  <si>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</si>
  <si>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</si>
  <si>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</si>
  <si>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</si>
  <si>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</si>
  <si>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</si>
  <si>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</si>
  <si>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</si>
  <si>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</si>
  <si>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Vallese</t>
  </si>
  <si>
    <t>Ginevra</t>
  </si>
  <si>
    <t>Giura</t>
  </si>
  <si>
    <t>Svizzera</t>
  </si>
  <si>
    <t>Colonna</t>
  </si>
  <si>
    <t>Categoria</t>
  </si>
  <si>
    <t>Unità</t>
  </si>
  <si>
    <t>CHF 1000</t>
  </si>
  <si>
    <t>Numero</t>
  </si>
  <si>
    <t>Punti</t>
  </si>
  <si>
    <t>Percento</t>
  </si>
  <si>
    <t>Totale</t>
  </si>
  <si>
    <t>Anno di calcolo</t>
  </si>
  <si>
    <t>Pagamenti nella</t>
  </si>
  <si>
    <t>(+) Contributi; (-) Versamenti in CHF</t>
  </si>
  <si>
    <t>Versamenti di compensazione</t>
  </si>
  <si>
    <t>Per abitante</t>
  </si>
  <si>
    <t>Contribuenti</t>
  </si>
  <si>
    <t>Reddito lordo</t>
  </si>
  <si>
    <t>Fattore delta</t>
  </si>
  <si>
    <t>in CHF 1000</t>
  </si>
  <si>
    <t>A    Reddito primario delle economie domestiche private</t>
  </si>
  <si>
    <t>B    Reddito determinante</t>
  </si>
  <si>
    <t>Formula di ponderazione</t>
  </si>
  <si>
    <t>Ponderazione (ω)</t>
  </si>
  <si>
    <t>Reddito determinante tassato alla fonte</t>
  </si>
  <si>
    <t>Sostanza netta</t>
  </si>
  <si>
    <t>Fattore alfa</t>
  </si>
  <si>
    <t>Fattori beta</t>
  </si>
  <si>
    <t>Società holding</t>
  </si>
  <si>
    <t>Società di domicilio</t>
  </si>
  <si>
    <t>Società miste</t>
  </si>
  <si>
    <t>Somma</t>
  </si>
  <si>
    <t>Totale BIA</t>
  </si>
  <si>
    <t>H / H[Svizzera] * 100</t>
  </si>
  <si>
    <t>Contributo</t>
  </si>
  <si>
    <t>Dotazione/E[Svizzera]*E</t>
  </si>
  <si>
    <t>Versamento</t>
  </si>
  <si>
    <t>H / F[Svizzera]</t>
  </si>
  <si>
    <t>Minimo</t>
  </si>
  <si>
    <t>Anno di riferimento</t>
  </si>
  <si>
    <t>Calcolato il</t>
  </si>
  <si>
    <t>Codice calcolo</t>
  </si>
  <si>
    <t>En CHF 1'000</t>
  </si>
  <si>
    <t>(+) Montants versés; (-) Montants reçus en francs</t>
  </si>
  <si>
    <t>%</t>
  </si>
  <si>
    <t>Steuerbares Einkommen
der Steuerpflichtigen</t>
  </si>
  <si>
    <t>Gebietsansässige
Ausländer und
ausländische
Verwaltungsräte</t>
  </si>
  <si>
    <t>Vollständig
besteuerte
Grenzgänger</t>
  </si>
  <si>
    <t>Begrenzt
besteuerte
Grenzgänger
aus Österreich</t>
  </si>
  <si>
    <t>Begrenzt
besteuerte
Grenzgänger
aus Deutschland</t>
  </si>
  <si>
    <t>Begrenzt
besteuerte
Grenzgänger
aus Italien</t>
  </si>
  <si>
    <t>Ergebnis auf
der Basis der
Bruttolöhne
(Grenzgänger)</t>
  </si>
  <si>
    <t>Ergebnis auf
der Basis
geschätzter
Daten</t>
  </si>
  <si>
    <t>Massgebende
quellenbesteuerte
Einkommen</t>
  </si>
  <si>
    <t>Massgebendes
Vermögen</t>
  </si>
  <si>
    <t>Massgebender Gewinn
ordentlich besteuerter
Unternehmen</t>
  </si>
  <si>
    <t>Massgebender Gewinn
von Gesellschaften mit
besonderem Steuerstatus</t>
  </si>
  <si>
    <t>Ablieferungen DBSt
an die ESTV</t>
  </si>
  <si>
    <t>Gewichtungs-
faktor</t>
  </si>
  <si>
    <t>Massgebende
Steuerrepartitionen</t>
  </si>
  <si>
    <t>Massgebendes
Einkommen der
natürlichen
Personen</t>
  </si>
  <si>
    <t>Massgebendes
quellenbesteuertes
Einkommen</t>
  </si>
  <si>
    <t>Massgebender
Gewinn der
juristischen
Personen</t>
  </si>
  <si>
    <t>Massgebende
Steuer-
repartitionen</t>
  </si>
  <si>
    <t>Massgebende
Wohnbevölkerung</t>
  </si>
  <si>
    <t>Ressourcen-
potenzial pro
Einwohner</t>
  </si>
  <si>
    <t>Vertikaler
Ressourcenausgleich
(VRA)</t>
  </si>
  <si>
    <t>Ausgleich
Total</t>
  </si>
  <si>
    <t>Massgebende
Wohn-
bevölkerung</t>
  </si>
  <si>
    <t>Summe der
gewichteten
Abweichungen</t>
  </si>
  <si>
    <t>Einzahlung
pro Einwohner</t>
  </si>
  <si>
    <t>Standardisierter
Steuerertrag
(SSE)</t>
  </si>
  <si>
    <t>Standardisierter
Steuerertrag pro
Einwohner vor
Ausgleich</t>
  </si>
  <si>
    <t>Ressourcen-
ausgleich pro
Einwohner</t>
  </si>
  <si>
    <t>Standardisierter
Steuerertrag pro
Einwohner nach
Ausgleich</t>
  </si>
  <si>
    <t>In favor of
other cantons</t>
  </si>
  <si>
    <t>Received from
other cantons</t>
  </si>
  <si>
    <t>Relevant direct
federal tax base</t>
  </si>
  <si>
    <t>Revenu imposable
des contribuables</t>
  </si>
  <si>
    <t>Revenu
déterminant
des personnes
physiques</t>
  </si>
  <si>
    <t>Étrangers résidants
et conseillers
d'administration
étrangers</t>
  </si>
  <si>
    <t>Frontaliers
imposés de
façon illimitée</t>
  </si>
  <si>
    <t>Frontaliers
autrichiens
assujettis de
façon limitée</t>
  </si>
  <si>
    <t xml:space="preserve">Frontaliers
allemands
assujettis de
façon limitée </t>
  </si>
  <si>
    <t>Frontaliers français
assujettis de façon
limitée, imposés
par la France</t>
  </si>
  <si>
    <t xml:space="preserve">Frontaliers
italiens
assujettis de
façon limitée </t>
  </si>
  <si>
    <t>Frontaliers français
assujettis de façon
limitée, imposés
par le canton
de Genève</t>
  </si>
  <si>
    <t>Résultat sur
la base des
salaires bruts
(frontaliers)</t>
  </si>
  <si>
    <t>Revenu
déterminant
pour l'imposition
à la source</t>
  </si>
  <si>
    <t>Résultat sur
la base de
données
estimées</t>
  </si>
  <si>
    <t>Massgebende quellenbesteuerte Einkommen</t>
  </si>
  <si>
    <t>Fortune
déterminante</t>
  </si>
  <si>
    <t>Sostanza
determinante</t>
  </si>
  <si>
    <t>Relevant
wealth</t>
  </si>
  <si>
    <t>Bénéfice déterminant
des sociétés imposées
ordinairement</t>
  </si>
  <si>
    <t>Bénéfice déterminant
des sociétés à statut
fiscal spécial</t>
  </si>
  <si>
    <t>Bénéfice déterminant
des personnes
morales</t>
  </si>
  <si>
    <t>Au profit
d'autres cantons</t>
  </si>
  <si>
    <t>Reçu
d'autres cantons</t>
  </si>
  <si>
    <t>Versements
à l'AFF au
titre de l'IFD</t>
  </si>
  <si>
    <t>Assiette fiscale
déterminante
pour l'IFD</t>
  </si>
  <si>
    <t>Facteur de
pondération</t>
  </si>
  <si>
    <t>Répartitions
fiscales
déterminantes</t>
  </si>
  <si>
    <t>Bénéfice
déterminant
des personnes
morales</t>
  </si>
  <si>
    <t>Population
résidante
déterminante</t>
  </si>
  <si>
    <t>Potentiel de
ressources</t>
  </si>
  <si>
    <t>Potentiel de
ressources
par habitant</t>
  </si>
  <si>
    <t>Indice des
ressources</t>
  </si>
  <si>
    <t>Péréquation
verticale des
ressources (PVR)</t>
  </si>
  <si>
    <t>Péréquation
horizontale des
ressources (PHR)</t>
  </si>
  <si>
    <t>Péréquation
totale</t>
  </si>
  <si>
    <t>Somme
des écarts
pondérés</t>
  </si>
  <si>
    <t>Montant versé,
par habitant</t>
  </si>
  <si>
    <t>Montant
versé</t>
  </si>
  <si>
    <t>Montant reçu,
par habitant</t>
  </si>
  <si>
    <t>Montant
reçu</t>
  </si>
  <si>
    <t>Force de progression (p)</t>
  </si>
  <si>
    <t>Recettes fiscales
standardisées
(RFS)</t>
  </si>
  <si>
    <t>Recettes fiscales
standardisées par
habitant, avant
péréquation</t>
  </si>
  <si>
    <t>Péréquation
des ressources
par habitant</t>
  </si>
  <si>
    <t>Recettes fiscales
standardisées par
habitant, après
péréquation</t>
  </si>
  <si>
    <t>Indice RFS
après
péréquation</t>
  </si>
  <si>
    <t>Population résidante permanente
et non permanente moyenne</t>
  </si>
  <si>
    <t>Le calcul de la péréquation des ressources est décrit en détail dans la documentation technique:
www.efv.admin.ch → Thèmes  → Péréquation financière  → Documentation</t>
  </si>
  <si>
    <t>Indice delle
risorse</t>
  </si>
  <si>
    <t>Reddito imponibile
dei contribuenti</t>
  </si>
  <si>
    <t>Resource
index</t>
  </si>
  <si>
    <t>Il calcolo della perequazione delle risorse è descritto in modo dettagliato nel rapporto tecnico:
www.efv.admin.ch → Temi  → Perequazione finanziaria  → Documentazione</t>
  </si>
  <si>
    <t>The calculation of resource equalization is described in detail in the technical report:
www.efv.admin.ch → Topics → Fiscal equalization → Documentation</t>
  </si>
  <si>
    <t>Stranieri residenti
e consiglieri di
amministrazione
stranieri</t>
  </si>
  <si>
    <t xml:space="preserve">Frontalieri
tassati
integralmente </t>
  </si>
  <si>
    <t xml:space="preserve">Frontalieri
dell'Austria
tassati
limitatamente </t>
  </si>
  <si>
    <t>Frontalieri della
Francia tassati
limitatamente, con 
imposizione nel
Cantone di Ginevra</t>
  </si>
  <si>
    <t>Frontalieri della
Germania tassati
limitatamente</t>
  </si>
  <si>
    <t>Frontalieri della
Francia tassati
limitatamente, con
imposizione in
Francia</t>
  </si>
  <si>
    <t>Frontalieri
dell'Italia tassati
limitatamente</t>
  </si>
  <si>
    <t>Totale
frontalieri</t>
  </si>
  <si>
    <t>Risultato
sulla base dei
salari lordi
(frontalieri)</t>
  </si>
  <si>
    <t>Reddito
determinante
tassato alla fonte</t>
  </si>
  <si>
    <t>Utile determinante delle
imprese tassate secondo
la procedura ordinaria</t>
  </si>
  <si>
    <t>Utile determinante delle
società con statuto
fiscale speciale</t>
  </si>
  <si>
    <t>Utile determinante
delle persone giuridiche</t>
  </si>
  <si>
    <t>A favore di
altri Cantoni</t>
  </si>
  <si>
    <t>Ricevuto da
altri Cantoni</t>
  </si>
  <si>
    <t>Versamenti
dell'IFD all'AFC</t>
  </si>
  <si>
    <t>Fattore di
ponderazione</t>
  </si>
  <si>
    <t>Riparti fiscali
determinanti</t>
  </si>
  <si>
    <t>Reddito
determinante
delle persone
fisiche</t>
  </si>
  <si>
    <t>Utile
determinante
delle persone
giuridiche</t>
  </si>
  <si>
    <t>Popolazione residente permanente
e non permanente media</t>
  </si>
  <si>
    <t>Popolazione
residente
determinante</t>
  </si>
  <si>
    <t>Potenziale
di risorse</t>
  </si>
  <si>
    <t>Potenziale
di risorse
per abitante</t>
  </si>
  <si>
    <t>Indice
delle risorse</t>
  </si>
  <si>
    <t>Perequazione
verticale delle
risorse (PVR)</t>
  </si>
  <si>
    <t>Perequazione
orizzontale delle
risorse (POR)</t>
  </si>
  <si>
    <t>Totale
perequazione</t>
  </si>
  <si>
    <t>Somma delle
divergenze
ponderate</t>
  </si>
  <si>
    <t>Contributo
per abitante</t>
  </si>
  <si>
    <t>Versamento
per abitante</t>
  </si>
  <si>
    <t>Gettito fiscale
standardizzato
(GFS)</t>
  </si>
  <si>
    <t>Gettito fiscale
standardizzato per
abitante prima della
compensazione</t>
  </si>
  <si>
    <t>Compensazione
delle risorse
per abitante</t>
  </si>
  <si>
    <t>Gettito fiscale
standardizzato per
abitante dopo la
compensazione</t>
  </si>
  <si>
    <t>Indice GFS
dopo la
compensazione</t>
  </si>
  <si>
    <t>Taxable income
of taxpayers</t>
  </si>
  <si>
    <t>Number
of taxpayers</t>
  </si>
  <si>
    <t>Relevant income
of natural persons</t>
  </si>
  <si>
    <t>Resident foreigners
and foreign boards
of directors</t>
  </si>
  <si>
    <t>Fully taxed
cross-border
commuters</t>
  </si>
  <si>
    <t>Cross-border
commuters with
limited taxation
from Austria</t>
  </si>
  <si>
    <t>Cross-border
commuters with
limited taxation
from Germany</t>
  </si>
  <si>
    <t>Cross-border
commuters with
limited taxation from
France subject to
taxation by France</t>
  </si>
  <si>
    <t>Cross-border
commuters with
limited taxation from
France subject to
taxation by the
canton of Geneva</t>
  </si>
  <si>
    <t>Cross-border
commuters with
limited taxation
from Italy</t>
  </si>
  <si>
    <t>Total
cross-border
commuters</t>
  </si>
  <si>
    <t>Result based on
gross wages
(cross-border commuters)</t>
  </si>
  <si>
    <t>Risultato
sulla base di
dati stimati</t>
  </si>
  <si>
    <t>Result based on
estimated data</t>
  </si>
  <si>
    <t>Relevant income
taxed at source</t>
  </si>
  <si>
    <t>Relevant profits
of legal entities
taxed normally</t>
  </si>
  <si>
    <t>Relevant profits
of legal entities</t>
  </si>
  <si>
    <t>Relevant profits
of legal entities with
a special tax status</t>
  </si>
  <si>
    <t>Direct federal tax
deliveries to the FTA</t>
  </si>
  <si>
    <t>Weighting
factor</t>
  </si>
  <si>
    <t>Relevant tax
repartitions</t>
  </si>
  <si>
    <t>Relevant
income of
natural persons</t>
  </si>
  <si>
    <t>Relevant profit
of legal entities</t>
  </si>
  <si>
    <t>Relevant resident
population</t>
  </si>
  <si>
    <t>Resource
potential</t>
  </si>
  <si>
    <t>Resource potential
per capita</t>
  </si>
  <si>
    <t>Vertical resource
equalization
(VRE)</t>
  </si>
  <si>
    <t>Horizontal resource
equalization
(HRE)</t>
  </si>
  <si>
    <t>Total
equalization</t>
  </si>
  <si>
    <t>Relevant
resident
population</t>
  </si>
  <si>
    <t>Sum of the
weighted
deviations</t>
  </si>
  <si>
    <t>Inpayment
per capita</t>
  </si>
  <si>
    <t>Endowm./E[Swi]*E</t>
  </si>
  <si>
    <t>Outpayment
per capita</t>
  </si>
  <si>
    <t>Standardized
tax revenue
(STR)</t>
  </si>
  <si>
    <t>Standardized tax
revenue per capita
before equalization</t>
  </si>
  <si>
    <t>Resource
equalization
per capita</t>
  </si>
  <si>
    <t>Standardized tax
revenue per capita
after equalization</t>
  </si>
  <si>
    <t>STR index
after
equalization</t>
  </si>
  <si>
    <t>(Q + Y) ou Z</t>
  </si>
  <si>
    <t>(Q + Y) or Z</t>
  </si>
  <si>
    <t>(Q + Y) o Z</t>
  </si>
  <si>
    <t>Frontaliers,
total</t>
  </si>
  <si>
    <t>Base imponibile
aggregata deter-
minante per l'IFD</t>
  </si>
  <si>
    <t>L</t>
  </si>
  <si>
    <t>Horizontaler
Ressourcenausgleich
(HRA)</t>
  </si>
  <si>
    <t>Steuerpflichtige mit steuerbarem Einkommen
grösser oder gleich dem Freibetrag</t>
  </si>
  <si>
    <t>Freibetrag pro
steuerpflichtige Person</t>
  </si>
  <si>
    <t>Franchise par
contribuable</t>
  </si>
  <si>
    <t>Franchigia per
contribuente</t>
  </si>
  <si>
    <t>Contribuables dont le revenu imposable est
supérieur ou égal à la franchise</t>
  </si>
  <si>
    <t>Contribuenti con reddito imponibile
uguale o superiore alla franchigia</t>
  </si>
  <si>
    <t>Taxpayers whose taxable income is
equal to or higher than the threshold</t>
  </si>
  <si>
    <t>Threshold per
taxpayer</t>
  </si>
  <si>
    <t>Alpha</t>
  </si>
  <si>
    <t>alpha</t>
  </si>
  <si>
    <t>alfa</t>
  </si>
  <si>
    <t>Mittelwert</t>
  </si>
  <si>
    <t>T-9</t>
  </si>
  <si>
    <t>T-8</t>
  </si>
  <si>
    <t>T-7</t>
  </si>
  <si>
    <t>T-6</t>
  </si>
  <si>
    <t>T-5</t>
  </si>
  <si>
    <t>T-4</t>
  </si>
  <si>
    <t>Fiskaleinnahmen</t>
  </si>
  <si>
    <t>A + B + E</t>
  </si>
  <si>
    <t>Fiskaleinnahmen Einkommen</t>
  </si>
  <si>
    <t>Daten Finanzausgleich</t>
  </si>
  <si>
    <t>Massgebende Einkommen der natürlichen Personen</t>
  </si>
  <si>
    <t>H + I</t>
  </si>
  <si>
    <t>Massgebende Einkommen</t>
  </si>
  <si>
    <t>K</t>
  </si>
  <si>
    <t>F / J</t>
  </si>
  <si>
    <t>Ausschöpfung der Einkommen</t>
  </si>
  <si>
    <t>M</t>
  </si>
  <si>
    <t>G / K</t>
  </si>
  <si>
    <t>Ausschöpfung der Vermögen</t>
  </si>
  <si>
    <t>M / L</t>
  </si>
  <si>
    <t>C * D</t>
  </si>
  <si>
    <t>Einkommenssteuern natürliche Personen *</t>
  </si>
  <si>
    <t>Quellensteuern natürliche Personen *</t>
  </si>
  <si>
    <t>Vermögenssteuern natürliche Personen *</t>
  </si>
  <si>
    <t>* Fiskaleinnahmen der Kantone und Gemeinden</t>
  </si>
  <si>
    <t>Kantonsanteil</t>
  </si>
  <si>
    <t>Direkte Bundessteuer (DBSt) natürliche Personen</t>
  </si>
  <si>
    <t>Anteil der Kantone an DBSt natürliche Personen</t>
  </si>
  <si>
    <t xml:space="preserve"> I</t>
  </si>
  <si>
    <t>N</t>
  </si>
  <si>
    <t>Steuereinnahmen der Kantone und Gemeinden</t>
  </si>
  <si>
    <t>Debitorenverluste auf Steuereinnahmen</t>
  </si>
  <si>
    <t>Einnahmen direkte Bundessteuer (DBSt)</t>
  </si>
  <si>
    <t>Anteil der Kantone an DBSt</t>
  </si>
  <si>
    <t>Standardisierte Steuererträge (SSE)</t>
  </si>
  <si>
    <t>Standardisierte Steuererträge pro Kopf</t>
  </si>
  <si>
    <t>Ressourcenpotenzial pro Kopf</t>
  </si>
  <si>
    <t>Standardisierter Steuersatz (SST)</t>
  </si>
  <si>
    <t>Recettes fiscales des cantons et communes</t>
  </si>
  <si>
    <t>Pertes sur débiteurs, recettes fiscales</t>
  </si>
  <si>
    <t>Recettes de l'impôt fédéral direct (IFD)</t>
  </si>
  <si>
    <t>Total des recettes fiscales standardisées (RFS)</t>
  </si>
  <si>
    <t>Recettes fiscales standardisées (RFS) par habitant</t>
  </si>
  <si>
    <t>Potentiel de ressources par habitant</t>
  </si>
  <si>
    <t>Taux fiscal standardisé (TFS)</t>
  </si>
  <si>
    <t>Entrate fiscali di Cantoni e Comuni</t>
  </si>
  <si>
    <t>Perdite su debitori in ambito di entrate fiscali</t>
  </si>
  <si>
    <t>Entrate dell'imposta federale diretta (IFD)</t>
  </si>
  <si>
    <t>Gettito fiscale standardizzato (GFS)</t>
  </si>
  <si>
    <t>Gettito fiscale standardizzato pro capite</t>
  </si>
  <si>
    <t>Potenziale di risorse pro capite</t>
  </si>
  <si>
    <t>Aliquota d'imposta standardizzata (AIS)</t>
  </si>
  <si>
    <t>Tax receipts of cantons and communes</t>
  </si>
  <si>
    <t>Losses on taxes assessed but unlikely to be collected</t>
  </si>
  <si>
    <t>Direct federal tax receipts</t>
  </si>
  <si>
    <t>Standardized tax revenue (STR)</t>
  </si>
  <si>
    <t>Standardized tax revenue per capita</t>
  </si>
  <si>
    <t>Resource potential per capita</t>
  </si>
  <si>
    <t>Standardized tax rate (STRate)</t>
  </si>
  <si>
    <t>Quota dei Cantoni</t>
  </si>
  <si>
    <t>Cantonal share</t>
  </si>
  <si>
    <t>Quota dei Cantoni all'IFD</t>
  </si>
  <si>
    <t>Cantonal share of direct federal tax</t>
  </si>
  <si>
    <t>A - B + E</t>
  </si>
  <si>
    <t>H / I</t>
  </si>
  <si>
    <t>Auszahlung in
Indexpunkten</t>
  </si>
  <si>
    <t>Index SSE
nach Ausgleich</t>
  </si>
  <si>
    <t>Garantierte Mindestausstattung</t>
  </si>
  <si>
    <t>Beginn Progression</t>
  </si>
  <si>
    <t>Maximale Grenzabschöpfung</t>
  </si>
  <si>
    <t>SSE pro Einwohner</t>
  </si>
  <si>
    <t>Dotationen im Ressourcenausgleich</t>
  </si>
  <si>
    <t>Dotations de la péréquation des ressources</t>
  </si>
  <si>
    <t>Dotazioni nella perequazione delle risorse</t>
  </si>
  <si>
    <t>Resource equalization endowments</t>
  </si>
  <si>
    <t>Anteile</t>
  </si>
  <si>
    <t>VRA in % des HRA</t>
  </si>
  <si>
    <t>PVR en % de la PHR</t>
  </si>
  <si>
    <t>PVR in % della POR</t>
  </si>
  <si>
    <t>VRE in % of HRE</t>
  </si>
  <si>
    <t>Progressionsmass t</t>
  </si>
  <si>
    <t>ASG-Index
Standardabweichung</t>
  </si>
  <si>
    <t>Ressourcenindex
Standardabweichung</t>
  </si>
  <si>
    <t>Indice delle risorse
Deviazione standard</t>
  </si>
  <si>
    <t>Resource index
Standard deviation</t>
  </si>
  <si>
    <t>Indice des ressources
Écart-type</t>
  </si>
  <si>
    <t>Indice de l’AFA
Écart-type</t>
  </si>
  <si>
    <t>Indice BIA
Deviazione standard</t>
  </si>
  <si>
    <t>ATB index
Standard deviation</t>
  </si>
  <si>
    <t>Tax receipts</t>
  </si>
  <si>
    <t>Income tax natural persons *</t>
  </si>
  <si>
    <t>Direct federal tax natural persons</t>
  </si>
  <si>
    <t>Tax receipts income</t>
  </si>
  <si>
    <t>Wealth tax natural persons *</t>
  </si>
  <si>
    <t>Fiscal equalization data</t>
  </si>
  <si>
    <t>Relevant income</t>
  </si>
  <si>
    <t>Utilization of income</t>
  </si>
  <si>
    <t>Utilization of wealth</t>
  </si>
  <si>
    <t>* Tax receipts of cantons and communes</t>
  </si>
  <si>
    <t>Average</t>
  </si>
  <si>
    <t>Outpayment in
index points</t>
  </si>
  <si>
    <t>STR index
after equalization</t>
  </si>
  <si>
    <t>Guaranteed minimum financing</t>
  </si>
  <si>
    <t>Start of progression</t>
  </si>
  <si>
    <t>Maximum marginal levy</t>
  </si>
  <si>
    <t>STR per capita</t>
  </si>
  <si>
    <t>Shares</t>
  </si>
  <si>
    <t>Withholding tax natural persons *</t>
  </si>
  <si>
    <t>Cantonal share of direct federal tax natural persons</t>
  </si>
  <si>
    <t>Relevant income of natural persons</t>
  </si>
  <si>
    <t>Progression rate t</t>
  </si>
  <si>
    <t>Recettes fiscales</t>
  </si>
  <si>
    <t>Impôts sur le revenu, personnes physiques *</t>
  </si>
  <si>
    <t>Impôts à la source, personnes physiques *</t>
  </si>
  <si>
    <t>Impôt fédéral direct (IFD), personnes physiques</t>
  </si>
  <si>
    <t>Part des cantons</t>
  </si>
  <si>
    <t>Part des cantons à l'IFD, personnes physiques</t>
  </si>
  <si>
    <t>Recettes fiscales, revenu</t>
  </si>
  <si>
    <t>Impôts sur la fortune, personnes physiques *</t>
  </si>
  <si>
    <t>Données, péréquation financière</t>
  </si>
  <si>
    <t>Revenu déterminant des personnes physiques</t>
  </si>
  <si>
    <t>Revenu déterminant pour l’imposition à la source</t>
  </si>
  <si>
    <t xml:space="preserve">Revenu déterminant </t>
  </si>
  <si>
    <t>Exploitation du revenu</t>
  </si>
  <si>
    <t>Exploitation de la fortune</t>
  </si>
  <si>
    <t>* Recettes fiscales des cantons et des communes</t>
  </si>
  <si>
    <t>Moyenne</t>
  </si>
  <si>
    <t>Entrate fiscali</t>
  </si>
  <si>
    <t>Imposte sul reddito delle persone fisiche *</t>
  </si>
  <si>
    <t>Imposte alla fonte delle persone fisiche *</t>
  </si>
  <si>
    <t>Imposta federale diretta (IFD) delle persone fisiche</t>
  </si>
  <si>
    <t xml:space="preserve">Quota dei Cantoni all'IFD delle persone fisiche </t>
  </si>
  <si>
    <t>Entrate fiscali, reddito</t>
  </si>
  <si>
    <t>Imposte sulla sostanza delle persone fisiche *</t>
  </si>
  <si>
    <t>Dati perequazione finanziaria</t>
  </si>
  <si>
    <t>Redditi determinanti delle persone fisiche</t>
  </si>
  <si>
    <t>Redditi determinanti tassati alla fonte</t>
  </si>
  <si>
    <t>Redditi determinanti</t>
  </si>
  <si>
    <t xml:space="preserve">Sfruttamento dei redditi </t>
  </si>
  <si>
    <t>Sfruttamento della sostanza</t>
  </si>
  <si>
    <t>* Entrate fiscali dei Cantoni e dei Comuni</t>
  </si>
  <si>
    <t>Valore
medio</t>
  </si>
  <si>
    <t>Dotation minimale garantie</t>
  </si>
  <si>
    <t>Progression, début</t>
  </si>
  <si>
    <t>Taux d’écrêtage marginal maximal</t>
  </si>
  <si>
    <t>RFS par habitant</t>
  </si>
  <si>
    <t>Force de progression (t)</t>
  </si>
  <si>
    <t>Montant reçu
en points
d'indice</t>
  </si>
  <si>
    <t>Parts</t>
  </si>
  <si>
    <t>Dotazione minima garantita</t>
  </si>
  <si>
    <t>Inizio della progressione</t>
  </si>
  <si>
    <t xml:space="preserve">Prelievo marginale massimo </t>
  </si>
  <si>
    <t>GFS per abitante</t>
  </si>
  <si>
    <t>Grado di progressione p</t>
  </si>
  <si>
    <t>Grado di progressione t</t>
  </si>
  <si>
    <t>Quote</t>
  </si>
  <si>
    <t>Versamento in
punti di indice</t>
  </si>
  <si>
    <t>Alfa</t>
  </si>
  <si>
    <t>Begrenzt
besteuerte
Grenzgänger aus
Frankreich mit
Besteuerung durch
den Kanton Genf</t>
  </si>
  <si>
    <t>Begrenzt
besteuerte
Grenzgänger aus
Frankreich mit
Besteuerung durch
Frankreich</t>
  </si>
  <si>
    <t>05.05.2021</t>
  </si>
  <si>
    <t>FA2022-21125091233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</si>
</sst>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0.0_ ;\-0.0_ ;0.0_ ;@_ "/>
    <numFmt numFmtId="165" formatCode="_ * #,##0_ ;_ * \-#,##0_ ;_ * &quot;-&quot;??_ ;_ @_ "/>
    <numFmt numFmtId="166" formatCode="0.0%_ ;\-0.0%_ ;0.0%_ ;@_ "/>
    <numFmt numFmtId="167" formatCode="_ @"/>
    <numFmt numFmtId="168" formatCode="0.0%"/>
    <numFmt numFmtId="169" formatCode="_ * #,##0_ ;_ * \-#,##0_ ;_ * 0_ ;_ @_ "/>
    <numFmt numFmtId="170" formatCode="_(* #,##0.00_);_(* \(#,##0.00\);_(* &quot;-&quot;??_);_(@_)"/>
    <numFmt numFmtId="171" formatCode="0.00%_ ;\-0.00%_ ;0.00%_ ;@_ "/>
    <numFmt numFmtId="172" formatCode="0.00000_ ;\-0.00000_ \ "/>
    <numFmt numFmtId="173" formatCode="0.0_ ;\-0.0_ "/>
    <numFmt numFmtId="174" formatCode="0.0_ ;\-0.0_ ;\-_ \ \ \ \ ;@_ "/>
  </numFmts>
  <fonts count="34" x14ac:knownFonts="1">
    <font>
      <sz val="10"/>
      <name val="Arial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.5"/>
      <color rgb="FF000000"/>
      <name val="Arial"/>
      <family val="2"/>
    </font>
    <font>
      <b/>
      <sz val="14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</font>
    <font>
      <i/>
      <sz val="8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10"/>
      <color rgb="FF0000FF"/>
      <name val="Arial"/>
      <family val="2"/>
    </font>
    <font>
      <sz val="10"/>
      <color indexed="8"/>
      <name val="Arial"/>
      <family val="2"/>
    </font>
    <font>
      <i/>
      <sz val="10"/>
      <color rgb="FF000000"/>
      <name val="Arial"/>
      <family val="2"/>
    </font>
    <font>
      <sz val="10"/>
      <color theme="9" tint="0.59999389629810485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FF"/>
      <name val="Arial"/>
      <family val="2"/>
    </font>
    <font>
      <b/>
      <sz val="8"/>
      <color rgb="FF0000FF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8"/>
      <color rgb="FF000000"/>
      <name val="Arial"/>
      <family val="2"/>
    </font>
    <font>
      <sz val="8"/>
      <color theme="0" tint="-0.499984740745262"/>
      <name val="Arial"/>
      <family val="2"/>
    </font>
    <font>
      <sz val="8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78">
    <xf numFmtId="0" fontId="0" fillId="0" borderId="0" xfId="0"/>
    <xf numFmtId="49" fontId="1" fillId="0" borderId="0" xfId="0" applyNumberFormat="1" applyFont="1" applyAlignment="1">
      <alignment horizontal="right"/>
    </xf>
    <xf numFmtId="14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7" fillId="0" borderId="1" xfId="0" applyFont="1" applyBorder="1"/>
    <xf numFmtId="0" fontId="8" fillId="2" borderId="2" xfId="0" applyFont="1" applyFill="1" applyBorder="1" applyAlignment="1">
      <alignment horizontal="left" vertical="center" indent="1"/>
    </xf>
    <xf numFmtId="0" fontId="9" fillId="2" borderId="2" xfId="0" applyFont="1" applyFill="1" applyBorder="1" applyAlignment="1">
      <alignment horizontal="left" vertical="center" indent="1"/>
    </xf>
    <xf numFmtId="1" fontId="1" fillId="0" borderId="0" xfId="0" applyNumberFormat="1" applyFont="1" applyAlignment="1">
      <alignment horizontal="right"/>
    </xf>
    <xf numFmtId="0" fontId="2" fillId="0" borderId="0" xfId="0" applyFont="1"/>
    <xf numFmtId="0" fontId="11" fillId="0" borderId="0" xfId="0" applyFont="1"/>
    <xf numFmtId="0" fontId="12" fillId="0" borderId="0" xfId="0" applyFont="1"/>
    <xf numFmtId="0" fontId="11" fillId="0" borderId="3" xfId="0" applyFont="1" applyBorder="1" applyAlignment="1">
      <alignment vertical="center"/>
    </xf>
    <xf numFmtId="164" fontId="7" fillId="0" borderId="3" xfId="0" applyNumberFormat="1" applyFont="1" applyBorder="1" applyAlignment="1">
      <alignment vertical="center"/>
    </xf>
    <xf numFmtId="165" fontId="7" fillId="0" borderId="3" xfId="0" applyNumberFormat="1" applyFont="1" applyBorder="1" applyAlignment="1">
      <alignment vertical="center"/>
    </xf>
    <xf numFmtId="165" fontId="11" fillId="0" borderId="4" xfId="0" applyNumberFormat="1" applyFont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164" fontId="7" fillId="3" borderId="3" xfId="0" applyNumberFormat="1" applyFont="1" applyFill="1" applyBorder="1" applyAlignment="1">
      <alignment vertical="center"/>
    </xf>
    <xf numFmtId="165" fontId="7" fillId="3" borderId="3" xfId="0" applyNumberFormat="1" applyFont="1" applyFill="1" applyBorder="1" applyAlignment="1">
      <alignment vertical="center"/>
    </xf>
    <xf numFmtId="165" fontId="11" fillId="3" borderId="4" xfId="0" applyNumberFormat="1" applyFont="1" applyFill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5" xfId="0" applyNumberFormat="1" applyFont="1" applyBorder="1" applyAlignment="1">
      <alignment vertical="center"/>
    </xf>
    <xf numFmtId="165" fontId="10" fillId="0" borderId="5" xfId="0" applyNumberFormat="1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9" xfId="0" applyFont="1" applyBorder="1" applyAlignment="1">
      <alignment horizontal="right" vertical="center" wrapText="1"/>
    </xf>
    <xf numFmtId="0" fontId="10" fillId="0" borderId="5" xfId="0" applyFont="1" applyBorder="1" applyAlignment="1">
      <alignment horizontal="right" vertical="center" wrapText="1"/>
    </xf>
    <xf numFmtId="0" fontId="10" fillId="0" borderId="11" xfId="0" applyFont="1" applyBorder="1" applyAlignment="1">
      <alignment horizontal="right" vertical="center" wrapText="1"/>
    </xf>
    <xf numFmtId="165" fontId="10" fillId="0" borderId="8" xfId="0" applyNumberFormat="1" applyFont="1" applyBorder="1" applyAlignment="1">
      <alignment vertical="center"/>
    </xf>
    <xf numFmtId="0" fontId="15" fillId="0" borderId="0" xfId="0" applyFont="1"/>
    <xf numFmtId="0" fontId="16" fillId="0" borderId="0" xfId="0" applyFont="1"/>
    <xf numFmtId="0" fontId="17" fillId="0" borderId="5" xfId="0" applyFont="1" applyBorder="1" applyAlignment="1">
      <alignment horizontal="right" vertical="center"/>
    </xf>
    <xf numFmtId="0" fontId="18" fillId="0" borderId="8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19" fillId="0" borderId="8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9" fillId="0" borderId="8" xfId="0" applyFont="1" applyBorder="1" applyAlignment="1">
      <alignment horizontal="right" vertical="center"/>
    </xf>
    <xf numFmtId="0" fontId="10" fillId="0" borderId="0" xfId="0" applyFont="1"/>
    <xf numFmtId="0" fontId="19" fillId="0" borderId="5" xfId="0" applyFont="1" applyBorder="1" applyAlignment="1">
      <alignment horizontal="right" vertical="center"/>
    </xf>
    <xf numFmtId="165" fontId="20" fillId="3" borderId="0" xfId="0" applyNumberFormat="1" applyFont="1" applyFill="1" applyAlignment="1">
      <alignment vertical="center"/>
    </xf>
    <xf numFmtId="0" fontId="12" fillId="2" borderId="12" xfId="0" applyFont="1" applyFill="1" applyBorder="1" applyAlignment="1">
      <alignment horizontal="right"/>
    </xf>
    <xf numFmtId="0" fontId="12" fillId="2" borderId="6" xfId="0" applyFont="1" applyFill="1" applyBorder="1" applyAlignment="1">
      <alignment horizontal="right"/>
    </xf>
    <xf numFmtId="0" fontId="7" fillId="0" borderId="3" xfId="0" applyFont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0" borderId="9" xfId="0" applyFont="1" applyBorder="1" applyAlignment="1">
      <alignment vertical="center"/>
    </xf>
    <xf numFmtId="165" fontId="20" fillId="0" borderId="7" xfId="0" applyNumberFormat="1" applyFont="1" applyBorder="1" applyAlignment="1">
      <alignment vertical="center"/>
    </xf>
    <xf numFmtId="165" fontId="7" fillId="0" borderId="9" xfId="0" applyNumberFormat="1" applyFont="1" applyBorder="1" applyAlignment="1">
      <alignment vertical="center"/>
    </xf>
    <xf numFmtId="1" fontId="7" fillId="2" borderId="12" xfId="0" applyNumberFormat="1" applyFont="1" applyFill="1" applyBorder="1" applyAlignment="1">
      <alignment vertical="center"/>
    </xf>
    <xf numFmtId="0" fontId="7" fillId="0" borderId="0" xfId="0" applyFont="1"/>
    <xf numFmtId="165" fontId="20" fillId="2" borderId="6" xfId="0" applyNumberFormat="1" applyFont="1" applyFill="1" applyBorder="1" applyAlignment="1">
      <alignment vertical="center"/>
    </xf>
    <xf numFmtId="0" fontId="7" fillId="4" borderId="0" xfId="0" applyFont="1" applyFill="1"/>
    <xf numFmtId="3" fontId="10" fillId="0" borderId="0" xfId="0" applyNumberFormat="1" applyFont="1"/>
    <xf numFmtId="0" fontId="10" fillId="4" borderId="0" xfId="0" applyFont="1" applyFill="1"/>
    <xf numFmtId="0" fontId="7" fillId="5" borderId="0" xfId="0" applyFont="1" applyFill="1"/>
    <xf numFmtId="0" fontId="10" fillId="5" borderId="0" xfId="0" applyFont="1" applyFill="1"/>
    <xf numFmtId="0" fontId="7" fillId="6" borderId="0" xfId="0" applyFont="1" applyFill="1"/>
    <xf numFmtId="0" fontId="10" fillId="6" borderId="0" xfId="0" applyFont="1" applyFill="1"/>
    <xf numFmtId="165" fontId="20" fillId="0" borderId="0" xfId="0" applyNumberFormat="1" applyFont="1" applyAlignment="1">
      <alignment vertical="center"/>
    </xf>
    <xf numFmtId="0" fontId="10" fillId="0" borderId="3" xfId="0" applyFont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0" fontId="18" fillId="0" borderId="3" xfId="0" applyFont="1" applyBorder="1" applyAlignment="1">
      <alignment horizontal="right"/>
    </xf>
    <xf numFmtId="0" fontId="7" fillId="0" borderId="3" xfId="0" applyFont="1" applyBorder="1" applyAlignment="1">
      <alignment horizontal="left" vertical="top" wrapText="1"/>
    </xf>
    <xf numFmtId="165" fontId="10" fillId="0" borderId="5" xfId="0" applyNumberFormat="1" applyFont="1" applyBorder="1" applyAlignment="1">
      <alignment horizontal="right" vertical="center"/>
    </xf>
    <xf numFmtId="165" fontId="10" fillId="0" borderId="8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wrapText="1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" fontId="7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vertical="center"/>
    </xf>
    <xf numFmtId="166" fontId="10" fillId="0" borderId="0" xfId="0" applyNumberFormat="1" applyFont="1" applyAlignment="1">
      <alignment vertical="center"/>
    </xf>
    <xf numFmtId="0" fontId="10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indent="2"/>
    </xf>
    <xf numFmtId="166" fontId="7" fillId="0" borderId="0" xfId="0" applyNumberFormat="1" applyFont="1" applyAlignment="1">
      <alignment horizontal="right" vertical="center"/>
    </xf>
    <xf numFmtId="165" fontId="20" fillId="0" borderId="9" xfId="0" applyNumberFormat="1" applyFont="1" applyBorder="1" applyAlignment="1">
      <alignment vertical="center"/>
    </xf>
    <xf numFmtId="165" fontId="20" fillId="3" borderId="3" xfId="0" applyNumberFormat="1" applyFont="1" applyFill="1" applyBorder="1" applyAlignment="1">
      <alignment vertical="center"/>
    </xf>
    <xf numFmtId="165" fontId="20" fillId="0" borderId="3" xfId="0" applyNumberFormat="1" applyFont="1" applyBorder="1" applyAlignment="1">
      <alignment vertical="center"/>
    </xf>
    <xf numFmtId="166" fontId="20" fillId="0" borderId="0" xfId="0" applyNumberFormat="1" applyFont="1" applyAlignment="1">
      <alignment vertical="center"/>
    </xf>
    <xf numFmtId="165" fontId="7" fillId="3" borderId="0" xfId="0" applyNumberFormat="1" applyFont="1" applyFill="1" applyAlignment="1">
      <alignment vertical="center"/>
    </xf>
    <xf numFmtId="165" fontId="7" fillId="0" borderId="7" xfId="0" applyNumberFormat="1" applyFont="1" applyBorder="1" applyAlignment="1">
      <alignment vertical="center"/>
    </xf>
    <xf numFmtId="0" fontId="23" fillId="4" borderId="0" xfId="0" applyFont="1" applyFill="1"/>
    <xf numFmtId="0" fontId="11" fillId="4" borderId="0" xfId="0" applyFont="1" applyFill="1"/>
    <xf numFmtId="9" fontId="20" fillId="4" borderId="0" xfId="0" applyNumberFormat="1" applyFont="1" applyFill="1" applyAlignment="1">
      <alignment horizontal="center"/>
    </xf>
    <xf numFmtId="0" fontId="11" fillId="5" borderId="0" xfId="0" applyFont="1" applyFill="1"/>
    <xf numFmtId="9" fontId="7" fillId="5" borderId="0" xfId="0" applyNumberFormat="1" applyFont="1" applyFill="1" applyAlignment="1">
      <alignment horizontal="center"/>
    </xf>
    <xf numFmtId="0" fontId="11" fillId="6" borderId="0" xfId="0" applyFont="1" applyFill="1"/>
    <xf numFmtId="9" fontId="7" fillId="6" borderId="0" xfId="0" applyNumberFormat="1" applyFont="1" applyFill="1" applyAlignment="1">
      <alignment horizontal="center"/>
    </xf>
    <xf numFmtId="0" fontId="2" fillId="0" borderId="5" xfId="0" applyFont="1" applyBorder="1" applyAlignment="1">
      <alignment horizontal="right" vertical="center" wrapText="1"/>
    </xf>
    <xf numFmtId="0" fontId="7" fillId="0" borderId="8" xfId="0" applyFont="1" applyBorder="1" applyAlignment="1">
      <alignment horizontal="center" vertical="center" wrapText="1"/>
    </xf>
    <xf numFmtId="165" fontId="7" fillId="0" borderId="4" xfId="0" applyNumberFormat="1" applyFont="1" applyBorder="1" applyAlignment="1">
      <alignment vertical="center"/>
    </xf>
    <xf numFmtId="165" fontId="10" fillId="0" borderId="6" xfId="0" applyNumberFormat="1" applyFont="1" applyBorder="1" applyAlignment="1">
      <alignment vertical="center"/>
    </xf>
    <xf numFmtId="165" fontId="10" fillId="0" borderId="12" xfId="0" applyNumberFormat="1" applyFont="1" applyBorder="1" applyAlignment="1">
      <alignment vertical="center"/>
    </xf>
    <xf numFmtId="0" fontId="10" fillId="0" borderId="6" xfId="0" applyFont="1" applyBorder="1" applyAlignment="1">
      <alignment horizontal="right" wrapText="1"/>
    </xf>
    <xf numFmtId="3" fontId="10" fillId="4" borderId="0" xfId="0" applyNumberFormat="1" applyFont="1" applyFill="1" applyAlignment="1">
      <alignment vertical="center"/>
    </xf>
    <xf numFmtId="3" fontId="10" fillId="5" borderId="0" xfId="0" applyNumberFormat="1" applyFont="1" applyFill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2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19" fillId="0" borderId="6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165" fontId="7" fillId="3" borderId="4" xfId="0" applyNumberFormat="1" applyFont="1" applyFill="1" applyBorder="1" applyAlignment="1">
      <alignment vertical="center"/>
    </xf>
    <xf numFmtId="165" fontId="20" fillId="3" borderId="16" xfId="0" applyNumberFormat="1" applyFont="1" applyFill="1" applyBorder="1" applyAlignment="1">
      <alignment vertical="center"/>
    </xf>
    <xf numFmtId="0" fontId="24" fillId="0" borderId="0" xfId="0" applyFont="1" applyAlignment="1">
      <alignment vertical="top"/>
    </xf>
    <xf numFmtId="0" fontId="2" fillId="0" borderId="1" xfId="0" applyFont="1" applyBorder="1"/>
    <xf numFmtId="0" fontId="11" fillId="0" borderId="13" xfId="0" applyFont="1" applyBorder="1"/>
    <xf numFmtId="0" fontId="2" fillId="0" borderId="16" xfId="0" applyFont="1" applyBorder="1"/>
    <xf numFmtId="0" fontId="12" fillId="0" borderId="0" xfId="0" applyFont="1" applyAlignment="1">
      <alignment horizontal="right"/>
    </xf>
    <xf numFmtId="0" fontId="25" fillId="0" borderId="0" xfId="0" applyFont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" fontId="25" fillId="0" borderId="7" xfId="0" applyNumberFormat="1" applyFont="1" applyBorder="1" applyAlignment="1">
      <alignment horizontal="right"/>
    </xf>
    <xf numFmtId="167" fontId="25" fillId="0" borderId="13" xfId="0" applyNumberFormat="1" applyFont="1" applyBorder="1" applyAlignment="1">
      <alignment horizontal="left" vertical="center"/>
    </xf>
    <xf numFmtId="0" fontId="26" fillId="0" borderId="7" xfId="0" applyFont="1" applyBorder="1" applyAlignment="1">
      <alignment vertical="center"/>
    </xf>
    <xf numFmtId="0" fontId="25" fillId="0" borderId="7" xfId="0" applyFont="1" applyBorder="1" applyAlignment="1">
      <alignment horizontal="center" vertical="center"/>
    </xf>
    <xf numFmtId="167" fontId="25" fillId="0" borderId="16" xfId="0" applyNumberFormat="1" applyFont="1" applyBorder="1" applyAlignment="1">
      <alignment horizontal="left" vertical="center"/>
    </xf>
    <xf numFmtId="3" fontId="27" fillId="0" borderId="0" xfId="0" applyNumberFormat="1" applyFont="1" applyAlignment="1">
      <alignment vertical="center"/>
    </xf>
    <xf numFmtId="0" fontId="25" fillId="0" borderId="7" xfId="0" applyFont="1" applyBorder="1" applyAlignment="1">
      <alignment horizontal="left" vertical="center"/>
    </xf>
    <xf numFmtId="3" fontId="27" fillId="0" borderId="7" xfId="0" applyNumberFormat="1" applyFont="1" applyBorder="1" applyAlignment="1">
      <alignment vertical="center"/>
    </xf>
    <xf numFmtId="10" fontId="27" fillId="0" borderId="0" xfId="0" applyNumberFormat="1" applyFont="1" applyAlignment="1">
      <alignment vertical="center"/>
    </xf>
    <xf numFmtId="167" fontId="25" fillId="0" borderId="15" xfId="0" applyNumberFormat="1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3" fontId="25" fillId="0" borderId="1" xfId="0" applyNumberFormat="1" applyFont="1" applyBorder="1" applyAlignment="1">
      <alignment vertical="center"/>
    </xf>
    <xf numFmtId="167" fontId="25" fillId="0" borderId="12" xfId="0" applyNumberFormat="1" applyFont="1" applyBorder="1" applyAlignment="1">
      <alignment horizontal="left" vertical="center"/>
    </xf>
    <xf numFmtId="3" fontId="27" fillId="0" borderId="8" xfId="0" applyNumberFormat="1" applyFont="1" applyBorder="1" applyAlignment="1">
      <alignment vertical="center"/>
    </xf>
    <xf numFmtId="167" fontId="25" fillId="0" borderId="0" xfId="0" applyNumberFormat="1" applyFont="1" applyAlignment="1">
      <alignment horizontal="left" vertical="center"/>
    </xf>
    <xf numFmtId="0" fontId="25" fillId="0" borderId="0" xfId="0" applyFont="1" applyAlignment="1">
      <alignment vertical="center"/>
    </xf>
    <xf numFmtId="0" fontId="25" fillId="0" borderId="7" xfId="0" applyFont="1" applyBorder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8" xfId="0" applyNumberFormat="1" applyFont="1" applyBorder="1" applyAlignment="1">
      <alignment vertical="center"/>
    </xf>
    <xf numFmtId="3" fontId="27" fillId="0" borderId="1" xfId="0" applyNumberFormat="1" applyFont="1" applyBorder="1" applyAlignment="1">
      <alignment vertical="center"/>
    </xf>
    <xf numFmtId="168" fontId="25" fillId="0" borderId="14" xfId="0" applyNumberFormat="1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168" fontId="25" fillId="0" borderId="11" xfId="0" applyNumberFormat="1" applyFont="1" applyBorder="1" applyAlignment="1">
      <alignment vertical="center"/>
    </xf>
    <xf numFmtId="0" fontId="25" fillId="0" borderId="0" xfId="0" applyFont="1" applyAlignment="1">
      <alignment horizontal="right" vertical="center"/>
    </xf>
    <xf numFmtId="0" fontId="25" fillId="0" borderId="0" xfId="0" applyFont="1"/>
    <xf numFmtId="0" fontId="12" fillId="0" borderId="0" xfId="0" applyFont="1" applyAlignment="1">
      <alignment horizontal="right" vertical="center"/>
    </xf>
    <xf numFmtId="167" fontId="25" fillId="3" borderId="12" xfId="0" applyNumberFormat="1" applyFont="1" applyFill="1" applyBorder="1" applyAlignment="1">
      <alignment horizontal="left" vertical="center"/>
    </xf>
    <xf numFmtId="0" fontId="26" fillId="3" borderId="8" xfId="0" applyFont="1" applyFill="1" applyBorder="1" applyAlignment="1">
      <alignment horizontal="left" vertical="center"/>
    </xf>
    <xf numFmtId="0" fontId="26" fillId="3" borderId="8" xfId="0" applyFont="1" applyFill="1" applyBorder="1" applyAlignment="1">
      <alignment vertical="center"/>
    </xf>
    <xf numFmtId="168" fontId="26" fillId="3" borderId="6" xfId="0" applyNumberFormat="1" applyFont="1" applyFill="1" applyBorder="1" applyAlignment="1">
      <alignment vertical="center"/>
    </xf>
    <xf numFmtId="0" fontId="12" fillId="0" borderId="9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2" fillId="0" borderId="9" xfId="0" applyFont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2" fillId="0" borderId="10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2" fillId="3" borderId="5" xfId="0" applyFont="1" applyFill="1" applyBorder="1" applyAlignment="1">
      <alignment horizontal="right" vertical="center"/>
    </xf>
    <xf numFmtId="0" fontId="25" fillId="0" borderId="9" xfId="0" applyFont="1" applyBorder="1" applyAlignment="1">
      <alignment vertical="center"/>
    </xf>
    <xf numFmtId="3" fontId="25" fillId="0" borderId="3" xfId="0" applyNumberFormat="1" applyFont="1" applyBorder="1" applyAlignment="1">
      <alignment vertical="center"/>
    </xf>
    <xf numFmtId="3" fontId="25" fillId="0" borderId="9" xfId="0" applyNumberFormat="1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3" fontId="25" fillId="0" borderId="10" xfId="0" applyNumberFormat="1" applyFont="1" applyBorder="1" applyAlignment="1">
      <alignment vertical="center"/>
    </xf>
    <xf numFmtId="3" fontId="25" fillId="0" borderId="5" xfId="0" applyNumberFormat="1" applyFont="1" applyBorder="1" applyAlignment="1">
      <alignment vertical="center"/>
    </xf>
    <xf numFmtId="3" fontId="27" fillId="0" borderId="12" xfId="0" applyNumberFormat="1" applyFont="1" applyBorder="1" applyAlignment="1">
      <alignment vertical="center"/>
    </xf>
    <xf numFmtId="3" fontId="27" fillId="0" borderId="6" xfId="0" applyNumberFormat="1" applyFont="1" applyBorder="1" applyAlignment="1">
      <alignment vertical="center"/>
    </xf>
    <xf numFmtId="0" fontId="25" fillId="0" borderId="9" xfId="0" applyFont="1" applyBorder="1" applyAlignment="1">
      <alignment horizontal="right" wrapText="1"/>
    </xf>
    <xf numFmtId="0" fontId="11" fillId="0" borderId="14" xfId="0" applyFont="1" applyBorder="1"/>
    <xf numFmtId="166" fontId="28" fillId="0" borderId="6" xfId="0" applyNumberFormat="1" applyFont="1" applyBorder="1" applyAlignment="1">
      <alignment horizontal="center"/>
    </xf>
    <xf numFmtId="9" fontId="11" fillId="0" borderId="0" xfId="0" applyNumberFormat="1" applyFont="1"/>
    <xf numFmtId="3" fontId="10" fillId="0" borderId="0" xfId="0" applyNumberFormat="1" applyFont="1" applyAlignment="1">
      <alignment vertical="center"/>
    </xf>
    <xf numFmtId="165" fontId="20" fillId="0" borderId="16" xfId="0" applyNumberFormat="1" applyFont="1" applyBorder="1" applyAlignment="1">
      <alignment vertical="center"/>
    </xf>
    <xf numFmtId="0" fontId="29" fillId="0" borderId="5" xfId="0" applyFont="1" applyBorder="1" applyAlignment="1">
      <alignment vertical="top" wrapText="1"/>
    </xf>
    <xf numFmtId="0" fontId="7" fillId="0" borderId="8" xfId="0" applyFont="1" applyBorder="1" applyAlignment="1">
      <alignment horizontal="right" wrapText="1"/>
    </xf>
    <xf numFmtId="0" fontId="7" fillId="0" borderId="12" xfId="0" applyFont="1" applyBorder="1" applyAlignment="1">
      <alignment horizontal="right" wrapText="1"/>
    </xf>
    <xf numFmtId="0" fontId="7" fillId="0" borderId="5" xfId="0" applyFont="1" applyBorder="1" applyAlignment="1">
      <alignment horizontal="left" vertical="top" wrapText="1"/>
    </xf>
    <xf numFmtId="0" fontId="17" fillId="0" borderId="8" xfId="0" applyFont="1" applyBorder="1" applyAlignment="1">
      <alignment horizontal="center" vertical="center"/>
    </xf>
    <xf numFmtId="0" fontId="7" fillId="2" borderId="13" xfId="0" applyFont="1" applyFill="1" applyBorder="1" applyAlignment="1">
      <alignment vertical="center"/>
    </xf>
    <xf numFmtId="166" fontId="20" fillId="2" borderId="14" xfId="0" applyNumberFormat="1" applyFont="1" applyFill="1" applyBorder="1" applyAlignment="1">
      <alignment vertical="center"/>
    </xf>
    <xf numFmtId="0" fontId="7" fillId="2" borderId="16" xfId="0" applyFont="1" applyFill="1" applyBorder="1" applyAlignment="1">
      <alignment vertical="center"/>
    </xf>
    <xf numFmtId="166" fontId="20" fillId="2" borderId="4" xfId="0" applyNumberFormat="1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166" fontId="20" fillId="2" borderId="11" xfId="0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right" wrapText="1"/>
    </xf>
    <xf numFmtId="164" fontId="10" fillId="0" borderId="8" xfId="0" applyNumberFormat="1" applyFont="1" applyBorder="1" applyAlignment="1">
      <alignment vertical="center"/>
    </xf>
    <xf numFmtId="164" fontId="7" fillId="0" borderId="0" xfId="0" applyNumberFormat="1" applyFont="1" applyAlignment="1">
      <alignment vertical="center"/>
    </xf>
    <xf numFmtId="164" fontId="7" fillId="3" borderId="0" xfId="0" applyNumberFormat="1" applyFont="1" applyFill="1" applyAlignment="1">
      <alignment vertical="center"/>
    </xf>
    <xf numFmtId="164" fontId="7" fillId="0" borderId="7" xfId="0" applyNumberFormat="1" applyFont="1" applyBorder="1" applyAlignment="1">
      <alignment vertical="center"/>
    </xf>
    <xf numFmtId="0" fontId="30" fillId="0" borderId="5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17" fillId="0" borderId="0" xfId="0" applyFont="1"/>
    <xf numFmtId="1" fontId="7" fillId="0" borderId="1" xfId="0" applyNumberFormat="1" applyFont="1" applyBorder="1" applyAlignment="1">
      <alignment horizontal="right" vertic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22" fillId="0" borderId="0" xfId="0" applyFont="1" applyAlignment="1">
      <alignment horizontal="right"/>
    </xf>
    <xf numFmtId="0" fontId="13" fillId="0" borderId="0" xfId="0" applyFont="1" applyAlignment="1">
      <alignment vertical="top"/>
    </xf>
    <xf numFmtId="0" fontId="17" fillId="0" borderId="8" xfId="0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 wrapText="1"/>
    </xf>
    <xf numFmtId="0" fontId="19" fillId="0" borderId="0" xfId="0" applyFont="1"/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" fontId="10" fillId="0" borderId="10" xfId="0" applyNumberFormat="1" applyFont="1" applyBorder="1" applyAlignment="1">
      <alignment horizontal="right" vertical="center"/>
    </xf>
    <xf numFmtId="0" fontId="13" fillId="0" borderId="0" xfId="0" applyFont="1" applyAlignment="1">
      <alignment vertical="top" wrapText="1"/>
    </xf>
    <xf numFmtId="164" fontId="10" fillId="0" borderId="6" xfId="0" applyNumberFormat="1" applyFont="1" applyBorder="1" applyAlignment="1">
      <alignment vertical="center"/>
    </xf>
    <xf numFmtId="165" fontId="7" fillId="0" borderId="16" xfId="0" applyNumberFormat="1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7" fillId="3" borderId="16" xfId="0" applyNumberFormat="1" applyFont="1" applyFill="1" applyBorder="1" applyAlignment="1">
      <alignment vertical="center"/>
    </xf>
    <xf numFmtId="3" fontId="10" fillId="4" borderId="0" xfId="0" applyNumberFormat="1" applyFont="1" applyFill="1"/>
    <xf numFmtId="3" fontId="10" fillId="5" borderId="0" xfId="0" applyNumberFormat="1" applyFont="1" applyFill="1"/>
    <xf numFmtId="3" fontId="10" fillId="6" borderId="0" xfId="0" applyNumberFormat="1" applyFont="1" applyFill="1"/>
    <xf numFmtId="164" fontId="7" fillId="0" borderId="4" xfId="0" applyNumberFormat="1" applyFont="1" applyBorder="1" applyAlignment="1">
      <alignment vertical="center"/>
    </xf>
    <xf numFmtId="164" fontId="7" fillId="3" borderId="4" xfId="0" applyNumberFormat="1" applyFont="1" applyFill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164" fontId="31" fillId="0" borderId="12" xfId="0" applyNumberFormat="1" applyFont="1" applyBorder="1" applyAlignment="1">
      <alignment vertical="center"/>
    </xf>
    <xf numFmtId="164" fontId="31" fillId="0" borderId="8" xfId="0" applyNumberFormat="1" applyFont="1" applyBorder="1" applyAlignment="1">
      <alignment vertical="center"/>
    </xf>
    <xf numFmtId="164" fontId="31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vertical="center" wrapText="1"/>
    </xf>
    <xf numFmtId="164" fontId="31" fillId="0" borderId="5" xfId="0" applyNumberFormat="1" applyFont="1" applyBorder="1" applyAlignment="1">
      <alignment vertical="center"/>
    </xf>
    <xf numFmtId="0" fontId="10" fillId="0" borderId="0" xfId="0" applyFont="1" applyAlignment="1">
      <alignment horizontal="right" wrapText="1"/>
    </xf>
    <xf numFmtId="0" fontId="7" fillId="0" borderId="3" xfId="0" applyFont="1" applyBorder="1"/>
    <xf numFmtId="0" fontId="7" fillId="0" borderId="16" xfId="0" applyFont="1" applyBorder="1" applyAlignment="1">
      <alignment horizontal="right" wrapText="1"/>
    </xf>
    <xf numFmtId="0" fontId="10" fillId="0" borderId="4" xfId="0" applyFont="1" applyBorder="1" applyAlignment="1">
      <alignment horizontal="right" wrapText="1"/>
    </xf>
    <xf numFmtId="0" fontId="7" fillId="4" borderId="0" xfId="0" applyFont="1" applyFill="1" applyAlignment="1">
      <alignment horizontal="right" wrapText="1"/>
    </xf>
    <xf numFmtId="0" fontId="7" fillId="5" borderId="0" xfId="0" applyFont="1" applyFill="1" applyAlignment="1">
      <alignment horizontal="right" wrapText="1"/>
    </xf>
    <xf numFmtId="0" fontId="7" fillId="6" borderId="0" xfId="0" applyFont="1" applyFill="1" applyAlignment="1">
      <alignment horizontal="right" wrapText="1"/>
    </xf>
    <xf numFmtId="169" fontId="20" fillId="0" borderId="13" xfId="0" applyNumberFormat="1" applyFont="1" applyBorder="1" applyAlignment="1">
      <alignment vertical="center"/>
    </xf>
    <xf numFmtId="169" fontId="20" fillId="0" borderId="7" xfId="0" applyNumberFormat="1" applyFont="1" applyBorder="1" applyAlignment="1">
      <alignment vertical="center"/>
    </xf>
    <xf numFmtId="169" fontId="20" fillId="0" borderId="14" xfId="0" applyNumberFormat="1" applyFont="1" applyBorder="1" applyAlignment="1">
      <alignment vertical="center"/>
    </xf>
    <xf numFmtId="169" fontId="20" fillId="0" borderId="12" xfId="0" applyNumberFormat="1" applyFont="1" applyBorder="1" applyAlignment="1">
      <alignment vertical="center"/>
    </xf>
    <xf numFmtId="169" fontId="20" fillId="0" borderId="8" xfId="0" applyNumberFormat="1" applyFont="1" applyBorder="1" applyAlignment="1">
      <alignment vertical="center"/>
    </xf>
    <xf numFmtId="169" fontId="20" fillId="0" borderId="6" xfId="0" applyNumberFormat="1" applyFont="1" applyBorder="1" applyAlignment="1">
      <alignment vertical="center"/>
    </xf>
    <xf numFmtId="0" fontId="12" fillId="0" borderId="8" xfId="0" applyFont="1" applyBorder="1" applyAlignment="1">
      <alignment horizontal="right" vertical="center"/>
    </xf>
    <xf numFmtId="0" fontId="7" fillId="0" borderId="12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1" fontId="10" fillId="0" borderId="12" xfId="0" applyNumberFormat="1" applyFont="1" applyBorder="1" applyAlignment="1">
      <alignment horizontal="right" vertical="center"/>
    </xf>
    <xf numFmtId="1" fontId="10" fillId="0" borderId="8" xfId="0" applyNumberFormat="1" applyFont="1" applyBorder="1" applyAlignment="1">
      <alignment horizontal="right" vertical="center"/>
    </xf>
    <xf numFmtId="1" fontId="10" fillId="0" borderId="6" xfId="0" applyNumberFormat="1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65" fontId="7" fillId="0" borderId="3" xfId="0" applyNumberFormat="1" applyFont="1" applyBorder="1" applyAlignment="1">
      <alignment horizontal="right" vertical="center"/>
    </xf>
    <xf numFmtId="165" fontId="7" fillId="0" borderId="12" xfId="0" applyNumberFormat="1" applyFont="1" applyBorder="1" applyAlignment="1">
      <alignment horizontal="right" vertical="center"/>
    </xf>
    <xf numFmtId="165" fontId="7" fillId="0" borderId="8" xfId="0" applyNumberFormat="1" applyFont="1" applyBorder="1" applyAlignment="1">
      <alignment horizontal="right" vertical="center"/>
    </xf>
    <xf numFmtId="165" fontId="7" fillId="0" borderId="6" xfId="0" applyNumberFormat="1" applyFont="1" applyBorder="1" applyAlignment="1">
      <alignment horizontal="right" vertical="center"/>
    </xf>
    <xf numFmtId="165" fontId="7" fillId="0" borderId="10" xfId="0" applyNumberFormat="1" applyFont="1" applyBorder="1" applyAlignment="1">
      <alignment horizontal="right" vertical="center"/>
    </xf>
    <xf numFmtId="0" fontId="7" fillId="3" borderId="8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right" vertical="center"/>
    </xf>
    <xf numFmtId="165" fontId="10" fillId="3" borderId="12" xfId="0" applyNumberFormat="1" applyFont="1" applyFill="1" applyBorder="1" applyAlignment="1">
      <alignment horizontal="right" vertical="center"/>
    </xf>
    <xf numFmtId="165" fontId="10" fillId="3" borderId="8" xfId="0" applyNumberFormat="1" applyFont="1" applyFill="1" applyBorder="1" applyAlignment="1">
      <alignment horizontal="right" vertical="center"/>
    </xf>
    <xf numFmtId="165" fontId="10" fillId="3" borderId="6" xfId="0" applyNumberFormat="1" applyFont="1" applyFill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165" fontId="7" fillId="3" borderId="8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vertical="center"/>
    </xf>
    <xf numFmtId="0" fontId="12" fillId="3" borderId="10" xfId="0" applyFont="1" applyFill="1" applyBorder="1" applyAlignment="1">
      <alignment horizontal="right" vertical="center"/>
    </xf>
    <xf numFmtId="0" fontId="2" fillId="3" borderId="10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/>
    </xf>
    <xf numFmtId="166" fontId="10" fillId="3" borderId="11" xfId="0" applyNumberFormat="1" applyFont="1" applyFill="1" applyBorder="1" applyAlignment="1">
      <alignment horizontal="right" vertical="center"/>
    </xf>
    <xf numFmtId="170" fontId="7" fillId="0" borderId="0" xfId="0" applyNumberFormat="1" applyFont="1"/>
    <xf numFmtId="167" fontId="7" fillId="0" borderId="12" xfId="0" applyNumberFormat="1" applyFont="1" applyBorder="1" applyAlignment="1">
      <alignment vertical="center"/>
    </xf>
    <xf numFmtId="167" fontId="7" fillId="3" borderId="12" xfId="0" applyNumberFormat="1" applyFont="1" applyFill="1" applyBorder="1" applyAlignment="1">
      <alignment vertical="center"/>
    </xf>
    <xf numFmtId="167" fontId="7" fillId="0" borderId="8" xfId="0" applyNumberFormat="1" applyFont="1" applyBorder="1" applyAlignment="1">
      <alignment vertical="center"/>
    </xf>
    <xf numFmtId="167" fontId="7" fillId="3" borderId="15" xfId="0" applyNumberFormat="1" applyFont="1" applyFill="1" applyBorder="1" applyAlignment="1">
      <alignment vertical="center"/>
    </xf>
    <xf numFmtId="171" fontId="20" fillId="0" borderId="12" xfId="0" applyNumberFormat="1" applyFont="1" applyBorder="1" applyAlignment="1">
      <alignment vertical="center"/>
    </xf>
    <xf numFmtId="171" fontId="20" fillId="0" borderId="8" xfId="0" applyNumberFormat="1" applyFont="1" applyBorder="1" applyAlignment="1">
      <alignment vertical="center"/>
    </xf>
    <xf numFmtId="171" fontId="20" fillId="0" borderId="6" xfId="0" applyNumberFormat="1" applyFont="1" applyBorder="1" applyAlignment="1">
      <alignment vertical="center"/>
    </xf>
    <xf numFmtId="0" fontId="7" fillId="0" borderId="12" xfId="0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164" fontId="7" fillId="0" borderId="16" xfId="0" applyNumberFormat="1" applyFont="1" applyBorder="1" applyAlignment="1">
      <alignment vertical="center"/>
    </xf>
    <xf numFmtId="164" fontId="10" fillId="0" borderId="12" xfId="0" applyNumberFormat="1" applyFont="1" applyBorder="1" applyAlignment="1">
      <alignment vertical="center"/>
    </xf>
    <xf numFmtId="0" fontId="10" fillId="0" borderId="12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horizontal="right" vertical="center"/>
    </xf>
    <xf numFmtId="164" fontId="7" fillId="3" borderId="16" xfId="0" applyNumberFormat="1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14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1" fillId="2" borderId="15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167" fontId="11" fillId="2" borderId="16" xfId="0" applyNumberFormat="1" applyFont="1" applyFill="1" applyBorder="1" applyAlignment="1">
      <alignment vertical="center"/>
    </xf>
    <xf numFmtId="169" fontId="11" fillId="2" borderId="4" xfId="0" applyNumberFormat="1" applyFont="1" applyFill="1" applyBorder="1" applyAlignment="1">
      <alignment vertical="center"/>
    </xf>
    <xf numFmtId="172" fontId="11" fillId="2" borderId="4" xfId="0" applyNumberFormat="1" applyFont="1" applyFill="1" applyBorder="1" applyAlignment="1">
      <alignment vertical="center"/>
    </xf>
    <xf numFmtId="167" fontId="7" fillId="2" borderId="16" xfId="0" applyNumberFormat="1" applyFont="1" applyFill="1" applyBorder="1" applyAlignment="1">
      <alignment vertical="center"/>
    </xf>
    <xf numFmtId="173" fontId="20" fillId="2" borderId="4" xfId="0" applyNumberFormat="1" applyFont="1" applyFill="1" applyBorder="1" applyAlignment="1">
      <alignment vertical="center"/>
    </xf>
    <xf numFmtId="174" fontId="7" fillId="0" borderId="0" xfId="0" applyNumberFormat="1" applyFont="1" applyAlignment="1">
      <alignment vertical="center"/>
    </xf>
    <xf numFmtId="174" fontId="7" fillId="3" borderId="0" xfId="0" applyNumberFormat="1" applyFont="1" applyFill="1" applyAlignment="1">
      <alignment vertical="center"/>
    </xf>
    <xf numFmtId="0" fontId="7" fillId="0" borderId="5" xfId="0" applyFont="1" applyBorder="1"/>
    <xf numFmtId="0" fontId="7" fillId="0" borderId="12" xfId="0" applyFont="1" applyBorder="1"/>
    <xf numFmtId="167" fontId="10" fillId="0" borderId="5" xfId="0" applyNumberFormat="1" applyFont="1" applyBorder="1" applyAlignment="1">
      <alignment vertical="center"/>
    </xf>
    <xf numFmtId="167" fontId="7" fillId="0" borderId="10" xfId="0" applyNumberFormat="1" applyFont="1" applyBorder="1" applyAlignment="1">
      <alignment vertical="center"/>
    </xf>
    <xf numFmtId="0" fontId="7" fillId="0" borderId="6" xfId="0" applyFont="1" applyBorder="1" applyAlignment="1">
      <alignment horizontal="right" vertical="center" wrapText="1"/>
    </xf>
    <xf numFmtId="166" fontId="7" fillId="0" borderId="15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0" fontId="2" fillId="0" borderId="12" xfId="0" applyFont="1" applyBorder="1" applyAlignment="1">
      <alignment horizontal="right"/>
    </xf>
    <xf numFmtId="167" fontId="7" fillId="0" borderId="12" xfId="0" applyNumberFormat="1" applyFont="1" applyBorder="1" applyAlignment="1">
      <alignment horizontal="left" vertical="center"/>
    </xf>
    <xf numFmtId="166" fontId="20" fillId="0" borderId="6" xfId="0" applyNumberFormat="1" applyFont="1" applyBorder="1" applyAlignment="1">
      <alignment vertical="center"/>
    </xf>
    <xf numFmtId="0" fontId="17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right" wrapText="1"/>
    </xf>
    <xf numFmtId="0" fontId="7" fillId="0" borderId="5" xfId="0" applyFont="1" applyBorder="1" applyAlignment="1">
      <alignment vertical="center"/>
    </xf>
    <xf numFmtId="164" fontId="7" fillId="0" borderId="6" xfId="0" applyNumberFormat="1" applyFont="1" applyBorder="1" applyAlignment="1">
      <alignment vertical="center"/>
    </xf>
    <xf numFmtId="164" fontId="7" fillId="0" borderId="8" xfId="0" applyNumberFormat="1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horizontal="right" vertical="center"/>
    </xf>
    <xf numFmtId="165" fontId="7" fillId="0" borderId="8" xfId="0" applyNumberFormat="1" applyFont="1" applyBorder="1" applyAlignment="1">
      <alignment vertical="center"/>
    </xf>
    <xf numFmtId="165" fontId="7" fillId="0" borderId="8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0" fillId="0" borderId="0" xfId="0" applyFont="1" applyAlignment="1">
      <alignment horizontal="right" vertical="center" wrapText="1"/>
    </xf>
    <xf numFmtId="0" fontId="12" fillId="0" borderId="6" xfId="0" applyFont="1" applyBorder="1" applyAlignment="1">
      <alignment horizontal="right" vertical="center" wrapText="1"/>
    </xf>
    <xf numFmtId="0" fontId="12" fillId="0" borderId="8" xfId="0" applyFont="1" applyBorder="1" applyAlignment="1">
      <alignment horizontal="right" vertical="center" wrapText="1"/>
    </xf>
    <xf numFmtId="3" fontId="7" fillId="0" borderId="0" xfId="0" applyNumberFormat="1" applyFont="1"/>
    <xf numFmtId="165" fontId="7" fillId="0" borderId="0" xfId="0" applyNumberFormat="1" applyFont="1" applyAlignment="1">
      <alignment horizontal="right" vertical="center"/>
    </xf>
    <xf numFmtId="164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horizontal="right" vertical="center"/>
    </xf>
    <xf numFmtId="164" fontId="7" fillId="7" borderId="4" xfId="0" applyNumberFormat="1" applyFont="1" applyFill="1" applyBorder="1" applyAlignment="1">
      <alignment vertical="center"/>
    </xf>
    <xf numFmtId="165" fontId="7" fillId="3" borderId="0" xfId="0" applyNumberFormat="1" applyFont="1" applyFill="1" applyAlignment="1">
      <alignment horizontal="right" vertical="center"/>
    </xf>
    <xf numFmtId="0" fontId="7" fillId="7" borderId="3" xfId="0" applyFont="1" applyFill="1" applyBorder="1" applyAlignment="1">
      <alignment vertical="center"/>
    </xf>
    <xf numFmtId="0" fontId="2" fillId="0" borderId="0" xfId="0" applyFont="1" applyAlignment="1">
      <alignment horizontal="left"/>
    </xf>
    <xf numFmtId="0" fontId="3" fillId="8" borderId="5" xfId="0" applyFont="1" applyFill="1" applyBorder="1"/>
    <xf numFmtId="0" fontId="2" fillId="8" borderId="9" xfId="0" applyFont="1" applyFill="1" applyBorder="1"/>
    <xf numFmtId="0" fontId="2" fillId="8" borderId="3" xfId="0" applyFont="1" applyFill="1" applyBorder="1"/>
    <xf numFmtId="0" fontId="3" fillId="0" borderId="0" xfId="0" applyFont="1"/>
    <xf numFmtId="0" fontId="2" fillId="8" borderId="10" xfId="0" applyFont="1" applyFill="1" applyBorder="1"/>
    <xf numFmtId="0" fontId="2" fillId="9" borderId="5" xfId="0" applyFont="1" applyFill="1" applyBorder="1" applyAlignment="1">
      <alignment horizontal="left"/>
    </xf>
    <xf numFmtId="0" fontId="32" fillId="0" borderId="0" xfId="0" applyFont="1"/>
    <xf numFmtId="0" fontId="2" fillId="10" borderId="5" xfId="0" applyFont="1" applyFill="1" applyBorder="1" applyAlignment="1">
      <alignment horizontal="left"/>
    </xf>
    <xf numFmtId="0" fontId="3" fillId="8" borderId="5" xfId="0" applyFont="1" applyFill="1" applyBorder="1" applyAlignment="1">
      <alignment horizontal="left"/>
    </xf>
    <xf numFmtId="1" fontId="2" fillId="11" borderId="5" xfId="0" applyNumberFormat="1" applyFont="1" applyFill="1" applyBorder="1" applyAlignment="1">
      <alignment horizontal="left"/>
    </xf>
    <xf numFmtId="0" fontId="2" fillId="11" borderId="3" xfId="0" applyFont="1" applyFill="1" applyBorder="1"/>
    <xf numFmtId="0" fontId="2" fillId="11" borderId="9" xfId="0" applyFont="1" applyFill="1" applyBorder="1"/>
    <xf numFmtId="0" fontId="2" fillId="11" borderId="10" xfId="0" applyFont="1" applyFill="1" applyBorder="1"/>
    <xf numFmtId="0" fontId="3" fillId="11" borderId="3" xfId="0" applyFont="1" applyFill="1" applyBorder="1"/>
    <xf numFmtId="0" fontId="3" fillId="11" borderId="9" xfId="0" applyFont="1" applyFill="1" applyBorder="1"/>
    <xf numFmtId="0" fontId="33" fillId="0" borderId="0" xfId="0" applyFont="1" applyAlignment="1">
      <alignment horizontal="left"/>
    </xf>
    <xf numFmtId="0" fontId="7" fillId="2" borderId="2" xfId="0" applyFont="1" applyFill="1" applyBorder="1" applyAlignment="1">
      <alignment horizontal="left" vertical="center" indent="1"/>
    </xf>
    <xf numFmtId="0" fontId="10" fillId="2" borderId="2" xfId="0" applyFont="1" applyFill="1" applyBorder="1" applyAlignment="1">
      <alignment horizontal="left" vertical="center" indent="1"/>
    </xf>
    <xf numFmtId="0" fontId="2" fillId="0" borderId="7" xfId="0" applyFont="1" applyBorder="1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0" fillId="0" borderId="9" xfId="0" applyFont="1" applyBorder="1" applyAlignment="1">
      <alignment horizontal="right" vertical="center" wrapText="1"/>
    </xf>
    <xf numFmtId="0" fontId="10" fillId="0" borderId="10" xfId="0" applyFont="1" applyBorder="1" applyAlignment="1">
      <alignment horizontal="right" vertical="center" wrapText="1"/>
    </xf>
    <xf numFmtId="0" fontId="14" fillId="0" borderId="0" xfId="0" applyFont="1" applyAlignment="1">
      <alignment horizontal="center" vertical="top"/>
    </xf>
    <xf numFmtId="0" fontId="7" fillId="2" borderId="13" xfId="0" applyFont="1" applyFill="1" applyBorder="1" applyAlignment="1">
      <alignment horizontal="right" wrapText="1"/>
    </xf>
    <xf numFmtId="0" fontId="11" fillId="2" borderId="14" xfId="0" applyFont="1" applyFill="1" applyBorder="1" applyAlignment="1">
      <alignment horizontal="right" wrapText="1"/>
    </xf>
    <xf numFmtId="0" fontId="11" fillId="2" borderId="15" xfId="0" applyFont="1" applyFill="1" applyBorder="1" applyAlignment="1">
      <alignment horizontal="right" wrapText="1"/>
    </xf>
    <xf numFmtId="0" fontId="11" fillId="2" borderId="11" xfId="0" applyFont="1" applyFill="1" applyBorder="1" applyAlignment="1">
      <alignment horizontal="right" wrapText="1"/>
    </xf>
    <xf numFmtId="0" fontId="10" fillId="0" borderId="3" xfId="0" applyFont="1" applyBorder="1" applyAlignment="1">
      <alignment horizontal="right" wrapText="1"/>
    </xf>
    <xf numFmtId="0" fontId="16" fillId="4" borderId="0" xfId="0" applyFont="1" applyFill="1" applyAlignment="1">
      <alignment horizontal="center" vertical="center" textRotation="90"/>
    </xf>
    <xf numFmtId="0" fontId="16" fillId="5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 vertical="center" textRotation="90"/>
    </xf>
    <xf numFmtId="0" fontId="21" fillId="0" borderId="0" xfId="0" applyFont="1" applyAlignment="1">
      <alignment horizontal="center" wrapText="1"/>
    </xf>
    <xf numFmtId="0" fontId="10" fillId="0" borderId="3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right" vertical="center" wrapText="1"/>
    </xf>
    <xf numFmtId="0" fontId="7" fillId="0" borderId="10" xfId="0" applyFont="1" applyBorder="1" applyAlignment="1">
      <alignment horizontal="right" vertical="center" wrapText="1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</cellXfs>
  <cellStyles count="1">
    <cellStyle name="Standard" xfId="0" builtinId="0"/>
  </cellStyles>
  <dxfs count="75"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rgb="FF0000FF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  <bgColor indexed="1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Lines="4" dropStyle="combo" dx="16" fmlaLink="DFIE!$D$6" fmlaRange="DFIE!$D$2:$D$5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2049" name="Drop Down 1" hidden="1">
          <a:extLst>
            <a:ext uri="{63B3BB69-23CF-44E3-9099-C40C66FF867C}">
              <a14:compatExt xmlns:a14="http://schemas.microsoft.com/office/drawing/2010/main" spid="_x0000_s2049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3" name="Picture 37" descr="Logo_CMYK_po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6</xdr:row>
          <xdr:rowOff>38100</xdr:rowOff>
        </xdr:from>
        <xdr:to>
          <xdr:col>3</xdr:col>
          <xdr:colOff>857250</xdr:colOff>
          <xdr:row>7</xdr:row>
          <xdr:rowOff>114300</xdr:rowOff>
        </xdr:to>
        <xdr:sp macro="" textlink="">
          <xdr:nvSpPr>
            <xdr:cNvPr id="2" name="Drop Down 1025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E46"/>
  <sheetViews>
    <sheetView showGridLines="0" showRowColHeaders="0" tabSelected="1" zoomScaleNormal="100" workbookViewId="0">
      <selection activeCell="A75" sqref="A75"/>
    </sheetView>
  </sheetViews>
  <sheetFormatPr baseColWidth="10" defaultRowHeight="12.75" x14ac:dyDescent="0.2"/>
  <cols>
    <col min="1" max="1" width="2.7109375" customWidth="1"/>
    <col min="2" max="3" width="15.7109375" customWidth="1"/>
    <col min="4" max="4" width="16.7109375" customWidth="1"/>
    <col min="5" max="5" width="40.140625" customWidth="1"/>
  </cols>
  <sheetData>
    <row r="1" spans="2:5" ht="18" customHeight="1" x14ac:dyDescent="0.2">
      <c r="E1" s="3" t="str">
        <f>DFIE!B10</f>
        <v>Eidgenössisches Finanzdepartement EFD</v>
      </c>
    </row>
    <row r="2" spans="2:5" x14ac:dyDescent="0.2">
      <c r="E2" s="4" t="str">
        <f>DFIE!B11</f>
        <v>Eidgenössische Finanzverwaltung EFV</v>
      </c>
    </row>
    <row r="7" spans="2:5" x14ac:dyDescent="0.2">
      <c r="B7" s="5" t="s">
        <v>166</v>
      </c>
    </row>
    <row r="8" spans="2:5" x14ac:dyDescent="0.2">
      <c r="B8" s="5" t="s">
        <v>167</v>
      </c>
    </row>
    <row r="9" spans="2:5" x14ac:dyDescent="0.2">
      <c r="B9" s="5" t="s">
        <v>168</v>
      </c>
    </row>
    <row r="10" spans="2:5" x14ac:dyDescent="0.2">
      <c r="B10" s="5" t="s">
        <v>169</v>
      </c>
    </row>
    <row r="13" spans="2:5" ht="21" customHeight="1" x14ac:dyDescent="0.25">
      <c r="B13" s="6" t="str">
        <f>DFIE!B12</f>
        <v>Finanzausgleich zwischen Bund und Kantonen</v>
      </c>
    </row>
    <row r="14" spans="2:5" ht="21" customHeight="1" x14ac:dyDescent="0.25">
      <c r="B14" s="6" t="str">
        <f>DFIE!B13</f>
        <v>Ressourcenausgleich 2022</v>
      </c>
    </row>
    <row r="15" spans="2:5" ht="15" customHeight="1" x14ac:dyDescent="0.2"/>
    <row r="16" spans="2:5" ht="15" customHeight="1" x14ac:dyDescent="0.2"/>
    <row r="17" spans="2:5" ht="20.25" customHeight="1" x14ac:dyDescent="0.2">
      <c r="B17" s="11" t="s">
        <v>170</v>
      </c>
      <c r="C17" s="342" t="str">
        <f>DFIE!B14</f>
        <v>Übersicht über die Zahlungen im Ressourcenausgleich</v>
      </c>
      <c r="D17" s="342"/>
      <c r="E17" s="342"/>
    </row>
    <row r="18" spans="2:5" ht="16.5" customHeight="1" x14ac:dyDescent="0.2">
      <c r="B18" s="7"/>
      <c r="C18" s="8"/>
    </row>
    <row r="19" spans="2:5" ht="20.25" customHeight="1" x14ac:dyDescent="0.2">
      <c r="B19" s="10" t="s">
        <v>171</v>
      </c>
      <c r="C19" s="341" t="str">
        <f>DFIE!B15</f>
        <v>Einkommen natürlicher Personen</v>
      </c>
      <c r="D19" s="341"/>
      <c r="E19" s="341"/>
    </row>
    <row r="20" spans="2:5" ht="20.25" customHeight="1" x14ac:dyDescent="0.2">
      <c r="B20" s="10" t="s">
        <v>172</v>
      </c>
      <c r="C20" s="341" t="str">
        <f>DFIE!B16</f>
        <v>Quellenbesteuerte Einkommen natürlicher Personen</v>
      </c>
      <c r="D20" s="341"/>
      <c r="E20" s="341"/>
    </row>
    <row r="21" spans="2:5" ht="20.25" customHeight="1" x14ac:dyDescent="0.2">
      <c r="B21" s="10" t="s">
        <v>173</v>
      </c>
      <c r="C21" s="341" t="str">
        <f>DFIE!B17</f>
        <v>Vermögen natürlicher Personen</v>
      </c>
      <c r="D21" s="341"/>
      <c r="E21" s="341"/>
    </row>
    <row r="22" spans="2:5" ht="20.25" customHeight="1" x14ac:dyDescent="0.2">
      <c r="B22" s="10" t="s">
        <v>174</v>
      </c>
      <c r="C22" s="341" t="str">
        <f>DFIE!B18</f>
        <v>Gewinne juristischer Personen</v>
      </c>
      <c r="D22" s="341"/>
      <c r="E22" s="341"/>
    </row>
    <row r="23" spans="2:5" ht="20.25" customHeight="1" x14ac:dyDescent="0.2">
      <c r="B23" s="10" t="s">
        <v>175</v>
      </c>
      <c r="C23" s="341" t="str">
        <f>DFIE!B19</f>
        <v>Steuerrepartitionen</v>
      </c>
      <c r="D23" s="341"/>
      <c r="E23" s="341"/>
    </row>
    <row r="24" spans="2:5" ht="20.25" customHeight="1" x14ac:dyDescent="0.2">
      <c r="B24" s="10" t="s">
        <v>176</v>
      </c>
      <c r="C24" s="341" t="str">
        <f>DFIE!B20</f>
        <v>Aggregierte Steuerbemessungsgrundlage</v>
      </c>
      <c r="D24" s="341"/>
      <c r="E24" s="341"/>
    </row>
    <row r="25" spans="2:5" ht="20.25" customHeight="1" x14ac:dyDescent="0.2">
      <c r="B25" s="10" t="s">
        <v>177</v>
      </c>
      <c r="C25" s="341" t="str">
        <f>DFIE!B21</f>
        <v>Massgebende Wohnbevölkerung</v>
      </c>
      <c r="D25" s="341"/>
      <c r="E25" s="341"/>
    </row>
    <row r="26" spans="2:5" ht="20.25" customHeight="1" x14ac:dyDescent="0.2">
      <c r="B26" s="10" t="s">
        <v>178</v>
      </c>
      <c r="C26" s="341" t="str">
        <f>DFIE!B22</f>
        <v>Berechnung Ressourcenpotenzial und -index</v>
      </c>
      <c r="D26" s="341"/>
      <c r="E26" s="341"/>
    </row>
    <row r="27" spans="2:5" ht="20.25" customHeight="1" x14ac:dyDescent="0.2">
      <c r="B27" s="10" t="s">
        <v>183</v>
      </c>
      <c r="C27" s="341" t="str">
        <f>DFIE!B23</f>
        <v>Standardisierter Steuersatz</v>
      </c>
      <c r="D27" s="341"/>
      <c r="E27" s="341"/>
    </row>
    <row r="28" spans="2:5" ht="20.25" customHeight="1" x14ac:dyDescent="0.2">
      <c r="B28" s="10" t="s">
        <v>181</v>
      </c>
      <c r="C28" s="341" t="str">
        <f>DFIE!B24</f>
        <v>Auszahlungen an die ressourcenschwachen Kantone</v>
      </c>
      <c r="D28" s="341"/>
      <c r="E28" s="341"/>
    </row>
    <row r="29" spans="2:5" ht="20.25" customHeight="1" x14ac:dyDescent="0.2">
      <c r="B29" s="10" t="s">
        <v>179</v>
      </c>
      <c r="C29" s="341" t="str">
        <f>DFIE!B25</f>
        <v>Dotationen im Ressourcenausgleich</v>
      </c>
      <c r="D29" s="341"/>
      <c r="E29" s="341"/>
    </row>
    <row r="30" spans="2:5" ht="20.25" customHeight="1" x14ac:dyDescent="0.2">
      <c r="B30" s="10" t="s">
        <v>180</v>
      </c>
      <c r="C30" s="341" t="str">
        <f>DFIE!B26</f>
        <v>Einzahlungen der ressourcenstarken Kantone</v>
      </c>
      <c r="D30" s="341"/>
      <c r="E30" s="341"/>
    </row>
    <row r="31" spans="2:5" ht="20.25" customHeight="1" x14ac:dyDescent="0.2">
      <c r="B31" s="10" t="s">
        <v>182</v>
      </c>
      <c r="C31" s="341" t="str">
        <f>DFIE!B27</f>
        <v>Standardisierter Steuerertrag</v>
      </c>
      <c r="D31" s="341"/>
      <c r="E31" s="341"/>
    </row>
    <row r="32" spans="2:5" ht="12.75" customHeight="1" x14ac:dyDescent="0.2"/>
    <row r="42" spans="2:5" x14ac:dyDescent="0.2">
      <c r="B42" s="9"/>
      <c r="C42" s="9"/>
      <c r="D42" s="9"/>
      <c r="E42" s="9"/>
    </row>
    <row r="44" spans="2:5" x14ac:dyDescent="0.2">
      <c r="B44" s="13"/>
      <c r="C44" s="13" t="str">
        <f>DFIE!$B$65</f>
        <v>Referenzjahr</v>
      </c>
      <c r="D44" s="12">
        <v>2022</v>
      </c>
    </row>
    <row r="45" spans="2:5" x14ac:dyDescent="0.2">
      <c r="B45" s="13"/>
      <c r="C45" s="13" t="str">
        <f>DFIE!$B$66</f>
        <v>Berechnungsdatum</v>
      </c>
      <c r="D45" s="2" t="s">
        <v>723</v>
      </c>
    </row>
    <row r="46" spans="2:5" x14ac:dyDescent="0.2">
      <c r="B46" s="13"/>
      <c r="C46" s="13" t="str">
        <f>DFIE!$B$67</f>
        <v>Berechnungs-ID</v>
      </c>
      <c r="D46" s="1" t="s">
        <v>724</v>
      </c>
    </row>
  </sheetData>
  <mergeCells count="14">
    <mergeCell ref="C31:E31"/>
    <mergeCell ref="C29:E29"/>
    <mergeCell ref="C30:E30"/>
    <mergeCell ref="C17:E17"/>
    <mergeCell ref="C27:E27"/>
    <mergeCell ref="C19:E19"/>
    <mergeCell ref="C20:E20"/>
    <mergeCell ref="C21:E21"/>
    <mergeCell ref="C22:E22"/>
    <mergeCell ref="C23:E23"/>
    <mergeCell ref="C24:E24"/>
    <mergeCell ref="C25:E25"/>
    <mergeCell ref="C26:E26"/>
    <mergeCell ref="C28:E28"/>
  </mergeCells>
  <conditionalFormatting sqref="D44:D46">
    <cfRule type="expression" dxfId="74" priority="1" stopIfTrue="1">
      <formula>ISBLANK(D44)</formula>
    </cfRule>
  </conditionalFormatting>
  <hyperlinks>
    <hyperlink ref="B17" location="TOTAL!A1" display="TOTAL"/>
    <hyperlink ref="B30" location="EINZ!A1" display="EINZ"/>
    <hyperlink ref="B29" location="DOT!A1" display="DOT"/>
    <hyperlink ref="B31" location="SSE!A1" display="SSE"/>
    <hyperlink ref="B28" location="AUSZ!A1" display="AUSZ"/>
    <hyperlink ref="B26" location="RP!A1" display="RP"/>
    <hyperlink ref="B25" location="BEV!A1" display="BEV"/>
    <hyperlink ref="B24" location="ASG!A1" display="ASG"/>
    <hyperlink ref="B23" location="REP!A1" display="REP"/>
    <hyperlink ref="B22" location="JP!A1" display="JP"/>
    <hyperlink ref="B21" location="VERM!A1" display="VERM"/>
    <hyperlink ref="B20" location="QS!A1" display="QS"/>
    <hyperlink ref="B19" location="NP!A1" display="NP"/>
    <hyperlink ref="B27" location="SST!A1" display="SST"/>
  </hyperlinks>
  <pageMargins left="0.7" right="0.54" top="0.78740157499999996" bottom="0.78740157499999996" header="0.3" footer="0.3"/>
  <pageSetup paperSize="9" orientation="portrait" r:id="rId1"/>
  <customProperties>
    <customPr name="EpmWorksheetKeyString_GUID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5" name="Drop Down 1025">
              <controlPr defaultSize="0" autoLine="0" autoPict="0">
                <anchor moveWithCells="1">
                  <from>
                    <xdr:col>2</xdr:col>
                    <xdr:colOff>628650</xdr:colOff>
                    <xdr:row>6</xdr:row>
                    <xdr:rowOff>38100</xdr:rowOff>
                  </from>
                  <to>
                    <xdr:col>3</xdr:col>
                    <xdr:colOff>857250</xdr:colOff>
                    <xdr:row>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showGridLines="0" zoomScaleNormal="100" workbookViewId="0">
      <selection activeCell="A50" sqref="A50"/>
    </sheetView>
  </sheetViews>
  <sheetFormatPr baseColWidth="10" defaultRowHeight="12.75" x14ac:dyDescent="0.2"/>
  <cols>
    <col min="1" max="1" width="1.42578125" customWidth="1"/>
    <col min="2" max="2" width="17.140625" customWidth="1"/>
    <col min="3" max="6" width="16.7109375" customWidth="1"/>
    <col min="7" max="9" width="17.7109375" customWidth="1"/>
  </cols>
  <sheetData>
    <row r="1" spans="1:9" ht="18" customHeight="1" x14ac:dyDescent="0.2">
      <c r="B1" s="116" t="str">
        <f>DFIE!$B$170</f>
        <v>Berechnung Ressourcenpotenzial und -index 2022</v>
      </c>
      <c r="C1" s="202"/>
      <c r="D1" s="202"/>
      <c r="E1" s="209"/>
      <c r="F1" s="125"/>
      <c r="G1" s="52"/>
      <c r="H1" s="52"/>
      <c r="I1" s="52"/>
    </row>
    <row r="2" spans="1:9" ht="12.75" customHeight="1" x14ac:dyDescent="0.2">
      <c r="A2" s="199"/>
      <c r="B2" s="52"/>
      <c r="C2" s="199"/>
      <c r="D2" s="199"/>
      <c r="E2" s="200"/>
      <c r="F2" s="201"/>
    </row>
    <row r="3" spans="1:9" ht="0.75" customHeight="1" x14ac:dyDescent="0.2">
      <c r="A3" s="199"/>
      <c r="B3" s="52"/>
      <c r="C3" s="200"/>
      <c r="D3" s="200"/>
      <c r="E3" s="200"/>
      <c r="F3" s="200"/>
      <c r="G3" s="200"/>
      <c r="H3" s="200"/>
      <c r="I3" s="201"/>
    </row>
    <row r="4" spans="1:9" ht="0.75" customHeight="1" x14ac:dyDescent="0.2">
      <c r="A4" s="199"/>
      <c r="B4" s="52"/>
      <c r="C4" s="200"/>
      <c r="D4" s="200"/>
      <c r="E4" s="200"/>
      <c r="F4" s="200"/>
      <c r="G4" s="200"/>
      <c r="H4" s="200"/>
      <c r="I4" s="201"/>
    </row>
    <row r="5" spans="1:9" ht="12" customHeight="1" x14ac:dyDescent="0.2">
      <c r="A5" s="197"/>
      <c r="B5" s="34" t="str">
        <f>DFIE!B55</f>
        <v>Spalte</v>
      </c>
      <c r="C5" s="35" t="s">
        <v>30</v>
      </c>
      <c r="D5" s="35" t="s">
        <v>31</v>
      </c>
      <c r="E5" s="35" t="s">
        <v>32</v>
      </c>
      <c r="F5" s="35" t="s">
        <v>43</v>
      </c>
      <c r="G5" s="114" t="s">
        <v>42</v>
      </c>
      <c r="H5" s="35" t="s">
        <v>33</v>
      </c>
      <c r="I5" s="112" t="s">
        <v>34</v>
      </c>
    </row>
    <row r="6" spans="1:9" ht="12" customHeight="1" x14ac:dyDescent="0.2">
      <c r="A6" s="197"/>
      <c r="B6" s="34" t="str">
        <f>DFIE!B56</f>
        <v>Formel</v>
      </c>
      <c r="C6" s="183"/>
      <c r="D6" s="183"/>
      <c r="E6" s="183"/>
      <c r="F6" s="71" t="s">
        <v>63</v>
      </c>
      <c r="G6" s="212"/>
      <c r="H6" s="71" t="s">
        <v>64</v>
      </c>
      <c r="I6" s="213" t="str">
        <f>DFIE!B178</f>
        <v>H / H[Schweiz] * 100</v>
      </c>
    </row>
    <row r="7" spans="1:9" ht="40.5" customHeight="1" x14ac:dyDescent="0.2">
      <c r="B7" s="227"/>
      <c r="C7" s="230" t="str">
        <f>DFIE!B171</f>
        <v>ASG 2016</v>
      </c>
      <c r="D7" s="231" t="str">
        <f>DFIE!B172</f>
        <v>ASG 2017</v>
      </c>
      <c r="E7" s="232" t="str">
        <f>DFIE!B173</f>
        <v>ASG 2018</v>
      </c>
      <c r="F7" s="226" t="str">
        <f>DFIE!B174</f>
        <v>Ressourcen-
potenzial</v>
      </c>
      <c r="G7" s="228" t="str">
        <f>DFIE!B175</f>
        <v>Massgebende
Wohnbevölkerung</v>
      </c>
      <c r="H7" s="63" t="str">
        <f>DFIE!B176</f>
        <v>Ressourcen-
potenzial pro
Einwohner</v>
      </c>
      <c r="I7" s="229" t="str">
        <f>DFIE!B177</f>
        <v>Ressourcen-
index</v>
      </c>
    </row>
    <row r="8" spans="1:9" ht="12.75" customHeight="1" x14ac:dyDescent="0.2">
      <c r="B8" s="34" t="str">
        <f>DFIE!B58</f>
        <v>Einheit</v>
      </c>
      <c r="C8" s="40" t="str">
        <f>DFIE!$B$60</f>
        <v>CHF 1'000</v>
      </c>
      <c r="D8" s="40" t="str">
        <f>DFIE!$B$60</f>
        <v>CHF 1'000</v>
      </c>
      <c r="E8" s="40" t="str">
        <f>DFIE!$B$60</f>
        <v>CHF 1'000</v>
      </c>
      <c r="F8" s="40" t="str">
        <f>DFIE!$B$60</f>
        <v>CHF 1'000</v>
      </c>
      <c r="G8" s="118" t="str">
        <f>DFIE!B61</f>
        <v>Anzahl</v>
      </c>
      <c r="H8" s="40" t="str">
        <f>DFIE!$B$59</f>
        <v>CHF</v>
      </c>
      <c r="I8" s="117" t="str">
        <f>DFIE!B62</f>
        <v>Punkte</v>
      </c>
    </row>
    <row r="9" spans="1:9" x14ac:dyDescent="0.2">
      <c r="B9" s="46" t="str">
        <f>DFIE!$B28</f>
        <v>Zürich</v>
      </c>
      <c r="C9" s="86">
        <f>ASG!H9</f>
        <v>63408588.071309894</v>
      </c>
      <c r="D9" s="86">
        <f>ASG!H37</f>
        <v>67532885.608301625</v>
      </c>
      <c r="E9" s="86">
        <f>ASG!H65</f>
        <v>68969730.926752985</v>
      </c>
      <c r="F9" s="86">
        <f>IF(DFIE!$G$2=2008,AVERAGE(D9:E9),AVERAGE(C9:E9))</f>
        <v>66637068.202121496</v>
      </c>
      <c r="G9" s="211">
        <f>BEV!F9</f>
        <v>1508363.8333333333</v>
      </c>
      <c r="H9" s="86">
        <f t="shared" ref="H9:H35" si="0">F9/G9*1000</f>
        <v>44178.378405467491</v>
      </c>
      <c r="I9" s="218">
        <f>IF(DFIE!$G$2&gt;2013,H9/$H$35*100,ROUND(H9/$H$35*100,1))</f>
        <v>123.31896172677135</v>
      </c>
    </row>
    <row r="10" spans="1:9" x14ac:dyDescent="0.2">
      <c r="B10" s="47" t="str">
        <f>DFIE!$B29</f>
        <v>Bern</v>
      </c>
      <c r="C10" s="95">
        <f>ASG!H10</f>
        <v>28506182.794311542</v>
      </c>
      <c r="D10" s="95">
        <f>ASG!H38</f>
        <v>30646561.543418098</v>
      </c>
      <c r="E10" s="95">
        <f>ASG!H66</f>
        <v>29280895.434275564</v>
      </c>
      <c r="F10" s="95">
        <f>IF(DFIE!$G$2=2008,AVERAGE(D10:E10),AVERAGE(C10:E10))</f>
        <v>29477879.924001735</v>
      </c>
      <c r="G10" s="214">
        <f>BEV!F10</f>
        <v>1034573.1666666666</v>
      </c>
      <c r="H10" s="95">
        <f t="shared" si="0"/>
        <v>28492.79381464891</v>
      </c>
      <c r="I10" s="219">
        <f>IF(DFIE!$G$2&gt;2013,H10/$H$35*100,ROUND(H10/$H$35*100,1))</f>
        <v>79.534421061562156</v>
      </c>
    </row>
    <row r="11" spans="1:9" x14ac:dyDescent="0.2">
      <c r="B11" s="46" t="str">
        <f>DFIE!$B30</f>
        <v>Luzern</v>
      </c>
      <c r="C11" s="86">
        <f>ASG!H11</f>
        <v>12812639.042744121</v>
      </c>
      <c r="D11" s="86">
        <f>ASG!H39</f>
        <v>13413537.939332476</v>
      </c>
      <c r="E11" s="86">
        <f>ASG!H67</f>
        <v>13796963.375812307</v>
      </c>
      <c r="F11" s="86">
        <f>IF(DFIE!$G$2=2008,AVERAGE(D11:E11),AVERAGE(C11:E11))</f>
        <v>13341046.785962969</v>
      </c>
      <c r="G11" s="211">
        <f>BEV!F11</f>
        <v>407830.33333333331</v>
      </c>
      <c r="H11" s="86">
        <f t="shared" si="0"/>
        <v>32712.247460658808</v>
      </c>
      <c r="I11" s="218">
        <f>IF(DFIE!$G$2&gt;2013,H11/$H$35*100,ROUND(H11/$H$35*100,1))</f>
        <v>91.31255012516273</v>
      </c>
    </row>
    <row r="12" spans="1:9" x14ac:dyDescent="0.2">
      <c r="B12" s="47" t="str">
        <f>DFIE!$B31</f>
        <v>Uri</v>
      </c>
      <c r="C12" s="95">
        <f>ASG!H12</f>
        <v>925344.88057623187</v>
      </c>
      <c r="D12" s="95">
        <f>ASG!H40</f>
        <v>938184.54359691148</v>
      </c>
      <c r="E12" s="95">
        <f>ASG!H68</f>
        <v>962157.20428203011</v>
      </c>
      <c r="F12" s="95">
        <f>IF(DFIE!$G$2=2008,AVERAGE(D12:E12),AVERAGE(C12:E12))</f>
        <v>941895.54281839111</v>
      </c>
      <c r="G12" s="214">
        <f>BEV!F12</f>
        <v>36627</v>
      </c>
      <c r="H12" s="95">
        <f t="shared" si="0"/>
        <v>25715.880165407791</v>
      </c>
      <c r="I12" s="219">
        <f>IF(DFIE!$G$2&gt;2013,H12/$H$35*100,ROUND(H12/$H$35*100,1))</f>
        <v>71.782979736886148</v>
      </c>
    </row>
    <row r="13" spans="1:9" x14ac:dyDescent="0.2">
      <c r="B13" s="46" t="str">
        <f>DFIE!$B32</f>
        <v>Schwyz</v>
      </c>
      <c r="C13" s="86">
        <f>ASG!H13</f>
        <v>10531837.712348202</v>
      </c>
      <c r="D13" s="86">
        <f>ASG!H41</f>
        <v>9641360.8274316769</v>
      </c>
      <c r="E13" s="86">
        <f>ASG!H69</f>
        <v>9979105.8030493092</v>
      </c>
      <c r="F13" s="86">
        <f>IF(DFIE!$G$2=2008,AVERAGE(D13:E13),AVERAGE(C13:E13))</f>
        <v>10050768.114276396</v>
      </c>
      <c r="G13" s="211">
        <f>BEV!F13</f>
        <v>157729.66666666666</v>
      </c>
      <c r="H13" s="86">
        <f t="shared" si="0"/>
        <v>63721.481993091955</v>
      </c>
      <c r="I13" s="218">
        <f>IF(DFIE!$G$2&gt;2013,H13/$H$35*100,ROUND(H13/$H$35*100,1))</f>
        <v>177.87133169439161</v>
      </c>
    </row>
    <row r="14" spans="1:9" x14ac:dyDescent="0.2">
      <c r="B14" s="47" t="str">
        <f>DFIE!$B33</f>
        <v>Obwalden</v>
      </c>
      <c r="C14" s="95">
        <f>ASG!H14</f>
        <v>1316714.9888876635</v>
      </c>
      <c r="D14" s="95">
        <f>ASG!H42</f>
        <v>1423867.9595868352</v>
      </c>
      <c r="E14" s="95">
        <f>ASG!H70</f>
        <v>1420068.3284636852</v>
      </c>
      <c r="F14" s="95">
        <f>IF(DFIE!$G$2=2008,AVERAGE(D14:E14),AVERAGE(C14:E14))</f>
        <v>1386883.7589793946</v>
      </c>
      <c r="G14" s="214">
        <f>BEV!F14</f>
        <v>37791.666666666664</v>
      </c>
      <c r="H14" s="95">
        <f t="shared" si="0"/>
        <v>36698.136952045723</v>
      </c>
      <c r="I14" s="219">
        <f>IF(DFIE!$G$2&gt;2013,H14/$H$35*100,ROUND(H14/$H$35*100,1))</f>
        <v>102.43871118802896</v>
      </c>
    </row>
    <row r="15" spans="1:9" x14ac:dyDescent="0.2">
      <c r="B15" s="46" t="str">
        <f>DFIE!$B34</f>
        <v>Nidwalden</v>
      </c>
      <c r="C15" s="86">
        <f>ASG!H15</f>
        <v>2299488.6576035642</v>
      </c>
      <c r="D15" s="86">
        <f>ASG!H43</f>
        <v>2431495.7750310241</v>
      </c>
      <c r="E15" s="86">
        <f>ASG!H71</f>
        <v>2471077.3721604473</v>
      </c>
      <c r="F15" s="86">
        <f>IF(DFIE!$G$2=2008,AVERAGE(D15:E15),AVERAGE(C15:E15))</f>
        <v>2400687.2682650122</v>
      </c>
      <c r="G15" s="211">
        <f>BEV!F15</f>
        <v>43083.166666666664</v>
      </c>
      <c r="H15" s="86">
        <f t="shared" si="0"/>
        <v>55722.163759202449</v>
      </c>
      <c r="I15" s="218">
        <f>IF(DFIE!$G$2&gt;2013,H15/$H$35*100,ROUND(H15/$H$35*100,1))</f>
        <v>155.54213685451947</v>
      </c>
    </row>
    <row r="16" spans="1:9" x14ac:dyDescent="0.2">
      <c r="B16" s="47" t="str">
        <f>DFIE!$B35</f>
        <v>Glarus</v>
      </c>
      <c r="C16" s="95">
        <f>ASG!H16</f>
        <v>1017949.6621446327</v>
      </c>
      <c r="D16" s="95">
        <f>ASG!H44</f>
        <v>1089018.5682607831</v>
      </c>
      <c r="E16" s="95">
        <f>ASG!H72</f>
        <v>1065637.7709436899</v>
      </c>
      <c r="F16" s="95">
        <f>IF(DFIE!$G$2=2008,AVERAGE(D16:E16),AVERAGE(C16:E16))</f>
        <v>1057535.3337830352</v>
      </c>
      <c r="G16" s="214">
        <f>BEV!F16</f>
        <v>40599.333333333336</v>
      </c>
      <c r="H16" s="95">
        <f t="shared" si="0"/>
        <v>26048.096038925971</v>
      </c>
      <c r="I16" s="219">
        <f>IF(DFIE!$G$2&gt;2013,H16/$H$35*100,ROUND(H16/$H$35*100,1))</f>
        <v>72.710322886863437</v>
      </c>
    </row>
    <row r="17" spans="2:9" x14ac:dyDescent="0.2">
      <c r="B17" s="46" t="str">
        <f>DFIE!$B36</f>
        <v>Zug</v>
      </c>
      <c r="C17" s="86">
        <f>ASG!H17</f>
        <v>10774968.342507139</v>
      </c>
      <c r="D17" s="86">
        <f>ASG!H45</f>
        <v>11567827.299666902</v>
      </c>
      <c r="E17" s="86">
        <f>ASG!H73</f>
        <v>12343064.925339513</v>
      </c>
      <c r="F17" s="86">
        <f>IF(DFIE!$G$2=2008,AVERAGE(D17:E17),AVERAGE(C17:E17))</f>
        <v>11561953.522504518</v>
      </c>
      <c r="G17" s="211">
        <f>BEV!F17</f>
        <v>126362</v>
      </c>
      <c r="H17" s="86">
        <f t="shared" si="0"/>
        <v>91498.658793818686</v>
      </c>
      <c r="I17" s="218">
        <f>IF(DFIE!$G$2&gt;2013,H17/$H$35*100,ROUND(H17/$H$35*100,1))</f>
        <v>255.40818855518233</v>
      </c>
    </row>
    <row r="18" spans="2:9" x14ac:dyDescent="0.2">
      <c r="B18" s="47" t="str">
        <f>DFIE!$B37</f>
        <v>Freiburg</v>
      </c>
      <c r="C18" s="95">
        <f>ASG!H18</f>
        <v>8319564.6011043061</v>
      </c>
      <c r="D18" s="95">
        <f>ASG!H46</f>
        <v>7949395.0344876647</v>
      </c>
      <c r="E18" s="95">
        <f>ASG!H74</f>
        <v>8120368.1360816052</v>
      </c>
      <c r="F18" s="95">
        <f>IF(DFIE!$G$2=2008,AVERAGE(D18:E18),AVERAGE(C18:E18))</f>
        <v>8129775.9238911914</v>
      </c>
      <c r="G18" s="214">
        <f>BEV!F18</f>
        <v>315240.83333333331</v>
      </c>
      <c r="H18" s="95">
        <f t="shared" si="0"/>
        <v>25789.095397089077</v>
      </c>
      <c r="I18" s="219">
        <f>IF(DFIE!$G$2&gt;2013,H18/$H$35*100,ROUND(H18/$H$35*100,1))</f>
        <v>71.987351800311728</v>
      </c>
    </row>
    <row r="19" spans="2:9" x14ac:dyDescent="0.2">
      <c r="B19" s="46" t="str">
        <f>DFIE!$B38</f>
        <v>Solothurn</v>
      </c>
      <c r="C19" s="86">
        <f>ASG!H19</f>
        <v>6708737.2336969785</v>
      </c>
      <c r="D19" s="86">
        <f>ASG!H47</f>
        <v>6936063.1991919018</v>
      </c>
      <c r="E19" s="86">
        <f>ASG!H75</f>
        <v>7186567.3793720063</v>
      </c>
      <c r="F19" s="86">
        <f>IF(DFIE!$G$2=2008,AVERAGE(D19:E19),AVERAGE(C19:E19))</f>
        <v>6943789.2707536295</v>
      </c>
      <c r="G19" s="211">
        <f>BEV!F19</f>
        <v>272545.66666666669</v>
      </c>
      <c r="H19" s="86">
        <f t="shared" si="0"/>
        <v>25477.52586081707</v>
      </c>
      <c r="I19" s="218">
        <f>IF(DFIE!$G$2&gt;2013,H19/$H$35*100,ROUND(H19/$H$35*100,1))</f>
        <v>71.117640572658331</v>
      </c>
    </row>
    <row r="20" spans="2:9" x14ac:dyDescent="0.2">
      <c r="B20" s="47" t="str">
        <f>DFIE!$B39</f>
        <v>Basel-Stadt</v>
      </c>
      <c r="C20" s="95">
        <f>ASG!H20</f>
        <v>9577660.5557395257</v>
      </c>
      <c r="D20" s="95">
        <f>ASG!H48</f>
        <v>10175558.264733611</v>
      </c>
      <c r="E20" s="95">
        <f>ASG!H76</f>
        <v>10209379.273708867</v>
      </c>
      <c r="F20" s="95">
        <f>IF(DFIE!$G$2=2008,AVERAGE(D20:E20),AVERAGE(C20:E20))</f>
        <v>9987532.6980606671</v>
      </c>
      <c r="G20" s="214">
        <f>BEV!F20</f>
        <v>196445.5</v>
      </c>
      <c r="H20" s="95">
        <f t="shared" si="0"/>
        <v>50841.239417857199</v>
      </c>
      <c r="I20" s="219">
        <f>IF(DFIE!$G$2&gt;2013,H20/$H$35*100,ROUND(H20/$H$35*100,1))</f>
        <v>141.91758693289697</v>
      </c>
    </row>
    <row r="21" spans="2:9" x14ac:dyDescent="0.2">
      <c r="B21" s="46" t="str">
        <f>DFIE!$B40</f>
        <v>Basel-Landschaft</v>
      </c>
      <c r="C21" s="86">
        <f>ASG!H21</f>
        <v>9685006.1351852622</v>
      </c>
      <c r="D21" s="86">
        <f>ASG!H49</f>
        <v>10255851.991955578</v>
      </c>
      <c r="E21" s="86">
        <f>ASG!H77</f>
        <v>10138394.893023355</v>
      </c>
      <c r="F21" s="86">
        <f>IF(DFIE!$G$2=2008,AVERAGE(D21:E21),AVERAGE(C21:E21))</f>
        <v>10026417.673388066</v>
      </c>
      <c r="G21" s="211">
        <f>BEV!F21</f>
        <v>287667.16666666669</v>
      </c>
      <c r="H21" s="86">
        <f t="shared" si="0"/>
        <v>34854.23028831838</v>
      </c>
      <c r="I21" s="218">
        <f>IF(DFIE!$G$2&gt;2013,H21/$H$35*100,ROUND(H21/$H$35*100,1))</f>
        <v>97.29165365674146</v>
      </c>
    </row>
    <row r="22" spans="2:9" x14ac:dyDescent="0.2">
      <c r="B22" s="47" t="str">
        <f>DFIE!$B41</f>
        <v>Schaffhausen</v>
      </c>
      <c r="C22" s="95">
        <f>ASG!H22</f>
        <v>2538919.6590222572</v>
      </c>
      <c r="D22" s="95">
        <f>ASG!H50</f>
        <v>2931079.6608699425</v>
      </c>
      <c r="E22" s="95">
        <f>ASG!H78</f>
        <v>2915035.0190886701</v>
      </c>
      <c r="F22" s="95">
        <f>IF(DFIE!$G$2=2008,AVERAGE(D22:E22),AVERAGE(C22:E22))</f>
        <v>2795011.4463269566</v>
      </c>
      <c r="G22" s="214">
        <f>BEV!F22</f>
        <v>81878.666666666672</v>
      </c>
      <c r="H22" s="95">
        <f t="shared" si="0"/>
        <v>34136.015645022999</v>
      </c>
      <c r="I22" s="219">
        <f>IF(DFIE!$G$2&gt;2013,H22/$H$35*100,ROUND(H22/$H$35*100,1))</f>
        <v>95.286838466485662</v>
      </c>
    </row>
    <row r="23" spans="2:9" x14ac:dyDescent="0.2">
      <c r="B23" s="46" t="str">
        <f>DFIE!$B42</f>
        <v>Appenzell A.Rh.</v>
      </c>
      <c r="C23" s="86">
        <f>ASG!H23</f>
        <v>1629181.1880731678</v>
      </c>
      <c r="D23" s="86">
        <f>ASG!H51</f>
        <v>1696713.1018394288</v>
      </c>
      <c r="E23" s="86">
        <f>ASG!H79</f>
        <v>1732617.5070335688</v>
      </c>
      <c r="F23" s="86">
        <f>IF(DFIE!$G$2=2008,AVERAGE(D23:E23),AVERAGE(C23:E23))</f>
        <v>1686170.598982055</v>
      </c>
      <c r="G23" s="211">
        <f>BEV!F23</f>
        <v>55188</v>
      </c>
      <c r="H23" s="86">
        <f t="shared" si="0"/>
        <v>30553.210824491827</v>
      </c>
      <c r="I23" s="218">
        <f>IF(DFIE!$G$2&gt;2013,H23/$H$35*100,ROUND(H23/$H$35*100,1))</f>
        <v>85.285842810137737</v>
      </c>
    </row>
    <row r="24" spans="2:9" x14ac:dyDescent="0.2">
      <c r="B24" s="47" t="str">
        <f>DFIE!$B43</f>
        <v>Appenzell I.Rh.</v>
      </c>
      <c r="C24" s="95">
        <f>ASG!H24</f>
        <v>515718.89454426983</v>
      </c>
      <c r="D24" s="95">
        <f>ASG!H52</f>
        <v>562179.57398411329</v>
      </c>
      <c r="E24" s="95">
        <f>ASG!H80</f>
        <v>592294.28475428291</v>
      </c>
      <c r="F24" s="95">
        <f>IF(DFIE!$G$2=2008,AVERAGE(D24:E24),AVERAGE(C24:E24))</f>
        <v>556730.9177608887</v>
      </c>
      <c r="G24" s="214">
        <f>BEV!F24</f>
        <v>16145.166666666666</v>
      </c>
      <c r="H24" s="95">
        <f t="shared" si="0"/>
        <v>34482.822584316586</v>
      </c>
      <c r="I24" s="219">
        <f>IF(DFIE!$G$2&gt;2013,H24/$H$35*100,ROUND(H24/$H$35*100,1))</f>
        <v>96.254910931273812</v>
      </c>
    </row>
    <row r="25" spans="2:9" x14ac:dyDescent="0.2">
      <c r="B25" s="46" t="str">
        <f>DFIE!$B44</f>
        <v>St. Gallen</v>
      </c>
      <c r="C25" s="86">
        <f>ASG!H25</f>
        <v>14210473.028746404</v>
      </c>
      <c r="D25" s="86">
        <f>ASG!H53</f>
        <v>15249184.192629071</v>
      </c>
      <c r="E25" s="86">
        <f>ASG!H81</f>
        <v>15719193.686214391</v>
      </c>
      <c r="F25" s="86">
        <f>IF(DFIE!$G$2=2008,AVERAGE(D25:E25),AVERAGE(C25:E25))</f>
        <v>15059616.969196623</v>
      </c>
      <c r="G25" s="211">
        <f>BEV!F25</f>
        <v>506736.83333333331</v>
      </c>
      <c r="H25" s="86">
        <f t="shared" si="0"/>
        <v>29718.812564174415</v>
      </c>
      <c r="I25" s="218">
        <f>IF(DFIE!$G$2&gt;2013,H25/$H$35*100,ROUND(H25/$H$35*100,1))</f>
        <v>82.956714153929894</v>
      </c>
    </row>
    <row r="26" spans="2:9" x14ac:dyDescent="0.2">
      <c r="B26" s="47" t="str">
        <f>DFIE!$B45</f>
        <v>Graubünden</v>
      </c>
      <c r="C26" s="95">
        <f>ASG!H26</f>
        <v>5898575.5694147777</v>
      </c>
      <c r="D26" s="95">
        <f>ASG!H54</f>
        <v>6116237.2000924125</v>
      </c>
      <c r="E26" s="95">
        <f>ASG!H82</f>
        <v>6265108.5915482817</v>
      </c>
      <c r="F26" s="95">
        <f>IF(DFIE!$G$2=2008,AVERAGE(D26:E26),AVERAGE(C26:E26))</f>
        <v>6093307.120351824</v>
      </c>
      <c r="G26" s="214">
        <f>BEV!F26</f>
        <v>205223.83333333334</v>
      </c>
      <c r="H26" s="95">
        <f t="shared" si="0"/>
        <v>29691.030624375941</v>
      </c>
      <c r="I26" s="219">
        <f>IF(DFIE!$G$2&gt;2013,H26/$H$35*100,ROUND(H26/$H$35*100,1))</f>
        <v>82.879164001697987</v>
      </c>
    </row>
    <row r="27" spans="2:9" x14ac:dyDescent="0.2">
      <c r="B27" s="46" t="str">
        <f>DFIE!$B46</f>
        <v>Aargau</v>
      </c>
      <c r="C27" s="86">
        <f>ASG!H27</f>
        <v>18849587.48486954</v>
      </c>
      <c r="D27" s="86">
        <f>ASG!H55</f>
        <v>19636942.620639797</v>
      </c>
      <c r="E27" s="86">
        <f>ASG!H83</f>
        <v>20432018.74997852</v>
      </c>
      <c r="F27" s="86">
        <f>IF(DFIE!$G$2=2008,AVERAGE(D27:E27),AVERAGE(C27:E27))</f>
        <v>19639516.28516262</v>
      </c>
      <c r="G27" s="211">
        <f>BEV!F27</f>
        <v>672043.83333333337</v>
      </c>
      <c r="H27" s="86">
        <f t="shared" si="0"/>
        <v>29223.564462679074</v>
      </c>
      <c r="I27" s="218">
        <f>IF(DFIE!$G$2&gt;2013,H27/$H$35*100,ROUND(H27/$H$35*100,1))</f>
        <v>81.574284923209163</v>
      </c>
    </row>
    <row r="28" spans="2:9" x14ac:dyDescent="0.2">
      <c r="B28" s="47" t="str">
        <f>DFIE!$B47</f>
        <v>Thurgau</v>
      </c>
      <c r="C28" s="95">
        <f>ASG!H28</f>
        <v>7436278.5322094867</v>
      </c>
      <c r="D28" s="95">
        <f>ASG!H56</f>
        <v>7827485.1684755785</v>
      </c>
      <c r="E28" s="95">
        <f>ASG!H84</f>
        <v>8088252.0734854145</v>
      </c>
      <c r="F28" s="95">
        <f>IF(DFIE!$G$2=2008,AVERAGE(D28:E28),AVERAGE(C28:E28))</f>
        <v>7784005.2580568269</v>
      </c>
      <c r="G28" s="214">
        <f>BEV!F28</f>
        <v>274006.83333333331</v>
      </c>
      <c r="H28" s="95">
        <f t="shared" si="0"/>
        <v>28408.069840314787</v>
      </c>
      <c r="I28" s="219">
        <f>IF(DFIE!$G$2&gt;2013,H28/$H$35*100,ROUND(H28/$H$35*100,1))</f>
        <v>79.297923640756935</v>
      </c>
    </row>
    <row r="29" spans="2:9" x14ac:dyDescent="0.2">
      <c r="B29" s="46" t="str">
        <f>DFIE!$B48</f>
        <v>Tessin</v>
      </c>
      <c r="C29" s="86">
        <f>ASG!H29</f>
        <v>11959542.252659803</v>
      </c>
      <c r="D29" s="86">
        <f>ASG!H57</f>
        <v>12471011.089780578</v>
      </c>
      <c r="E29" s="86">
        <f>ASG!H85</f>
        <v>12329351.229178982</v>
      </c>
      <c r="F29" s="86">
        <f>IF(DFIE!$G$2=2008,AVERAGE(D29:E29),AVERAGE(C29:E29))</f>
        <v>12253301.523873121</v>
      </c>
      <c r="G29" s="211">
        <f>BEV!F29</f>
        <v>356336.33333333331</v>
      </c>
      <c r="H29" s="86">
        <f t="shared" si="0"/>
        <v>34386.899054750109</v>
      </c>
      <c r="I29" s="218">
        <f>IF(DFIE!$G$2&gt;2013,H29/$H$35*100,ROUND(H29/$H$35*100,1))</f>
        <v>95.987151214909005</v>
      </c>
    </row>
    <row r="30" spans="2:9" x14ac:dyDescent="0.2">
      <c r="B30" s="47" t="str">
        <f>DFIE!$B49</f>
        <v>Waadt</v>
      </c>
      <c r="C30" s="95">
        <f>ASG!H30</f>
        <v>27344230.249959838</v>
      </c>
      <c r="D30" s="95">
        <f>ASG!H58</f>
        <v>28728909.080107328</v>
      </c>
      <c r="E30" s="95">
        <f>ASG!H86</f>
        <v>29262616.007007733</v>
      </c>
      <c r="F30" s="95">
        <f>IF(DFIE!$G$2=2008,AVERAGE(D30:E30),AVERAGE(C30:E30))</f>
        <v>28445251.77902497</v>
      </c>
      <c r="G30" s="214">
        <f>BEV!F30</f>
        <v>797472.33333333337</v>
      </c>
      <c r="H30" s="95">
        <f t="shared" si="0"/>
        <v>35669.264738160156</v>
      </c>
      <c r="I30" s="219">
        <f>IF(DFIE!$G$2&gt;2013,H30/$H$35*100,ROUND(H30/$H$35*100,1))</f>
        <v>99.566730419486532</v>
      </c>
    </row>
    <row r="31" spans="2:9" x14ac:dyDescent="0.2">
      <c r="B31" s="46" t="str">
        <f>DFIE!$B50</f>
        <v>Wallis</v>
      </c>
      <c r="C31" s="86">
        <f>ASG!H31</f>
        <v>7940573.9504151437</v>
      </c>
      <c r="D31" s="86">
        <f>ASG!H59</f>
        <v>7972301.7938087862</v>
      </c>
      <c r="E31" s="86">
        <f>ASG!H87</f>
        <v>8265409.8162303511</v>
      </c>
      <c r="F31" s="86">
        <f>IF(DFIE!$G$2=2008,AVERAGE(D31:E31),AVERAGE(C31:E31))</f>
        <v>8059428.5201514261</v>
      </c>
      <c r="G31" s="211">
        <f>BEV!F31</f>
        <v>347870.16666666669</v>
      </c>
      <c r="H31" s="86">
        <f t="shared" si="0"/>
        <v>23167.920944120702</v>
      </c>
      <c r="I31" s="218">
        <f>IF(DFIE!$G$2&gt;2013,H31/$H$35*100,ROUND(H31/$H$35*100,1))</f>
        <v>64.670638880744875</v>
      </c>
    </row>
    <row r="32" spans="2:9" x14ac:dyDescent="0.2">
      <c r="B32" s="47" t="str">
        <f>DFIE!$B51</f>
        <v>Neuenburg</v>
      </c>
      <c r="C32" s="95">
        <f>ASG!H32</f>
        <v>5117584.6211813139</v>
      </c>
      <c r="D32" s="95">
        <f>ASG!H60</f>
        <v>5101283.5837695524</v>
      </c>
      <c r="E32" s="95">
        <f>ASG!H88</f>
        <v>5215051.8939881418</v>
      </c>
      <c r="F32" s="95">
        <f>IF(DFIE!$G$2=2008,AVERAGE(D32:E32),AVERAGE(C32:E32))</f>
        <v>5144640.032979669</v>
      </c>
      <c r="G32" s="214">
        <f>BEV!F32</f>
        <v>179255</v>
      </c>
      <c r="H32" s="95">
        <f t="shared" si="0"/>
        <v>28700.120124848225</v>
      </c>
      <c r="I32" s="219">
        <f>IF(DFIE!$G$2&gt;2013,H32/$H$35*100,ROUND(H32/$H$35*100,1))</f>
        <v>80.113149078189807</v>
      </c>
    </row>
    <row r="33" spans="1:9" x14ac:dyDescent="0.2">
      <c r="B33" s="46" t="str">
        <f>DFIE!$B52</f>
        <v>Genf</v>
      </c>
      <c r="C33" s="86">
        <f>ASG!H33</f>
        <v>23484675.942353845</v>
      </c>
      <c r="D33" s="86">
        <f>ASG!H61</f>
        <v>24117108.950180851</v>
      </c>
      <c r="E33" s="86">
        <f>ASG!H89</f>
        <v>25215581.318461105</v>
      </c>
      <c r="F33" s="86">
        <f>IF(DFIE!$G$2=2008,AVERAGE(D33:E33),AVERAGE(C33:E33))</f>
        <v>24272455.403665263</v>
      </c>
      <c r="G33" s="211">
        <f>BEV!F33</f>
        <v>496070.16666666669</v>
      </c>
      <c r="H33" s="86">
        <f t="shared" si="0"/>
        <v>48929.480211969865</v>
      </c>
      <c r="I33" s="218">
        <f>IF(DFIE!$G$2&gt;2013,H33/$H$35*100,ROUND(H33/$H$35*100,1))</f>
        <v>136.58112668128109</v>
      </c>
    </row>
    <row r="34" spans="1:9" x14ac:dyDescent="0.2">
      <c r="B34" s="47" t="str">
        <f>DFIE!$B53</f>
        <v>Jura</v>
      </c>
      <c r="C34" s="95">
        <f>ASG!H34</f>
        <v>1644921.5664202953</v>
      </c>
      <c r="D34" s="95">
        <f>ASG!H62</f>
        <v>1736270.9373726109</v>
      </c>
      <c r="E34" s="95">
        <f>ASG!H90</f>
        <v>1797291.3013004914</v>
      </c>
      <c r="F34" s="95">
        <f>IF(DFIE!$G$2=2008,AVERAGE(D34:E34),AVERAGE(C34:E34))</f>
        <v>1726161.2683644658</v>
      </c>
      <c r="G34" s="214">
        <f>BEV!F34</f>
        <v>73452.333333333328</v>
      </c>
      <c r="H34" s="95">
        <f t="shared" si="0"/>
        <v>23500.427965044895</v>
      </c>
      <c r="I34" s="219">
        <f>IF(DFIE!$G$2&gt;2013,H34/$H$35*100,ROUND(H34/$H$35*100,1))</f>
        <v>65.598794735875998</v>
      </c>
    </row>
    <row r="35" spans="1:9" x14ac:dyDescent="0.2">
      <c r="A35" s="41"/>
      <c r="B35" s="24" t="str">
        <f>DFIE!$B54</f>
        <v>Schweiz</v>
      </c>
      <c r="C35" s="31">
        <f>SUM(C9:C34)</f>
        <v>294454945.61802918</v>
      </c>
      <c r="D35" s="31">
        <f>SUM(D9:D34)</f>
        <v>308148315.5085451</v>
      </c>
      <c r="E35" s="31">
        <f>SUM(E9:E34)</f>
        <v>313773232.30153525</v>
      </c>
      <c r="F35" s="31">
        <f>SUM(F9:F34)</f>
        <v>305458831.14270318</v>
      </c>
      <c r="G35" s="108">
        <f>SUM(G9:G34)</f>
        <v>8526538.8333333321</v>
      </c>
      <c r="H35" s="31">
        <f t="shared" si="0"/>
        <v>35824.481318088161</v>
      </c>
      <c r="I35" s="210">
        <v>100</v>
      </c>
    </row>
    <row r="36" spans="1:9" ht="10.5" customHeight="1" x14ac:dyDescent="0.2">
      <c r="C36" s="215"/>
      <c r="D36" s="216"/>
      <c r="E36" s="217"/>
    </row>
    <row r="38" spans="1:9" ht="22.5" customHeight="1" x14ac:dyDescent="0.2">
      <c r="B38" s="220" t="str">
        <f>DFIE!$B$179</f>
        <v>ASG-Index
Standardabweichung</v>
      </c>
      <c r="C38" s="221">
        <f t="array" ref="C38">_xlfn.STDEV.P(100*(C9:C34/$G9:$G34)/(C$35/$G$35))</f>
        <v>41.390457597037546</v>
      </c>
      <c r="D38" s="222">
        <f t="array" ref="D38">_xlfn.STDEV.P(100*(D9:D34/$G9:$G34)/(D$35/$G$35))</f>
        <v>40.822804080605742</v>
      </c>
      <c r="E38" s="223">
        <f t="array" ref="E38">_xlfn.STDEV.P(100*(E9:E34/$G9:$G34)/(E$35/$G$35))</f>
        <v>42.753437029998345</v>
      </c>
      <c r="F38" s="221"/>
      <c r="G38" s="222"/>
      <c r="H38" s="224" t="str">
        <f>DFIE!$B$180</f>
        <v>Ressourcenindex
Standardabweichung</v>
      </c>
      <c r="I38" s="225">
        <f>_xlfn.STDEV.P(I9:I34)</f>
        <v>41.567450417258677</v>
      </c>
    </row>
  </sheetData>
  <conditionalFormatting sqref="C9:F34">
    <cfRule type="expression" dxfId="8" priority="2" stopIfTrue="1">
      <formula>ISBLANK(C9)</formula>
    </cfRule>
  </conditionalFormatting>
  <pageMargins left="0.78740157480314965" right="0.59055118110236227" top="0.98425196850393704" bottom="0.59055118110236227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customProperties>
    <customPr name="EpmWorksheetKeyString_GU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zoomScaleNormal="100" workbookViewId="0">
      <selection activeCell="A75" sqref="A75"/>
    </sheetView>
  </sheetViews>
  <sheetFormatPr baseColWidth="10" defaultRowHeight="12.75" x14ac:dyDescent="0.2"/>
  <cols>
    <col min="1" max="1" width="1.42578125" customWidth="1"/>
    <col min="2" max="2" width="3.7109375" customWidth="1"/>
    <col min="3" max="3" width="45.42578125" customWidth="1"/>
    <col min="4" max="4" width="12.5703125" customWidth="1"/>
    <col min="5" max="5" width="12.7109375" customWidth="1"/>
    <col min="6" max="9" width="15.7109375" customWidth="1"/>
  </cols>
  <sheetData>
    <row r="1" spans="1:9" ht="18" customHeight="1" x14ac:dyDescent="0.2">
      <c r="B1" s="116" t="str">
        <f>DFIE!B181</f>
        <v>Standardisierter Steuersatz (SST) 2022</v>
      </c>
      <c r="C1" s="202"/>
      <c r="D1" s="209"/>
      <c r="E1" s="125"/>
      <c r="F1" s="52"/>
      <c r="G1" s="52"/>
      <c r="H1" s="52"/>
      <c r="I1" s="52"/>
    </row>
    <row r="2" spans="1:9" ht="12.75" customHeight="1" x14ac:dyDescent="0.2">
      <c r="A2" s="199"/>
      <c r="B2" s="52"/>
      <c r="C2" s="199"/>
      <c r="D2" s="200"/>
      <c r="E2" s="201"/>
    </row>
    <row r="3" spans="1:9" ht="15" customHeight="1" x14ac:dyDescent="0.2">
      <c r="B3" s="240"/>
      <c r="C3" s="241"/>
      <c r="D3" s="78" t="str">
        <f>DFIE!B58</f>
        <v>Einheit</v>
      </c>
      <c r="E3" s="78" t="str">
        <f>DFIE!B56</f>
        <v>Formel</v>
      </c>
      <c r="F3" s="242">
        <f>DFIE!$G$2-6</f>
        <v>2016</v>
      </c>
      <c r="G3" s="243">
        <f>DFIE!$G$2-5</f>
        <v>2017</v>
      </c>
      <c r="H3" s="244">
        <f>DFIE!$G$2-4</f>
        <v>2018</v>
      </c>
      <c r="I3" s="245" t="str">
        <f>F3 &amp; " - " &amp; H3</f>
        <v>2016 - 2018</v>
      </c>
    </row>
    <row r="4" spans="1:9" ht="15" customHeight="1" x14ac:dyDescent="0.2">
      <c r="B4" s="264" t="s">
        <v>118</v>
      </c>
      <c r="C4" s="241" t="str">
        <f>DFIE!$B182</f>
        <v>Steuereinnahmen der Kantone und Gemeinden</v>
      </c>
      <c r="D4" s="163" t="str">
        <f>DFIE!$B$60</f>
        <v>CHF 1'000</v>
      </c>
      <c r="E4" s="78"/>
      <c r="F4" s="236">
        <v>74037087.129989997</v>
      </c>
      <c r="G4" s="237">
        <v>75416963.657450005</v>
      </c>
      <c r="H4" s="238">
        <v>77936903.982810006</v>
      </c>
      <c r="I4" s="246"/>
    </row>
    <row r="5" spans="1:9" ht="15" customHeight="1" x14ac:dyDescent="0.2">
      <c r="B5" s="264" t="s">
        <v>119</v>
      </c>
      <c r="C5" s="241" t="str">
        <f>DFIE!$B183</f>
        <v>Debitorenverluste auf Steuereinnahmen</v>
      </c>
      <c r="D5" s="163" t="str">
        <f>DFIE!$B$60</f>
        <v>CHF 1'000</v>
      </c>
      <c r="E5" s="78"/>
      <c r="F5" s="233">
        <v>684142.24473000003</v>
      </c>
      <c r="G5" s="234">
        <v>637254.84640000004</v>
      </c>
      <c r="H5" s="235">
        <v>725090.14956000005</v>
      </c>
      <c r="I5" s="246"/>
    </row>
    <row r="6" spans="1:9" ht="15" customHeight="1" x14ac:dyDescent="0.2">
      <c r="B6" s="264" t="s">
        <v>30</v>
      </c>
      <c r="C6" s="241" t="str">
        <f>DFIE!$B184</f>
        <v>Einnahmen direkte Bundessteuer (DBSt)</v>
      </c>
      <c r="D6" s="163" t="str">
        <f>DFIE!$B$60</f>
        <v>CHF 1'000</v>
      </c>
      <c r="E6" s="78"/>
      <c r="F6" s="236">
        <v>21131325.118749999</v>
      </c>
      <c r="G6" s="237">
        <v>21018753.311420001</v>
      </c>
      <c r="H6" s="238">
        <v>22521183.341120001</v>
      </c>
      <c r="I6" s="246"/>
    </row>
    <row r="7" spans="1:9" ht="15" customHeight="1" x14ac:dyDescent="0.2">
      <c r="B7" s="264" t="s">
        <v>31</v>
      </c>
      <c r="C7" s="241" t="str">
        <f>DFIE!$B185</f>
        <v>Kantonsanteil</v>
      </c>
      <c r="D7" s="163" t="str">
        <f>DFIE!$B$63</f>
        <v>Prozent</v>
      </c>
      <c r="E7" s="78"/>
      <c r="F7" s="268">
        <v>0.17</v>
      </c>
      <c r="G7" s="269">
        <v>0.17</v>
      </c>
      <c r="H7" s="270">
        <v>0.17</v>
      </c>
      <c r="I7" s="250"/>
    </row>
    <row r="8" spans="1:9" ht="15" customHeight="1" x14ac:dyDescent="0.2">
      <c r="B8" s="264" t="s">
        <v>32</v>
      </c>
      <c r="C8" s="241" t="str">
        <f>DFIE!$B186</f>
        <v>Anteil der Kantone an DBSt</v>
      </c>
      <c r="D8" s="163" t="str">
        <f>DFIE!$B$60</f>
        <v>CHF 1'000</v>
      </c>
      <c r="E8" s="78" t="s">
        <v>583</v>
      </c>
      <c r="F8" s="247">
        <f>IF(DFIE!$G$2=2008,"",F7*F6)</f>
        <v>3592325.2701874999</v>
      </c>
      <c r="G8" s="248">
        <f>G7*G6</f>
        <v>3573188.0629414003</v>
      </c>
      <c r="H8" s="249">
        <f>H7*H6</f>
        <v>3828601.1679904005</v>
      </c>
      <c r="I8" s="250"/>
    </row>
    <row r="9" spans="1:9" ht="15.75" customHeight="1" x14ac:dyDescent="0.2">
      <c r="B9" s="265" t="s">
        <v>43</v>
      </c>
      <c r="C9" s="251" t="str">
        <f>DFIE!$B187</f>
        <v>Standardisierte Steuererträge (SSE)</v>
      </c>
      <c r="D9" s="164" t="str">
        <f>DFIE!$B$60</f>
        <v>CHF 1'000</v>
      </c>
      <c r="E9" s="252" t="s">
        <v>626</v>
      </c>
      <c r="F9" s="253">
        <f>IF(DFIE!$G$2=2008,"",F4-F5+F8)</f>
        <v>76945270.155447498</v>
      </c>
      <c r="G9" s="254">
        <f t="shared" ref="G9:H9" si="0">G4-G5+G8</f>
        <v>78352896.873991415</v>
      </c>
      <c r="H9" s="255">
        <f t="shared" si="0"/>
        <v>81040415.001240402</v>
      </c>
      <c r="I9" s="255">
        <f>IF(DFIE!$G$2=2008,AVERAGE(G9:H9),AVERAGE(F9:H9))</f>
        <v>78779527.343559772</v>
      </c>
    </row>
    <row r="10" spans="1:9" ht="15.75" customHeight="1" x14ac:dyDescent="0.2">
      <c r="B10" s="266"/>
      <c r="C10" s="241"/>
      <c r="D10" s="239"/>
      <c r="E10" s="256"/>
      <c r="F10" s="67"/>
      <c r="G10" s="67"/>
      <c r="H10" s="67"/>
      <c r="I10" s="67"/>
    </row>
    <row r="11" spans="1:9" ht="15" customHeight="1" x14ac:dyDescent="0.2">
      <c r="B11" s="264" t="s">
        <v>42</v>
      </c>
      <c r="C11" s="241" t="str">
        <f>DFIE!$B188</f>
        <v>Massgebende Wohnbevölkerung</v>
      </c>
      <c r="D11" s="163" t="str">
        <f>DFIE!B61</f>
        <v>Anzahl</v>
      </c>
      <c r="E11" s="78"/>
      <c r="F11" s="248"/>
      <c r="G11" s="248"/>
      <c r="H11" s="248"/>
      <c r="I11" s="249">
        <f>BEV!F35</f>
        <v>8526538.8333333321</v>
      </c>
    </row>
    <row r="12" spans="1:9" ht="15.75" customHeight="1" x14ac:dyDescent="0.2">
      <c r="B12" s="265" t="s">
        <v>33</v>
      </c>
      <c r="C12" s="251" t="str">
        <f>DFIE!$B189</f>
        <v>Standardisierte Steuererträge pro Kopf</v>
      </c>
      <c r="D12" s="164" t="str">
        <f>DFIE!$B$59</f>
        <v>CHF</v>
      </c>
      <c r="E12" s="252" t="s">
        <v>64</v>
      </c>
      <c r="F12" s="257"/>
      <c r="G12" s="257"/>
      <c r="H12" s="257"/>
      <c r="I12" s="255">
        <f>I9/I11*1000</f>
        <v>9239.3324986197258</v>
      </c>
    </row>
    <row r="13" spans="1:9" ht="15" customHeight="1" x14ac:dyDescent="0.2">
      <c r="B13" s="264" t="s">
        <v>591</v>
      </c>
      <c r="C13" s="241" t="str">
        <f>DFIE!$B190</f>
        <v>Ressourcenpotenzial pro Kopf</v>
      </c>
      <c r="D13" s="163" t="str">
        <f>DFIE!$B$59</f>
        <v>CHF</v>
      </c>
      <c r="E13" s="78"/>
      <c r="F13" s="248"/>
      <c r="G13" s="248"/>
      <c r="H13" s="248"/>
      <c r="I13" s="249">
        <f>RP!H35</f>
        <v>35824.481318088161</v>
      </c>
    </row>
    <row r="14" spans="1:9" ht="15.75" customHeight="1" x14ac:dyDescent="0.2">
      <c r="B14" s="267" t="s">
        <v>35</v>
      </c>
      <c r="C14" s="258" t="str">
        <f>DFIE!$B191</f>
        <v>Standardisierter Steuersatz (SST)</v>
      </c>
      <c r="D14" s="259" t="str">
        <f>DFIE!B63</f>
        <v>Prozent</v>
      </c>
      <c r="E14" s="260" t="s">
        <v>627</v>
      </c>
      <c r="F14" s="261"/>
      <c r="G14" s="261"/>
      <c r="H14" s="261"/>
      <c r="I14" s="262">
        <f>I12/I13</f>
        <v>0.25790554834787488</v>
      </c>
    </row>
    <row r="18" spans="1:2" x14ac:dyDescent="0.2">
      <c r="A18" s="52"/>
      <c r="B18" s="263"/>
    </row>
  </sheetData>
  <conditionalFormatting sqref="I13">
    <cfRule type="expression" dxfId="7" priority="5" stopIfTrue="1">
      <formula>ISBLANK(#REF!)</formula>
    </cfRule>
  </conditionalFormatting>
  <conditionalFormatting sqref="F3:H3">
    <cfRule type="expression" dxfId="6" priority="4" stopIfTrue="1">
      <formula>ISBLANK(F3)</formula>
    </cfRule>
  </conditionalFormatting>
  <conditionalFormatting sqref="F4:H4">
    <cfRule type="expression" dxfId="5" priority="3">
      <formula>ISBLANK(F4)</formula>
    </cfRule>
  </conditionalFormatting>
  <conditionalFormatting sqref="F5:H6">
    <cfRule type="expression" dxfId="4" priority="2">
      <formula>ISBLANK(F5)</formula>
    </cfRule>
  </conditionalFormatting>
  <conditionalFormatting sqref="F7:H7">
    <cfRule type="expression" dxfId="3" priority="1">
      <formula>ISBLANK(F7)</formula>
    </cfRule>
  </conditionalFormatting>
  <pageMargins left="0.78740157480314965" right="0.70866141732283472" top="0.98425196850393704" bottom="0.98425196850393704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customProperties>
    <customPr name="EpmWorksheetKeyString_GU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showGridLines="0" workbookViewId="0">
      <selection activeCell="A75" sqref="A75"/>
    </sheetView>
  </sheetViews>
  <sheetFormatPr baseColWidth="10" defaultRowHeight="12.75" x14ac:dyDescent="0.2"/>
  <cols>
    <col min="1" max="1" width="1.42578125" customWidth="1"/>
    <col min="2" max="2" width="17.140625" customWidth="1"/>
    <col min="3" max="7" width="15.7109375" customWidth="1"/>
    <col min="8" max="8" width="3.42578125" customWidth="1"/>
    <col min="9" max="9" width="30" customWidth="1"/>
    <col min="10" max="10" width="9.140625" customWidth="1"/>
  </cols>
  <sheetData>
    <row r="1" spans="1:10" ht="18" customHeight="1" x14ac:dyDescent="0.2">
      <c r="B1" s="116" t="str">
        <f>DFIE!B192</f>
        <v>Auszahlungen an die ressourcenschwachen Kantone 2022</v>
      </c>
      <c r="C1" s="202"/>
      <c r="D1" s="202"/>
      <c r="E1" s="209"/>
      <c r="F1" s="125"/>
    </row>
    <row r="2" spans="1:10" ht="12.75" customHeight="1" x14ac:dyDescent="0.2">
      <c r="A2" s="199"/>
      <c r="B2" s="52"/>
      <c r="C2" s="199"/>
      <c r="D2" s="199"/>
      <c r="E2" s="200"/>
      <c r="F2" s="201"/>
    </row>
    <row r="3" spans="1:10" ht="0.75" customHeight="1" x14ac:dyDescent="0.2">
      <c r="A3" s="199"/>
      <c r="B3" s="199"/>
      <c r="C3" s="199"/>
      <c r="D3" s="199"/>
      <c r="E3" s="199"/>
      <c r="F3" s="199"/>
      <c r="G3" s="199"/>
    </row>
    <row r="4" spans="1:10" ht="0.75" customHeight="1" x14ac:dyDescent="0.2">
      <c r="A4" s="199"/>
      <c r="B4" s="199"/>
      <c r="C4" s="199"/>
      <c r="D4" s="199"/>
      <c r="E4" s="199"/>
      <c r="F4" s="199"/>
      <c r="G4" s="199"/>
    </row>
    <row r="5" spans="1:10" ht="0.75" customHeight="1" x14ac:dyDescent="0.2">
      <c r="A5" s="199"/>
      <c r="B5" s="199"/>
      <c r="C5" s="199"/>
      <c r="D5" s="199"/>
      <c r="E5" s="199"/>
      <c r="F5" s="199"/>
      <c r="G5" s="199"/>
    </row>
    <row r="6" spans="1:10" ht="12" customHeight="1" x14ac:dyDescent="0.2">
      <c r="B6" s="34" t="str">
        <f>DFIE!B55</f>
        <v>Spalte</v>
      </c>
      <c r="C6" s="276" t="s">
        <v>30</v>
      </c>
      <c r="D6" s="35" t="s">
        <v>31</v>
      </c>
      <c r="E6" s="35" t="s">
        <v>32</v>
      </c>
      <c r="F6" s="114" t="s">
        <v>43</v>
      </c>
      <c r="G6" s="112" t="s">
        <v>42</v>
      </c>
    </row>
    <row r="7" spans="1:10" ht="45" customHeight="1" x14ac:dyDescent="0.2">
      <c r="B7" s="291"/>
      <c r="C7" s="271" t="str">
        <f>DFIE!B193</f>
        <v>Ressourcen-
index</v>
      </c>
      <c r="D7" s="70" t="str">
        <f>DFIE!B194</f>
        <v>Auszahlung in
Indexpunkten</v>
      </c>
      <c r="E7" s="70" t="str">
        <f>DFIE!B195</f>
        <v>Index SSE
nach Ausgleich</v>
      </c>
      <c r="F7" s="275" t="str">
        <f>DFIE!B196</f>
        <v>Auszahlung
pro Einwohner</v>
      </c>
      <c r="G7" s="272" t="str">
        <f>DFIE!B197</f>
        <v>Auszahlung</v>
      </c>
    </row>
    <row r="8" spans="1:10" x14ac:dyDescent="0.2">
      <c r="B8" s="34" t="str">
        <f>DFIE!B58</f>
        <v>Einheit</v>
      </c>
      <c r="C8" s="277" t="str">
        <f>DFIE!B62</f>
        <v>Punkte</v>
      </c>
      <c r="D8" s="40" t="str">
        <f>DFIE!B61</f>
        <v>Anzahl</v>
      </c>
      <c r="E8" s="40"/>
      <c r="F8" s="118" t="str">
        <f>DFIE!$B$59</f>
        <v>CHF</v>
      </c>
      <c r="G8" s="117" t="str">
        <f>DFIE!$B$59</f>
        <v>CHF</v>
      </c>
    </row>
    <row r="9" spans="1:10" ht="12.75" customHeight="1" x14ac:dyDescent="0.2">
      <c r="B9" s="46" t="str">
        <f>DFIE!$B28</f>
        <v>Zürich</v>
      </c>
      <c r="C9" s="273">
        <f>RP!$I9</f>
        <v>123.31896172677135</v>
      </c>
      <c r="D9" s="289">
        <f>IF(C9&lt;$J$11,$J$10-C9,IF(C9&lt;100,$J$16*(100-C9)^$J$15,0))</f>
        <v>0</v>
      </c>
      <c r="E9" s="289">
        <f>IF(C9&lt;100,C9+D9,0)</f>
        <v>0</v>
      </c>
      <c r="F9" s="211">
        <f>D9*$J$14/100</f>
        <v>0</v>
      </c>
      <c r="G9" s="106">
        <f>F9*BEV!$F9</f>
        <v>0</v>
      </c>
      <c r="I9" s="279"/>
      <c r="J9" s="280"/>
    </row>
    <row r="10" spans="1:10" x14ac:dyDescent="0.2">
      <c r="B10" s="47" t="str">
        <f>DFIE!$B29</f>
        <v>Bern</v>
      </c>
      <c r="C10" s="278">
        <f>RP!$I10</f>
        <v>79.534421061562156</v>
      </c>
      <c r="D10" s="290">
        <f t="shared" ref="D10:D34" si="0">IF(C10&lt;$J$11,$J$10-C10,IF(C10&lt;100,$J$16*(100-C10)^$J$15,0))</f>
        <v>8.8244671998105488</v>
      </c>
      <c r="E10" s="290">
        <f t="shared" ref="E10:E34" si="1">IF(C10&lt;100,C10+D10,0)</f>
        <v>88.358888261372698</v>
      </c>
      <c r="F10" s="214">
        <f t="shared" ref="F10:F34" si="2">D10*$J$14/100</f>
        <v>815.3218658221341</v>
      </c>
      <c r="G10" s="119">
        <f>F10*BEV!$F10</f>
        <v>843510124.57618034</v>
      </c>
      <c r="I10" s="284" t="str">
        <f>DFIE!$B$198</f>
        <v>Garantierte Mindestausstattung</v>
      </c>
      <c r="J10" s="288">
        <v>86.5</v>
      </c>
    </row>
    <row r="11" spans="1:10" x14ac:dyDescent="0.2">
      <c r="B11" s="46" t="str">
        <f>DFIE!$B30</f>
        <v>Luzern</v>
      </c>
      <c r="C11" s="273">
        <f>RP!$I11</f>
        <v>91.31255012516273</v>
      </c>
      <c r="D11" s="289">
        <f t="shared" si="0"/>
        <v>2.1714292016505672</v>
      </c>
      <c r="E11" s="289">
        <f t="shared" si="1"/>
        <v>93.483979326813298</v>
      </c>
      <c r="F11" s="211">
        <f t="shared" si="2"/>
        <v>200.62556391261973</v>
      </c>
      <c r="G11" s="106">
        <f>F11*BEV!$F11</f>
        <v>81821190.605671674</v>
      </c>
      <c r="I11" s="284" t="str">
        <f>DFIE!$B$199</f>
        <v>Beginn Progression</v>
      </c>
      <c r="J11" s="288">
        <v>70</v>
      </c>
    </row>
    <row r="12" spans="1:10" x14ac:dyDescent="0.2">
      <c r="B12" s="47" t="str">
        <f>DFIE!$B31</f>
        <v>Uri</v>
      </c>
      <c r="C12" s="278">
        <f>RP!$I12</f>
        <v>71.782979736886148</v>
      </c>
      <c r="D12" s="290">
        <f t="shared" si="0"/>
        <v>14.925886559823589</v>
      </c>
      <c r="E12" s="290">
        <f t="shared" si="1"/>
        <v>86.708866296709743</v>
      </c>
      <c r="F12" s="214">
        <f t="shared" si="2"/>
        <v>1379.0522876288946</v>
      </c>
      <c r="G12" s="119">
        <f>F12*BEV!$F12</f>
        <v>50510548.138983525</v>
      </c>
      <c r="I12" s="284" t="str">
        <f>DFIE!$B$200</f>
        <v>Maximale Grenzabschöpfung</v>
      </c>
      <c r="J12" s="187">
        <v>0.9</v>
      </c>
    </row>
    <row r="13" spans="1:10" x14ac:dyDescent="0.2">
      <c r="B13" s="46" t="str">
        <f>DFIE!$B32</f>
        <v>Schwyz</v>
      </c>
      <c r="C13" s="273">
        <f>RP!$I13</f>
        <v>177.87133169439161</v>
      </c>
      <c r="D13" s="289">
        <f t="shared" si="0"/>
        <v>0</v>
      </c>
      <c r="E13" s="289">
        <f t="shared" si="1"/>
        <v>0</v>
      </c>
      <c r="F13" s="211">
        <f t="shared" si="2"/>
        <v>0</v>
      </c>
      <c r="G13" s="106">
        <f>F13*BEV!$F13</f>
        <v>0</v>
      </c>
      <c r="I13" s="284"/>
      <c r="J13" s="281"/>
    </row>
    <row r="14" spans="1:10" x14ac:dyDescent="0.2">
      <c r="B14" s="47" t="str">
        <f>DFIE!$B33</f>
        <v>Obwalden</v>
      </c>
      <c r="C14" s="278">
        <f>RP!$I14</f>
        <v>102.43871118802896</v>
      </c>
      <c r="D14" s="290">
        <f t="shared" si="0"/>
        <v>0</v>
      </c>
      <c r="E14" s="290">
        <f t="shared" si="1"/>
        <v>0</v>
      </c>
      <c r="F14" s="214">
        <f t="shared" si="2"/>
        <v>0</v>
      </c>
      <c r="G14" s="119">
        <f>F14*BEV!$F14</f>
        <v>0</v>
      </c>
      <c r="I14" s="287" t="str">
        <f>DFIE!$B$201</f>
        <v>SSE pro Einwohner</v>
      </c>
      <c r="J14" s="285">
        <f>SST!$I$12</f>
        <v>9239.3324986197258</v>
      </c>
    </row>
    <row r="15" spans="1:10" x14ac:dyDescent="0.2">
      <c r="B15" s="46" t="str">
        <f>DFIE!$B34</f>
        <v>Nidwalden</v>
      </c>
      <c r="C15" s="273">
        <f>RP!$I15</f>
        <v>155.54213685451947</v>
      </c>
      <c r="D15" s="289">
        <f t="shared" si="0"/>
        <v>0</v>
      </c>
      <c r="E15" s="289">
        <f t="shared" si="1"/>
        <v>0</v>
      </c>
      <c r="F15" s="211">
        <f t="shared" si="2"/>
        <v>0</v>
      </c>
      <c r="G15" s="106">
        <f>F15*BEV!$F15</f>
        <v>0</v>
      </c>
      <c r="I15" s="287" t="str">
        <f>DFIE!$B$202</f>
        <v>Progressionsmass p</v>
      </c>
      <c r="J15" s="286">
        <f>J12*(100-J11) / (J10-J11)</f>
        <v>1.6363636363636365</v>
      </c>
    </row>
    <row r="16" spans="1:10" x14ac:dyDescent="0.2">
      <c r="B16" s="47" t="str">
        <f>DFIE!$B35</f>
        <v>Glarus</v>
      </c>
      <c r="C16" s="278">
        <f>RP!$I16</f>
        <v>72.710322886863437</v>
      </c>
      <c r="D16" s="290">
        <f t="shared" si="0"/>
        <v>14.131621458692768</v>
      </c>
      <c r="E16" s="290">
        <f t="shared" si="1"/>
        <v>86.8419443455562</v>
      </c>
      <c r="F16" s="214">
        <f t="shared" si="2"/>
        <v>1305.6674940149198</v>
      </c>
      <c r="G16" s="119">
        <f>F16*BEV!$F16</f>
        <v>53009229.812009737</v>
      </c>
      <c r="I16" s="287" t="str">
        <f>DFIE!$B$203</f>
        <v>Progressionsmass t</v>
      </c>
      <c r="J16" s="286">
        <f>(J10-J11)/(100-J11)^J15</f>
        <v>6.3150448091571998E-2</v>
      </c>
    </row>
    <row r="17" spans="2:10" x14ac:dyDescent="0.2">
      <c r="B17" s="46" t="str">
        <f>DFIE!$B36</f>
        <v>Zug</v>
      </c>
      <c r="C17" s="273">
        <f>RP!$I17</f>
        <v>255.40818855518233</v>
      </c>
      <c r="D17" s="289">
        <f t="shared" si="0"/>
        <v>0</v>
      </c>
      <c r="E17" s="289">
        <f t="shared" si="1"/>
        <v>0</v>
      </c>
      <c r="F17" s="211">
        <f t="shared" si="2"/>
        <v>0</v>
      </c>
      <c r="G17" s="106">
        <f>F17*BEV!$F17</f>
        <v>0</v>
      </c>
      <c r="I17" s="282"/>
      <c r="J17" s="283"/>
    </row>
    <row r="18" spans="2:10" x14ac:dyDescent="0.2">
      <c r="B18" s="47" t="str">
        <f>DFIE!$B37</f>
        <v>Freiburg</v>
      </c>
      <c r="C18" s="278">
        <f>RP!$I18</f>
        <v>71.987351800311728</v>
      </c>
      <c r="D18" s="290">
        <f t="shared" si="0"/>
        <v>14.749393575816338</v>
      </c>
      <c r="E18" s="290">
        <f t="shared" si="1"/>
        <v>86.73674537612807</v>
      </c>
      <c r="F18" s="214">
        <f t="shared" si="2"/>
        <v>1362.7455139997289</v>
      </c>
      <c r="G18" s="119">
        <f>F18*BEV!$F18</f>
        <v>429593031.4545362</v>
      </c>
    </row>
    <row r="19" spans="2:10" x14ac:dyDescent="0.2">
      <c r="B19" s="46" t="str">
        <f>DFIE!$B38</f>
        <v>Solothurn</v>
      </c>
      <c r="C19" s="273">
        <f>RP!$I19</f>
        <v>71.117640572658331</v>
      </c>
      <c r="D19" s="289">
        <f t="shared" si="0"/>
        <v>15.506101446042063</v>
      </c>
      <c r="E19" s="289">
        <f t="shared" si="1"/>
        <v>86.623742018700398</v>
      </c>
      <c r="F19" s="211">
        <f t="shared" si="2"/>
        <v>1432.6602701731076</v>
      </c>
      <c r="G19" s="106">
        <f>F19*BEV!$F19</f>
        <v>390465348.44117641</v>
      </c>
    </row>
    <row r="20" spans="2:10" x14ac:dyDescent="0.2">
      <c r="B20" s="47" t="str">
        <f>DFIE!$B39</f>
        <v>Basel-Stadt</v>
      </c>
      <c r="C20" s="278">
        <f>RP!$I20</f>
        <v>141.91758693289697</v>
      </c>
      <c r="D20" s="290">
        <f t="shared" si="0"/>
        <v>0</v>
      </c>
      <c r="E20" s="290">
        <f t="shared" si="1"/>
        <v>0</v>
      </c>
      <c r="F20" s="214">
        <f t="shared" si="2"/>
        <v>0</v>
      </c>
      <c r="G20" s="119">
        <f>F20*BEV!$F20</f>
        <v>0</v>
      </c>
    </row>
    <row r="21" spans="2:10" x14ac:dyDescent="0.2">
      <c r="B21" s="46" t="str">
        <f>DFIE!$B40</f>
        <v>Basel-Landschaft</v>
      </c>
      <c r="C21" s="273">
        <f>RP!$I21</f>
        <v>97.29165365674146</v>
      </c>
      <c r="D21" s="289">
        <f t="shared" si="0"/>
        <v>0.3224317916586027</v>
      </c>
      <c r="E21" s="289">
        <f t="shared" si="1"/>
        <v>97.614085448400061</v>
      </c>
      <c r="F21" s="211">
        <f t="shared" si="2"/>
        <v>29.790545312595128</v>
      </c>
      <c r="G21" s="106">
        <f>F21*BEV!$F21</f>
        <v>8569761.7635291889</v>
      </c>
    </row>
    <row r="22" spans="2:10" x14ac:dyDescent="0.2">
      <c r="B22" s="47" t="str">
        <f>DFIE!$B41</f>
        <v>Schaffhausen</v>
      </c>
      <c r="C22" s="278">
        <f>RP!$I22</f>
        <v>95.286838466485662</v>
      </c>
      <c r="D22" s="290">
        <f t="shared" si="0"/>
        <v>0.79828917517224984</v>
      </c>
      <c r="E22" s="290">
        <f t="shared" si="1"/>
        <v>96.085127641657905</v>
      </c>
      <c r="F22" s="214">
        <f t="shared" si="2"/>
        <v>73.756591194653026</v>
      </c>
      <c r="G22" s="119">
        <f>F22*BEV!$F22</f>
        <v>6039091.3448965969</v>
      </c>
    </row>
    <row r="23" spans="2:10" x14ac:dyDescent="0.2">
      <c r="B23" s="46" t="str">
        <f>DFIE!$B42</f>
        <v>Appenzell A.Rh.</v>
      </c>
      <c r="C23" s="273">
        <f>RP!$I23</f>
        <v>85.285842810137737</v>
      </c>
      <c r="D23" s="289">
        <f t="shared" si="0"/>
        <v>5.1429957760706406</v>
      </c>
      <c r="E23" s="289">
        <f t="shared" si="1"/>
        <v>90.428838586208371</v>
      </c>
      <c r="F23" s="211">
        <f t="shared" si="2"/>
        <v>475.17848014113451</v>
      </c>
      <c r="G23" s="106">
        <f>F23*BEV!$F23</f>
        <v>26224149.962028932</v>
      </c>
    </row>
    <row r="24" spans="2:10" x14ac:dyDescent="0.2">
      <c r="B24" s="47" t="str">
        <f>DFIE!$B43</f>
        <v>Appenzell I.Rh.</v>
      </c>
      <c r="C24" s="278">
        <f>RP!$I24</f>
        <v>96.254910931273812</v>
      </c>
      <c r="D24" s="290">
        <f t="shared" si="0"/>
        <v>0.54798547487807747</v>
      </c>
      <c r="E24" s="290">
        <f t="shared" si="1"/>
        <v>96.802896406151888</v>
      </c>
      <c r="F24" s="214">
        <f t="shared" si="2"/>
        <v>50.630200068125845</v>
      </c>
      <c r="G24" s="119">
        <f>F24*BEV!$F24</f>
        <v>817433.01846656972</v>
      </c>
    </row>
    <row r="25" spans="2:10" x14ac:dyDescent="0.2">
      <c r="B25" s="46" t="str">
        <f>DFIE!$B44</f>
        <v>St. Gallen</v>
      </c>
      <c r="C25" s="273">
        <f>RP!$I25</f>
        <v>82.956714153929894</v>
      </c>
      <c r="D25" s="289">
        <f t="shared" si="0"/>
        <v>6.5410206256194812</v>
      </c>
      <c r="E25" s="289">
        <f t="shared" si="1"/>
        <v>89.497734779549376</v>
      </c>
      <c r="F25" s="211">
        <f t="shared" si="2"/>
        <v>604.34664440428003</v>
      </c>
      <c r="G25" s="106">
        <f>F25*BEV!$F25</f>
        <v>306244704.82105088</v>
      </c>
    </row>
    <row r="26" spans="2:10" x14ac:dyDescent="0.2">
      <c r="B26" s="47" t="str">
        <f>DFIE!$B45</f>
        <v>Graubünden</v>
      </c>
      <c r="C26" s="278">
        <f>RP!$I26</f>
        <v>82.879164001697987</v>
      </c>
      <c r="D26" s="290">
        <f t="shared" si="0"/>
        <v>6.5897939806234263</v>
      </c>
      <c r="E26" s="290">
        <f t="shared" si="1"/>
        <v>89.468957982321413</v>
      </c>
      <c r="F26" s="214">
        <f t="shared" si="2"/>
        <v>608.8529768438267</v>
      </c>
      <c r="G26" s="119">
        <f>F26*BEV!$F26</f>
        <v>124951141.84430136</v>
      </c>
    </row>
    <row r="27" spans="2:10" x14ac:dyDescent="0.2">
      <c r="B27" s="46" t="str">
        <f>DFIE!$B46</f>
        <v>Aargau</v>
      </c>
      <c r="C27" s="273">
        <f>RP!$I27</f>
        <v>81.574284923209163</v>
      </c>
      <c r="D27" s="289">
        <f t="shared" si="0"/>
        <v>7.4314032733482502</v>
      </c>
      <c r="E27" s="289">
        <f t="shared" si="1"/>
        <v>89.005688196557415</v>
      </c>
      <c r="F27" s="211">
        <f t="shared" si="2"/>
        <v>686.61205773795507</v>
      </c>
      <c r="G27" s="106">
        <f>F27*BEV!$F27</f>
        <v>461433399.29510337</v>
      </c>
    </row>
    <row r="28" spans="2:10" x14ac:dyDescent="0.2">
      <c r="B28" s="47" t="str">
        <f>DFIE!$B47</f>
        <v>Thurgau</v>
      </c>
      <c r="C28" s="278">
        <f>RP!$I28</f>
        <v>79.297923640756935</v>
      </c>
      <c r="D28" s="290">
        <f t="shared" si="0"/>
        <v>8.9919469796466078</v>
      </c>
      <c r="E28" s="290">
        <f t="shared" si="1"/>
        <v>88.289870620403548</v>
      </c>
      <c r="F28" s="214">
        <f t="shared" si="2"/>
        <v>830.79587954914382</v>
      </c>
      <c r="G28" s="119">
        <f>F28*BEV!$F28</f>
        <v>227643748.10164231</v>
      </c>
    </row>
    <row r="29" spans="2:10" x14ac:dyDescent="0.2">
      <c r="B29" s="46" t="str">
        <f>DFIE!$B48</f>
        <v>Tessin</v>
      </c>
      <c r="C29" s="273">
        <f>RP!$I29</f>
        <v>95.987151214909005</v>
      </c>
      <c r="D29" s="289">
        <f t="shared" si="0"/>
        <v>0.61354249196869592</v>
      </c>
      <c r="E29" s="289">
        <f t="shared" si="1"/>
        <v>96.600693706877706</v>
      </c>
      <c r="F29" s="211">
        <f t="shared" si="2"/>
        <v>56.687230853305046</v>
      </c>
      <c r="G29" s="106">
        <f>F29*BEV!$F29</f>
        <v>20199719.989086922</v>
      </c>
    </row>
    <row r="30" spans="2:10" x14ac:dyDescent="0.2">
      <c r="B30" s="47" t="str">
        <f>DFIE!$B49</f>
        <v>Waadt</v>
      </c>
      <c r="C30" s="278">
        <f>RP!$I30</f>
        <v>99.566730419486532</v>
      </c>
      <c r="D30" s="290">
        <f t="shared" si="0"/>
        <v>1.6068700701171126E-2</v>
      </c>
      <c r="E30" s="290">
        <f t="shared" si="1"/>
        <v>99.582799120187701</v>
      </c>
      <c r="F30" s="214">
        <f t="shared" si="2"/>
        <v>1.4846406859892398</v>
      </c>
      <c r="G30" s="119">
        <f>F30*BEV!$F30</f>
        <v>1183959.8720174397</v>
      </c>
    </row>
    <row r="31" spans="2:10" x14ac:dyDescent="0.2">
      <c r="B31" s="46" t="str">
        <f>DFIE!$B50</f>
        <v>Wallis</v>
      </c>
      <c r="C31" s="273">
        <f>RP!$I31</f>
        <v>64.670638880744875</v>
      </c>
      <c r="D31" s="289">
        <f t="shared" si="0"/>
        <v>21.829361119255125</v>
      </c>
      <c r="E31" s="289">
        <f t="shared" si="1"/>
        <v>86.5</v>
      </c>
      <c r="F31" s="211">
        <f t="shared" si="2"/>
        <v>2016.8872561323974</v>
      </c>
      <c r="G31" s="106">
        <f>F31*BEV!$F31</f>
        <v>701614905.93865311</v>
      </c>
    </row>
    <row r="32" spans="2:10" x14ac:dyDescent="0.2">
      <c r="B32" s="47" t="str">
        <f>DFIE!$B51</f>
        <v>Neuenburg</v>
      </c>
      <c r="C32" s="278">
        <f>RP!$I32</f>
        <v>80.113149078189807</v>
      </c>
      <c r="D32" s="290">
        <f t="shared" si="0"/>
        <v>8.419816913455568</v>
      </c>
      <c r="E32" s="290">
        <f t="shared" si="1"/>
        <v>88.532965991645369</v>
      </c>
      <c r="F32" s="214">
        <f t="shared" si="2"/>
        <v>777.93488040918066</v>
      </c>
      <c r="G32" s="119">
        <f>F32*BEV!$F32</f>
        <v>139448716.98774767</v>
      </c>
    </row>
    <row r="33" spans="2:10" x14ac:dyDescent="0.2">
      <c r="B33" s="46" t="str">
        <f>DFIE!$B52</f>
        <v>Genf</v>
      </c>
      <c r="C33" s="273">
        <f>RP!$I33</f>
        <v>136.58112668128109</v>
      </c>
      <c r="D33" s="289">
        <f t="shared" si="0"/>
        <v>0</v>
      </c>
      <c r="E33" s="289">
        <f t="shared" si="1"/>
        <v>0</v>
      </c>
      <c r="F33" s="211">
        <f t="shared" si="2"/>
        <v>0</v>
      </c>
      <c r="G33" s="106">
        <f>F33*BEV!$F33</f>
        <v>0</v>
      </c>
    </row>
    <row r="34" spans="2:10" x14ac:dyDescent="0.2">
      <c r="B34" s="47" t="str">
        <f>DFIE!$B53</f>
        <v>Jura</v>
      </c>
      <c r="C34" s="278">
        <f>RP!$I34</f>
        <v>65.598794735875998</v>
      </c>
      <c r="D34" s="290">
        <f t="shared" si="0"/>
        <v>20.901205264124002</v>
      </c>
      <c r="E34" s="290">
        <f t="shared" si="1"/>
        <v>86.5</v>
      </c>
      <c r="F34" s="214">
        <f t="shared" si="2"/>
        <v>1931.1318505714257</v>
      </c>
      <c r="G34" s="119">
        <f>F34*BEV!$F34</f>
        <v>141846140.3987892</v>
      </c>
    </row>
    <row r="35" spans="2:10" x14ac:dyDescent="0.2">
      <c r="B35" s="24" t="str">
        <f>DFIE!$B54</f>
        <v>Schweiz</v>
      </c>
      <c r="C35" s="274">
        <f>RP!$I35</f>
        <v>100</v>
      </c>
      <c r="D35" s="31"/>
      <c r="E35" s="31"/>
      <c r="F35" s="108"/>
      <c r="G35" s="107">
        <f>SUM(G9:G34)</f>
        <v>4015126346.3658714</v>
      </c>
      <c r="I35" s="81"/>
      <c r="J35" s="81"/>
    </row>
  </sheetData>
  <conditionalFormatting sqref="J10:J12">
    <cfRule type="expression" dxfId="2" priority="1" stopIfTrue="1">
      <formula>ISBLANK(J10)</formula>
    </cfRule>
  </conditionalFormatting>
  <pageMargins left="0.78740157480314965" right="0.59055118110236227" top="0.98425196850393704" bottom="0.98425196850393704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customProperties>
    <customPr name="EpmWorksheetKeyString_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showGridLines="0" workbookViewId="0">
      <selection activeCell="A75" sqref="A75"/>
    </sheetView>
  </sheetViews>
  <sheetFormatPr baseColWidth="10" defaultRowHeight="12.75" x14ac:dyDescent="0.2"/>
  <cols>
    <col min="1" max="1" width="1.42578125" customWidth="1"/>
    <col min="2" max="2" width="23.28515625" customWidth="1"/>
    <col min="3" max="3" width="12.85546875" customWidth="1"/>
    <col min="4" max="6" width="20.7109375" customWidth="1"/>
    <col min="10" max="10" width="2.42578125" customWidth="1"/>
    <col min="12" max="12" width="30.85546875" customWidth="1"/>
    <col min="13" max="15" width="19.5703125" customWidth="1"/>
  </cols>
  <sheetData>
    <row r="1" spans="1:6" ht="18" customHeight="1" x14ac:dyDescent="0.25">
      <c r="B1" s="6" t="str">
        <f>DFIE!B204</f>
        <v>Dotationen im Ressourcenausgleich 2022</v>
      </c>
      <c r="C1" s="6"/>
    </row>
    <row r="2" spans="1:6" ht="22.5" customHeight="1" x14ac:dyDescent="0.2">
      <c r="B2" s="15"/>
      <c r="C2" s="15"/>
    </row>
    <row r="3" spans="1:6" ht="45" customHeight="1" x14ac:dyDescent="0.2">
      <c r="B3" s="292"/>
      <c r="C3" s="298" t="str">
        <f>DFIE!$B$58</f>
        <v>Einheit</v>
      </c>
      <c r="D3" s="271" t="str">
        <f>DFIE!B205</f>
        <v>Vertikaler
Ressourcenausgleich
(VRA)</v>
      </c>
      <c r="E3" s="295" t="str">
        <f>DFIE!B206</f>
        <v>Horizontaler
Ressourcenausgleich
(HRA)</v>
      </c>
      <c r="F3" s="272" t="str">
        <f>DFIE!B207</f>
        <v>Ausgleich
Total</v>
      </c>
    </row>
    <row r="4" spans="1:6" ht="24" customHeight="1" x14ac:dyDescent="0.2">
      <c r="A4" s="82"/>
      <c r="B4" s="293" t="str">
        <f>DFIE!$B$208</f>
        <v>Dotation 2022</v>
      </c>
      <c r="C4" s="277" t="str">
        <f>DFIE!$B$59</f>
        <v>CHF</v>
      </c>
      <c r="D4" s="108">
        <f>D5*F4</f>
        <v>2409075807.8195229</v>
      </c>
      <c r="E4" s="107">
        <f>E5*F4</f>
        <v>1606050538.5463486</v>
      </c>
      <c r="F4" s="107">
        <f>AUSZ!$G$35</f>
        <v>4015126346.3658714</v>
      </c>
    </row>
    <row r="5" spans="1:6" ht="18" customHeight="1" x14ac:dyDescent="0.2">
      <c r="A5" s="83"/>
      <c r="B5" s="294" t="str">
        <f>DFIE!$B$209</f>
        <v>Anteile</v>
      </c>
      <c r="C5" s="277" t="str">
        <f>DFIE!$B$63</f>
        <v>Prozent</v>
      </c>
      <c r="D5" s="296">
        <f>D7/(1+D7)</f>
        <v>0.6</v>
      </c>
      <c r="E5" s="297">
        <f>1/(1+D7)</f>
        <v>0.4</v>
      </c>
      <c r="F5" s="297">
        <v>1</v>
      </c>
    </row>
    <row r="7" spans="1:6" ht="18" customHeight="1" x14ac:dyDescent="0.2">
      <c r="A7" s="83"/>
      <c r="B7" s="299" t="str">
        <f>DFIE!$B$210</f>
        <v>VRA in % des HRA</v>
      </c>
      <c r="C7" s="163" t="str">
        <f>DFIE!$B$63</f>
        <v>Prozent</v>
      </c>
      <c r="D7" s="300">
        <v>1.5</v>
      </c>
      <c r="E7" s="83"/>
      <c r="F7" s="83"/>
    </row>
  </sheetData>
  <conditionalFormatting sqref="D7">
    <cfRule type="expression" dxfId="1" priority="1" stopIfTrue="1">
      <formula>ISBLANK(D7)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customProperties>
    <customPr name="EpmWorksheetKeyString_GU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showGridLines="0" workbookViewId="0">
      <selection activeCell="A75" sqref="A75"/>
    </sheetView>
  </sheetViews>
  <sheetFormatPr baseColWidth="10" defaultRowHeight="12.75" x14ac:dyDescent="0.2"/>
  <cols>
    <col min="1" max="1" width="1.42578125" customWidth="1"/>
    <col min="2" max="2" width="17.140625" customWidth="1"/>
    <col min="3" max="7" width="16.7109375" customWidth="1"/>
  </cols>
  <sheetData>
    <row r="1" spans="1:7" ht="18" customHeight="1" x14ac:dyDescent="0.2">
      <c r="B1" s="116" t="str">
        <f>DFIE!B211</f>
        <v>Einzahlungen der ressourcenstarken Kantone 2022</v>
      </c>
      <c r="C1" s="202"/>
      <c r="D1" s="202"/>
      <c r="E1" s="209"/>
      <c r="F1" s="125"/>
      <c r="G1" s="52"/>
    </row>
    <row r="2" spans="1:7" ht="12.75" customHeight="1" x14ac:dyDescent="0.2">
      <c r="A2" s="199"/>
      <c r="B2" s="52"/>
      <c r="C2" s="199"/>
      <c r="D2" s="199"/>
      <c r="E2" s="200"/>
      <c r="F2" s="201"/>
    </row>
    <row r="3" spans="1:7" ht="0.75" customHeight="1" x14ac:dyDescent="0.2">
      <c r="A3" s="199"/>
      <c r="B3" s="199"/>
      <c r="C3" s="199"/>
      <c r="D3" s="199"/>
      <c r="E3" s="199"/>
      <c r="F3" s="199"/>
      <c r="G3" s="52"/>
    </row>
    <row r="4" spans="1:7" ht="0.75" customHeight="1" x14ac:dyDescent="0.2">
      <c r="A4" s="199"/>
      <c r="B4" s="199"/>
      <c r="C4" s="199"/>
      <c r="D4" s="199"/>
      <c r="E4" s="199"/>
      <c r="F4" s="199"/>
      <c r="G4" s="52"/>
    </row>
    <row r="5" spans="1:7" ht="12" customHeight="1" x14ac:dyDescent="0.2">
      <c r="B5" s="34" t="str">
        <f>DFIE!B55</f>
        <v>Spalte</v>
      </c>
      <c r="C5" s="74" t="s">
        <v>30</v>
      </c>
      <c r="D5" s="35" t="s">
        <v>31</v>
      </c>
      <c r="E5" s="35" t="s">
        <v>32</v>
      </c>
      <c r="F5" s="114" t="s">
        <v>43</v>
      </c>
      <c r="G5" s="112" t="s">
        <v>42</v>
      </c>
    </row>
    <row r="6" spans="1:7" ht="12" customHeight="1" x14ac:dyDescent="0.2">
      <c r="B6" s="34" t="str">
        <f>DFIE!B56</f>
        <v>Formel</v>
      </c>
      <c r="C6" s="76"/>
      <c r="D6" s="183"/>
      <c r="E6" s="183" t="s">
        <v>78</v>
      </c>
      <c r="F6" s="301" t="s">
        <v>79</v>
      </c>
      <c r="G6" s="302" t="str">
        <f>DFIE!B217</f>
        <v>Dotation/E[Schweiz]*E</v>
      </c>
    </row>
    <row r="7" spans="1:7" ht="42.75" customHeight="1" x14ac:dyDescent="0.2">
      <c r="B7" s="291"/>
      <c r="C7" s="70" t="str">
        <f>DFIE!B212</f>
        <v>Ressourcen-
index</v>
      </c>
      <c r="D7" s="70" t="str">
        <f>DFIE!B213</f>
        <v>Massgebende
Wohn-
bevölkerung</v>
      </c>
      <c r="E7" s="70" t="str">
        <f>DFIE!B214</f>
        <v>Summe der
gewichteten
Abweichungen</v>
      </c>
      <c r="F7" s="275" t="str">
        <f>DFIE!B215</f>
        <v>Einzahlung
pro Einwohner</v>
      </c>
      <c r="G7" s="272" t="str">
        <f>DFIE!B216</f>
        <v>Einzahlung</v>
      </c>
    </row>
    <row r="8" spans="1:7" x14ac:dyDescent="0.2">
      <c r="B8" s="34" t="str">
        <f>DFIE!B58</f>
        <v>Einheit</v>
      </c>
      <c r="C8" s="239" t="str">
        <f>DFIE!B62</f>
        <v>Punkte</v>
      </c>
      <c r="D8" s="40" t="str">
        <f>DFIE!B61</f>
        <v>Anzahl</v>
      </c>
      <c r="E8" s="40"/>
      <c r="F8" s="118" t="str">
        <f>DFIE!$B$59</f>
        <v>CHF</v>
      </c>
      <c r="G8" s="117" t="str">
        <f>DFIE!$B$59</f>
        <v>CHF</v>
      </c>
    </row>
    <row r="9" spans="1:7" ht="12.75" customHeight="1" x14ac:dyDescent="0.2">
      <c r="B9" s="46" t="str">
        <f>DFIE!$B28</f>
        <v>Zürich</v>
      </c>
      <c r="C9" s="192">
        <f>RP!I9</f>
        <v>123.31896172677135</v>
      </c>
      <c r="D9" s="86">
        <f>RP!G9</f>
        <v>1508363.8333333333</v>
      </c>
      <c r="E9" s="86">
        <f t="shared" ref="E9:E34" si="0">IF(C9&gt;100,(C9-100)*D9,0)</f>
        <v>35173478.499546118</v>
      </c>
      <c r="F9" s="211">
        <f>G9/D9</f>
        <v>390.28084374023445</v>
      </c>
      <c r="G9" s="106">
        <f>DOT!$E$4/$E$35*E9</f>
        <v>588685509.54058766</v>
      </c>
    </row>
    <row r="10" spans="1:7" ht="12.75" customHeight="1" x14ac:dyDescent="0.2">
      <c r="B10" s="47" t="str">
        <f>DFIE!$B29</f>
        <v>Bern</v>
      </c>
      <c r="C10" s="193">
        <f>RP!I10</f>
        <v>79.534421061562156</v>
      </c>
      <c r="D10" s="95">
        <f>RP!G10</f>
        <v>1034573.1666666666</v>
      </c>
      <c r="E10" s="95">
        <f t="shared" si="0"/>
        <v>0</v>
      </c>
      <c r="F10" s="214">
        <f t="shared" ref="F10:F34" si="1">G10/D10</f>
        <v>0</v>
      </c>
      <c r="G10" s="119">
        <f>DOT!$E$4/$E$35*E10</f>
        <v>0</v>
      </c>
    </row>
    <row r="11" spans="1:7" ht="12.75" customHeight="1" x14ac:dyDescent="0.2">
      <c r="B11" s="46" t="str">
        <f>DFIE!$B30</f>
        <v>Luzern</v>
      </c>
      <c r="C11" s="192">
        <f>RP!I11</f>
        <v>91.31255012516273</v>
      </c>
      <c r="D11" s="86">
        <f>RP!G11</f>
        <v>407830.33333333331</v>
      </c>
      <c r="E11" s="86">
        <f t="shared" si="0"/>
        <v>0</v>
      </c>
      <c r="F11" s="211">
        <f t="shared" si="1"/>
        <v>0</v>
      </c>
      <c r="G11" s="106">
        <f>DOT!$E$4/$E$35*E11</f>
        <v>0</v>
      </c>
    </row>
    <row r="12" spans="1:7" ht="12.75" customHeight="1" x14ac:dyDescent="0.2">
      <c r="B12" s="47" t="str">
        <f>DFIE!$B31</f>
        <v>Uri</v>
      </c>
      <c r="C12" s="193">
        <f>RP!I12</f>
        <v>71.782979736886148</v>
      </c>
      <c r="D12" s="95">
        <f>RP!G12</f>
        <v>36627</v>
      </c>
      <c r="E12" s="95">
        <f t="shared" si="0"/>
        <v>0</v>
      </c>
      <c r="F12" s="214">
        <f t="shared" si="1"/>
        <v>0</v>
      </c>
      <c r="G12" s="119">
        <f>DOT!$E$4/$E$35*E12</f>
        <v>0</v>
      </c>
    </row>
    <row r="13" spans="1:7" ht="12.75" customHeight="1" x14ac:dyDescent="0.2">
      <c r="B13" s="46" t="str">
        <f>DFIE!$B32</f>
        <v>Schwyz</v>
      </c>
      <c r="C13" s="192">
        <f>RP!I13</f>
        <v>177.87133169439161</v>
      </c>
      <c r="D13" s="86">
        <f>RP!G13</f>
        <v>157729.66666666666</v>
      </c>
      <c r="E13" s="86">
        <f t="shared" si="0"/>
        <v>12282619.191045824</v>
      </c>
      <c r="F13" s="211">
        <f t="shared" si="1"/>
        <v>1303.3036973499391</v>
      </c>
      <c r="G13" s="106">
        <f>DOT!$E$4/$E$35*E13</f>
        <v>205569657.74844009</v>
      </c>
    </row>
    <row r="14" spans="1:7" ht="12.75" customHeight="1" x14ac:dyDescent="0.2">
      <c r="B14" s="47" t="str">
        <f>DFIE!$B33</f>
        <v>Obwalden</v>
      </c>
      <c r="C14" s="193">
        <f>RP!I14</f>
        <v>102.43871118802896</v>
      </c>
      <c r="D14" s="95">
        <f>RP!G14</f>
        <v>37791.666666666664</v>
      </c>
      <c r="E14" s="95">
        <f t="shared" si="0"/>
        <v>92162.960314261145</v>
      </c>
      <c r="F14" s="214">
        <f t="shared" si="1"/>
        <v>40.815807807171709</v>
      </c>
      <c r="G14" s="119">
        <f>DOT!$E$4/$E$35*E14</f>
        <v>1542497.4033793642</v>
      </c>
    </row>
    <row r="15" spans="1:7" ht="12.75" customHeight="1" x14ac:dyDescent="0.2">
      <c r="B15" s="46" t="str">
        <f>DFIE!$B34</f>
        <v>Nidwalden</v>
      </c>
      <c r="C15" s="192">
        <f>RP!I15</f>
        <v>155.54213685451947</v>
      </c>
      <c r="D15" s="86">
        <f>RP!G15</f>
        <v>43083.166666666664</v>
      </c>
      <c r="E15" s="86">
        <f t="shared" si="0"/>
        <v>2392931.1391260712</v>
      </c>
      <c r="F15" s="211">
        <f t="shared" si="1"/>
        <v>929.58821617821422</v>
      </c>
      <c r="G15" s="106">
        <f>DOT!$E$4/$E$35*E15</f>
        <v>40049604.048975363</v>
      </c>
    </row>
    <row r="16" spans="1:7" ht="12.75" customHeight="1" x14ac:dyDescent="0.2">
      <c r="B16" s="47" t="str">
        <f>DFIE!$B35</f>
        <v>Glarus</v>
      </c>
      <c r="C16" s="193">
        <f>RP!I16</f>
        <v>72.710322886863437</v>
      </c>
      <c r="D16" s="95">
        <f>RP!G16</f>
        <v>40599.333333333336</v>
      </c>
      <c r="E16" s="95">
        <f t="shared" si="0"/>
        <v>0</v>
      </c>
      <c r="F16" s="214">
        <f t="shared" si="1"/>
        <v>0</v>
      </c>
      <c r="G16" s="119">
        <f>DOT!$E$4/$E$35*E16</f>
        <v>0</v>
      </c>
    </row>
    <row r="17" spans="2:7" ht="12.75" customHeight="1" x14ac:dyDescent="0.2">
      <c r="B17" s="46" t="str">
        <f>DFIE!$B36</f>
        <v>Zug</v>
      </c>
      <c r="C17" s="192">
        <f>RP!I17</f>
        <v>255.40818855518233</v>
      </c>
      <c r="D17" s="86">
        <f>RP!G17</f>
        <v>126362</v>
      </c>
      <c r="E17" s="86">
        <f t="shared" si="0"/>
        <v>19637689.52220995</v>
      </c>
      <c r="F17" s="211">
        <f t="shared" si="1"/>
        <v>2601.0094130316902</v>
      </c>
      <c r="G17" s="106">
        <f>DOT!$E$4/$E$35*E17</f>
        <v>328668751.44951046</v>
      </c>
    </row>
    <row r="18" spans="2:7" ht="12.75" customHeight="1" x14ac:dyDescent="0.2">
      <c r="B18" s="47" t="str">
        <f>DFIE!$B37</f>
        <v>Freiburg</v>
      </c>
      <c r="C18" s="193">
        <f>RP!I18</f>
        <v>71.987351800311728</v>
      </c>
      <c r="D18" s="95">
        <f>RP!G18</f>
        <v>315240.83333333331</v>
      </c>
      <c r="E18" s="95">
        <f t="shared" si="0"/>
        <v>0</v>
      </c>
      <c r="F18" s="214">
        <f t="shared" si="1"/>
        <v>0</v>
      </c>
      <c r="G18" s="119">
        <f>DOT!$E$4/$E$35*E18</f>
        <v>0</v>
      </c>
    </row>
    <row r="19" spans="2:7" ht="12.75" customHeight="1" x14ac:dyDescent="0.2">
      <c r="B19" s="46" t="str">
        <f>DFIE!$B38</f>
        <v>Solothurn</v>
      </c>
      <c r="C19" s="192">
        <f>RP!I19</f>
        <v>71.117640572658331</v>
      </c>
      <c r="D19" s="86">
        <f>RP!G19</f>
        <v>272545.66666666669</v>
      </c>
      <c r="E19" s="86">
        <f t="shared" si="0"/>
        <v>0</v>
      </c>
      <c r="F19" s="211">
        <f t="shared" si="1"/>
        <v>0</v>
      </c>
      <c r="G19" s="106">
        <f>DOT!$E$4/$E$35*E19</f>
        <v>0</v>
      </c>
    </row>
    <row r="20" spans="2:7" ht="12.75" customHeight="1" x14ac:dyDescent="0.2">
      <c r="B20" s="47" t="str">
        <f>DFIE!$B39</f>
        <v>Basel-Stadt</v>
      </c>
      <c r="C20" s="193">
        <f>RP!I20</f>
        <v>141.91758693289697</v>
      </c>
      <c r="D20" s="95">
        <f>RP!G20</f>
        <v>196445.5</v>
      </c>
      <c r="E20" s="95">
        <f t="shared" si="0"/>
        <v>8234521.3238264108</v>
      </c>
      <c r="F20" s="214">
        <f t="shared" si="1"/>
        <v>701.5591597692777</v>
      </c>
      <c r="G20" s="119">
        <f>DOT!$E$4/$E$35*E20</f>
        <v>137818139.92045563</v>
      </c>
    </row>
    <row r="21" spans="2:7" ht="12.75" customHeight="1" x14ac:dyDescent="0.2">
      <c r="B21" s="46" t="str">
        <f>DFIE!$B40</f>
        <v>Basel-Landschaft</v>
      </c>
      <c r="C21" s="192">
        <f>RP!I21</f>
        <v>97.29165365674146</v>
      </c>
      <c r="D21" s="86">
        <f>RP!G21</f>
        <v>287667.16666666669</v>
      </c>
      <c r="E21" s="86">
        <f t="shared" si="0"/>
        <v>0</v>
      </c>
      <c r="F21" s="211">
        <f t="shared" si="1"/>
        <v>0</v>
      </c>
      <c r="G21" s="106">
        <f>DOT!$E$4/$E$35*E21</f>
        <v>0</v>
      </c>
    </row>
    <row r="22" spans="2:7" ht="12.75" customHeight="1" x14ac:dyDescent="0.2">
      <c r="B22" s="47" t="str">
        <f>DFIE!$B41</f>
        <v>Schaffhausen</v>
      </c>
      <c r="C22" s="193">
        <f>RP!I22</f>
        <v>95.286838466485662</v>
      </c>
      <c r="D22" s="95">
        <f>RP!G22</f>
        <v>81878.666666666672</v>
      </c>
      <c r="E22" s="95">
        <f t="shared" si="0"/>
        <v>0</v>
      </c>
      <c r="F22" s="214">
        <f t="shared" si="1"/>
        <v>0</v>
      </c>
      <c r="G22" s="119">
        <f>DOT!$E$4/$E$35*E22</f>
        <v>0</v>
      </c>
    </row>
    <row r="23" spans="2:7" ht="12.75" customHeight="1" x14ac:dyDescent="0.2">
      <c r="B23" s="46" t="str">
        <f>DFIE!$B42</f>
        <v>Appenzell A.Rh.</v>
      </c>
      <c r="C23" s="192">
        <f>RP!I23</f>
        <v>85.285842810137737</v>
      </c>
      <c r="D23" s="86">
        <f>RP!G23</f>
        <v>55188</v>
      </c>
      <c r="E23" s="86">
        <f t="shared" si="0"/>
        <v>0</v>
      </c>
      <c r="F23" s="211">
        <f t="shared" si="1"/>
        <v>0</v>
      </c>
      <c r="G23" s="106">
        <f>DOT!$E$4/$E$35*E23</f>
        <v>0</v>
      </c>
    </row>
    <row r="24" spans="2:7" ht="12.75" customHeight="1" x14ac:dyDescent="0.2">
      <c r="B24" s="47" t="str">
        <f>DFIE!$B43</f>
        <v>Appenzell I.Rh.</v>
      </c>
      <c r="C24" s="193">
        <f>RP!I24</f>
        <v>96.254910931273812</v>
      </c>
      <c r="D24" s="95">
        <f>RP!G24</f>
        <v>16145.166666666666</v>
      </c>
      <c r="E24" s="95">
        <f t="shared" si="0"/>
        <v>0</v>
      </c>
      <c r="F24" s="214">
        <f t="shared" si="1"/>
        <v>0</v>
      </c>
      <c r="G24" s="119">
        <f>DOT!$E$4/$E$35*E24</f>
        <v>0</v>
      </c>
    </row>
    <row r="25" spans="2:7" ht="12.75" customHeight="1" x14ac:dyDescent="0.2">
      <c r="B25" s="46" t="str">
        <f>DFIE!$B44</f>
        <v>St. Gallen</v>
      </c>
      <c r="C25" s="192">
        <f>RP!I25</f>
        <v>82.956714153929894</v>
      </c>
      <c r="D25" s="86">
        <f>RP!G25</f>
        <v>506736.83333333331</v>
      </c>
      <c r="E25" s="86">
        <f t="shared" si="0"/>
        <v>0</v>
      </c>
      <c r="F25" s="211">
        <f t="shared" si="1"/>
        <v>0</v>
      </c>
      <c r="G25" s="106">
        <f>DOT!$E$4/$E$35*E25</f>
        <v>0</v>
      </c>
    </row>
    <row r="26" spans="2:7" ht="12.75" customHeight="1" x14ac:dyDescent="0.2">
      <c r="B26" s="47" t="str">
        <f>DFIE!$B45</f>
        <v>Graubünden</v>
      </c>
      <c r="C26" s="193">
        <f>RP!I26</f>
        <v>82.879164001697987</v>
      </c>
      <c r="D26" s="95">
        <f>RP!G26</f>
        <v>205223.83333333334</v>
      </c>
      <c r="E26" s="95">
        <f t="shared" si="0"/>
        <v>0</v>
      </c>
      <c r="F26" s="214">
        <f t="shared" si="1"/>
        <v>0</v>
      </c>
      <c r="G26" s="119">
        <f>DOT!$E$4/$E$35*E26</f>
        <v>0</v>
      </c>
    </row>
    <row r="27" spans="2:7" ht="12.75" customHeight="1" x14ac:dyDescent="0.2">
      <c r="B27" s="46" t="str">
        <f>DFIE!$B46</f>
        <v>Aargau</v>
      </c>
      <c r="C27" s="192">
        <f>RP!I27</f>
        <v>81.574284923209163</v>
      </c>
      <c r="D27" s="86">
        <f>RP!G27</f>
        <v>672043.83333333337</v>
      </c>
      <c r="E27" s="86">
        <f t="shared" si="0"/>
        <v>0</v>
      </c>
      <c r="F27" s="211">
        <f t="shared" si="1"/>
        <v>0</v>
      </c>
      <c r="G27" s="106">
        <f>DOT!$E$4/$E$35*E27</f>
        <v>0</v>
      </c>
    </row>
    <row r="28" spans="2:7" ht="12.75" customHeight="1" x14ac:dyDescent="0.2">
      <c r="B28" s="47" t="str">
        <f>DFIE!$B47</f>
        <v>Thurgau</v>
      </c>
      <c r="C28" s="193">
        <f>RP!I28</f>
        <v>79.297923640756935</v>
      </c>
      <c r="D28" s="95">
        <f>RP!G28</f>
        <v>274006.83333333331</v>
      </c>
      <c r="E28" s="95">
        <f t="shared" si="0"/>
        <v>0</v>
      </c>
      <c r="F28" s="214">
        <f t="shared" si="1"/>
        <v>0</v>
      </c>
      <c r="G28" s="119">
        <f>DOT!$E$4/$E$35*E28</f>
        <v>0</v>
      </c>
    </row>
    <row r="29" spans="2:7" ht="12.75" customHeight="1" x14ac:dyDescent="0.2">
      <c r="B29" s="46" t="str">
        <f>DFIE!$B48</f>
        <v>Tessin</v>
      </c>
      <c r="C29" s="192">
        <f>RP!I29</f>
        <v>95.987151214909005</v>
      </c>
      <c r="D29" s="86">
        <f>RP!G29</f>
        <v>356336.33333333331</v>
      </c>
      <c r="E29" s="86">
        <f t="shared" si="0"/>
        <v>0</v>
      </c>
      <c r="F29" s="211">
        <f t="shared" si="1"/>
        <v>0</v>
      </c>
      <c r="G29" s="106">
        <f>DOT!$E$4/$E$35*E29</f>
        <v>0</v>
      </c>
    </row>
    <row r="30" spans="2:7" ht="12.75" customHeight="1" x14ac:dyDescent="0.2">
      <c r="B30" s="47" t="str">
        <f>DFIE!$B49</f>
        <v>Waadt</v>
      </c>
      <c r="C30" s="193">
        <f>RP!I30</f>
        <v>99.566730419486532</v>
      </c>
      <c r="D30" s="95">
        <f>RP!G30</f>
        <v>797472.33333333337</v>
      </c>
      <c r="E30" s="95">
        <f t="shared" si="0"/>
        <v>0</v>
      </c>
      <c r="F30" s="214">
        <f t="shared" si="1"/>
        <v>0</v>
      </c>
      <c r="G30" s="119">
        <f>DOT!$E$4/$E$35*E30</f>
        <v>0</v>
      </c>
    </row>
    <row r="31" spans="2:7" ht="12.75" customHeight="1" x14ac:dyDescent="0.2">
      <c r="B31" s="46" t="str">
        <f>DFIE!$B50</f>
        <v>Wallis</v>
      </c>
      <c r="C31" s="192">
        <f>RP!I31</f>
        <v>64.670638880744875</v>
      </c>
      <c r="D31" s="86">
        <f>RP!G31</f>
        <v>347870.16666666669</v>
      </c>
      <c r="E31" s="86">
        <f t="shared" si="0"/>
        <v>0</v>
      </c>
      <c r="F31" s="211">
        <f t="shared" si="1"/>
        <v>0</v>
      </c>
      <c r="G31" s="106">
        <f>DOT!$E$4/$E$35*E31</f>
        <v>0</v>
      </c>
    </row>
    <row r="32" spans="2:7" ht="12.75" customHeight="1" x14ac:dyDescent="0.2">
      <c r="B32" s="47" t="str">
        <f>DFIE!$B51</f>
        <v>Neuenburg</v>
      </c>
      <c r="C32" s="193">
        <f>RP!I32</f>
        <v>80.113149078189807</v>
      </c>
      <c r="D32" s="95">
        <f>RP!G32</f>
        <v>179255</v>
      </c>
      <c r="E32" s="95">
        <f t="shared" si="0"/>
        <v>0</v>
      </c>
      <c r="F32" s="214">
        <f t="shared" si="1"/>
        <v>0</v>
      </c>
      <c r="G32" s="119">
        <f>DOT!$E$4/$E$35*E32</f>
        <v>0</v>
      </c>
    </row>
    <row r="33" spans="2:7" ht="12.75" customHeight="1" x14ac:dyDescent="0.2">
      <c r="B33" s="46" t="str">
        <f>DFIE!$B52</f>
        <v>Genf</v>
      </c>
      <c r="C33" s="192">
        <f>RP!I33</f>
        <v>136.58112668128109</v>
      </c>
      <c r="D33" s="86">
        <f>RP!G33</f>
        <v>496070.16666666669</v>
      </c>
      <c r="E33" s="86">
        <f t="shared" si="0"/>
        <v>18146805.609637558</v>
      </c>
      <c r="F33" s="211">
        <f t="shared" si="1"/>
        <v>612.24479689197165</v>
      </c>
      <c r="G33" s="106">
        <f>DOT!$E$4/$E$35*E33</f>
        <v>303716378.43499988</v>
      </c>
    </row>
    <row r="34" spans="2:7" ht="12.75" customHeight="1" x14ac:dyDescent="0.2">
      <c r="B34" s="47" t="str">
        <f>DFIE!$B53</f>
        <v>Jura</v>
      </c>
      <c r="C34" s="193">
        <f>RP!I34</f>
        <v>65.598794735875998</v>
      </c>
      <c r="D34" s="95">
        <f>RP!G34</f>
        <v>73452.333333333328</v>
      </c>
      <c r="E34" s="95">
        <f t="shared" si="0"/>
        <v>0</v>
      </c>
      <c r="F34" s="214">
        <f t="shared" si="1"/>
        <v>0</v>
      </c>
      <c r="G34" s="119">
        <f>DOT!$E$4/$E$35*E34</f>
        <v>0</v>
      </c>
    </row>
    <row r="35" spans="2:7" ht="12.75" customHeight="1" x14ac:dyDescent="0.2">
      <c r="B35" s="24" t="str">
        <f>DFIE!$B54</f>
        <v>Schweiz</v>
      </c>
      <c r="C35" s="191">
        <f>RP!H35/RP!H$35*100</f>
        <v>100</v>
      </c>
      <c r="D35" s="31">
        <f>SUM(D9:D34)</f>
        <v>8526538.8333333321</v>
      </c>
      <c r="E35" s="31">
        <f>SUM(E9:E34)</f>
        <v>95960208.245706201</v>
      </c>
      <c r="F35" s="108"/>
      <c r="G35" s="107">
        <f>SUM(G9:G34)</f>
        <v>1606050538.5463483</v>
      </c>
    </row>
  </sheetData>
  <conditionalFormatting sqref="C35">
    <cfRule type="expression" dxfId="0" priority="1" stopIfTrue="1">
      <formula>ISBLANK(C35)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customProperties>
    <customPr name="EpmWorksheetKeyString_GU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zoomScaleNormal="100" workbookViewId="0">
      <selection activeCell="A75" sqref="A75"/>
    </sheetView>
  </sheetViews>
  <sheetFormatPr baseColWidth="10" defaultRowHeight="12.75" x14ac:dyDescent="0.2"/>
  <cols>
    <col min="1" max="1" width="1.42578125" customWidth="1"/>
    <col min="2" max="2" width="17.140625" customWidth="1"/>
    <col min="3" max="3" width="15.28515625" customWidth="1"/>
    <col min="4" max="4" width="17.42578125" customWidth="1"/>
    <col min="5" max="5" width="16.7109375" customWidth="1"/>
    <col min="6" max="6" width="19.140625" customWidth="1"/>
    <col min="7" max="7" width="15.140625" customWidth="1"/>
    <col min="8" max="8" width="18.5703125" customWidth="1"/>
    <col min="9" max="9" width="15.7109375" customWidth="1"/>
    <col min="10" max="10" width="13.42578125" customWidth="1"/>
  </cols>
  <sheetData>
    <row r="1" spans="1:10" ht="18" customHeight="1" x14ac:dyDescent="0.2">
      <c r="B1" s="116" t="str">
        <f>DFIE!B218</f>
        <v>Standardisierter Steuerertrag (SSE) 2022</v>
      </c>
      <c r="C1" s="202"/>
      <c r="D1" s="202"/>
      <c r="E1" s="209"/>
      <c r="F1" s="125"/>
      <c r="G1" s="52"/>
      <c r="H1" s="52"/>
      <c r="I1" s="52"/>
      <c r="J1" s="52"/>
    </row>
    <row r="2" spans="1:10" ht="12.75" customHeight="1" x14ac:dyDescent="0.2">
      <c r="A2" s="199"/>
      <c r="B2" s="52"/>
      <c r="C2" s="199"/>
      <c r="D2" s="199"/>
      <c r="E2" s="200"/>
      <c r="F2" s="201"/>
    </row>
    <row r="3" spans="1:10" ht="0.75" customHeight="1" x14ac:dyDescent="0.2">
      <c r="A3" s="199"/>
      <c r="B3" s="52"/>
      <c r="C3" s="199"/>
      <c r="D3" s="199"/>
      <c r="E3" s="199"/>
      <c r="F3" s="199"/>
      <c r="G3" s="200"/>
      <c r="H3" s="200"/>
      <c r="I3" s="200"/>
      <c r="J3" s="201"/>
    </row>
    <row r="4" spans="1:10" ht="0.75" customHeight="1" x14ac:dyDescent="0.2">
      <c r="A4" s="199"/>
      <c r="B4" s="52"/>
      <c r="C4" s="199"/>
      <c r="D4" s="199"/>
      <c r="E4" s="199"/>
      <c r="F4" s="199"/>
      <c r="G4" s="200"/>
      <c r="H4" s="200"/>
      <c r="I4" s="200"/>
      <c r="J4" s="201"/>
    </row>
    <row r="5" spans="1:10" ht="12" customHeight="1" x14ac:dyDescent="0.2">
      <c r="B5" s="34" t="str">
        <f>DFIE!B55</f>
        <v>Spalte</v>
      </c>
      <c r="C5" s="74" t="s">
        <v>30</v>
      </c>
      <c r="D5" s="35" t="s">
        <v>31</v>
      </c>
      <c r="E5" s="35" t="s">
        <v>32</v>
      </c>
      <c r="F5" s="35" t="s">
        <v>43</v>
      </c>
      <c r="G5" s="35" t="s">
        <v>42</v>
      </c>
      <c r="H5" s="35" t="s">
        <v>33</v>
      </c>
      <c r="I5" s="112" t="s">
        <v>34</v>
      </c>
      <c r="J5" s="3"/>
    </row>
    <row r="6" spans="1:10" ht="12" customHeight="1" x14ac:dyDescent="0.2">
      <c r="B6" s="34" t="str">
        <f>DFIE!B56</f>
        <v>Formel</v>
      </c>
      <c r="C6" s="76"/>
      <c r="D6" s="183"/>
      <c r="E6" s="183"/>
      <c r="F6" s="183" t="s">
        <v>80</v>
      </c>
      <c r="G6" s="183"/>
      <c r="H6" s="183" t="s">
        <v>81</v>
      </c>
      <c r="I6" s="115" t="str">
        <f>DFIE!B226</f>
        <v>H / F[Schweiz]</v>
      </c>
      <c r="J6" s="312"/>
    </row>
    <row r="7" spans="1:10" ht="63.75" customHeight="1" x14ac:dyDescent="0.2">
      <c r="B7" s="291"/>
      <c r="C7" s="70" t="str">
        <f>DFIE!B219</f>
        <v>Ressourcen-
index</v>
      </c>
      <c r="D7" s="70" t="str">
        <f>DFIE!B220</f>
        <v>Standardisierter
Steuerertrag
(SSE)</v>
      </c>
      <c r="E7" s="70" t="str">
        <f>DFIE!B221</f>
        <v>Massgebende
Wohn-
bevölkerung</v>
      </c>
      <c r="F7" s="70" t="str">
        <f>DFIE!B222</f>
        <v>Standardisierter
Steuerertrag pro
Einwohner vor
Ausgleich</v>
      </c>
      <c r="G7" s="70" t="str">
        <f>DFIE!B223</f>
        <v>Ressourcen-
ausgleich pro
Einwohner</v>
      </c>
      <c r="H7" s="70" t="str">
        <f>DFIE!B224</f>
        <v>Standardisierter
Steuerertrag pro
Einwohner nach
Ausgleich</v>
      </c>
      <c r="I7" s="295" t="str">
        <f>DFIE!B225</f>
        <v>Index SSE
nach
Ausgleich</v>
      </c>
      <c r="J7" s="313"/>
    </row>
    <row r="8" spans="1:10" ht="12.75" customHeight="1" x14ac:dyDescent="0.2">
      <c r="B8" s="34" t="str">
        <f>DFIE!B58</f>
        <v>Einheit</v>
      </c>
      <c r="C8" s="239" t="str">
        <f>DFIE!B62</f>
        <v>Punkte</v>
      </c>
      <c r="D8" s="40" t="str">
        <f>DFIE!$B$59</f>
        <v>CHF</v>
      </c>
      <c r="E8" s="40" t="str">
        <f>DFIE!B61</f>
        <v>Anzahl</v>
      </c>
      <c r="F8" s="40" t="str">
        <f>DFIE!$B$59</f>
        <v>CHF</v>
      </c>
      <c r="G8" s="315" t="str">
        <f>DFIE!$B$59</f>
        <v>CHF</v>
      </c>
      <c r="H8" s="315" t="str">
        <f>DFIE!$B$59</f>
        <v>CHF</v>
      </c>
      <c r="I8" s="314" t="str">
        <f>DFIE!B62</f>
        <v>Punkte</v>
      </c>
      <c r="J8" s="303"/>
    </row>
    <row r="9" spans="1:10" x14ac:dyDescent="0.2">
      <c r="B9" s="46" t="str">
        <f>DFIE!$B28</f>
        <v>Zürich</v>
      </c>
      <c r="C9" s="192">
        <f>RP!I9</f>
        <v>123.31896172677135</v>
      </c>
      <c r="D9" s="86">
        <f>RP!H9/RP!$H$35*SST!$I$12*E9</f>
        <v>17186069614.962879</v>
      </c>
      <c r="E9" s="317">
        <f>RP!G9</f>
        <v>1508363.8333333333</v>
      </c>
      <c r="F9" s="86">
        <f t="shared" ref="F9:F35" si="0">D9/E9</f>
        <v>11393.848907782007</v>
      </c>
      <c r="G9" s="86">
        <f>IF(C9&gt;100,-EINZ!G9,AUSZ!G9)/E9</f>
        <v>-390.28084374023445</v>
      </c>
      <c r="H9" s="86">
        <f t="shared" ref="H9:H34" si="1">F9+G9</f>
        <v>11003.568064041772</v>
      </c>
      <c r="I9" s="218">
        <f t="shared" ref="I9:I34" si="2">ROUND(H9/F$35*100,1)</f>
        <v>119.1</v>
      </c>
      <c r="J9" s="316"/>
    </row>
    <row r="10" spans="1:10" x14ac:dyDescent="0.2">
      <c r="B10" s="323" t="str">
        <f>DFIE!$B29</f>
        <v>Bern</v>
      </c>
      <c r="C10" s="318">
        <f>RP!I10</f>
        <v>79.534421061562156</v>
      </c>
      <c r="D10" s="319">
        <f>RP!H10/RP!$H$35*SST!$I$12*E10</f>
        <v>7602508785.9324789</v>
      </c>
      <c r="E10" s="320">
        <f>RP!G10</f>
        <v>1034573.1666666666</v>
      </c>
      <c r="F10" s="319">
        <f t="shared" si="0"/>
        <v>7348.4496127299644</v>
      </c>
      <c r="G10" s="319">
        <f>IF(C10&gt;100,-EINZ!G10,AUSZ!G10)/E10</f>
        <v>815.3218658221341</v>
      </c>
      <c r="H10" s="319">
        <f t="shared" si="1"/>
        <v>8163.7714785520984</v>
      </c>
      <c r="I10" s="321">
        <f t="shared" si="2"/>
        <v>88.4</v>
      </c>
      <c r="J10" s="316"/>
    </row>
    <row r="11" spans="1:10" x14ac:dyDescent="0.2">
      <c r="B11" s="46" t="str">
        <f>DFIE!$B30</f>
        <v>Luzern</v>
      </c>
      <c r="C11" s="192">
        <f>RP!I11</f>
        <v>91.31255012516273</v>
      </c>
      <c r="D11" s="86">
        <f>RP!H11/RP!$H$35*SST!$I$12*E11</f>
        <v>3440729986.868433</v>
      </c>
      <c r="E11" s="317">
        <f>RP!G11</f>
        <v>407830.33333333331</v>
      </c>
      <c r="F11" s="86">
        <f t="shared" si="0"/>
        <v>8436.6701190325875</v>
      </c>
      <c r="G11" s="86">
        <f>IF(C11&gt;100,-EINZ!G11,AUSZ!G11)/E11</f>
        <v>200.62556391261973</v>
      </c>
      <c r="H11" s="86">
        <f t="shared" si="1"/>
        <v>8637.2956829452069</v>
      </c>
      <c r="I11" s="218">
        <f t="shared" si="2"/>
        <v>93.5</v>
      </c>
      <c r="J11" s="316"/>
    </row>
    <row r="12" spans="1:10" x14ac:dyDescent="0.2">
      <c r="B12" s="47" t="str">
        <f>DFIE!$B31</f>
        <v>Uri</v>
      </c>
      <c r="C12" s="193">
        <f>RP!I12</f>
        <v>71.782979736886148</v>
      </c>
      <c r="D12" s="95">
        <f>RP!H12/RP!$H$35*SST!$I$12*E12</f>
        <v>242920086.45699641</v>
      </c>
      <c r="E12" s="322">
        <f>RP!G12</f>
        <v>36627</v>
      </c>
      <c r="F12" s="95">
        <f t="shared" si="0"/>
        <v>6632.268175307735</v>
      </c>
      <c r="G12" s="95">
        <f>IF(C12&gt;100,-EINZ!G12,AUSZ!G12)/E12</f>
        <v>1379.0522876288946</v>
      </c>
      <c r="H12" s="95">
        <f t="shared" si="1"/>
        <v>8011.3204629366301</v>
      </c>
      <c r="I12" s="219">
        <f t="shared" si="2"/>
        <v>86.7</v>
      </c>
      <c r="J12" s="316"/>
    </row>
    <row r="13" spans="1:10" x14ac:dyDescent="0.2">
      <c r="B13" s="46" t="str">
        <f>DFIE!$B32</f>
        <v>Schwyz</v>
      </c>
      <c r="C13" s="192">
        <f>RP!I13</f>
        <v>177.87133169439161</v>
      </c>
      <c r="D13" s="86">
        <f>RP!H13/RP!$H$35*SST!$I$12*E13</f>
        <v>2592148861.8297901</v>
      </c>
      <c r="E13" s="317">
        <f>RP!G13</f>
        <v>157729.66666666666</v>
      </c>
      <c r="F13" s="86">
        <f t="shared" si="0"/>
        <v>16434.123754967615</v>
      </c>
      <c r="G13" s="86">
        <f>IF(C13&gt;100,-EINZ!G13,AUSZ!G13)/E13</f>
        <v>-1303.3036973499391</v>
      </c>
      <c r="H13" s="86">
        <f t="shared" si="1"/>
        <v>15130.820057617677</v>
      </c>
      <c r="I13" s="218">
        <f t="shared" si="2"/>
        <v>163.80000000000001</v>
      </c>
      <c r="J13" s="316"/>
    </row>
    <row r="14" spans="1:10" x14ac:dyDescent="0.2">
      <c r="B14" s="47" t="str">
        <f>DFIE!$B33</f>
        <v>Obwalden</v>
      </c>
      <c r="C14" s="193">
        <f>RP!I14</f>
        <v>102.43871118802896</v>
      </c>
      <c r="D14" s="95">
        <f>RP!H14/RP!$H$35*SST!$I$12*E14</f>
        <v>357685016.3543427</v>
      </c>
      <c r="E14" s="322">
        <f>RP!G14</f>
        <v>37791.666666666664</v>
      </c>
      <c r="F14" s="95">
        <f t="shared" si="0"/>
        <v>9464.6531339627618</v>
      </c>
      <c r="G14" s="95">
        <f>IF(C14&gt;100,-EINZ!G14,AUSZ!G14)/E14</f>
        <v>-40.815807807171709</v>
      </c>
      <c r="H14" s="95">
        <f t="shared" si="1"/>
        <v>9423.8373261555898</v>
      </c>
      <c r="I14" s="219">
        <f t="shared" si="2"/>
        <v>102</v>
      </c>
      <c r="J14" s="316"/>
    </row>
    <row r="15" spans="1:10" x14ac:dyDescent="0.2">
      <c r="B15" s="46" t="str">
        <f>DFIE!$B34</f>
        <v>Nidwalden</v>
      </c>
      <c r="C15" s="192">
        <f>RP!I15</f>
        <v>155.54213685451947</v>
      </c>
      <c r="D15" s="86">
        <f>RP!H15/RP!$H$35*SST!$I$12*E15</f>
        <v>619150566.33364975</v>
      </c>
      <c r="E15" s="317">
        <f>RP!G15</f>
        <v>43083.166666666664</v>
      </c>
      <c r="F15" s="86">
        <f t="shared" si="0"/>
        <v>14371.055199447188</v>
      </c>
      <c r="G15" s="86">
        <f>IF(C15&gt;100,-EINZ!G15,AUSZ!G15)/E15</f>
        <v>-929.58821617821422</v>
      </c>
      <c r="H15" s="86">
        <f t="shared" si="1"/>
        <v>13441.466983268974</v>
      </c>
      <c r="I15" s="218">
        <f t="shared" si="2"/>
        <v>145.5</v>
      </c>
      <c r="J15" s="316"/>
    </row>
    <row r="16" spans="1:10" x14ac:dyDescent="0.2">
      <c r="B16" s="47" t="str">
        <f>DFIE!$B35</f>
        <v>Glarus</v>
      </c>
      <c r="C16" s="193">
        <f>RP!I16</f>
        <v>72.710322886863437</v>
      </c>
      <c r="D16" s="95">
        <f>RP!H16/RP!$H$35*SST!$I$12*E16</f>
        <v>272744230.15656656</v>
      </c>
      <c r="E16" s="322">
        <f>RP!G16</f>
        <v>40599.333333333336</v>
      </c>
      <c r="F16" s="95">
        <f t="shared" si="0"/>
        <v>6717.9484923373093</v>
      </c>
      <c r="G16" s="95">
        <f>IF(C16&gt;100,-EINZ!G16,AUSZ!G16)/E16</f>
        <v>1305.6674940149198</v>
      </c>
      <c r="H16" s="95">
        <f t="shared" si="1"/>
        <v>8023.6159863522289</v>
      </c>
      <c r="I16" s="219">
        <f t="shared" si="2"/>
        <v>86.8</v>
      </c>
      <c r="J16" s="316"/>
    </row>
    <row r="17" spans="2:10" x14ac:dyDescent="0.2">
      <c r="B17" s="46" t="str">
        <f>DFIE!$B36</f>
        <v>Zug</v>
      </c>
      <c r="C17" s="192">
        <f>RP!I17</f>
        <v>255.40818855518233</v>
      </c>
      <c r="D17" s="86">
        <f>RP!H17/RP!$H$35*SST!$I$12*E17</f>
        <v>2981891963.194171</v>
      </c>
      <c r="E17" s="317">
        <f>RP!G17</f>
        <v>126362</v>
      </c>
      <c r="F17" s="86">
        <f t="shared" si="0"/>
        <v>23598.011769314911</v>
      </c>
      <c r="G17" s="86">
        <f>IF(C17&gt;100,-EINZ!G17,AUSZ!G17)/E17</f>
        <v>-2601.0094130316902</v>
      </c>
      <c r="H17" s="86">
        <f t="shared" si="1"/>
        <v>20997.002356283221</v>
      </c>
      <c r="I17" s="218">
        <f t="shared" si="2"/>
        <v>227.3</v>
      </c>
      <c r="J17" s="316"/>
    </row>
    <row r="18" spans="2:10" x14ac:dyDescent="0.2">
      <c r="B18" s="47" t="str">
        <f>DFIE!$B37</f>
        <v>Freiburg</v>
      </c>
      <c r="C18" s="193">
        <f>RP!I18</f>
        <v>71.987351800311728</v>
      </c>
      <c r="D18" s="95">
        <f>RP!H18/RP!$H$35*SST!$I$12*E18</f>
        <v>2096714317.5965085</v>
      </c>
      <c r="E18" s="322">
        <f>RP!G18</f>
        <v>315240.83333333331</v>
      </c>
      <c r="F18" s="95">
        <f t="shared" si="0"/>
        <v>6651.1507897819138</v>
      </c>
      <c r="G18" s="95">
        <f>IF(C18&gt;100,-EINZ!G18,AUSZ!G18)/E18</f>
        <v>1362.7455139997289</v>
      </c>
      <c r="H18" s="95">
        <f t="shared" si="1"/>
        <v>8013.8963037816429</v>
      </c>
      <c r="I18" s="219">
        <f t="shared" si="2"/>
        <v>86.7</v>
      </c>
      <c r="J18" s="316"/>
    </row>
    <row r="19" spans="2:10" x14ac:dyDescent="0.2">
      <c r="B19" s="46" t="str">
        <f>DFIE!$B38</f>
        <v>Solothurn</v>
      </c>
      <c r="C19" s="192">
        <f>RP!I19</f>
        <v>71.117640572658331</v>
      </c>
      <c r="D19" s="86">
        <f>RP!H19/RP!$H$35*SST!$I$12*E19</f>
        <v>1790841779.4858046</v>
      </c>
      <c r="E19" s="317">
        <f>RP!G19</f>
        <v>272545.66666666669</v>
      </c>
      <c r="F19" s="86">
        <f t="shared" si="0"/>
        <v>6570.7952776811881</v>
      </c>
      <c r="G19" s="86">
        <f>IF(C19&gt;100,-EINZ!G19,AUSZ!G19)/E19</f>
        <v>1432.6602701731076</v>
      </c>
      <c r="H19" s="86">
        <f t="shared" si="1"/>
        <v>8003.4555478542952</v>
      </c>
      <c r="I19" s="218">
        <f t="shared" si="2"/>
        <v>86.6</v>
      </c>
      <c r="J19" s="316"/>
    </row>
    <row r="20" spans="2:10" x14ac:dyDescent="0.2">
      <c r="B20" s="47" t="str">
        <f>DFIE!$B39</f>
        <v>Basel-Stadt</v>
      </c>
      <c r="C20" s="193">
        <f>RP!I20</f>
        <v>141.91758693289697</v>
      </c>
      <c r="D20" s="95">
        <f>RP!H20/RP!$H$35*SST!$I$12*E20</f>
        <v>2575840097.1356664</v>
      </c>
      <c r="E20" s="322">
        <f>RP!G20</f>
        <v>196445.5</v>
      </c>
      <c r="F20" s="95">
        <f t="shared" si="0"/>
        <v>13112.237730748051</v>
      </c>
      <c r="G20" s="95">
        <f>IF(C20&gt;100,-EINZ!G20,AUSZ!G20)/E20</f>
        <v>-701.5591597692777</v>
      </c>
      <c r="H20" s="95">
        <f t="shared" si="1"/>
        <v>12410.678570978773</v>
      </c>
      <c r="I20" s="219">
        <f t="shared" si="2"/>
        <v>134.30000000000001</v>
      </c>
      <c r="J20" s="316"/>
    </row>
    <row r="21" spans="2:10" x14ac:dyDescent="0.2">
      <c r="B21" s="46" t="str">
        <f>DFIE!$B40</f>
        <v>Basel-Landschaft</v>
      </c>
      <c r="C21" s="192">
        <f>RP!I21</f>
        <v>97.29165365674146</v>
      </c>
      <c r="D21" s="86">
        <f>RP!H21/RP!$H$35*SST!$I$12*E21</f>
        <v>2585868748.0199728</v>
      </c>
      <c r="E21" s="317">
        <f>RP!G21</f>
        <v>287667.16666666669</v>
      </c>
      <c r="F21" s="86">
        <f t="shared" si="0"/>
        <v>8989.0993747518605</v>
      </c>
      <c r="G21" s="86">
        <f>IF(C21&gt;100,-EINZ!G21,AUSZ!G21)/E21</f>
        <v>29.790545312595128</v>
      </c>
      <c r="H21" s="86">
        <f t="shared" si="1"/>
        <v>9018.8899200644555</v>
      </c>
      <c r="I21" s="218">
        <f t="shared" si="2"/>
        <v>97.6</v>
      </c>
      <c r="J21" s="316"/>
    </row>
    <row r="22" spans="2:10" x14ac:dyDescent="0.2">
      <c r="B22" s="47" t="str">
        <f>DFIE!$B41</f>
        <v>Schaffhausen</v>
      </c>
      <c r="C22" s="193">
        <f>RP!I22</f>
        <v>95.286838466485662</v>
      </c>
      <c r="D22" s="95">
        <f>RP!H22/RP!$H$35*SST!$I$12*E22</f>
        <v>720848959.70354056</v>
      </c>
      <c r="E22" s="322">
        <f>RP!G22</f>
        <v>81878.666666666672</v>
      </c>
      <c r="F22" s="95">
        <f t="shared" si="0"/>
        <v>8803.8678333412918</v>
      </c>
      <c r="G22" s="95">
        <f>IF(C22&gt;100,-EINZ!G22,AUSZ!G22)/E22</f>
        <v>73.756591194653026</v>
      </c>
      <c r="H22" s="95">
        <f t="shared" si="1"/>
        <v>8877.6244245359449</v>
      </c>
      <c r="I22" s="219">
        <f t="shared" si="2"/>
        <v>96.1</v>
      </c>
      <c r="J22" s="316"/>
    </row>
    <row r="23" spans="2:10" x14ac:dyDescent="0.2">
      <c r="B23" s="46" t="str">
        <f>DFIE!$B42</f>
        <v>Appenzell A.Rh.</v>
      </c>
      <c r="C23" s="192">
        <f>RP!I23</f>
        <v>85.285842810137737</v>
      </c>
      <c r="D23" s="86">
        <f>RP!H23/RP!$H$35*SST!$I$12*E23</f>
        <v>434872752.93853146</v>
      </c>
      <c r="E23" s="317">
        <f>RP!G23</f>
        <v>55188</v>
      </c>
      <c r="F23" s="86">
        <f t="shared" si="0"/>
        <v>7879.8425914787895</v>
      </c>
      <c r="G23" s="86">
        <f>IF(C23&gt;100,-EINZ!G23,AUSZ!G23)/E23</f>
        <v>475.17848014113451</v>
      </c>
      <c r="H23" s="86">
        <f t="shared" si="1"/>
        <v>8355.0210716199235</v>
      </c>
      <c r="I23" s="218">
        <f t="shared" si="2"/>
        <v>90.4</v>
      </c>
      <c r="J23" s="316"/>
    </row>
    <row r="24" spans="2:10" x14ac:dyDescent="0.2">
      <c r="B24" s="47" t="str">
        <f>DFIE!$B43</f>
        <v>Appenzell I.Rh.</v>
      </c>
      <c r="C24" s="193">
        <f>RP!I24</f>
        <v>96.254910931273812</v>
      </c>
      <c r="D24" s="95">
        <f>RP!H24/RP!$H$35*SST!$I$12*E24</f>
        <v>143583992.62733757</v>
      </c>
      <c r="E24" s="322">
        <f>RP!G24</f>
        <v>16145.166666666666</v>
      </c>
      <c r="F24" s="95">
        <f t="shared" si="0"/>
        <v>8893.3112671906511</v>
      </c>
      <c r="G24" s="95">
        <f>IF(C24&gt;100,-EINZ!G24,AUSZ!G24)/E24</f>
        <v>50.630200068125845</v>
      </c>
      <c r="H24" s="95">
        <f t="shared" si="1"/>
        <v>8943.9414672587773</v>
      </c>
      <c r="I24" s="219">
        <f t="shared" si="2"/>
        <v>96.8</v>
      </c>
      <c r="J24" s="316"/>
    </row>
    <row r="25" spans="2:10" x14ac:dyDescent="0.2">
      <c r="B25" s="46" t="str">
        <f>DFIE!$B44</f>
        <v>St. Gallen</v>
      </c>
      <c r="C25" s="192">
        <f>RP!I25</f>
        <v>82.956714153929894</v>
      </c>
      <c r="D25" s="86">
        <f>RP!H25/RP!$H$35*SST!$I$12*E25</f>
        <v>3883958772.3496161</v>
      </c>
      <c r="E25" s="317">
        <f>RP!G25</f>
        <v>506736.83333333331</v>
      </c>
      <c r="F25" s="86">
        <f t="shared" si="0"/>
        <v>7664.6466506111155</v>
      </c>
      <c r="G25" s="86">
        <f>IF(C25&gt;100,-EINZ!G25,AUSZ!G25)/E25</f>
        <v>604.34664440428003</v>
      </c>
      <c r="H25" s="86">
        <f t="shared" si="1"/>
        <v>8268.9932950153961</v>
      </c>
      <c r="I25" s="218">
        <f t="shared" si="2"/>
        <v>89.5</v>
      </c>
      <c r="J25" s="316"/>
    </row>
    <row r="26" spans="2:10" x14ac:dyDescent="0.2">
      <c r="B26" s="47" t="str">
        <f>DFIE!$B45</f>
        <v>Graubünden</v>
      </c>
      <c r="C26" s="193">
        <f>RP!I26</f>
        <v>82.879164001697987</v>
      </c>
      <c r="D26" s="95">
        <f>RP!H26/RP!$H$35*SST!$I$12*E26</f>
        <v>1571497714.1263475</v>
      </c>
      <c r="E26" s="322">
        <f>RP!G26</f>
        <v>205223.83333333334</v>
      </c>
      <c r="F26" s="95">
        <f t="shared" si="0"/>
        <v>7657.4815341932226</v>
      </c>
      <c r="G26" s="95">
        <f>IF(C26&gt;100,-EINZ!G26,AUSZ!G26)/E26</f>
        <v>608.8529768438267</v>
      </c>
      <c r="H26" s="95">
        <f t="shared" si="1"/>
        <v>8266.3345110370501</v>
      </c>
      <c r="I26" s="219">
        <f t="shared" si="2"/>
        <v>89.5</v>
      </c>
      <c r="J26" s="316"/>
    </row>
    <row r="27" spans="2:10" x14ac:dyDescent="0.2">
      <c r="B27" s="46" t="str">
        <f>DFIE!$B46</f>
        <v>Aargau</v>
      </c>
      <c r="C27" s="192">
        <f>RP!I27</f>
        <v>81.574284923209163</v>
      </c>
      <c r="D27" s="86">
        <f>RP!H27/RP!$H$35*SST!$I$12*E27</f>
        <v>5065140216.811883</v>
      </c>
      <c r="E27" s="317">
        <f>RP!G27</f>
        <v>672043.83333333337</v>
      </c>
      <c r="F27" s="86">
        <f t="shared" si="0"/>
        <v>7536.9194174267141</v>
      </c>
      <c r="G27" s="86">
        <f>IF(C27&gt;100,-EINZ!G27,AUSZ!G27)/E27</f>
        <v>686.61205773795507</v>
      </c>
      <c r="H27" s="86">
        <f t="shared" si="1"/>
        <v>8223.5314751646692</v>
      </c>
      <c r="I27" s="218">
        <f t="shared" si="2"/>
        <v>89</v>
      </c>
      <c r="J27" s="316"/>
    </row>
    <row r="28" spans="2:10" x14ac:dyDescent="0.2">
      <c r="B28" s="47" t="str">
        <f>DFIE!$B47</f>
        <v>Thurgau</v>
      </c>
      <c r="C28" s="193">
        <f>RP!I28</f>
        <v>79.297923640756935</v>
      </c>
      <c r="D28" s="95">
        <f>RP!H28/RP!$H$35*SST!$I$12*E28</f>
        <v>2007538144.4218869</v>
      </c>
      <c r="E28" s="322">
        <f>RP!G28</f>
        <v>274006.83333333331</v>
      </c>
      <c r="F28" s="95">
        <f t="shared" si="0"/>
        <v>7326.5988296711103</v>
      </c>
      <c r="G28" s="95">
        <f>IF(C28&gt;100,-EINZ!G28,AUSZ!G28)/E28</f>
        <v>830.79587954914382</v>
      </c>
      <c r="H28" s="95">
        <f t="shared" si="1"/>
        <v>8157.3947092202543</v>
      </c>
      <c r="I28" s="219">
        <f t="shared" si="2"/>
        <v>88.3</v>
      </c>
      <c r="J28" s="316"/>
    </row>
    <row r="29" spans="2:10" x14ac:dyDescent="0.2">
      <c r="B29" s="46" t="str">
        <f>DFIE!$B48</f>
        <v>Tessin</v>
      </c>
      <c r="C29" s="192">
        <f>RP!I29</f>
        <v>95.987151214909005</v>
      </c>
      <c r="D29" s="86">
        <f>RP!H29/RP!$H$35*SST!$I$12*E29</f>
        <v>3160194448.5863476</v>
      </c>
      <c r="E29" s="317">
        <f>RP!G29</f>
        <v>356336.33333333331</v>
      </c>
      <c r="F29" s="86">
        <f t="shared" si="0"/>
        <v>8868.5720566983473</v>
      </c>
      <c r="G29" s="86">
        <f>IF(C29&gt;100,-EINZ!G29,AUSZ!G29)/E29</f>
        <v>56.687230853305046</v>
      </c>
      <c r="H29" s="86">
        <f t="shared" si="1"/>
        <v>8925.259287551653</v>
      </c>
      <c r="I29" s="218">
        <f t="shared" si="2"/>
        <v>96.6</v>
      </c>
      <c r="J29" s="316"/>
    </row>
    <row r="30" spans="2:10" x14ac:dyDescent="0.2">
      <c r="B30" s="47" t="str">
        <f>DFIE!$B49</f>
        <v>Waadt</v>
      </c>
      <c r="C30" s="193">
        <f>RP!I30</f>
        <v>99.566730419486532</v>
      </c>
      <c r="D30" s="95">
        <f>RP!H30/RP!$H$35*SST!$I$12*E30</f>
        <v>7336188257.9627972</v>
      </c>
      <c r="E30" s="322">
        <f>RP!G30</f>
        <v>797472.33333333337</v>
      </c>
      <c r="F30" s="95">
        <f t="shared" si="0"/>
        <v>9199.3012814607118</v>
      </c>
      <c r="G30" s="95">
        <f>IF(C30&gt;100,-EINZ!G30,AUSZ!G30)/E30</f>
        <v>1.4846406859892398</v>
      </c>
      <c r="H30" s="95">
        <f t="shared" si="1"/>
        <v>9200.7859221467006</v>
      </c>
      <c r="I30" s="219">
        <f t="shared" si="2"/>
        <v>99.6</v>
      </c>
      <c r="J30" s="316"/>
    </row>
    <row r="31" spans="2:10" x14ac:dyDescent="0.2">
      <c r="B31" s="46" t="str">
        <f>DFIE!$B50</f>
        <v>Wallis</v>
      </c>
      <c r="C31" s="192">
        <f>RP!I31</f>
        <v>64.670638880744875</v>
      </c>
      <c r="D31" s="86">
        <f>RP!H31/RP!$H$35*SST!$I$12*E31</f>
        <v>2078571331.8601553</v>
      </c>
      <c r="E31" s="317">
        <f>RP!G31</f>
        <v>347870.16666666669</v>
      </c>
      <c r="F31" s="86">
        <f t="shared" si="0"/>
        <v>5975.1353551736647</v>
      </c>
      <c r="G31" s="86">
        <f>IF(C31&gt;100,-EINZ!G31,AUSZ!G31)/E31</f>
        <v>2016.8872561323974</v>
      </c>
      <c r="H31" s="86">
        <f t="shared" si="1"/>
        <v>7992.0226113060617</v>
      </c>
      <c r="I31" s="218">
        <f t="shared" si="2"/>
        <v>86.5</v>
      </c>
      <c r="J31" s="316"/>
    </row>
    <row r="32" spans="2:10" x14ac:dyDescent="0.2">
      <c r="B32" s="47" t="str">
        <f>DFIE!$B51</f>
        <v>Neuenburg</v>
      </c>
      <c r="C32" s="193">
        <f>RP!I32</f>
        <v>80.113149078189807</v>
      </c>
      <c r="D32" s="95">
        <f>RP!H32/RP!$H$35*SST!$I$12*E32</f>
        <v>1326831208.7580502</v>
      </c>
      <c r="E32" s="322">
        <f>RP!G32</f>
        <v>179255</v>
      </c>
      <c r="F32" s="95">
        <f t="shared" si="0"/>
        <v>7401.9202184488586</v>
      </c>
      <c r="G32" s="95">
        <f>IF(C32&gt;100,-EINZ!G32,AUSZ!G32)/E32</f>
        <v>777.93488040918055</v>
      </c>
      <c r="H32" s="95">
        <f t="shared" si="1"/>
        <v>8179.8550988580391</v>
      </c>
      <c r="I32" s="219">
        <f t="shared" si="2"/>
        <v>88.5</v>
      </c>
      <c r="J32" s="316"/>
    </row>
    <row r="33" spans="2:10" x14ac:dyDescent="0.2">
      <c r="B33" s="46" t="str">
        <f>DFIE!$B52</f>
        <v>Genf</v>
      </c>
      <c r="C33" s="192">
        <f>RP!I33</f>
        <v>136.58112668128109</v>
      </c>
      <c r="D33" s="86">
        <f>RP!H33/RP!$H$35*SST!$I$12*E33</f>
        <v>6260000920.6316271</v>
      </c>
      <c r="E33" s="317">
        <f>RP!G33</f>
        <v>496070.16666666669</v>
      </c>
      <c r="F33" s="86">
        <f t="shared" si="0"/>
        <v>12619.18442444458</v>
      </c>
      <c r="G33" s="86">
        <f>IF(C33&gt;100,-EINZ!G33,AUSZ!G33)/E33</f>
        <v>-612.24479689197165</v>
      </c>
      <c r="H33" s="86">
        <f t="shared" si="1"/>
        <v>12006.939627552609</v>
      </c>
      <c r="I33" s="218">
        <f t="shared" si="2"/>
        <v>130</v>
      </c>
      <c r="J33" s="316"/>
    </row>
    <row r="34" spans="2:10" x14ac:dyDescent="0.2">
      <c r="B34" s="47" t="str">
        <f>DFIE!$B53</f>
        <v>Jura</v>
      </c>
      <c r="C34" s="193">
        <f>RP!I34</f>
        <v>65.598794735875998</v>
      </c>
      <c r="D34" s="95">
        <f>RP!H34/RP!$H$35*SST!$I$12*E34</f>
        <v>445186568.45440078</v>
      </c>
      <c r="E34" s="322">
        <f>RP!G34</f>
        <v>73452.333333333328</v>
      </c>
      <c r="F34" s="95">
        <f t="shared" si="0"/>
        <v>6060.8907607346373</v>
      </c>
      <c r="G34" s="95">
        <f>IF(C34&gt;100,-EINZ!G34,AUSZ!G34)/E34</f>
        <v>1931.1318505714255</v>
      </c>
      <c r="H34" s="95">
        <f t="shared" si="1"/>
        <v>7992.0226113060626</v>
      </c>
      <c r="I34" s="219">
        <f t="shared" si="2"/>
        <v>86.5</v>
      </c>
      <c r="J34" s="316"/>
    </row>
    <row r="35" spans="2:10" ht="12.75" customHeight="1" x14ac:dyDescent="0.2">
      <c r="B35" s="24" t="str">
        <f>DFIE!$B54</f>
        <v>Schweiz</v>
      </c>
      <c r="C35" s="191">
        <f>RP!I35</f>
        <v>100</v>
      </c>
      <c r="D35" s="31">
        <f>SUM(D9:D34)</f>
        <v>78779527343.559799</v>
      </c>
      <c r="E35" s="67">
        <f>SUM(E9:E34)</f>
        <v>8526538.8333333321</v>
      </c>
      <c r="F35" s="31">
        <f t="shared" si="0"/>
        <v>9239.3324986197276</v>
      </c>
      <c r="G35" s="31"/>
      <c r="H35" s="31"/>
      <c r="I35" s="210"/>
      <c r="J35" s="177"/>
    </row>
    <row r="36" spans="2:10" ht="7.5" customHeight="1" x14ac:dyDescent="0.2">
      <c r="B36" s="82"/>
      <c r="C36" s="82"/>
      <c r="D36" s="307"/>
      <c r="E36" s="308"/>
      <c r="F36" s="307"/>
      <c r="G36" s="307"/>
      <c r="H36" s="307"/>
      <c r="I36" s="82"/>
      <c r="J36" s="177"/>
    </row>
    <row r="37" spans="2:10" ht="15" customHeight="1" x14ac:dyDescent="0.2">
      <c r="B37" s="304" t="str">
        <f>DFIE!B227</f>
        <v>Minimum</v>
      </c>
      <c r="C37" s="306">
        <f>MIN(C9:C34)</f>
        <v>64.670638880744875</v>
      </c>
      <c r="D37" s="309"/>
      <c r="E37" s="310"/>
      <c r="F37" s="309"/>
      <c r="G37" s="309"/>
      <c r="H37" s="309"/>
      <c r="I37" s="305">
        <f>MIN(I9:I34)</f>
        <v>86.5</v>
      </c>
    </row>
    <row r="38" spans="2:10" ht="14.25" customHeight="1" x14ac:dyDescent="0.2">
      <c r="B38" s="41"/>
      <c r="C38" s="41"/>
      <c r="D38" s="41"/>
      <c r="E38" s="311"/>
      <c r="I38" s="41"/>
    </row>
  </sheetData>
  <pageMargins left="0.78740157480314965" right="0.78740157480314965" top="0.9055118110236221" bottom="0.78740157480314965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customProperties>
    <customPr name="EpmWorksheetKeyString_GU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7"/>
  <sheetViews>
    <sheetView workbookViewId="0">
      <pane ySplit="9" topLeftCell="A10" activePane="bottomLeft" state="frozen"/>
      <selection activeCell="D35" sqref="D35:F35"/>
      <selection pane="bottomLeft" activeCell="G4" sqref="G4"/>
    </sheetView>
  </sheetViews>
  <sheetFormatPr baseColWidth="10" defaultRowHeight="12.75" x14ac:dyDescent="0.2"/>
  <cols>
    <col min="1" max="1" width="2.7109375" customWidth="1"/>
    <col min="2" max="2" width="57.5703125" customWidth="1"/>
    <col min="3" max="3" width="6.7109375" customWidth="1"/>
    <col min="4" max="7" width="18.7109375" customWidth="1"/>
  </cols>
  <sheetData>
    <row r="1" spans="1:10" ht="12.75" customHeight="1" x14ac:dyDescent="0.2">
      <c r="B1" s="41" t="s">
        <v>127</v>
      </c>
      <c r="D1" s="325" t="s">
        <v>128</v>
      </c>
      <c r="G1" s="325" t="s">
        <v>54</v>
      </c>
    </row>
    <row r="2" spans="1:10" ht="12.75" customHeight="1" x14ac:dyDescent="0.2">
      <c r="B2" s="41" t="s">
        <v>129</v>
      </c>
      <c r="D2" s="326" t="s">
        <v>130</v>
      </c>
      <c r="E2" s="324"/>
      <c r="G2" s="334">
        <f>INTRO!D44</f>
        <v>2022</v>
      </c>
    </row>
    <row r="3" spans="1:10" ht="12.75" customHeight="1" x14ac:dyDescent="0.2">
      <c r="B3" s="41"/>
      <c r="D3" s="327" t="s">
        <v>131</v>
      </c>
      <c r="E3" s="324"/>
    </row>
    <row r="4" spans="1:10" ht="12" customHeight="1" x14ac:dyDescent="0.2">
      <c r="A4" s="13"/>
      <c r="B4" s="152" t="s">
        <v>132</v>
      </c>
      <c r="C4" s="340"/>
      <c r="D4" s="327" t="s">
        <v>133</v>
      </c>
      <c r="E4" s="324"/>
      <c r="F4" s="13"/>
      <c r="H4" s="13"/>
      <c r="J4" s="13"/>
    </row>
    <row r="5" spans="1:10" ht="12" customHeight="1" x14ac:dyDescent="0.2">
      <c r="B5" s="152" t="s">
        <v>134</v>
      </c>
      <c r="D5" s="329" t="s">
        <v>135</v>
      </c>
      <c r="E5" s="324"/>
    </row>
    <row r="6" spans="1:10" ht="12.75" customHeight="1" x14ac:dyDescent="0.2">
      <c r="B6" s="41"/>
      <c r="D6" s="330">
        <v>1</v>
      </c>
      <c r="E6" s="324"/>
    </row>
    <row r="7" spans="1:10" x14ac:dyDescent="0.2">
      <c r="B7" s="328"/>
      <c r="D7" s="331"/>
      <c r="E7" s="331"/>
    </row>
    <row r="8" spans="1:10" x14ac:dyDescent="0.2">
      <c r="B8" s="332">
        <f>ROW()</f>
        <v>8</v>
      </c>
      <c r="C8" s="340" t="s">
        <v>136</v>
      </c>
      <c r="D8" s="330">
        <v>1</v>
      </c>
      <c r="E8" s="330">
        <v>2</v>
      </c>
      <c r="F8" s="330">
        <v>3</v>
      </c>
      <c r="G8" s="330">
        <v>4</v>
      </c>
      <c r="H8" s="13" t="s">
        <v>136</v>
      </c>
    </row>
    <row r="9" spans="1:10" x14ac:dyDescent="0.2">
      <c r="A9" s="328"/>
      <c r="B9" s="333" t="str">
        <f>HLOOKUP($D$6,D8:G9,2,FALSE)</f>
        <v>Deutsch</v>
      </c>
      <c r="C9" s="340" t="s">
        <v>136</v>
      </c>
      <c r="D9" s="325" t="s">
        <v>130</v>
      </c>
      <c r="E9" s="325" t="s">
        <v>131</v>
      </c>
      <c r="F9" s="325" t="s">
        <v>133</v>
      </c>
      <c r="G9" s="325" t="s">
        <v>135</v>
      </c>
      <c r="H9" s="13" t="s">
        <v>136</v>
      </c>
    </row>
    <row r="10" spans="1:10" x14ac:dyDescent="0.2">
      <c r="B10" s="336" t="str">
        <f t="shared" ref="B10:B73" si="0">HLOOKUP($B$9,$D$9:$G$227,ROW()-$B$8,FALSE)</f>
        <v>Eidgenössisches Finanzdepartement EFD</v>
      </c>
      <c r="C10" s="340" t="s">
        <v>136</v>
      </c>
      <c r="D10" s="13" t="s">
        <v>137</v>
      </c>
      <c r="E10" s="13" t="s">
        <v>138</v>
      </c>
      <c r="F10" s="13" t="s">
        <v>304</v>
      </c>
      <c r="G10" s="13" t="s">
        <v>262</v>
      </c>
      <c r="H10" s="13" t="s">
        <v>136</v>
      </c>
    </row>
    <row r="11" spans="1:10" x14ac:dyDescent="0.2">
      <c r="B11" s="335" t="str">
        <f t="shared" si="0"/>
        <v>Eidgenössische Finanzverwaltung EFV</v>
      </c>
      <c r="C11" s="340" t="s">
        <v>136</v>
      </c>
      <c r="D11" s="13" t="s">
        <v>139</v>
      </c>
      <c r="E11" s="13" t="s">
        <v>140</v>
      </c>
      <c r="F11" s="13" t="s">
        <v>305</v>
      </c>
      <c r="G11" s="13" t="s">
        <v>265</v>
      </c>
      <c r="H11" s="13" t="s">
        <v>136</v>
      </c>
    </row>
    <row r="12" spans="1:10" x14ac:dyDescent="0.2">
      <c r="B12" s="335" t="str">
        <f t="shared" si="0"/>
        <v>Finanzausgleich zwischen Bund und Kantonen</v>
      </c>
      <c r="C12" s="340" t="s">
        <v>136</v>
      </c>
      <c r="D12" s="13" t="s">
        <v>141</v>
      </c>
      <c r="E12" s="13" t="s">
        <v>142</v>
      </c>
      <c r="F12" s="13" t="s">
        <v>306</v>
      </c>
      <c r="G12" s="13" t="s">
        <v>266</v>
      </c>
      <c r="H12" s="13" t="s">
        <v>136</v>
      </c>
    </row>
    <row r="13" spans="1:10" x14ac:dyDescent="0.2">
      <c r="B13" s="337" t="str">
        <f t="shared" si="0"/>
        <v>Ressourcenausgleich 2022</v>
      </c>
      <c r="C13" s="340" t="s">
        <v>136</v>
      </c>
      <c r="D13" s="13" t="str">
        <f>"Ressourcenausgleich " &amp; $G$2</f>
        <v>Ressourcenausgleich 2022</v>
      </c>
      <c r="E13" s="13" t="str">
        <f>"Péréquation des ressources " &amp; $G$2</f>
        <v>Péréquation des ressources 2022</v>
      </c>
      <c r="F13" s="13" t="str">
        <f>"Perequazione delle risorse " &amp; $G$2</f>
        <v>Perequazione delle risorse 2022</v>
      </c>
      <c r="G13" s="13" t="str">
        <f>"Resource equalization " &amp; $G$2</f>
        <v>Resource equalization 2022</v>
      </c>
      <c r="H13" s="13" t="s">
        <v>136</v>
      </c>
    </row>
    <row r="14" spans="1:10" x14ac:dyDescent="0.2">
      <c r="B14" s="335" t="str">
        <f t="shared" si="0"/>
        <v>Übersicht über die Zahlungen im Ressourcenausgleich</v>
      </c>
      <c r="C14" s="340" t="s">
        <v>136</v>
      </c>
      <c r="D14" s="13" t="s">
        <v>202</v>
      </c>
      <c r="E14" s="13" t="s">
        <v>296</v>
      </c>
      <c r="F14" s="13" t="s">
        <v>307</v>
      </c>
      <c r="G14" s="13" t="s">
        <v>267</v>
      </c>
      <c r="H14" s="13" t="s">
        <v>136</v>
      </c>
    </row>
    <row r="15" spans="1:10" x14ac:dyDescent="0.2">
      <c r="B15" s="335" t="str">
        <f t="shared" si="0"/>
        <v>Einkommen natürlicher Personen</v>
      </c>
      <c r="C15" s="340" t="s">
        <v>136</v>
      </c>
      <c r="D15" s="13" t="s">
        <v>184</v>
      </c>
      <c r="E15" s="13" t="s">
        <v>195</v>
      </c>
      <c r="F15" s="13" t="s">
        <v>308</v>
      </c>
      <c r="G15" s="13" t="s">
        <v>268</v>
      </c>
      <c r="H15" s="13" t="s">
        <v>136</v>
      </c>
    </row>
    <row r="16" spans="1:10" x14ac:dyDescent="0.2">
      <c r="B16" s="335" t="str">
        <f t="shared" si="0"/>
        <v>Quellenbesteuerte Einkommen natürlicher Personen</v>
      </c>
      <c r="C16" s="340" t="s">
        <v>136</v>
      </c>
      <c r="D16" s="13" t="s">
        <v>185</v>
      </c>
      <c r="E16" s="13" t="s">
        <v>297</v>
      </c>
      <c r="F16" s="13" t="s">
        <v>309</v>
      </c>
      <c r="G16" s="13" t="s">
        <v>269</v>
      </c>
      <c r="H16" s="13" t="s">
        <v>136</v>
      </c>
    </row>
    <row r="17" spans="2:8" x14ac:dyDescent="0.2">
      <c r="B17" s="335" t="str">
        <f t="shared" si="0"/>
        <v>Vermögen natürlicher Personen</v>
      </c>
      <c r="C17" s="340" t="s">
        <v>136</v>
      </c>
      <c r="D17" s="13" t="s">
        <v>186</v>
      </c>
      <c r="E17" s="13" t="s">
        <v>196</v>
      </c>
      <c r="F17" s="13" t="s">
        <v>310</v>
      </c>
      <c r="G17" s="13" t="s">
        <v>208</v>
      </c>
      <c r="H17" s="13" t="s">
        <v>136</v>
      </c>
    </row>
    <row r="18" spans="2:8" x14ac:dyDescent="0.2">
      <c r="B18" s="335" t="str">
        <f t="shared" si="0"/>
        <v>Gewinne juristischer Personen</v>
      </c>
      <c r="C18" s="340" t="s">
        <v>136</v>
      </c>
      <c r="D18" s="13" t="s">
        <v>187</v>
      </c>
      <c r="E18" s="13" t="s">
        <v>197</v>
      </c>
      <c r="F18" s="13" t="s">
        <v>311</v>
      </c>
      <c r="G18" s="13" t="s">
        <v>209</v>
      </c>
      <c r="H18" s="13" t="s">
        <v>136</v>
      </c>
    </row>
    <row r="19" spans="2:8" x14ac:dyDescent="0.2">
      <c r="B19" s="335" t="str">
        <f t="shared" si="0"/>
        <v>Steuerrepartitionen</v>
      </c>
      <c r="C19" s="340" t="s">
        <v>136</v>
      </c>
      <c r="D19" s="13" t="s">
        <v>188</v>
      </c>
      <c r="E19" s="13" t="s">
        <v>198</v>
      </c>
      <c r="F19" s="13" t="s">
        <v>312</v>
      </c>
      <c r="G19" s="13" t="s">
        <v>270</v>
      </c>
      <c r="H19" s="13" t="s">
        <v>136</v>
      </c>
    </row>
    <row r="20" spans="2:8" x14ac:dyDescent="0.2">
      <c r="B20" s="335" t="str">
        <f t="shared" si="0"/>
        <v>Aggregierte Steuerbemessungsgrundlage</v>
      </c>
      <c r="C20" s="340" t="s">
        <v>136</v>
      </c>
      <c r="D20" s="13" t="s">
        <v>203</v>
      </c>
      <c r="E20" s="13" t="s">
        <v>204</v>
      </c>
      <c r="F20" s="13" t="s">
        <v>313</v>
      </c>
      <c r="G20" s="13" t="s">
        <v>271</v>
      </c>
      <c r="H20" s="13" t="s">
        <v>136</v>
      </c>
    </row>
    <row r="21" spans="2:8" x14ac:dyDescent="0.2">
      <c r="B21" s="335" t="str">
        <f t="shared" si="0"/>
        <v>Massgebende Wohnbevölkerung</v>
      </c>
      <c r="C21" s="340" t="s">
        <v>136</v>
      </c>
      <c r="D21" s="13" t="s">
        <v>0</v>
      </c>
      <c r="E21" s="13" t="s">
        <v>298</v>
      </c>
      <c r="F21" s="13" t="s">
        <v>314</v>
      </c>
      <c r="G21" s="13" t="s">
        <v>259</v>
      </c>
      <c r="H21" s="13" t="s">
        <v>136</v>
      </c>
    </row>
    <row r="22" spans="2:8" x14ac:dyDescent="0.2">
      <c r="B22" s="335" t="str">
        <f t="shared" si="0"/>
        <v>Berechnung Ressourcenpotenzial und -index</v>
      </c>
      <c r="C22" s="340" t="s">
        <v>136</v>
      </c>
      <c r="D22" s="13" t="s">
        <v>189</v>
      </c>
      <c r="E22" s="13" t="s">
        <v>205</v>
      </c>
      <c r="F22" s="13" t="s">
        <v>315</v>
      </c>
      <c r="G22" s="13" t="s">
        <v>272</v>
      </c>
      <c r="H22" s="13" t="s">
        <v>136</v>
      </c>
    </row>
    <row r="23" spans="2:8" x14ac:dyDescent="0.2">
      <c r="B23" s="335" t="str">
        <f t="shared" si="0"/>
        <v>Standardisierter Steuersatz</v>
      </c>
      <c r="C23" s="340" t="s">
        <v>136</v>
      </c>
      <c r="D23" s="13" t="s">
        <v>207</v>
      </c>
      <c r="E23" s="13" t="s">
        <v>201</v>
      </c>
      <c r="F23" s="13" t="s">
        <v>319</v>
      </c>
      <c r="G23" s="13" t="s">
        <v>211</v>
      </c>
      <c r="H23" s="13" t="s">
        <v>136</v>
      </c>
    </row>
    <row r="24" spans="2:8" x14ac:dyDescent="0.2">
      <c r="B24" s="335" t="str">
        <f t="shared" si="0"/>
        <v>Auszahlungen an die ressourcenschwachen Kantone</v>
      </c>
      <c r="C24" s="340" t="s">
        <v>136</v>
      </c>
      <c r="D24" s="13" t="s">
        <v>191</v>
      </c>
      <c r="E24" s="13" t="s">
        <v>200</v>
      </c>
      <c r="F24" s="13" t="s">
        <v>317</v>
      </c>
      <c r="G24" s="13" t="s">
        <v>274</v>
      </c>
      <c r="H24" s="13" t="s">
        <v>136</v>
      </c>
    </row>
    <row r="25" spans="2:8" x14ac:dyDescent="0.2">
      <c r="B25" s="335" t="str">
        <f t="shared" si="0"/>
        <v>Dotationen im Ressourcenausgleich</v>
      </c>
      <c r="C25" s="340" t="s">
        <v>136</v>
      </c>
      <c r="D25" s="13" t="s">
        <v>634</v>
      </c>
      <c r="E25" s="13" t="s">
        <v>635</v>
      </c>
      <c r="F25" s="13" t="s">
        <v>636</v>
      </c>
      <c r="G25" s="13" t="s">
        <v>637</v>
      </c>
      <c r="H25" s="13" t="s">
        <v>136</v>
      </c>
    </row>
    <row r="26" spans="2:8" x14ac:dyDescent="0.2">
      <c r="B26" s="335" t="str">
        <f t="shared" si="0"/>
        <v>Einzahlungen der ressourcenstarken Kantone</v>
      </c>
      <c r="C26" s="340" t="s">
        <v>136</v>
      </c>
      <c r="D26" s="13" t="s">
        <v>190</v>
      </c>
      <c r="E26" s="13" t="s">
        <v>199</v>
      </c>
      <c r="F26" s="13" t="s">
        <v>316</v>
      </c>
      <c r="G26" s="13" t="s">
        <v>273</v>
      </c>
      <c r="H26" s="13" t="s">
        <v>136</v>
      </c>
    </row>
    <row r="27" spans="2:8" x14ac:dyDescent="0.2">
      <c r="B27" s="337" t="str">
        <f t="shared" si="0"/>
        <v>Standardisierter Steuerertrag</v>
      </c>
      <c r="C27" s="340" t="s">
        <v>136</v>
      </c>
      <c r="D27" s="13" t="s">
        <v>206</v>
      </c>
      <c r="E27" s="13" t="s">
        <v>299</v>
      </c>
      <c r="F27" s="13" t="s">
        <v>318</v>
      </c>
      <c r="G27" s="13" t="s">
        <v>210</v>
      </c>
      <c r="H27" s="13" t="s">
        <v>136</v>
      </c>
    </row>
    <row r="28" spans="2:8" x14ac:dyDescent="0.2">
      <c r="B28" s="335" t="str">
        <f t="shared" si="0"/>
        <v>Zürich</v>
      </c>
      <c r="C28" s="340" t="s">
        <v>136</v>
      </c>
      <c r="D28" s="13" t="s">
        <v>2</v>
      </c>
      <c r="E28" s="13" t="s">
        <v>144</v>
      </c>
      <c r="F28" s="13" t="s">
        <v>320</v>
      </c>
      <c r="G28" s="13" t="s">
        <v>144</v>
      </c>
      <c r="H28" s="13" t="s">
        <v>136</v>
      </c>
    </row>
    <row r="29" spans="2:8" x14ac:dyDescent="0.2">
      <c r="B29" s="335" t="str">
        <f t="shared" si="0"/>
        <v>Bern</v>
      </c>
      <c r="C29" s="340" t="s">
        <v>136</v>
      </c>
      <c r="D29" s="13" t="s">
        <v>3</v>
      </c>
      <c r="E29" s="13" t="s">
        <v>145</v>
      </c>
      <c r="F29" s="13" t="s">
        <v>321</v>
      </c>
      <c r="G29" s="13" t="s">
        <v>3</v>
      </c>
      <c r="H29" s="13" t="s">
        <v>136</v>
      </c>
    </row>
    <row r="30" spans="2:8" x14ac:dyDescent="0.2">
      <c r="B30" s="335" t="str">
        <f t="shared" si="0"/>
        <v>Luzern</v>
      </c>
      <c r="C30" s="340" t="s">
        <v>136</v>
      </c>
      <c r="D30" s="13" t="s">
        <v>4</v>
      </c>
      <c r="E30" s="13" t="s">
        <v>146</v>
      </c>
      <c r="F30" s="13" t="s">
        <v>322</v>
      </c>
      <c r="G30" s="13" t="s">
        <v>4</v>
      </c>
      <c r="H30" s="13" t="s">
        <v>136</v>
      </c>
    </row>
    <row r="31" spans="2:8" x14ac:dyDescent="0.2">
      <c r="B31" s="335" t="str">
        <f t="shared" si="0"/>
        <v>Uri</v>
      </c>
      <c r="C31" s="340" t="s">
        <v>136</v>
      </c>
      <c r="D31" s="13" t="s">
        <v>5</v>
      </c>
      <c r="E31" s="13" t="s">
        <v>5</v>
      </c>
      <c r="F31" s="13" t="s">
        <v>5</v>
      </c>
      <c r="G31" s="13" t="s">
        <v>5</v>
      </c>
      <c r="H31" s="13" t="s">
        <v>136</v>
      </c>
    </row>
    <row r="32" spans="2:8" x14ac:dyDescent="0.2">
      <c r="B32" s="335" t="str">
        <f t="shared" si="0"/>
        <v>Schwyz</v>
      </c>
      <c r="C32" s="340" t="s">
        <v>136</v>
      </c>
      <c r="D32" s="13" t="s">
        <v>6</v>
      </c>
      <c r="E32" s="13" t="s">
        <v>6</v>
      </c>
      <c r="F32" s="13" t="s">
        <v>323</v>
      </c>
      <c r="G32" s="13" t="s">
        <v>6</v>
      </c>
      <c r="H32" s="13" t="s">
        <v>136</v>
      </c>
    </row>
    <row r="33" spans="2:8" x14ac:dyDescent="0.2">
      <c r="B33" s="335" t="str">
        <f t="shared" si="0"/>
        <v>Obwalden</v>
      </c>
      <c r="C33" s="340" t="s">
        <v>136</v>
      </c>
      <c r="D33" s="13" t="s">
        <v>7</v>
      </c>
      <c r="E33" s="13" t="s">
        <v>147</v>
      </c>
      <c r="F33" s="13" t="s">
        <v>324</v>
      </c>
      <c r="G33" s="13" t="s">
        <v>7</v>
      </c>
      <c r="H33" s="13" t="s">
        <v>136</v>
      </c>
    </row>
    <row r="34" spans="2:8" x14ac:dyDescent="0.2">
      <c r="B34" s="335" t="str">
        <f t="shared" si="0"/>
        <v>Nidwalden</v>
      </c>
      <c r="C34" s="340" t="s">
        <v>136</v>
      </c>
      <c r="D34" s="13" t="s">
        <v>8</v>
      </c>
      <c r="E34" s="13" t="s">
        <v>148</v>
      </c>
      <c r="F34" s="13" t="s">
        <v>325</v>
      </c>
      <c r="G34" s="13" t="s">
        <v>8</v>
      </c>
      <c r="H34" s="13" t="s">
        <v>136</v>
      </c>
    </row>
    <row r="35" spans="2:8" x14ac:dyDescent="0.2">
      <c r="B35" s="335" t="str">
        <f t="shared" si="0"/>
        <v>Glarus</v>
      </c>
      <c r="C35" s="340" t="s">
        <v>136</v>
      </c>
      <c r="D35" s="13" t="s">
        <v>9</v>
      </c>
      <c r="E35" s="13" t="s">
        <v>149</v>
      </c>
      <c r="F35" s="13" t="s">
        <v>326</v>
      </c>
      <c r="G35" s="13" t="s">
        <v>9</v>
      </c>
      <c r="H35" s="13" t="s">
        <v>136</v>
      </c>
    </row>
    <row r="36" spans="2:8" x14ac:dyDescent="0.2">
      <c r="B36" s="335" t="str">
        <f t="shared" si="0"/>
        <v>Zug</v>
      </c>
      <c r="C36" s="340" t="s">
        <v>136</v>
      </c>
      <c r="D36" s="13" t="s">
        <v>10</v>
      </c>
      <c r="E36" s="13" t="s">
        <v>150</v>
      </c>
      <c r="F36" s="13" t="s">
        <v>327</v>
      </c>
      <c r="G36" s="13" t="s">
        <v>10</v>
      </c>
      <c r="H36" s="13" t="s">
        <v>136</v>
      </c>
    </row>
    <row r="37" spans="2:8" x14ac:dyDescent="0.2">
      <c r="B37" s="335" t="str">
        <f t="shared" si="0"/>
        <v>Freiburg</v>
      </c>
      <c r="C37" s="340" t="s">
        <v>136</v>
      </c>
      <c r="D37" s="13" t="s">
        <v>11</v>
      </c>
      <c r="E37" s="13" t="s">
        <v>151</v>
      </c>
      <c r="F37" s="13" t="s">
        <v>328</v>
      </c>
      <c r="G37" s="13" t="s">
        <v>151</v>
      </c>
      <c r="H37" s="13" t="s">
        <v>136</v>
      </c>
    </row>
    <row r="38" spans="2:8" x14ac:dyDescent="0.2">
      <c r="B38" s="335" t="str">
        <f t="shared" si="0"/>
        <v>Solothurn</v>
      </c>
      <c r="C38" s="340" t="s">
        <v>136</v>
      </c>
      <c r="D38" s="13" t="s">
        <v>12</v>
      </c>
      <c r="E38" s="13" t="s">
        <v>152</v>
      </c>
      <c r="F38" s="13" t="s">
        <v>329</v>
      </c>
      <c r="G38" s="13" t="s">
        <v>12</v>
      </c>
      <c r="H38" s="13" t="s">
        <v>136</v>
      </c>
    </row>
    <row r="39" spans="2:8" x14ac:dyDescent="0.2">
      <c r="B39" s="335" t="str">
        <f t="shared" si="0"/>
        <v>Basel-Stadt</v>
      </c>
      <c r="C39" s="340" t="s">
        <v>136</v>
      </c>
      <c r="D39" s="13" t="s">
        <v>13</v>
      </c>
      <c r="E39" s="13" t="s">
        <v>153</v>
      </c>
      <c r="F39" s="13" t="s">
        <v>330</v>
      </c>
      <c r="G39" s="13" t="s">
        <v>275</v>
      </c>
      <c r="H39" s="13" t="s">
        <v>136</v>
      </c>
    </row>
    <row r="40" spans="2:8" x14ac:dyDescent="0.2">
      <c r="B40" s="335" t="str">
        <f t="shared" si="0"/>
        <v>Basel-Landschaft</v>
      </c>
      <c r="C40" s="340" t="s">
        <v>136</v>
      </c>
      <c r="D40" s="13" t="s">
        <v>14</v>
      </c>
      <c r="E40" s="13" t="s">
        <v>154</v>
      </c>
      <c r="F40" s="13" t="s">
        <v>331</v>
      </c>
      <c r="G40" s="13" t="s">
        <v>276</v>
      </c>
      <c r="H40" s="13" t="s">
        <v>136</v>
      </c>
    </row>
    <row r="41" spans="2:8" x14ac:dyDescent="0.2">
      <c r="B41" s="335" t="str">
        <f t="shared" si="0"/>
        <v>Schaffhausen</v>
      </c>
      <c r="C41" s="340" t="s">
        <v>136</v>
      </c>
      <c r="D41" s="13" t="s">
        <v>15</v>
      </c>
      <c r="E41" s="13" t="s">
        <v>155</v>
      </c>
      <c r="F41" s="13" t="s">
        <v>332</v>
      </c>
      <c r="G41" s="13" t="s">
        <v>15</v>
      </c>
      <c r="H41" s="13" t="s">
        <v>136</v>
      </c>
    </row>
    <row r="42" spans="2:8" x14ac:dyDescent="0.2">
      <c r="B42" s="335" t="str">
        <f t="shared" si="0"/>
        <v>Appenzell A.Rh.</v>
      </c>
      <c r="C42" s="340" t="s">
        <v>136</v>
      </c>
      <c r="D42" s="13" t="s">
        <v>16</v>
      </c>
      <c r="E42" s="13" t="s">
        <v>156</v>
      </c>
      <c r="F42" s="13" t="s">
        <v>333</v>
      </c>
      <c r="G42" s="13" t="s">
        <v>16</v>
      </c>
      <c r="H42" s="13" t="s">
        <v>136</v>
      </c>
    </row>
    <row r="43" spans="2:8" x14ac:dyDescent="0.2">
      <c r="B43" s="335" t="str">
        <f t="shared" si="0"/>
        <v>Appenzell I.Rh.</v>
      </c>
      <c r="C43" s="340" t="s">
        <v>136</v>
      </c>
      <c r="D43" s="13" t="s">
        <v>17</v>
      </c>
      <c r="E43" s="13" t="s">
        <v>157</v>
      </c>
      <c r="F43" s="13" t="s">
        <v>334</v>
      </c>
      <c r="G43" s="13" t="s">
        <v>17</v>
      </c>
      <c r="H43" s="13" t="s">
        <v>136</v>
      </c>
    </row>
    <row r="44" spans="2:8" x14ac:dyDescent="0.2">
      <c r="B44" s="335" t="str">
        <f t="shared" si="0"/>
        <v>St. Gallen</v>
      </c>
      <c r="C44" s="340" t="s">
        <v>136</v>
      </c>
      <c r="D44" s="13" t="s">
        <v>18</v>
      </c>
      <c r="E44" s="13" t="s">
        <v>158</v>
      </c>
      <c r="F44" s="13" t="s">
        <v>335</v>
      </c>
      <c r="G44" s="13" t="s">
        <v>18</v>
      </c>
      <c r="H44" s="13" t="s">
        <v>136</v>
      </c>
    </row>
    <row r="45" spans="2:8" x14ac:dyDescent="0.2">
      <c r="B45" s="335" t="str">
        <f t="shared" si="0"/>
        <v>Graubünden</v>
      </c>
      <c r="C45" s="340" t="s">
        <v>136</v>
      </c>
      <c r="D45" s="13" t="s">
        <v>19</v>
      </c>
      <c r="E45" s="13" t="s">
        <v>159</v>
      </c>
      <c r="F45" s="13" t="s">
        <v>336</v>
      </c>
      <c r="G45" s="13" t="s">
        <v>19</v>
      </c>
      <c r="H45" s="13" t="s">
        <v>136</v>
      </c>
    </row>
    <row r="46" spans="2:8" x14ac:dyDescent="0.2">
      <c r="B46" s="335" t="str">
        <f t="shared" si="0"/>
        <v>Aargau</v>
      </c>
      <c r="C46" s="340" t="s">
        <v>136</v>
      </c>
      <c r="D46" s="13" t="s">
        <v>20</v>
      </c>
      <c r="E46" s="13" t="s">
        <v>160</v>
      </c>
      <c r="F46" s="13" t="s">
        <v>337</v>
      </c>
      <c r="G46" s="13" t="s">
        <v>20</v>
      </c>
      <c r="H46" s="13" t="s">
        <v>136</v>
      </c>
    </row>
    <row r="47" spans="2:8" x14ac:dyDescent="0.2">
      <c r="B47" s="335" t="str">
        <f t="shared" si="0"/>
        <v>Thurgau</v>
      </c>
      <c r="C47" s="340" t="s">
        <v>136</v>
      </c>
      <c r="D47" s="13" t="s">
        <v>21</v>
      </c>
      <c r="E47" s="13" t="s">
        <v>161</v>
      </c>
      <c r="F47" s="13" t="s">
        <v>338</v>
      </c>
      <c r="G47" s="13" t="s">
        <v>21</v>
      </c>
      <c r="H47" s="13" t="s">
        <v>136</v>
      </c>
    </row>
    <row r="48" spans="2:8" x14ac:dyDescent="0.2">
      <c r="B48" s="335" t="str">
        <f t="shared" si="0"/>
        <v>Tessin</v>
      </c>
      <c r="C48" s="340" t="s">
        <v>136</v>
      </c>
      <c r="D48" s="13" t="s">
        <v>22</v>
      </c>
      <c r="E48" s="13" t="s">
        <v>22</v>
      </c>
      <c r="F48" s="13" t="s">
        <v>212</v>
      </c>
      <c r="G48" s="13" t="s">
        <v>212</v>
      </c>
      <c r="H48" s="13" t="s">
        <v>136</v>
      </c>
    </row>
    <row r="49" spans="2:8" x14ac:dyDescent="0.2">
      <c r="B49" s="335" t="str">
        <f t="shared" si="0"/>
        <v>Waadt</v>
      </c>
      <c r="C49" s="340" t="s">
        <v>136</v>
      </c>
      <c r="D49" s="13" t="s">
        <v>23</v>
      </c>
      <c r="E49" s="13" t="s">
        <v>162</v>
      </c>
      <c r="F49" s="13" t="s">
        <v>162</v>
      </c>
      <c r="G49" s="13" t="s">
        <v>162</v>
      </c>
      <c r="H49" s="13" t="s">
        <v>136</v>
      </c>
    </row>
    <row r="50" spans="2:8" x14ac:dyDescent="0.2">
      <c r="B50" s="335" t="str">
        <f t="shared" si="0"/>
        <v>Wallis</v>
      </c>
      <c r="C50" s="340" t="s">
        <v>136</v>
      </c>
      <c r="D50" s="13" t="s">
        <v>24</v>
      </c>
      <c r="E50" s="13" t="s">
        <v>163</v>
      </c>
      <c r="F50" s="13" t="s">
        <v>339</v>
      </c>
      <c r="G50" s="13" t="s">
        <v>163</v>
      </c>
      <c r="H50" s="13" t="s">
        <v>136</v>
      </c>
    </row>
    <row r="51" spans="2:8" x14ac:dyDescent="0.2">
      <c r="B51" s="335" t="str">
        <f t="shared" si="0"/>
        <v>Neuenburg</v>
      </c>
      <c r="C51" s="340" t="s">
        <v>136</v>
      </c>
      <c r="D51" s="13" t="s">
        <v>25</v>
      </c>
      <c r="E51" s="13" t="s">
        <v>164</v>
      </c>
      <c r="F51" s="13" t="s">
        <v>164</v>
      </c>
      <c r="G51" s="13" t="s">
        <v>164</v>
      </c>
      <c r="H51" s="13" t="s">
        <v>136</v>
      </c>
    </row>
    <row r="52" spans="2:8" x14ac:dyDescent="0.2">
      <c r="B52" s="335" t="str">
        <f t="shared" si="0"/>
        <v>Genf</v>
      </c>
      <c r="C52" s="340" t="s">
        <v>136</v>
      </c>
      <c r="D52" s="13" t="s">
        <v>26</v>
      </c>
      <c r="E52" s="13" t="s">
        <v>165</v>
      </c>
      <c r="F52" s="13" t="s">
        <v>340</v>
      </c>
      <c r="G52" s="13" t="s">
        <v>213</v>
      </c>
      <c r="H52" s="13" t="s">
        <v>136</v>
      </c>
    </row>
    <row r="53" spans="2:8" x14ac:dyDescent="0.2">
      <c r="B53" s="335" t="str">
        <f t="shared" si="0"/>
        <v>Jura</v>
      </c>
      <c r="C53" s="340" t="s">
        <v>136</v>
      </c>
      <c r="D53" s="13" t="s">
        <v>27</v>
      </c>
      <c r="E53" s="13" t="s">
        <v>27</v>
      </c>
      <c r="F53" s="13" t="s">
        <v>341</v>
      </c>
      <c r="G53" s="13" t="s">
        <v>27</v>
      </c>
      <c r="H53" s="13" t="s">
        <v>136</v>
      </c>
    </row>
    <row r="54" spans="2:8" x14ac:dyDescent="0.2">
      <c r="B54" s="337" t="str">
        <f t="shared" si="0"/>
        <v>Schweiz</v>
      </c>
      <c r="C54" s="340" t="s">
        <v>136</v>
      </c>
      <c r="D54" s="13" t="s">
        <v>40</v>
      </c>
      <c r="E54" s="13" t="s">
        <v>143</v>
      </c>
      <c r="F54" s="13" t="s">
        <v>342</v>
      </c>
      <c r="G54" s="13" t="s">
        <v>214</v>
      </c>
      <c r="H54" s="13" t="s">
        <v>136</v>
      </c>
    </row>
    <row r="55" spans="2:8" x14ac:dyDescent="0.2">
      <c r="B55" s="335" t="str">
        <f t="shared" si="0"/>
        <v>Spalte</v>
      </c>
      <c r="C55" s="340" t="s">
        <v>136</v>
      </c>
      <c r="D55" s="13" t="s">
        <v>29</v>
      </c>
      <c r="E55" s="13" t="s">
        <v>223</v>
      </c>
      <c r="F55" s="13" t="s">
        <v>343</v>
      </c>
      <c r="G55" s="13" t="s">
        <v>215</v>
      </c>
      <c r="H55" s="13" t="s">
        <v>136</v>
      </c>
    </row>
    <row r="56" spans="2:8" x14ac:dyDescent="0.2">
      <c r="B56" s="335" t="str">
        <f t="shared" si="0"/>
        <v>Formel</v>
      </c>
      <c r="C56" s="340" t="s">
        <v>136</v>
      </c>
      <c r="D56" s="13" t="s">
        <v>36</v>
      </c>
      <c r="E56" s="13" t="s">
        <v>224</v>
      </c>
      <c r="F56" s="13" t="s">
        <v>216</v>
      </c>
      <c r="G56" s="13" t="s">
        <v>216</v>
      </c>
      <c r="H56" s="13" t="s">
        <v>136</v>
      </c>
    </row>
    <row r="57" spans="2:8" x14ac:dyDescent="0.2">
      <c r="B57" s="335" t="str">
        <f t="shared" si="0"/>
        <v>Kategorie</v>
      </c>
      <c r="C57" s="340" t="s">
        <v>136</v>
      </c>
      <c r="D57" s="13" t="s">
        <v>55</v>
      </c>
      <c r="E57" s="13" t="s">
        <v>225</v>
      </c>
      <c r="F57" s="13" t="s">
        <v>344</v>
      </c>
      <c r="G57" s="13" t="s">
        <v>217</v>
      </c>
      <c r="H57" s="13" t="s">
        <v>136</v>
      </c>
    </row>
    <row r="58" spans="2:8" x14ac:dyDescent="0.2">
      <c r="B58" s="335" t="str">
        <f t="shared" si="0"/>
        <v>Einheit</v>
      </c>
      <c r="C58" s="340" t="s">
        <v>136</v>
      </c>
      <c r="D58" s="13" t="s">
        <v>1</v>
      </c>
      <c r="E58" s="13" t="s">
        <v>226</v>
      </c>
      <c r="F58" s="13" t="s">
        <v>345</v>
      </c>
      <c r="G58" s="13" t="s">
        <v>218</v>
      </c>
      <c r="H58" s="13" t="s">
        <v>136</v>
      </c>
    </row>
    <row r="59" spans="2:8" x14ac:dyDescent="0.2">
      <c r="B59" s="335" t="str">
        <f t="shared" si="0"/>
        <v>CHF</v>
      </c>
      <c r="C59" s="340"/>
      <c r="D59" s="13" t="s">
        <v>38</v>
      </c>
      <c r="E59" s="13" t="s">
        <v>38</v>
      </c>
      <c r="F59" s="13" t="s">
        <v>38</v>
      </c>
      <c r="G59" s="13" t="s">
        <v>38</v>
      </c>
      <c r="H59" s="13" t="s">
        <v>136</v>
      </c>
    </row>
    <row r="60" spans="2:8" x14ac:dyDescent="0.2">
      <c r="B60" s="335" t="str">
        <f t="shared" si="0"/>
        <v>CHF 1'000</v>
      </c>
      <c r="C60" s="340"/>
      <c r="D60" s="13" t="s">
        <v>37</v>
      </c>
      <c r="E60" s="13" t="s">
        <v>37</v>
      </c>
      <c r="F60" s="13" t="s">
        <v>346</v>
      </c>
      <c r="G60" s="13" t="s">
        <v>219</v>
      </c>
      <c r="H60" s="13" t="s">
        <v>136</v>
      </c>
    </row>
    <row r="61" spans="2:8" x14ac:dyDescent="0.2">
      <c r="B61" s="335" t="str">
        <f t="shared" si="0"/>
        <v>Anzahl</v>
      </c>
      <c r="C61" s="340" t="s">
        <v>136</v>
      </c>
      <c r="D61" s="13" t="s">
        <v>97</v>
      </c>
      <c r="E61" s="13" t="s">
        <v>227</v>
      </c>
      <c r="F61" s="13" t="s">
        <v>347</v>
      </c>
      <c r="G61" s="13" t="s">
        <v>277</v>
      </c>
      <c r="H61" s="13" t="s">
        <v>136</v>
      </c>
    </row>
    <row r="62" spans="2:8" x14ac:dyDescent="0.2">
      <c r="B62" s="335" t="str">
        <f t="shared" si="0"/>
        <v>Punkte</v>
      </c>
      <c r="C62" s="340" t="s">
        <v>136</v>
      </c>
      <c r="D62" s="13" t="s">
        <v>65</v>
      </c>
      <c r="E62" s="13" t="s">
        <v>220</v>
      </c>
      <c r="F62" s="13" t="s">
        <v>348</v>
      </c>
      <c r="G62" s="13" t="s">
        <v>220</v>
      </c>
      <c r="H62" s="13" t="s">
        <v>136</v>
      </c>
    </row>
    <row r="63" spans="2:8" x14ac:dyDescent="0.2">
      <c r="B63" s="337" t="str">
        <f t="shared" si="0"/>
        <v>Prozent</v>
      </c>
      <c r="C63" s="340" t="s">
        <v>136</v>
      </c>
      <c r="D63" s="13" t="s">
        <v>66</v>
      </c>
      <c r="E63" s="13" t="s">
        <v>384</v>
      </c>
      <c r="F63" s="13" t="s">
        <v>349</v>
      </c>
      <c r="G63" s="13" t="s">
        <v>278</v>
      </c>
      <c r="H63" s="13" t="s">
        <v>136</v>
      </c>
    </row>
    <row r="64" spans="2:8" x14ac:dyDescent="0.2">
      <c r="B64" s="335" t="str">
        <f t="shared" si="0"/>
        <v>Total</v>
      </c>
      <c r="C64" s="340" t="s">
        <v>136</v>
      </c>
      <c r="D64" s="13" t="s">
        <v>28</v>
      </c>
      <c r="E64" s="13" t="s">
        <v>28</v>
      </c>
      <c r="F64" s="13" t="s">
        <v>350</v>
      </c>
      <c r="G64" s="13" t="s">
        <v>28</v>
      </c>
      <c r="H64" s="13" t="s">
        <v>136</v>
      </c>
    </row>
    <row r="65" spans="2:8" x14ac:dyDescent="0.2">
      <c r="B65" s="335" t="str">
        <f t="shared" si="0"/>
        <v>Referenzjahr</v>
      </c>
      <c r="C65" s="340"/>
      <c r="D65" s="13" t="s">
        <v>54</v>
      </c>
      <c r="E65" s="13" t="s">
        <v>228</v>
      </c>
      <c r="F65" s="13" t="s">
        <v>379</v>
      </c>
      <c r="G65" s="13" t="s">
        <v>221</v>
      </c>
      <c r="H65" s="13" t="s">
        <v>136</v>
      </c>
    </row>
    <row r="66" spans="2:8" x14ac:dyDescent="0.2">
      <c r="B66" s="335" t="str">
        <f t="shared" si="0"/>
        <v>Berechnungsdatum</v>
      </c>
      <c r="C66" s="340"/>
      <c r="D66" s="13" t="s">
        <v>70</v>
      </c>
      <c r="E66" s="13" t="s">
        <v>300</v>
      </c>
      <c r="F66" s="13" t="s">
        <v>380</v>
      </c>
      <c r="G66" s="13" t="s">
        <v>279</v>
      </c>
      <c r="H66" s="13" t="s">
        <v>136</v>
      </c>
    </row>
    <row r="67" spans="2:8" x14ac:dyDescent="0.2">
      <c r="B67" s="335" t="str">
        <f t="shared" si="0"/>
        <v>Berechnungs-ID</v>
      </c>
      <c r="C67" s="340"/>
      <c r="D67" s="13" t="s">
        <v>71</v>
      </c>
      <c r="E67" s="13" t="s">
        <v>301</v>
      </c>
      <c r="F67" s="13" t="s">
        <v>381</v>
      </c>
      <c r="G67" s="13" t="s">
        <v>280</v>
      </c>
      <c r="H67" s="13" t="s">
        <v>136</v>
      </c>
    </row>
    <row r="68" spans="2:8" x14ac:dyDescent="0.2">
      <c r="B68" s="335" t="str">
        <f t="shared" si="0"/>
        <v>Bemessungsjahr</v>
      </c>
      <c r="C68" s="340"/>
      <c r="D68" s="13" t="s">
        <v>103</v>
      </c>
      <c r="E68" s="13" t="s">
        <v>229</v>
      </c>
      <c r="F68" s="13" t="s">
        <v>351</v>
      </c>
      <c r="G68" s="13" t="s">
        <v>222</v>
      </c>
      <c r="H68" s="13" t="s">
        <v>136</v>
      </c>
    </row>
    <row r="69" spans="2:8" x14ac:dyDescent="0.2">
      <c r="B69" s="335" t="str">
        <f t="shared" si="0"/>
        <v>Bemessungsjahr 2016</v>
      </c>
      <c r="C69" s="340" t="s">
        <v>136</v>
      </c>
      <c r="D69" s="13" t="str">
        <f>D$68 &amp; " " &amp; $G$2-6</f>
        <v>Bemessungsjahr 2016</v>
      </c>
      <c r="E69" s="13" t="str">
        <f>E$68 &amp; " " &amp; $G$2-6</f>
        <v>Année de calcul 2016</v>
      </c>
      <c r="F69" s="13" t="str">
        <f>F$68 &amp; " " &amp; $G$2-6</f>
        <v>Anno di calcolo 2016</v>
      </c>
      <c r="G69" s="13" t="str">
        <f>G$68 &amp; " " &amp; $G$2-6</f>
        <v>Assessment year 2016</v>
      </c>
      <c r="H69" s="13" t="s">
        <v>136</v>
      </c>
    </row>
    <row r="70" spans="2:8" x14ac:dyDescent="0.2">
      <c r="B70" s="335" t="str">
        <f t="shared" si="0"/>
        <v>Bemessungsjahr 2017</v>
      </c>
      <c r="C70" s="340" t="s">
        <v>136</v>
      </c>
      <c r="D70" s="13" t="str">
        <f>D$68 &amp; " " &amp; $G$2-5</f>
        <v>Bemessungsjahr 2017</v>
      </c>
      <c r="E70" s="13" t="str">
        <f>E$68 &amp; " " &amp; $G$2-5</f>
        <v>Année de calcul 2017</v>
      </c>
      <c r="F70" s="13" t="str">
        <f>F$68 &amp; " " &amp; $G$2-5</f>
        <v>Anno di calcolo 2017</v>
      </c>
      <c r="G70" s="13" t="str">
        <f>G$68 &amp; " " &amp; $G$2-5</f>
        <v>Assessment year 2017</v>
      </c>
      <c r="H70" s="13" t="s">
        <v>136</v>
      </c>
    </row>
    <row r="71" spans="2:8" x14ac:dyDescent="0.2">
      <c r="B71" s="337" t="str">
        <f t="shared" si="0"/>
        <v>Bemessungsjahr 2018</v>
      </c>
      <c r="C71" s="340"/>
      <c r="D71" s="13" t="str">
        <f>D$68 &amp; " " &amp; $G$2-4</f>
        <v>Bemessungsjahr 2018</v>
      </c>
      <c r="E71" s="13" t="str">
        <f>E$68 &amp; " " &amp; $G$2-4</f>
        <v>Année de calcul 2018</v>
      </c>
      <c r="F71" s="13" t="str">
        <f>F$68 &amp; " " &amp; $G$2-4</f>
        <v>Anno di calcolo 2018</v>
      </c>
      <c r="G71" s="13" t="str">
        <f>G$68 &amp; " " &amp; $G$2-4</f>
        <v>Assessment year 2018</v>
      </c>
      <c r="H71" s="13" t="s">
        <v>136</v>
      </c>
    </row>
    <row r="72" spans="2:8" x14ac:dyDescent="0.2">
      <c r="B72" s="338" t="str">
        <f t="shared" si="0"/>
        <v>Zahlungen im</v>
      </c>
      <c r="C72" s="340" t="s">
        <v>170</v>
      </c>
      <c r="D72" s="328" t="s">
        <v>95</v>
      </c>
      <c r="E72" s="328" t="s">
        <v>302</v>
      </c>
      <c r="F72" s="328" t="s">
        <v>352</v>
      </c>
      <c r="G72" s="328" t="s">
        <v>281</v>
      </c>
      <c r="H72" s="328" t="s">
        <v>136</v>
      </c>
    </row>
    <row r="73" spans="2:8" x14ac:dyDescent="0.2">
      <c r="B73" s="338" t="str">
        <f t="shared" si="0"/>
        <v>Ressourcenausgleich 2022</v>
      </c>
      <c r="C73" s="340" t="s">
        <v>136</v>
      </c>
      <c r="D73" s="328" t="str">
        <f>"Ressourcenausgleich " &amp; $G$2</f>
        <v>Ressourcenausgleich 2022</v>
      </c>
      <c r="E73" s="328" t="str">
        <f>"péréquation des ressources " &amp; $G$2</f>
        <v>péréquation des ressources 2022</v>
      </c>
      <c r="F73" s="328" t="str">
        <f>"Perequazione delle risorse " &amp; $G$2</f>
        <v>Perequazione delle risorse 2022</v>
      </c>
      <c r="G73" s="328" t="str">
        <f>"Resource equalization " &amp; $G$2</f>
        <v>Resource equalization 2022</v>
      </c>
      <c r="H73" s="328" t="s">
        <v>136</v>
      </c>
    </row>
    <row r="74" spans="2:8" x14ac:dyDescent="0.2">
      <c r="B74" s="335" t="str">
        <f t="shared" ref="B74:B144" si="1">HLOOKUP($B$9,$D$9:$G$227,ROW()-$B$8,FALSE)</f>
        <v>(+) Einzahlungen; (-) Auszahlungen in CHF</v>
      </c>
      <c r="C74" s="340" t="s">
        <v>136</v>
      </c>
      <c r="D74" s="13" t="s">
        <v>125</v>
      </c>
      <c r="E74" s="13" t="s">
        <v>383</v>
      </c>
      <c r="F74" s="13" t="s">
        <v>353</v>
      </c>
      <c r="G74" s="13" t="s">
        <v>282</v>
      </c>
      <c r="H74" s="13" t="s">
        <v>136</v>
      </c>
    </row>
    <row r="75" spans="2:8" x14ac:dyDescent="0.2">
      <c r="B75" s="335" t="str">
        <f t="shared" si="1"/>
        <v>Ressourcen-
index</v>
      </c>
      <c r="C75" s="340" t="s">
        <v>136</v>
      </c>
      <c r="D75" s="13" t="s">
        <v>117</v>
      </c>
      <c r="E75" s="13" t="s">
        <v>447</v>
      </c>
      <c r="F75" s="13" t="s">
        <v>464</v>
      </c>
      <c r="G75" s="13" t="s">
        <v>466</v>
      </c>
      <c r="H75" s="13" t="s">
        <v>136</v>
      </c>
    </row>
    <row r="76" spans="2:8" x14ac:dyDescent="0.2">
      <c r="B76" s="335" t="str">
        <f t="shared" si="1"/>
        <v>Ausgleichszahlungen</v>
      </c>
      <c r="C76" s="340" t="s">
        <v>136</v>
      </c>
      <c r="D76" s="13" t="s">
        <v>68</v>
      </c>
      <c r="E76" s="13" t="s">
        <v>230</v>
      </c>
      <c r="F76" s="13" t="s">
        <v>354</v>
      </c>
      <c r="G76" s="13" t="s">
        <v>283</v>
      </c>
      <c r="H76" s="13" t="s">
        <v>136</v>
      </c>
    </row>
    <row r="77" spans="2:8" x14ac:dyDescent="0.2">
      <c r="B77" s="335" t="str">
        <f t="shared" si="1"/>
        <v>Pro Einwohner</v>
      </c>
      <c r="C77" s="340" t="s">
        <v>136</v>
      </c>
      <c r="D77" s="13" t="s">
        <v>69</v>
      </c>
      <c r="E77" s="13" t="s">
        <v>231</v>
      </c>
      <c r="F77" s="13" t="s">
        <v>355</v>
      </c>
      <c r="G77" s="13" t="s">
        <v>284</v>
      </c>
      <c r="H77" s="13" t="s">
        <v>136</v>
      </c>
    </row>
    <row r="78" spans="2:8" x14ac:dyDescent="0.2">
      <c r="B78" s="337" t="str">
        <f t="shared" si="1"/>
        <v>Die Berechnung des Ressourcenausgleichs wird im technischen Bericht detailliert beschrieben:
www.efv.admin.ch → Themen  → Finanzausgleich  → Dokumentation</v>
      </c>
      <c r="C78" s="340" t="s">
        <v>136</v>
      </c>
      <c r="D78" s="13" t="s">
        <v>124</v>
      </c>
      <c r="E78" s="13" t="s">
        <v>463</v>
      </c>
      <c r="F78" s="13" t="s">
        <v>467</v>
      </c>
      <c r="G78" s="13" t="s">
        <v>468</v>
      </c>
      <c r="H78" s="13" t="s">
        <v>136</v>
      </c>
    </row>
    <row r="79" spans="2:8" x14ac:dyDescent="0.2">
      <c r="B79" s="338" t="str">
        <f t="shared" si="1"/>
        <v>Einkommen natürlicher Personen 2022</v>
      </c>
      <c r="C79" s="340" t="s">
        <v>171</v>
      </c>
      <c r="D79" s="328" t="str">
        <f>"Einkommen natürlicher Personen " &amp; $G$2</f>
        <v>Einkommen natürlicher Personen 2022</v>
      </c>
      <c r="E79" s="328" t="str">
        <f>"Revenu des personnes physiques " &amp; $G$2</f>
        <v>Revenu des personnes physiques 2022</v>
      </c>
      <c r="F79" s="328" t="str">
        <f>"Reddito delle persone fisiche " &amp; $G$2</f>
        <v>Reddito delle persone fisiche 2022</v>
      </c>
      <c r="G79" s="328" t="str">
        <f>"Income of natural persons " &amp; $G$2</f>
        <v>Income of natural persons 2022</v>
      </c>
      <c r="H79" s="328" t="s">
        <v>136</v>
      </c>
    </row>
    <row r="80" spans="2:8" ht="11.25" customHeight="1" x14ac:dyDescent="0.2">
      <c r="B80" s="335" t="str">
        <f t="shared" si="1"/>
        <v>Steuerpflichtige mit steuerbarem Einkommen
grösser oder gleich dem Freibetrag</v>
      </c>
      <c r="C80" s="340" t="s">
        <v>136</v>
      </c>
      <c r="D80" s="13" t="s">
        <v>551</v>
      </c>
      <c r="E80" s="13" t="s">
        <v>555</v>
      </c>
      <c r="F80" s="13" t="s">
        <v>556</v>
      </c>
      <c r="G80" s="13" t="s">
        <v>557</v>
      </c>
      <c r="H80" s="13" t="s">
        <v>136</v>
      </c>
    </row>
    <row r="81" spans="2:8" ht="11.25" customHeight="1" x14ac:dyDescent="0.2">
      <c r="B81" s="335" t="str">
        <f t="shared" si="1"/>
        <v>Steuerpflichtige</v>
      </c>
      <c r="C81" s="340" t="s">
        <v>136</v>
      </c>
      <c r="D81" s="13" t="s">
        <v>101</v>
      </c>
      <c r="E81" s="13" t="s">
        <v>303</v>
      </c>
      <c r="F81" s="13" t="s">
        <v>356</v>
      </c>
      <c r="G81" s="13" t="s">
        <v>506</v>
      </c>
      <c r="H81" s="13" t="s">
        <v>136</v>
      </c>
    </row>
    <row r="82" spans="2:8" ht="11.25" customHeight="1" x14ac:dyDescent="0.2">
      <c r="B82" s="335" t="str">
        <f t="shared" si="1"/>
        <v>Steuerbares Einkommen
der Steuerpflichtigen</v>
      </c>
      <c r="C82" s="340" t="s">
        <v>136</v>
      </c>
      <c r="D82" s="13" t="s">
        <v>385</v>
      </c>
      <c r="E82" s="13" t="s">
        <v>418</v>
      </c>
      <c r="F82" s="13" t="s">
        <v>465</v>
      </c>
      <c r="G82" s="13" t="s">
        <v>505</v>
      </c>
      <c r="H82" s="13" t="s">
        <v>136</v>
      </c>
    </row>
    <row r="83" spans="2:8" ht="11.25" customHeight="1" x14ac:dyDescent="0.2">
      <c r="B83" s="335" t="str">
        <f t="shared" si="1"/>
        <v>Massgebendes
Einkommen der
natürlichen
Personen</v>
      </c>
      <c r="C83" s="340" t="s">
        <v>136</v>
      </c>
      <c r="D83" s="13" t="s">
        <v>400</v>
      </c>
      <c r="E83" s="13" t="s">
        <v>419</v>
      </c>
      <c r="F83" s="13" t="s">
        <v>487</v>
      </c>
      <c r="G83" s="13" t="s">
        <v>507</v>
      </c>
      <c r="H83" s="13" t="s">
        <v>136</v>
      </c>
    </row>
    <row r="84" spans="2:8" ht="11.25" customHeight="1" x14ac:dyDescent="0.2">
      <c r="B84" s="335" t="str">
        <f t="shared" si="1"/>
        <v>Freibetrag pro
steuerpflichtige Person</v>
      </c>
      <c r="C84" s="340" t="s">
        <v>136</v>
      </c>
      <c r="D84" s="13" t="s">
        <v>552</v>
      </c>
      <c r="E84" s="13" t="s">
        <v>553</v>
      </c>
      <c r="F84" s="13" t="s">
        <v>554</v>
      </c>
      <c r="G84" s="13" t="s">
        <v>558</v>
      </c>
      <c r="H84" s="13" t="s">
        <v>136</v>
      </c>
    </row>
    <row r="85" spans="2:8" x14ac:dyDescent="0.2">
      <c r="B85" s="337" t="str">
        <f t="shared" si="1"/>
        <v>Bemessungsjahr</v>
      </c>
      <c r="C85" s="340" t="s">
        <v>136</v>
      </c>
      <c r="D85" s="13" t="s">
        <v>103</v>
      </c>
      <c r="E85" s="13" t="s">
        <v>229</v>
      </c>
      <c r="F85" s="13" t="s">
        <v>351</v>
      </c>
      <c r="G85" s="13" t="s">
        <v>222</v>
      </c>
      <c r="H85" s="13" t="s">
        <v>136</v>
      </c>
    </row>
    <row r="86" spans="2:8" x14ac:dyDescent="0.2">
      <c r="B86" s="338" t="str">
        <f t="shared" si="1"/>
        <v>Quellenbesteuerte Einkommen natürlicher Personen 2022</v>
      </c>
      <c r="C86" s="340" t="s">
        <v>172</v>
      </c>
      <c r="D86" s="328" t="str">
        <f>"Quellenbesteuerte Einkommen natürlicher Personen " &amp; $G$2</f>
        <v>Quellenbesteuerte Einkommen natürlicher Personen 2022</v>
      </c>
      <c r="E86" s="328" t="str">
        <f>"Revenu des personnes physiques pour l’imposition à la source " &amp; $G$2</f>
        <v>Revenu des personnes physiques pour l’imposition à la source 2022</v>
      </c>
      <c r="F86" s="328" t="str">
        <f>"Reddito tassato alla fonte delle persone fisiche " &amp; $G$2</f>
        <v>Reddito tassato alla fonte delle persone fisiche 2022</v>
      </c>
      <c r="G86" s="328" t="str">
        <f>"Income of natural persons taxed at source " &amp; $G$2</f>
        <v>Income of natural persons taxed at source 2022</v>
      </c>
      <c r="H86" s="328" t="s">
        <v>136</v>
      </c>
    </row>
    <row r="87" spans="2:8" x14ac:dyDescent="0.2">
      <c r="B87" s="335" t="str">
        <f t="shared" si="1"/>
        <v>Bruttoeinkommen</v>
      </c>
      <c r="C87" s="340" t="s">
        <v>136</v>
      </c>
      <c r="D87" s="13" t="s">
        <v>105</v>
      </c>
      <c r="E87" s="13" t="s">
        <v>232</v>
      </c>
      <c r="F87" s="13" t="s">
        <v>357</v>
      </c>
      <c r="G87" s="13" t="s">
        <v>285</v>
      </c>
      <c r="H87" s="13" t="s">
        <v>136</v>
      </c>
    </row>
    <row r="88" spans="2:8" x14ac:dyDescent="0.2">
      <c r="B88" s="335" t="str">
        <f t="shared" si="1"/>
        <v>Gebietsansässige
Ausländer und
ausländische
Verwaltungsräte</v>
      </c>
      <c r="C88" s="340" t="s">
        <v>136</v>
      </c>
      <c r="D88" s="13" t="s">
        <v>386</v>
      </c>
      <c r="E88" s="13" t="s">
        <v>420</v>
      </c>
      <c r="F88" s="13" t="s">
        <v>469</v>
      </c>
      <c r="G88" s="13" t="s">
        <v>508</v>
      </c>
      <c r="H88" s="13" t="s">
        <v>136</v>
      </c>
    </row>
    <row r="89" spans="2:8" x14ac:dyDescent="0.2">
      <c r="B89" s="335" t="str">
        <f t="shared" si="1"/>
        <v>Vollständig
besteuerte
Grenzgänger</v>
      </c>
      <c r="C89" s="340" t="s">
        <v>136</v>
      </c>
      <c r="D89" s="13" t="s">
        <v>387</v>
      </c>
      <c r="E89" s="13" t="s">
        <v>421</v>
      </c>
      <c r="F89" s="13" t="s">
        <v>470</v>
      </c>
      <c r="G89" s="13" t="s">
        <v>509</v>
      </c>
      <c r="H89" s="13" t="s">
        <v>136</v>
      </c>
    </row>
    <row r="90" spans="2:8" x14ac:dyDescent="0.2">
      <c r="B90" s="335" t="str">
        <f t="shared" si="1"/>
        <v>Begrenzt
besteuerte
Grenzgänger
aus Österreich</v>
      </c>
      <c r="C90" s="340" t="s">
        <v>136</v>
      </c>
      <c r="D90" s="13" t="s">
        <v>388</v>
      </c>
      <c r="E90" s="13" t="s">
        <v>422</v>
      </c>
      <c r="F90" s="13" t="s">
        <v>471</v>
      </c>
      <c r="G90" s="13" t="s">
        <v>510</v>
      </c>
      <c r="H90" s="13" t="s">
        <v>136</v>
      </c>
    </row>
    <row r="91" spans="2:8" x14ac:dyDescent="0.2">
      <c r="B91" s="335" t="str">
        <f t="shared" si="1"/>
        <v>Begrenzt
besteuerte
Grenzgänger
aus Deutschland</v>
      </c>
      <c r="C91" s="340" t="s">
        <v>136</v>
      </c>
      <c r="D91" s="13" t="s">
        <v>389</v>
      </c>
      <c r="E91" s="13" t="s">
        <v>423</v>
      </c>
      <c r="F91" s="13" t="s">
        <v>473</v>
      </c>
      <c r="G91" s="13" t="s">
        <v>511</v>
      </c>
      <c r="H91" s="13" t="s">
        <v>136</v>
      </c>
    </row>
    <row r="92" spans="2:8" x14ac:dyDescent="0.2">
      <c r="B92" s="335" t="str">
        <f t="shared" si="1"/>
        <v>Begrenzt
besteuerte
Grenzgänger aus
Frankreich mit
Besteuerung durch
den Kanton Genf</v>
      </c>
      <c r="C92" s="340" t="s">
        <v>136</v>
      </c>
      <c r="D92" s="13" t="s">
        <v>721</v>
      </c>
      <c r="E92" s="13" t="s">
        <v>426</v>
      </c>
      <c r="F92" s="13" t="s">
        <v>472</v>
      </c>
      <c r="G92" s="13" t="s">
        <v>513</v>
      </c>
      <c r="H92" s="13" t="s">
        <v>136</v>
      </c>
    </row>
    <row r="93" spans="2:8" x14ac:dyDescent="0.2">
      <c r="B93" s="335" t="str">
        <f t="shared" si="1"/>
        <v>Begrenzt
besteuerte
Grenzgänger aus
Frankreich mit
Besteuerung durch
Frankreich</v>
      </c>
      <c r="C93" s="340" t="s">
        <v>136</v>
      </c>
      <c r="D93" s="13" t="s">
        <v>722</v>
      </c>
      <c r="E93" s="13" t="s">
        <v>424</v>
      </c>
      <c r="F93" s="13" t="s">
        <v>474</v>
      </c>
      <c r="G93" s="13" t="s">
        <v>512</v>
      </c>
      <c r="H93" s="13" t="s">
        <v>136</v>
      </c>
    </row>
    <row r="94" spans="2:8" x14ac:dyDescent="0.2">
      <c r="B94" s="335" t="str">
        <f t="shared" si="1"/>
        <v>Begrenzt
besteuerte
Grenzgänger
aus Italien</v>
      </c>
      <c r="C94" s="340" t="s">
        <v>136</v>
      </c>
      <c r="D94" s="13" t="s">
        <v>390</v>
      </c>
      <c r="E94" s="13" t="s">
        <v>425</v>
      </c>
      <c r="F94" s="13" t="s">
        <v>475</v>
      </c>
      <c r="G94" s="13" t="s">
        <v>514</v>
      </c>
      <c r="H94" s="13" t="s">
        <v>136</v>
      </c>
    </row>
    <row r="95" spans="2:8" x14ac:dyDescent="0.2">
      <c r="B95" s="335" t="str">
        <f t="shared" si="1"/>
        <v>Standardisierter Steuersatz SST(2019)</v>
      </c>
      <c r="C95" s="340" t="s">
        <v>136</v>
      </c>
      <c r="D95" s="13" t="str">
        <f>"Standardisierter Steuersatz SST(" &amp; $G$2-3 &amp; ")"</f>
        <v>Standardisierter Steuersatz SST(2019)</v>
      </c>
      <c r="E95" s="13" t="str">
        <f>"Taux fiscal standardisé TFS(" &amp; $G$2-3 &amp; ")"</f>
        <v>Taux fiscal standardisé TFS(2019)</v>
      </c>
      <c r="F95" s="13" t="str">
        <f>"Aliquota d'imposta standardizzata AIS(" &amp; $G$2-3 &amp; ")"</f>
        <v>Aliquota d'imposta standardizzata AIS(2019)</v>
      </c>
      <c r="G95" s="13" t="str">
        <f>"Standardized tax rate STRate(" &amp; $G$2-3 &amp; ")"</f>
        <v>Standardized tax rate STRate(2019)</v>
      </c>
      <c r="H95" s="13" t="s">
        <v>136</v>
      </c>
    </row>
    <row r="96" spans="2:8" x14ac:dyDescent="0.2">
      <c r="B96" s="335" t="str">
        <f t="shared" si="1"/>
        <v>Standardisierter Steuersatz SST(2020)</v>
      </c>
      <c r="C96" s="340" t="s">
        <v>136</v>
      </c>
      <c r="D96" s="13" t="str">
        <f>"Standardisierter Steuersatz SST(" &amp; $G$2-2 &amp; ")"</f>
        <v>Standardisierter Steuersatz SST(2020)</v>
      </c>
      <c r="E96" s="13" t="str">
        <f>"Taux fiscal standardisé TFS(" &amp; $G$2-2 &amp; ")"</f>
        <v>Taux fiscal standardisé TFS(2020)</v>
      </c>
      <c r="F96" s="13" t="str">
        <f>"Aliquota d'imposta standardizzata AIS(" &amp; $G$2-2 &amp; ")"</f>
        <v>Aliquota d'imposta standardizzata AIS(2020)</v>
      </c>
      <c r="G96" s="13" t="str">
        <f>"Standardized tax rate STRate(" &amp; $G$2-2 &amp; ")"</f>
        <v>Standardized tax rate STRate(2020)</v>
      </c>
      <c r="H96" s="13" t="s">
        <v>136</v>
      </c>
    </row>
    <row r="97" spans="2:8" x14ac:dyDescent="0.2">
      <c r="B97" s="335" t="str">
        <f t="shared" si="1"/>
        <v>Standardisierter Steuersatz SST(2021)</v>
      </c>
      <c r="C97" s="340" t="s">
        <v>136</v>
      </c>
      <c r="D97" s="13" t="str">
        <f>"Standardisierter Steuersatz SST(" &amp; $G$2-1 &amp; ")"</f>
        <v>Standardisierter Steuersatz SST(2021)</v>
      </c>
      <c r="E97" s="13" t="str">
        <f>"Taux fiscal standardisé TFS(" &amp; $G$2-1 &amp; ")"</f>
        <v>Taux fiscal standardisé TFS(2021)</v>
      </c>
      <c r="F97" s="13" t="str">
        <f>"Aliquota d'imposta standardizzata AIS(" &amp; $G$2-1 &amp; ")"</f>
        <v>Aliquota d'imposta standardizzata AIS(2021)</v>
      </c>
      <c r="G97" s="13" t="str">
        <f>"Standardized tax rate STRate(" &amp; $G$2-1 &amp; ")"</f>
        <v>Standardized tax rate STRate(2021)</v>
      </c>
      <c r="H97" s="13" t="s">
        <v>136</v>
      </c>
    </row>
    <row r="98" spans="2:8" x14ac:dyDescent="0.2">
      <c r="B98" s="335" t="str">
        <f t="shared" si="1"/>
        <v>Faktor Delta</v>
      </c>
      <c r="C98" s="340" t="s">
        <v>136</v>
      </c>
      <c r="D98" s="13" t="s">
        <v>76</v>
      </c>
      <c r="E98" s="13" t="s">
        <v>233</v>
      </c>
      <c r="F98" s="13" t="s">
        <v>358</v>
      </c>
      <c r="G98" s="13" t="s">
        <v>250</v>
      </c>
      <c r="H98" s="13" t="s">
        <v>136</v>
      </c>
    </row>
    <row r="99" spans="2:8" x14ac:dyDescent="0.2">
      <c r="B99" s="335" t="str">
        <f t="shared" si="1"/>
        <v>Gamma 2016</v>
      </c>
      <c r="C99" s="340" t="s">
        <v>136</v>
      </c>
      <c r="D99" s="13" t="str">
        <f>"Gamma " &amp; $G$2-6</f>
        <v>Gamma 2016</v>
      </c>
      <c r="E99" s="13" t="str">
        <f>"Gamma " &amp; G$2-6</f>
        <v>Gamma 2016</v>
      </c>
      <c r="F99" s="13" t="str">
        <f>"Gamma " &amp; G$2-6</f>
        <v>Gamma 2016</v>
      </c>
      <c r="G99" s="13" t="str">
        <f>"Gamma " &amp; $G$2-6</f>
        <v>Gamma 2016</v>
      </c>
      <c r="H99" s="13" t="s">
        <v>136</v>
      </c>
    </row>
    <row r="100" spans="2:8" x14ac:dyDescent="0.2">
      <c r="B100" s="335" t="str">
        <f t="shared" si="1"/>
        <v>Gamma 2017</v>
      </c>
      <c r="C100" s="340" t="s">
        <v>136</v>
      </c>
      <c r="D100" s="13" t="str">
        <f>"Gamma " &amp; $G$2-5</f>
        <v>Gamma 2017</v>
      </c>
      <c r="E100" s="13" t="str">
        <f>"Gamma " &amp; G$2-5</f>
        <v>Gamma 2017</v>
      </c>
      <c r="F100" s="13" t="str">
        <f>"Gamma " &amp; G$2-5</f>
        <v>Gamma 2017</v>
      </c>
      <c r="G100" s="13" t="str">
        <f>"Gamma " &amp; $G$2-5</f>
        <v>Gamma 2017</v>
      </c>
      <c r="H100" s="13" t="s">
        <v>136</v>
      </c>
    </row>
    <row r="101" spans="2:8" x14ac:dyDescent="0.2">
      <c r="B101" s="335" t="str">
        <f t="shared" si="1"/>
        <v>Berechnung Gamma 2018</v>
      </c>
      <c r="C101" s="340" t="s">
        <v>136</v>
      </c>
      <c r="D101" s="13" t="str">
        <f>"Berechnung Gamma " &amp; $G$2-4</f>
        <v>Berechnung Gamma 2018</v>
      </c>
      <c r="E101" s="13" t="str">
        <f>"Calcul Gamma " &amp; G$2-4</f>
        <v>Calcul Gamma 2018</v>
      </c>
      <c r="F101" s="13" t="str">
        <f>"Calcolo gamma " &amp; G$2-4</f>
        <v>Calcolo gamma 2018</v>
      </c>
      <c r="G101" s="13" t="str">
        <f>"Gamma calculation " &amp; $G$2-4</f>
        <v>Gamma calculation 2018</v>
      </c>
      <c r="H101" s="13" t="s">
        <v>136</v>
      </c>
    </row>
    <row r="102" spans="2:8" x14ac:dyDescent="0.2">
      <c r="B102" s="335" t="str">
        <f t="shared" si="1"/>
        <v>in CHF 1'000</v>
      </c>
      <c r="C102" s="340" t="s">
        <v>136</v>
      </c>
      <c r="D102" s="13" t="s">
        <v>39</v>
      </c>
      <c r="E102" s="13" t="s">
        <v>382</v>
      </c>
      <c r="F102" s="13" t="s">
        <v>359</v>
      </c>
      <c r="G102" s="13" t="s">
        <v>286</v>
      </c>
      <c r="H102" s="13" t="s">
        <v>136</v>
      </c>
    </row>
    <row r="103" spans="2:8" x14ac:dyDescent="0.2">
      <c r="B103" s="335" t="str">
        <f t="shared" si="1"/>
        <v>A    Primäreinkommen der privaten Haushalte</v>
      </c>
      <c r="C103" s="340" t="s">
        <v>136</v>
      </c>
      <c r="D103" s="13" t="s">
        <v>82</v>
      </c>
      <c r="E103" s="13" t="s">
        <v>234</v>
      </c>
      <c r="F103" s="13" t="s">
        <v>360</v>
      </c>
      <c r="G103" s="13" t="s">
        <v>251</v>
      </c>
      <c r="H103" s="13" t="s">
        <v>136</v>
      </c>
    </row>
    <row r="104" spans="2:8" x14ac:dyDescent="0.2">
      <c r="B104" s="335" t="str">
        <f t="shared" si="1"/>
        <v>B    Massgebendes Einkommen</v>
      </c>
      <c r="C104" s="340" t="s">
        <v>136</v>
      </c>
      <c r="D104" s="13" t="s">
        <v>83</v>
      </c>
      <c r="E104" s="13" t="s">
        <v>235</v>
      </c>
      <c r="F104" s="13" t="s">
        <v>361</v>
      </c>
      <c r="G104" s="13" t="s">
        <v>252</v>
      </c>
      <c r="H104" s="13" t="s">
        <v>136</v>
      </c>
    </row>
    <row r="105" spans="2:8" x14ac:dyDescent="0.2">
      <c r="B105" s="335" t="str">
        <f t="shared" si="1"/>
        <v>C    Gamma (B / A)</v>
      </c>
      <c r="C105" s="340" t="s">
        <v>136</v>
      </c>
      <c r="D105" s="13" t="s">
        <v>192</v>
      </c>
      <c r="E105" s="13" t="s">
        <v>192</v>
      </c>
      <c r="F105" s="13" t="s">
        <v>192</v>
      </c>
      <c r="G105" s="13" t="s">
        <v>192</v>
      </c>
      <c r="H105" s="13" t="s">
        <v>136</v>
      </c>
    </row>
    <row r="106" spans="2:8" x14ac:dyDescent="0.2">
      <c r="B106" s="335" t="str">
        <f t="shared" si="1"/>
        <v>Formel für Gewicht</v>
      </c>
      <c r="C106" s="340" t="s">
        <v>136</v>
      </c>
      <c r="D106" s="13" t="s">
        <v>94</v>
      </c>
      <c r="E106" s="13" t="s">
        <v>236</v>
      </c>
      <c r="F106" s="13" t="s">
        <v>362</v>
      </c>
      <c r="G106" s="13" t="s">
        <v>287</v>
      </c>
      <c r="H106" s="13" t="s">
        <v>136</v>
      </c>
    </row>
    <row r="107" spans="2:8" x14ac:dyDescent="0.2">
      <c r="B107" s="335" t="str">
        <f t="shared" si="1"/>
        <v>Gewicht (ω)</v>
      </c>
      <c r="C107" s="340" t="s">
        <v>136</v>
      </c>
      <c r="D107" s="13" t="s">
        <v>106</v>
      </c>
      <c r="E107" s="13" t="s">
        <v>237</v>
      </c>
      <c r="F107" s="13" t="s">
        <v>363</v>
      </c>
      <c r="G107" s="13" t="s">
        <v>288</v>
      </c>
      <c r="H107" s="13" t="s">
        <v>136</v>
      </c>
    </row>
    <row r="108" spans="2:8" x14ac:dyDescent="0.2">
      <c r="B108" s="335" t="str">
        <f t="shared" si="1"/>
        <v>0.045 / SST(2019)</v>
      </c>
      <c r="C108" s="340" t="s">
        <v>136</v>
      </c>
      <c r="D108" s="13" t="str">
        <f>"0.045 / SST(" &amp; $G$2-3 &amp; ")"</f>
        <v>0.045 / SST(2019)</v>
      </c>
      <c r="E108" s="13" t="str">
        <f>"0.045 / TFS(" &amp; $G$2-3 &amp; ")"</f>
        <v>0.045 / TFS(2019)</v>
      </c>
      <c r="F108" s="13" t="str">
        <f>"0.045 / AIS(" &amp; $G$2-3 &amp; ")"</f>
        <v>0.045 / AIS(2019)</v>
      </c>
      <c r="G108" s="13" t="str">
        <f>"0.045 / STRate(" &amp; $G$2-3 &amp; ")"</f>
        <v>0.045 / STRate(2019)</v>
      </c>
      <c r="H108" s="13" t="s">
        <v>136</v>
      </c>
    </row>
    <row r="109" spans="2:8" x14ac:dyDescent="0.2">
      <c r="B109" s="335" t="str">
        <f t="shared" si="1"/>
        <v>γ - 0.035 / SST(2019)</v>
      </c>
      <c r="C109" s="340" t="s">
        <v>136</v>
      </c>
      <c r="D109" s="13" t="str">
        <f>"γ - 0.035 / SST(" &amp; $G$2-3 &amp; ")"</f>
        <v>γ - 0.035 / SST(2019)</v>
      </c>
      <c r="E109" s="13" t="str">
        <f>"γ - 0.035 / TFS(" &amp; $G$2-3 &amp; ")"</f>
        <v>γ - 0.035 / TFS(2019)</v>
      </c>
      <c r="F109" s="13" t="str">
        <f>"γ - 0.035 / AIS(" &amp; $G$2-3 &amp; ")"</f>
        <v>γ - 0.035 / AIS(2019)</v>
      </c>
      <c r="G109" s="13" t="str">
        <f>"γ - 0.035 / STRate(" &amp; $G$2-3 &amp; ")"</f>
        <v>γ - 0.035 / STRate(2019)</v>
      </c>
      <c r="H109" s="13" t="s">
        <v>136</v>
      </c>
    </row>
    <row r="110" spans="2:8" x14ac:dyDescent="0.2">
      <c r="B110" s="335" t="str">
        <f t="shared" si="1"/>
        <v>0.045 / SST(2020)</v>
      </c>
      <c r="C110" s="340" t="s">
        <v>136</v>
      </c>
      <c r="D110" s="13" t="str">
        <f>"0.045 / SST(" &amp; $G$2-2 &amp; ")"</f>
        <v>0.045 / SST(2020)</v>
      </c>
      <c r="E110" s="13" t="str">
        <f>"0.045 / TFS(" &amp; $G$2-2 &amp; ")"</f>
        <v>0.045 / TFS(2020)</v>
      </c>
      <c r="F110" s="13" t="str">
        <f>"0.045 / AIS(" &amp; $G$2-2 &amp; ")"</f>
        <v>0.045 / AIS(2020)</v>
      </c>
      <c r="G110" s="13" t="str">
        <f>"0.045 / STRate(" &amp; $G$2-2 &amp; ")"</f>
        <v>0.045 / STRate(2020)</v>
      </c>
      <c r="H110" s="13" t="s">
        <v>136</v>
      </c>
    </row>
    <row r="111" spans="2:8" x14ac:dyDescent="0.2">
      <c r="B111" s="335" t="str">
        <f t="shared" si="1"/>
        <v>γ - 0.035 / SST(2020)</v>
      </c>
      <c r="C111" s="340" t="s">
        <v>136</v>
      </c>
      <c r="D111" s="13" t="str">
        <f>"γ - 0.035 / SST(" &amp; $G$2-2 &amp; ")"</f>
        <v>γ - 0.035 / SST(2020)</v>
      </c>
      <c r="E111" s="13" t="str">
        <f>"γ - 0.035 / TFS(" &amp; $G$2-2 &amp; ")"</f>
        <v>γ - 0.035 / TFS(2020)</v>
      </c>
      <c r="F111" s="13" t="str">
        <f>"γ - 0.035 / AIS(" &amp; $G$2-2 &amp; ")"</f>
        <v>γ - 0.035 / AIS(2020)</v>
      </c>
      <c r="G111" s="13" t="str">
        <f>"γ - 0.035 / STRate(" &amp; $G$2-2 &amp; ")"</f>
        <v>γ - 0.035 / STRate(2020)</v>
      </c>
      <c r="H111" s="13" t="s">
        <v>136</v>
      </c>
    </row>
    <row r="112" spans="2:8" x14ac:dyDescent="0.2">
      <c r="B112" s="335" t="str">
        <f t="shared" si="1"/>
        <v>0.045 / SST(2021)</v>
      </c>
      <c r="C112" s="340" t="s">
        <v>136</v>
      </c>
      <c r="D112" s="13" t="str">
        <f>"0.045 / SST(" &amp; $G$2-1 &amp; ")"</f>
        <v>0.045 / SST(2021)</v>
      </c>
      <c r="E112" s="13" t="str">
        <f>"0.045 / TFS(" &amp; $G$2-1 &amp; ")"</f>
        <v>0.045 / TFS(2021)</v>
      </c>
      <c r="F112" s="13" t="str">
        <f>"0.045 / AIS(" &amp; $G$2-1 &amp; ")"</f>
        <v>0.045 / AIS(2021)</v>
      </c>
      <c r="G112" s="13" t="str">
        <f>"0.045 / STRate(" &amp; $G$2-1 &amp; ")"</f>
        <v>0.045 / STRate(2021)</v>
      </c>
      <c r="H112" s="13" t="s">
        <v>136</v>
      </c>
    </row>
    <row r="113" spans="2:8" x14ac:dyDescent="0.2">
      <c r="B113" s="335" t="str">
        <f t="shared" si="1"/>
        <v>γ - 0.035 / SST(2021)</v>
      </c>
      <c r="C113" s="340" t="s">
        <v>136</v>
      </c>
      <c r="D113" s="13" t="str">
        <f>"γ - 0.035 / SST(" &amp; $G$2-1 &amp; ")"</f>
        <v>γ - 0.035 / SST(2021)</v>
      </c>
      <c r="E113" s="13" t="str">
        <f>"γ - 0.035 / TFS(" &amp; $G$2-1 &amp; ")"</f>
        <v>γ - 0.035 / TFS(2021)</v>
      </c>
      <c r="F113" s="13" t="str">
        <f>"γ - 0.035 / AIS(" &amp; $G$2-1 &amp; ")"</f>
        <v>γ - 0.035 / AIS(2021)</v>
      </c>
      <c r="G113" s="13" t="str">
        <f>"γ - 0.035 / STRate(" &amp; $G$2-1 &amp; ")"</f>
        <v>γ - 0.035 / STRate(2021)</v>
      </c>
      <c r="H113" s="13" t="s">
        <v>136</v>
      </c>
    </row>
    <row r="114" spans="2:8" ht="11.25" customHeight="1" x14ac:dyDescent="0.2">
      <c r="B114" s="335" t="str">
        <f t="shared" si="1"/>
        <v>Grenzgänger
Total</v>
      </c>
      <c r="C114" s="340" t="s">
        <v>136</v>
      </c>
      <c r="D114" s="13" t="s">
        <v>194</v>
      </c>
      <c r="E114" s="13" t="s">
        <v>547</v>
      </c>
      <c r="F114" s="13" t="s">
        <v>476</v>
      </c>
      <c r="G114" s="13" t="s">
        <v>515</v>
      </c>
      <c r="H114" s="13" t="s">
        <v>136</v>
      </c>
    </row>
    <row r="115" spans="2:8" x14ac:dyDescent="0.2">
      <c r="B115" s="335" t="str">
        <f t="shared" si="1"/>
        <v>Ergebnis auf
der Basis der
Bruttolöhne
(Grenzgänger)</v>
      </c>
      <c r="C115" s="340" t="s">
        <v>136</v>
      </c>
      <c r="D115" s="13" t="s">
        <v>391</v>
      </c>
      <c r="E115" s="13" t="s">
        <v>427</v>
      </c>
      <c r="F115" s="13" t="s">
        <v>477</v>
      </c>
      <c r="G115" s="13" t="s">
        <v>516</v>
      </c>
      <c r="H115" s="13" t="s">
        <v>136</v>
      </c>
    </row>
    <row r="116" spans="2:8" ht="11.25" customHeight="1" x14ac:dyDescent="0.2">
      <c r="B116" s="335" t="str">
        <f t="shared" si="1"/>
        <v>Ergebnis auf
der Basis
geschätzter
Daten</v>
      </c>
      <c r="C116" s="340"/>
      <c r="D116" s="13" t="s">
        <v>392</v>
      </c>
      <c r="E116" s="13" t="s">
        <v>429</v>
      </c>
      <c r="F116" s="13" t="s">
        <v>517</v>
      </c>
      <c r="G116" s="13" t="s">
        <v>518</v>
      </c>
      <c r="H116" s="13" t="s">
        <v>136</v>
      </c>
    </row>
    <row r="117" spans="2:8" x14ac:dyDescent="0.2">
      <c r="B117" s="335" t="str">
        <f t="shared" si="1"/>
        <v>Massgebende
quellenbesteuerte
Einkommen</v>
      </c>
      <c r="C117" s="340" t="s">
        <v>136</v>
      </c>
      <c r="D117" s="13" t="s">
        <v>393</v>
      </c>
      <c r="E117" s="13" t="s">
        <v>428</v>
      </c>
      <c r="F117" s="13" t="s">
        <v>478</v>
      </c>
      <c r="G117" s="13" t="s">
        <v>519</v>
      </c>
      <c r="H117" s="13" t="s">
        <v>136</v>
      </c>
    </row>
    <row r="118" spans="2:8" x14ac:dyDescent="0.2">
      <c r="B118" s="335" t="str">
        <f t="shared" si="1"/>
        <v>Massgebende quellenbesteuerte Einkommen</v>
      </c>
      <c r="C118" s="340" t="s">
        <v>136</v>
      </c>
      <c r="D118" s="13" t="s">
        <v>430</v>
      </c>
      <c r="E118" s="13" t="s">
        <v>238</v>
      </c>
      <c r="F118" s="13" t="s">
        <v>364</v>
      </c>
      <c r="G118" s="13" t="s">
        <v>253</v>
      </c>
      <c r="H118" s="13" t="s">
        <v>136</v>
      </c>
    </row>
    <row r="119" spans="2:8" x14ac:dyDescent="0.2">
      <c r="B119" s="335" t="str">
        <f t="shared" si="1"/>
        <v>(Q + Y) oder Z</v>
      </c>
      <c r="C119" s="340"/>
      <c r="D119" s="13" t="s">
        <v>264</v>
      </c>
      <c r="E119" s="13" t="s">
        <v>544</v>
      </c>
      <c r="F119" s="13" t="s">
        <v>546</v>
      </c>
      <c r="G119" s="13" t="s">
        <v>545</v>
      </c>
      <c r="H119" s="13" t="s">
        <v>136</v>
      </c>
    </row>
    <row r="120" spans="2:8" x14ac:dyDescent="0.2">
      <c r="B120" s="339" t="str">
        <f t="shared" si="1"/>
        <v>Vermögen natürlicher Personen 2022</v>
      </c>
      <c r="C120" s="340" t="s">
        <v>173</v>
      </c>
      <c r="D120" s="328" t="str">
        <f>"Vermögen natürlicher Personen " &amp; $G$2</f>
        <v>Vermögen natürlicher Personen 2022</v>
      </c>
      <c r="E120" s="328" t="str">
        <f>"Fortune des personnes physiques " &amp; $G$2</f>
        <v>Fortune des personnes physiques 2022</v>
      </c>
      <c r="F120" s="328" t="str">
        <f>"Sostanza delle persone fisiche " &amp; $G$2</f>
        <v>Sostanza delle persone fisiche 2022</v>
      </c>
      <c r="G120" s="328" t="str">
        <f>"Wealth " &amp; $G$2</f>
        <v>Wealth 2022</v>
      </c>
      <c r="H120" s="328" t="s">
        <v>136</v>
      </c>
    </row>
    <row r="121" spans="2:8" x14ac:dyDescent="0.2">
      <c r="B121" s="335" t="str">
        <f t="shared" si="1"/>
        <v>Reinvermögen</v>
      </c>
      <c r="C121" s="340" t="s">
        <v>136</v>
      </c>
      <c r="D121" s="13" t="s">
        <v>45</v>
      </c>
      <c r="E121" s="13" t="s">
        <v>239</v>
      </c>
      <c r="F121" s="13" t="s">
        <v>365</v>
      </c>
      <c r="G121" s="13" t="s">
        <v>254</v>
      </c>
      <c r="H121" s="13" t="s">
        <v>136</v>
      </c>
    </row>
    <row r="122" spans="2:8" x14ac:dyDescent="0.2">
      <c r="B122" s="335" t="str">
        <f t="shared" si="1"/>
        <v>Massgebendes
Vermögen</v>
      </c>
      <c r="C122" s="340" t="s">
        <v>136</v>
      </c>
      <c r="D122" s="13" t="s">
        <v>394</v>
      </c>
      <c r="E122" s="13" t="s">
        <v>431</v>
      </c>
      <c r="F122" s="13" t="s">
        <v>432</v>
      </c>
      <c r="G122" s="13" t="s">
        <v>433</v>
      </c>
      <c r="H122" s="13" t="s">
        <v>136</v>
      </c>
    </row>
    <row r="123" spans="2:8" x14ac:dyDescent="0.2">
      <c r="B123" s="335" t="str">
        <f t="shared" si="1"/>
        <v>Alpha</v>
      </c>
      <c r="C123" s="340" t="s">
        <v>136</v>
      </c>
      <c r="D123" s="13" t="s">
        <v>559</v>
      </c>
      <c r="E123" s="13" t="s">
        <v>560</v>
      </c>
      <c r="F123" s="13" t="s">
        <v>561</v>
      </c>
      <c r="G123" s="13" t="s">
        <v>560</v>
      </c>
      <c r="H123" s="13" t="s">
        <v>136</v>
      </c>
    </row>
    <row r="124" spans="2:8" x14ac:dyDescent="0.2">
      <c r="B124" s="335" t="str">
        <f t="shared" si="1"/>
        <v>Alpha</v>
      </c>
      <c r="C124" s="340" t="s">
        <v>136</v>
      </c>
      <c r="D124" s="13" t="s">
        <v>559</v>
      </c>
      <c r="E124" s="13" t="s">
        <v>559</v>
      </c>
      <c r="F124" s="13" t="s">
        <v>720</v>
      </c>
      <c r="G124" s="13" t="s">
        <v>559</v>
      </c>
      <c r="H124" s="13" t="s">
        <v>136</v>
      </c>
    </row>
    <row r="125" spans="2:8" x14ac:dyDescent="0.2">
      <c r="B125" s="335" t="str">
        <f t="shared" si="1"/>
        <v>Berechnung Alpha für Bemessungsjahr 2018</v>
      </c>
      <c r="C125" s="340" t="s">
        <v>136</v>
      </c>
      <c r="D125" s="13" t="str">
        <f>"Berechnung Alpha für Bemessungsjahr " &amp; $G$2-4</f>
        <v>Berechnung Alpha für Bemessungsjahr 2018</v>
      </c>
      <c r="E125" s="13" t="str">
        <f>"Calcul du facteur alpha pour l'année de calcul " &amp; $G$2-4</f>
        <v>Calcul du facteur alpha pour l'année de calcul 2018</v>
      </c>
      <c r="F125" s="13" t="str">
        <f>"Calcolo fattore alfa per l'anno di calcolo " &amp; $G$2-4</f>
        <v>Calcolo fattore alfa per l'anno di calcolo 2018</v>
      </c>
      <c r="G125" s="13" t="str">
        <f>"Alpha calculation for the assessment year " &amp; $G$2-4</f>
        <v>Alpha calculation for the assessment year 2018</v>
      </c>
      <c r="H125" s="13" t="s">
        <v>136</v>
      </c>
    </row>
    <row r="126" spans="2:8" x14ac:dyDescent="0.2">
      <c r="B126" s="335" t="str">
        <f t="shared" si="1"/>
        <v>Fiskaleinnahmen</v>
      </c>
      <c r="C126" s="340"/>
      <c r="D126" s="13" t="s">
        <v>569</v>
      </c>
      <c r="E126" s="13" t="s">
        <v>674</v>
      </c>
      <c r="F126" s="13" t="s">
        <v>690</v>
      </c>
      <c r="G126" s="13" t="s">
        <v>652</v>
      </c>
      <c r="H126" s="13" t="s">
        <v>136</v>
      </c>
    </row>
    <row r="127" spans="2:8" x14ac:dyDescent="0.2">
      <c r="B127" s="335" t="str">
        <f t="shared" si="1"/>
        <v>Einkommenssteuern natürliche Personen *</v>
      </c>
      <c r="C127" s="340"/>
      <c r="D127" s="13" t="s">
        <v>584</v>
      </c>
      <c r="E127" s="13" t="s">
        <v>675</v>
      </c>
      <c r="F127" s="13" t="s">
        <v>691</v>
      </c>
      <c r="G127" s="13" t="s">
        <v>653</v>
      </c>
      <c r="H127" s="13" t="s">
        <v>136</v>
      </c>
    </row>
    <row r="128" spans="2:8" x14ac:dyDescent="0.2">
      <c r="B128" s="335" t="str">
        <f t="shared" si="1"/>
        <v>Quellensteuern natürliche Personen *</v>
      </c>
      <c r="C128" s="340"/>
      <c r="D128" s="13" t="s">
        <v>585</v>
      </c>
      <c r="E128" s="13" t="s">
        <v>676</v>
      </c>
      <c r="F128" s="13" t="s">
        <v>692</v>
      </c>
      <c r="G128" s="13" t="s">
        <v>670</v>
      </c>
      <c r="H128" s="13" t="s">
        <v>136</v>
      </c>
    </row>
    <row r="129" spans="2:8" x14ac:dyDescent="0.2">
      <c r="B129" s="335" t="str">
        <f t="shared" si="1"/>
        <v>Direkte Bundessteuer (DBSt) natürliche Personen</v>
      </c>
      <c r="C129" s="340"/>
      <c r="D129" s="13" t="s">
        <v>589</v>
      </c>
      <c r="E129" s="13" t="s">
        <v>677</v>
      </c>
      <c r="F129" s="13" t="s">
        <v>693</v>
      </c>
      <c r="G129" s="13" t="s">
        <v>654</v>
      </c>
      <c r="H129" s="13" t="s">
        <v>136</v>
      </c>
    </row>
    <row r="130" spans="2:8" x14ac:dyDescent="0.2">
      <c r="B130" s="335" t="str">
        <f t="shared" si="1"/>
        <v>Kantonsanteil</v>
      </c>
      <c r="C130" s="340"/>
      <c r="D130" s="13" t="s">
        <v>588</v>
      </c>
      <c r="E130" s="13" t="s">
        <v>678</v>
      </c>
      <c r="F130" s="13" t="s">
        <v>622</v>
      </c>
      <c r="G130" s="13" t="s">
        <v>623</v>
      </c>
      <c r="H130" s="13" t="s">
        <v>136</v>
      </c>
    </row>
    <row r="131" spans="2:8" x14ac:dyDescent="0.2">
      <c r="B131" s="335" t="str">
        <f t="shared" si="1"/>
        <v>Anteil der Kantone an DBSt natürliche Personen</v>
      </c>
      <c r="C131" s="340"/>
      <c r="D131" s="13" t="s">
        <v>590</v>
      </c>
      <c r="E131" s="13" t="s">
        <v>679</v>
      </c>
      <c r="F131" s="13" t="s">
        <v>694</v>
      </c>
      <c r="G131" s="13" t="s">
        <v>671</v>
      </c>
      <c r="H131" s="13" t="s">
        <v>136</v>
      </c>
    </row>
    <row r="132" spans="2:8" x14ac:dyDescent="0.2">
      <c r="B132" s="335" t="str">
        <f t="shared" si="1"/>
        <v>Fiskaleinnahmen Einkommen</v>
      </c>
      <c r="C132" s="340"/>
      <c r="D132" s="13" t="s">
        <v>571</v>
      </c>
      <c r="E132" s="13" t="s">
        <v>680</v>
      </c>
      <c r="F132" s="13" t="s">
        <v>695</v>
      </c>
      <c r="G132" s="13" t="s">
        <v>655</v>
      </c>
      <c r="H132" s="13" t="s">
        <v>136</v>
      </c>
    </row>
    <row r="133" spans="2:8" x14ac:dyDescent="0.2">
      <c r="B133" s="335" t="str">
        <f t="shared" si="1"/>
        <v>Vermögenssteuern natürliche Personen *</v>
      </c>
      <c r="C133" s="340"/>
      <c r="D133" s="13" t="s">
        <v>586</v>
      </c>
      <c r="E133" s="13" t="s">
        <v>681</v>
      </c>
      <c r="F133" s="13" t="s">
        <v>696</v>
      </c>
      <c r="G133" s="13" t="s">
        <v>656</v>
      </c>
      <c r="H133" s="13" t="s">
        <v>136</v>
      </c>
    </row>
    <row r="134" spans="2:8" x14ac:dyDescent="0.2">
      <c r="B134" s="335" t="str">
        <f t="shared" si="1"/>
        <v>Daten Finanzausgleich</v>
      </c>
      <c r="C134" s="340"/>
      <c r="D134" s="13" t="s">
        <v>572</v>
      </c>
      <c r="E134" s="13" t="s">
        <v>682</v>
      </c>
      <c r="F134" s="13" t="s">
        <v>697</v>
      </c>
      <c r="G134" s="13" t="s">
        <v>657</v>
      </c>
      <c r="H134" s="13" t="s">
        <v>136</v>
      </c>
    </row>
    <row r="135" spans="2:8" x14ac:dyDescent="0.2">
      <c r="B135" s="335" t="str">
        <f t="shared" si="1"/>
        <v>Massgebende Einkommen der natürlichen Personen</v>
      </c>
      <c r="C135" s="340"/>
      <c r="D135" s="13" t="s">
        <v>573</v>
      </c>
      <c r="E135" s="13" t="s">
        <v>683</v>
      </c>
      <c r="F135" s="13" t="s">
        <v>698</v>
      </c>
      <c r="G135" s="13" t="s">
        <v>672</v>
      </c>
      <c r="H135" s="13" t="s">
        <v>136</v>
      </c>
    </row>
    <row r="136" spans="2:8" x14ac:dyDescent="0.2">
      <c r="B136" s="335" t="str">
        <f t="shared" si="1"/>
        <v>Massgebende quellenbesteuerte Einkommen</v>
      </c>
      <c r="C136" s="340"/>
      <c r="D136" s="13" t="s">
        <v>430</v>
      </c>
      <c r="E136" s="13" t="s">
        <v>684</v>
      </c>
      <c r="F136" s="13" t="s">
        <v>699</v>
      </c>
      <c r="G136" s="13" t="s">
        <v>253</v>
      </c>
      <c r="H136" s="13" t="s">
        <v>136</v>
      </c>
    </row>
    <row r="137" spans="2:8" x14ac:dyDescent="0.2">
      <c r="B137" s="335" t="str">
        <f t="shared" si="1"/>
        <v>Massgebende Einkommen</v>
      </c>
      <c r="C137" s="340"/>
      <c r="D137" s="13" t="s">
        <v>575</v>
      </c>
      <c r="E137" s="13" t="s">
        <v>685</v>
      </c>
      <c r="F137" s="13" t="s">
        <v>700</v>
      </c>
      <c r="G137" s="13" t="s">
        <v>658</v>
      </c>
      <c r="H137" s="13" t="s">
        <v>136</v>
      </c>
    </row>
    <row r="138" spans="2:8" x14ac:dyDescent="0.2">
      <c r="B138" s="335" t="str">
        <f t="shared" si="1"/>
        <v>Reinvermögen</v>
      </c>
      <c r="C138" s="340"/>
      <c r="D138" s="13" t="s">
        <v>45</v>
      </c>
      <c r="E138" s="13" t="s">
        <v>239</v>
      </c>
      <c r="F138" s="13" t="s">
        <v>365</v>
      </c>
      <c r="G138" s="13" t="s">
        <v>254</v>
      </c>
      <c r="H138" s="13" t="s">
        <v>136</v>
      </c>
    </row>
    <row r="139" spans="2:8" x14ac:dyDescent="0.2">
      <c r="B139" s="335" t="str">
        <f t="shared" si="1"/>
        <v>Ausschöpfung der Einkommen</v>
      </c>
      <c r="C139" s="340"/>
      <c r="D139" s="13" t="s">
        <v>578</v>
      </c>
      <c r="E139" s="13" t="s">
        <v>686</v>
      </c>
      <c r="F139" s="13" t="s">
        <v>701</v>
      </c>
      <c r="G139" s="13" t="s">
        <v>659</v>
      </c>
      <c r="H139" s="13" t="s">
        <v>136</v>
      </c>
    </row>
    <row r="140" spans="2:8" x14ac:dyDescent="0.2">
      <c r="B140" s="335" t="str">
        <f t="shared" si="1"/>
        <v>Ausschöpfung der Vermögen</v>
      </c>
      <c r="C140" s="340"/>
      <c r="D140" s="13" t="s">
        <v>581</v>
      </c>
      <c r="E140" s="13" t="s">
        <v>687</v>
      </c>
      <c r="F140" s="13" t="s">
        <v>702</v>
      </c>
      <c r="G140" s="13" t="s">
        <v>660</v>
      </c>
      <c r="H140" s="13" t="s">
        <v>136</v>
      </c>
    </row>
    <row r="141" spans="2:8" x14ac:dyDescent="0.2">
      <c r="B141" s="335" t="str">
        <f t="shared" si="1"/>
        <v>Faktor Alpha</v>
      </c>
      <c r="C141" s="340"/>
      <c r="D141" s="13" t="s">
        <v>44</v>
      </c>
      <c r="E141" s="13" t="s">
        <v>240</v>
      </c>
      <c r="F141" s="13" t="s">
        <v>366</v>
      </c>
      <c r="G141" s="13" t="s">
        <v>255</v>
      </c>
      <c r="H141" s="13" t="s">
        <v>136</v>
      </c>
    </row>
    <row r="142" spans="2:8" ht="11.25" customHeight="1" x14ac:dyDescent="0.2">
      <c r="B142" s="335" t="str">
        <f t="shared" si="1"/>
        <v>Mittelwert</v>
      </c>
      <c r="C142" s="340"/>
      <c r="D142" s="13" t="s">
        <v>562</v>
      </c>
      <c r="E142" s="13" t="s">
        <v>689</v>
      </c>
      <c r="F142" s="13" t="s">
        <v>704</v>
      </c>
      <c r="G142" s="13" t="s">
        <v>662</v>
      </c>
      <c r="H142" s="13" t="s">
        <v>136</v>
      </c>
    </row>
    <row r="143" spans="2:8" x14ac:dyDescent="0.2">
      <c r="B143" s="335" t="str">
        <f t="shared" si="1"/>
        <v>* Fiskaleinnahmen der Kantone und Gemeinden</v>
      </c>
      <c r="C143" s="340"/>
      <c r="D143" s="13" t="s">
        <v>587</v>
      </c>
      <c r="E143" s="13" t="s">
        <v>688</v>
      </c>
      <c r="F143" s="13" t="s">
        <v>703</v>
      </c>
      <c r="G143" s="13" t="s">
        <v>661</v>
      </c>
      <c r="H143" s="13" t="s">
        <v>136</v>
      </c>
    </row>
    <row r="144" spans="2:8" x14ac:dyDescent="0.2">
      <c r="B144" s="339" t="str">
        <f t="shared" si="1"/>
        <v>Gewinne juristischer Personen 2022</v>
      </c>
      <c r="C144" s="340" t="s">
        <v>174</v>
      </c>
      <c r="D144" s="328" t="str">
        <f>"Gewinne juristischer Personen " &amp; $G$2</f>
        <v>Gewinne juristischer Personen 2022</v>
      </c>
      <c r="E144" s="328" t="str">
        <f>"Bénéfice des personnes morales " &amp; $G$2</f>
        <v>Bénéfice des personnes morales 2022</v>
      </c>
      <c r="F144" s="328" t="str">
        <f>"Utili delle persone giuridiche " &amp; $G$2</f>
        <v>Utili delle persone giuridiche 2022</v>
      </c>
      <c r="G144" s="328" t="str">
        <f>"Profit of legal entities " &amp; $G$2</f>
        <v>Profit of legal entities 2022</v>
      </c>
      <c r="H144" s="328" t="s">
        <v>136</v>
      </c>
    </row>
    <row r="145" spans="2:8" x14ac:dyDescent="0.2">
      <c r="B145" s="335" t="str">
        <f t="shared" ref="B145:B211" si="2">HLOOKUP($B$9,$D$9:$G$227,ROW()-$B$8,FALSE)</f>
        <v>Massgebender Gewinn
ordentlich besteuerter
Unternehmen</v>
      </c>
      <c r="C145" s="340" t="s">
        <v>136</v>
      </c>
      <c r="D145" s="13" t="s">
        <v>395</v>
      </c>
      <c r="E145" s="13" t="s">
        <v>434</v>
      </c>
      <c r="F145" s="13" t="s">
        <v>479</v>
      </c>
      <c r="G145" s="13" t="s">
        <v>520</v>
      </c>
      <c r="H145" s="13" t="s">
        <v>136</v>
      </c>
    </row>
    <row r="146" spans="2:8" x14ac:dyDescent="0.2">
      <c r="B146" s="335" t="str">
        <f t="shared" si="2"/>
        <v>Massgebender Gewinn
von Gesellschaften mit
besonderem Steuerstatus</v>
      </c>
      <c r="C146" s="340" t="s">
        <v>136</v>
      </c>
      <c r="D146" s="13" t="s">
        <v>396</v>
      </c>
      <c r="E146" s="13" t="s">
        <v>435</v>
      </c>
      <c r="F146" s="13" t="s">
        <v>480</v>
      </c>
      <c r="G146" s="13" t="s">
        <v>522</v>
      </c>
      <c r="H146" s="13" t="s">
        <v>136</v>
      </c>
    </row>
    <row r="147" spans="2:8" x14ac:dyDescent="0.2">
      <c r="B147" s="335" t="str">
        <f t="shared" si="2"/>
        <v>Massgebender Gewinn
der juristischen Personen</v>
      </c>
      <c r="C147" s="340" t="s">
        <v>136</v>
      </c>
      <c r="D147" s="13" t="s">
        <v>120</v>
      </c>
      <c r="E147" s="13" t="s">
        <v>436</v>
      </c>
      <c r="F147" s="13" t="s">
        <v>481</v>
      </c>
      <c r="G147" s="13" t="s">
        <v>521</v>
      </c>
      <c r="H147" s="13" t="s">
        <v>136</v>
      </c>
    </row>
    <row r="148" spans="2:8" x14ac:dyDescent="0.2">
      <c r="B148" s="335" t="str">
        <f t="shared" si="2"/>
        <v>Beta-Faktoren</v>
      </c>
      <c r="C148" s="340" t="s">
        <v>136</v>
      </c>
      <c r="D148" s="13" t="s">
        <v>84</v>
      </c>
      <c r="E148" s="13" t="s">
        <v>241</v>
      </c>
      <c r="F148" s="13" t="s">
        <v>367</v>
      </c>
      <c r="G148" s="13" t="s">
        <v>256</v>
      </c>
      <c r="H148" s="13" t="s">
        <v>136</v>
      </c>
    </row>
    <row r="149" spans="2:8" x14ac:dyDescent="0.2">
      <c r="B149" s="335" t="str">
        <f t="shared" si="2"/>
        <v>Holdinggesellschaften</v>
      </c>
      <c r="C149" s="340" t="s">
        <v>136</v>
      </c>
      <c r="D149" s="13" t="s">
        <v>85</v>
      </c>
      <c r="E149" s="13" t="s">
        <v>242</v>
      </c>
      <c r="F149" s="13" t="s">
        <v>368</v>
      </c>
      <c r="G149" s="13" t="s">
        <v>289</v>
      </c>
      <c r="H149" s="13" t="s">
        <v>136</v>
      </c>
    </row>
    <row r="150" spans="2:8" x14ac:dyDescent="0.2">
      <c r="B150" s="335" t="str">
        <f t="shared" si="2"/>
        <v>Domizilgesellschaften</v>
      </c>
      <c r="C150" s="340" t="s">
        <v>136</v>
      </c>
      <c r="D150" s="13" t="s">
        <v>86</v>
      </c>
      <c r="E150" s="13" t="s">
        <v>243</v>
      </c>
      <c r="F150" s="13" t="s">
        <v>369</v>
      </c>
      <c r="G150" s="13" t="s">
        <v>290</v>
      </c>
      <c r="H150" s="13" t="s">
        <v>136</v>
      </c>
    </row>
    <row r="151" spans="2:8" x14ac:dyDescent="0.2">
      <c r="B151" s="337" t="str">
        <f t="shared" si="2"/>
        <v>Gemischte Gesellschaften</v>
      </c>
      <c r="C151" s="340" t="s">
        <v>136</v>
      </c>
      <c r="D151" s="13" t="s">
        <v>87</v>
      </c>
      <c r="E151" s="13" t="s">
        <v>244</v>
      </c>
      <c r="F151" s="13" t="s">
        <v>370</v>
      </c>
      <c r="G151" s="13" t="s">
        <v>291</v>
      </c>
      <c r="H151" s="13" t="s">
        <v>136</v>
      </c>
    </row>
    <row r="152" spans="2:8" x14ac:dyDescent="0.2">
      <c r="B152" s="338" t="str">
        <f t="shared" si="2"/>
        <v>Steuerrepartitionen 2022</v>
      </c>
      <c r="C152" s="340" t="s">
        <v>175</v>
      </c>
      <c r="D152" s="328" t="str">
        <f>"Steuerrepartitionen " &amp; $G$2</f>
        <v>Steuerrepartitionen 2022</v>
      </c>
      <c r="E152" s="328" t="str">
        <f>"Répartitions fiscales " &amp; $G$2</f>
        <v>Répartitions fiscales 2022</v>
      </c>
      <c r="F152" s="328" t="str">
        <f>"Riparti fiscali " &amp; $G$2</f>
        <v>Riparti fiscali 2022</v>
      </c>
      <c r="G152" s="328" t="str">
        <f>"Tax repartitions " &amp; $G$2</f>
        <v>Tax repartitions 2022</v>
      </c>
      <c r="H152" s="328" t="s">
        <v>136</v>
      </c>
    </row>
    <row r="153" spans="2:8" x14ac:dyDescent="0.2">
      <c r="B153" s="335" t="str">
        <f t="shared" si="2"/>
        <v>Zu Gunsten
anderer
Kantone</v>
      </c>
      <c r="C153" s="340" t="s">
        <v>136</v>
      </c>
      <c r="D153" s="13" t="s">
        <v>49</v>
      </c>
      <c r="E153" s="13" t="s">
        <v>437</v>
      </c>
      <c r="F153" s="13" t="s">
        <v>482</v>
      </c>
      <c r="G153" s="13" t="s">
        <v>415</v>
      </c>
      <c r="H153" s="13" t="s">
        <v>136</v>
      </c>
    </row>
    <row r="154" spans="2:8" x14ac:dyDescent="0.2">
      <c r="B154" s="335" t="str">
        <f t="shared" si="2"/>
        <v>Erhalten von
anderen
Kantonen</v>
      </c>
      <c r="C154" s="340" t="s">
        <v>136</v>
      </c>
      <c r="D154" s="13" t="s">
        <v>48</v>
      </c>
      <c r="E154" s="13" t="s">
        <v>438</v>
      </c>
      <c r="F154" s="13" t="s">
        <v>483</v>
      </c>
      <c r="G154" s="13" t="s">
        <v>416</v>
      </c>
      <c r="H154" s="13" t="s">
        <v>136</v>
      </c>
    </row>
    <row r="155" spans="2:8" x14ac:dyDescent="0.2">
      <c r="B155" s="335" t="str">
        <f t="shared" si="2"/>
        <v>Saldo</v>
      </c>
      <c r="C155" s="340" t="s">
        <v>136</v>
      </c>
      <c r="D155" s="13" t="s">
        <v>47</v>
      </c>
      <c r="E155" s="13" t="s">
        <v>245</v>
      </c>
      <c r="F155" s="13" t="s">
        <v>371</v>
      </c>
      <c r="G155" s="13" t="s">
        <v>257</v>
      </c>
      <c r="H155" s="13" t="s">
        <v>136</v>
      </c>
    </row>
    <row r="156" spans="2:8" x14ac:dyDescent="0.2">
      <c r="B156" s="335" t="str">
        <f t="shared" si="2"/>
        <v>Ablieferungen DBSt
an die ESTV</v>
      </c>
      <c r="C156" s="340" t="s">
        <v>136</v>
      </c>
      <c r="D156" s="13" t="s">
        <v>397</v>
      </c>
      <c r="E156" s="13" t="s">
        <v>439</v>
      </c>
      <c r="F156" s="13" t="s">
        <v>484</v>
      </c>
      <c r="G156" s="13" t="s">
        <v>523</v>
      </c>
      <c r="H156" s="13" t="s">
        <v>136</v>
      </c>
    </row>
    <row r="157" spans="2:8" ht="11.25" customHeight="1" x14ac:dyDescent="0.2">
      <c r="B157" s="335" t="str">
        <f t="shared" si="2"/>
        <v>Massgebende Steuerbemessungs-grundlage DBSt</v>
      </c>
      <c r="C157" s="340" t="s">
        <v>136</v>
      </c>
      <c r="D157" s="13" t="s">
        <v>46</v>
      </c>
      <c r="E157" s="13" t="s">
        <v>440</v>
      </c>
      <c r="F157" s="13" t="s">
        <v>548</v>
      </c>
      <c r="G157" s="13" t="s">
        <v>417</v>
      </c>
      <c r="H157" s="13" t="s">
        <v>136</v>
      </c>
    </row>
    <row r="158" spans="2:8" x14ac:dyDescent="0.2">
      <c r="B158" s="335" t="str">
        <f t="shared" si="2"/>
        <v>Gewichtungs-
faktor</v>
      </c>
      <c r="C158" s="340" t="s">
        <v>136</v>
      </c>
      <c r="D158" s="13" t="s">
        <v>398</v>
      </c>
      <c r="E158" s="13" t="s">
        <v>441</v>
      </c>
      <c r="F158" s="13" t="s">
        <v>485</v>
      </c>
      <c r="G158" s="13" t="s">
        <v>524</v>
      </c>
      <c r="H158" s="13" t="s">
        <v>136</v>
      </c>
    </row>
    <row r="159" spans="2:8" x14ac:dyDescent="0.2">
      <c r="B159" s="337" t="str">
        <f t="shared" si="2"/>
        <v>Massgebende
Steuerrepartitionen</v>
      </c>
      <c r="C159" s="340" t="s">
        <v>136</v>
      </c>
      <c r="D159" s="13" t="s">
        <v>399</v>
      </c>
      <c r="E159" s="13" t="s">
        <v>442</v>
      </c>
      <c r="F159" s="13" t="s">
        <v>486</v>
      </c>
      <c r="G159" s="13" t="s">
        <v>525</v>
      </c>
      <c r="H159" s="13" t="s">
        <v>136</v>
      </c>
    </row>
    <row r="160" spans="2:8" x14ac:dyDescent="0.2">
      <c r="B160" s="338" t="str">
        <f t="shared" si="2"/>
        <v>Aggregierte Steuerbemessungsgrundlage (ASG) 2022</v>
      </c>
      <c r="C160" s="340" t="s">
        <v>176</v>
      </c>
      <c r="D160" s="328" t="str">
        <f>"Aggregierte Steuerbemessungsgrundlage (ASG) " &amp; $G$2</f>
        <v>Aggregierte Steuerbemessungsgrundlage (ASG) 2022</v>
      </c>
      <c r="E160" s="328" t="str">
        <f>"Assiette fiscale agrégée (AFA) " &amp; $G$2</f>
        <v>Assiette fiscale agrégée (AFA) 2022</v>
      </c>
      <c r="F160" s="328" t="str">
        <f>"Base imponibile aggregata (BIA) " &amp; $G$2</f>
        <v>Base imponibile aggregata (BIA) 2022</v>
      </c>
      <c r="G160" s="328" t="str">
        <f>"Aggregated tax base (ATB) " &amp; $G$2</f>
        <v>Aggregated tax base (ATB) 2022</v>
      </c>
      <c r="H160" s="328" t="s">
        <v>136</v>
      </c>
    </row>
    <row r="161" spans="2:8" x14ac:dyDescent="0.2">
      <c r="B161" s="335" t="str">
        <f t="shared" si="2"/>
        <v>Massgebendes
Einkommen der
natürlichen
Personen</v>
      </c>
      <c r="C161" s="340" t="s">
        <v>136</v>
      </c>
      <c r="D161" s="13" t="s">
        <v>400</v>
      </c>
      <c r="E161" s="13" t="s">
        <v>419</v>
      </c>
      <c r="F161" s="13" t="s">
        <v>487</v>
      </c>
      <c r="G161" s="13" t="s">
        <v>526</v>
      </c>
      <c r="H161" s="13" t="s">
        <v>136</v>
      </c>
    </row>
    <row r="162" spans="2:8" x14ac:dyDescent="0.2">
      <c r="B162" s="335" t="str">
        <f t="shared" si="2"/>
        <v>Massgebendes
quellenbesteuertes
Einkommen</v>
      </c>
      <c r="C162" s="340" t="s">
        <v>136</v>
      </c>
      <c r="D162" s="13" t="s">
        <v>401</v>
      </c>
      <c r="E162" s="13" t="s">
        <v>428</v>
      </c>
      <c r="F162" s="13" t="s">
        <v>478</v>
      </c>
      <c r="G162" s="13" t="s">
        <v>519</v>
      </c>
      <c r="H162" s="13" t="s">
        <v>136</v>
      </c>
    </row>
    <row r="163" spans="2:8" x14ac:dyDescent="0.2">
      <c r="B163" s="335" t="str">
        <f t="shared" si="2"/>
        <v>Massgebendes
Vermögen</v>
      </c>
      <c r="C163" s="340" t="s">
        <v>136</v>
      </c>
      <c r="D163" s="13" t="s">
        <v>394</v>
      </c>
      <c r="E163" s="13" t="s">
        <v>431</v>
      </c>
      <c r="F163" s="13" t="s">
        <v>432</v>
      </c>
      <c r="G163" s="13" t="s">
        <v>433</v>
      </c>
      <c r="H163" s="13" t="s">
        <v>136</v>
      </c>
    </row>
    <row r="164" spans="2:8" x14ac:dyDescent="0.2">
      <c r="B164" s="335" t="str">
        <f t="shared" si="2"/>
        <v>Massgebender
Gewinn der
juristischen
Personen</v>
      </c>
      <c r="C164" s="340" t="s">
        <v>136</v>
      </c>
      <c r="D164" s="13" t="s">
        <v>402</v>
      </c>
      <c r="E164" s="13" t="s">
        <v>443</v>
      </c>
      <c r="F164" s="13" t="s">
        <v>488</v>
      </c>
      <c r="G164" s="13" t="s">
        <v>527</v>
      </c>
      <c r="H164" s="13" t="s">
        <v>136</v>
      </c>
    </row>
    <row r="165" spans="2:8" x14ac:dyDescent="0.2">
      <c r="B165" s="335" t="str">
        <f t="shared" si="2"/>
        <v>Massgebende
Steuer-
repartitionen</v>
      </c>
      <c r="C165" s="340" t="s">
        <v>136</v>
      </c>
      <c r="D165" s="13" t="s">
        <v>403</v>
      </c>
      <c r="E165" s="13" t="s">
        <v>442</v>
      </c>
      <c r="F165" s="13" t="s">
        <v>486</v>
      </c>
      <c r="G165" s="13" t="s">
        <v>525</v>
      </c>
      <c r="H165" s="13" t="s">
        <v>136</v>
      </c>
    </row>
    <row r="166" spans="2:8" x14ac:dyDescent="0.2">
      <c r="B166" s="337" t="str">
        <f t="shared" si="2"/>
        <v>ASG Total</v>
      </c>
      <c r="C166" s="340" t="s">
        <v>136</v>
      </c>
      <c r="D166" s="13" t="s">
        <v>53</v>
      </c>
      <c r="E166" s="13" t="s">
        <v>246</v>
      </c>
      <c r="F166" s="13" t="s">
        <v>372</v>
      </c>
      <c r="G166" s="13" t="s">
        <v>258</v>
      </c>
      <c r="H166" s="13" t="s">
        <v>136</v>
      </c>
    </row>
    <row r="167" spans="2:8" x14ac:dyDescent="0.2">
      <c r="B167" s="338" t="str">
        <f t="shared" si="2"/>
        <v>Massgebende Wohnbevölkerung 2022</v>
      </c>
      <c r="C167" s="340" t="s">
        <v>177</v>
      </c>
      <c r="D167" s="328" t="str">
        <f>"Massgebende Wohnbevölkerung " &amp; $G$2</f>
        <v>Massgebende Wohnbevölkerung 2022</v>
      </c>
      <c r="E167" s="328" t="str">
        <f>"Population résidante déterminante " &amp; $G$2</f>
        <v>Population résidante déterminante 2022</v>
      </c>
      <c r="F167" s="328" t="str">
        <f>"Popolazione residente determinante " &amp; $G$2</f>
        <v>Popolazione residente determinante 2022</v>
      </c>
      <c r="G167" s="328" t="str">
        <f>"Relevant resident population " &amp; $G$2</f>
        <v>Relevant resident population 2022</v>
      </c>
      <c r="H167" s="328" t="s">
        <v>136</v>
      </c>
    </row>
    <row r="168" spans="2:8" ht="12" customHeight="1" x14ac:dyDescent="0.2">
      <c r="B168" s="335" t="str">
        <f t="shared" si="2"/>
        <v>Mittlere ständige und nichtständige Wohnbevölkerung</v>
      </c>
      <c r="C168" s="340" t="s">
        <v>136</v>
      </c>
      <c r="D168" s="13" t="s">
        <v>102</v>
      </c>
      <c r="E168" s="13" t="s">
        <v>462</v>
      </c>
      <c r="F168" s="13" t="s">
        <v>489</v>
      </c>
      <c r="G168" s="13" t="s">
        <v>292</v>
      </c>
      <c r="H168" s="13" t="s">
        <v>136</v>
      </c>
    </row>
    <row r="169" spans="2:8" x14ac:dyDescent="0.2">
      <c r="B169" s="337" t="str">
        <f t="shared" si="2"/>
        <v>Massgebende
Wohnbevölkerung</v>
      </c>
      <c r="C169" s="340" t="s">
        <v>136</v>
      </c>
      <c r="D169" s="13" t="s">
        <v>404</v>
      </c>
      <c r="E169" s="13" t="s">
        <v>444</v>
      </c>
      <c r="F169" s="13" t="s">
        <v>490</v>
      </c>
      <c r="G169" s="13" t="s">
        <v>528</v>
      </c>
      <c r="H169" s="13" t="s">
        <v>136</v>
      </c>
    </row>
    <row r="170" spans="2:8" x14ac:dyDescent="0.2">
      <c r="B170" s="338" t="str">
        <f t="shared" si="2"/>
        <v>Berechnung Ressourcenpotenzial und -index 2022</v>
      </c>
      <c r="C170" s="340" t="s">
        <v>178</v>
      </c>
      <c r="D170" s="328" t="str">
        <f>"Berechnung Ressourcenpotenzial und -index " &amp; $G$2</f>
        <v>Berechnung Ressourcenpotenzial und -index 2022</v>
      </c>
      <c r="E170" s="328" t="str">
        <f>"Calcul du potentiel de ressources et de l'indice des ressources " &amp; $G$2</f>
        <v>Calcul du potentiel de ressources et de l'indice des ressources 2022</v>
      </c>
      <c r="F170" s="328" t="str">
        <f>"Calcolo del potenziale e dell'indice delle risorse " &amp; $G$2</f>
        <v>Calcolo del potenziale e dell'indice delle risorse 2022</v>
      </c>
      <c r="G170" s="328" t="str">
        <f>"Resource potential and resource index " &amp; $G$2</f>
        <v>Resource potential and resource index 2022</v>
      </c>
      <c r="H170" s="328" t="s">
        <v>136</v>
      </c>
    </row>
    <row r="171" spans="2:8" x14ac:dyDescent="0.2">
      <c r="B171" s="335" t="str">
        <f t="shared" si="2"/>
        <v>ASG 2016</v>
      </c>
      <c r="C171" s="340" t="s">
        <v>136</v>
      </c>
      <c r="D171" s="13" t="str">
        <f>"ASG "&amp;$G$2-6</f>
        <v>ASG 2016</v>
      </c>
      <c r="E171" s="13" t="str">
        <f>"AFA "&amp;$G$2-6</f>
        <v>AFA 2016</v>
      </c>
      <c r="F171" s="13" t="str">
        <f>"BIA "&amp;$G$2-6</f>
        <v>BIA 2016</v>
      </c>
      <c r="G171" s="13" t="str">
        <f>"ATB "&amp;$G$2-6</f>
        <v>ATB 2016</v>
      </c>
      <c r="H171" s="13" t="s">
        <v>136</v>
      </c>
    </row>
    <row r="172" spans="2:8" x14ac:dyDescent="0.2">
      <c r="B172" s="335" t="str">
        <f t="shared" si="2"/>
        <v>ASG 2017</v>
      </c>
      <c r="C172" s="340" t="s">
        <v>136</v>
      </c>
      <c r="D172" s="13" t="str">
        <f>"ASG "&amp;$G$2-5</f>
        <v>ASG 2017</v>
      </c>
      <c r="E172" s="13" t="str">
        <f>"AFA "&amp;$G$2-5</f>
        <v>AFA 2017</v>
      </c>
      <c r="F172" s="13" t="str">
        <f>"BIA "&amp;$G$2-5</f>
        <v>BIA 2017</v>
      </c>
      <c r="G172" s="13" t="str">
        <f>"ATB "&amp;$G$2-5</f>
        <v>ATB 2017</v>
      </c>
      <c r="H172" s="13" t="s">
        <v>136</v>
      </c>
    </row>
    <row r="173" spans="2:8" x14ac:dyDescent="0.2">
      <c r="B173" s="335" t="str">
        <f t="shared" si="2"/>
        <v>ASG 2018</v>
      </c>
      <c r="C173" s="340" t="s">
        <v>136</v>
      </c>
      <c r="D173" s="13" t="str">
        <f>"ASG "&amp;$G$2-4</f>
        <v>ASG 2018</v>
      </c>
      <c r="E173" s="13" t="str">
        <f>"AFA "&amp;$G$2-4</f>
        <v>AFA 2018</v>
      </c>
      <c r="F173" s="13" t="str">
        <f>"BIA "&amp;$G$2-4</f>
        <v>BIA 2018</v>
      </c>
      <c r="G173" s="13" t="str">
        <f>"ATB "&amp;$G$2-4</f>
        <v>ATB 2018</v>
      </c>
      <c r="H173" s="13" t="s">
        <v>136</v>
      </c>
    </row>
    <row r="174" spans="2:8" x14ac:dyDescent="0.2">
      <c r="B174" s="335" t="str">
        <f t="shared" si="2"/>
        <v>Ressourcen-
potenzial</v>
      </c>
      <c r="C174" s="340" t="s">
        <v>136</v>
      </c>
      <c r="D174" s="13" t="s">
        <v>193</v>
      </c>
      <c r="E174" s="13" t="s">
        <v>445</v>
      </c>
      <c r="F174" s="13" t="s">
        <v>491</v>
      </c>
      <c r="G174" s="13" t="s">
        <v>529</v>
      </c>
      <c r="H174" s="13" t="s">
        <v>136</v>
      </c>
    </row>
    <row r="175" spans="2:8" x14ac:dyDescent="0.2">
      <c r="B175" s="335" t="str">
        <f t="shared" si="2"/>
        <v>Massgebende
Wohnbevölkerung</v>
      </c>
      <c r="C175" s="340" t="s">
        <v>136</v>
      </c>
      <c r="D175" s="13" t="s">
        <v>404</v>
      </c>
      <c r="E175" s="13" t="s">
        <v>444</v>
      </c>
      <c r="F175" s="13" t="s">
        <v>490</v>
      </c>
      <c r="G175" s="13" t="s">
        <v>528</v>
      </c>
      <c r="H175" s="13" t="s">
        <v>136</v>
      </c>
    </row>
    <row r="176" spans="2:8" x14ac:dyDescent="0.2">
      <c r="B176" s="335" t="str">
        <f t="shared" si="2"/>
        <v>Ressourcen-
potenzial pro
Einwohner</v>
      </c>
      <c r="C176" s="340" t="s">
        <v>136</v>
      </c>
      <c r="D176" s="13" t="s">
        <v>405</v>
      </c>
      <c r="E176" s="13" t="s">
        <v>446</v>
      </c>
      <c r="F176" s="13" t="s">
        <v>492</v>
      </c>
      <c r="G176" s="13" t="s">
        <v>530</v>
      </c>
      <c r="H176" s="13" t="s">
        <v>136</v>
      </c>
    </row>
    <row r="177" spans="2:8" x14ac:dyDescent="0.2">
      <c r="B177" s="335" t="str">
        <f t="shared" si="2"/>
        <v>Ressourcen-
index</v>
      </c>
      <c r="C177" s="340" t="s">
        <v>136</v>
      </c>
      <c r="D177" s="13" t="s">
        <v>117</v>
      </c>
      <c r="E177" s="13" t="s">
        <v>447</v>
      </c>
      <c r="F177" s="13" t="s">
        <v>493</v>
      </c>
      <c r="G177" s="13" t="s">
        <v>466</v>
      </c>
      <c r="H177" s="13" t="s">
        <v>136</v>
      </c>
    </row>
    <row r="178" spans="2:8" x14ac:dyDescent="0.2">
      <c r="B178" s="335" t="str">
        <f t="shared" si="2"/>
        <v>H / H[Schweiz] * 100</v>
      </c>
      <c r="C178" s="340" t="s">
        <v>136</v>
      </c>
      <c r="D178" s="13" t="s">
        <v>96</v>
      </c>
      <c r="E178" s="13" t="s">
        <v>247</v>
      </c>
      <c r="F178" s="13" t="s">
        <v>373</v>
      </c>
      <c r="G178" s="13" t="s">
        <v>260</v>
      </c>
      <c r="H178" s="13" t="s">
        <v>136</v>
      </c>
    </row>
    <row r="179" spans="2:8" ht="11.25" customHeight="1" x14ac:dyDescent="0.2">
      <c r="B179" s="335" t="str">
        <f t="shared" si="2"/>
        <v>ASG-Index
Standardabweichung</v>
      </c>
      <c r="C179" s="340" t="s">
        <v>136</v>
      </c>
      <c r="D179" s="13" t="s">
        <v>644</v>
      </c>
      <c r="E179" s="13" t="s">
        <v>649</v>
      </c>
      <c r="F179" s="13" t="s">
        <v>650</v>
      </c>
      <c r="G179" s="13" t="s">
        <v>651</v>
      </c>
      <c r="H179" s="13" t="s">
        <v>136</v>
      </c>
    </row>
    <row r="180" spans="2:8" ht="11.25" customHeight="1" x14ac:dyDescent="0.2">
      <c r="B180" s="337" t="str">
        <f t="shared" si="2"/>
        <v>Ressourcenindex
Standardabweichung</v>
      </c>
      <c r="C180" s="340" t="s">
        <v>136</v>
      </c>
      <c r="D180" s="13" t="s">
        <v>645</v>
      </c>
      <c r="E180" s="13" t="s">
        <v>648</v>
      </c>
      <c r="F180" s="13" t="s">
        <v>646</v>
      </c>
      <c r="G180" s="13" t="s">
        <v>647</v>
      </c>
      <c r="H180" s="13" t="s">
        <v>136</v>
      </c>
    </row>
    <row r="181" spans="2:8" x14ac:dyDescent="0.2">
      <c r="B181" s="339" t="str">
        <f t="shared" si="2"/>
        <v>Standardisierter Steuersatz (SST) 2022</v>
      </c>
      <c r="C181" s="340" t="s">
        <v>183</v>
      </c>
      <c r="D181" s="328" t="str">
        <f>"Standardisierter Steuersatz (SST) " &amp; $G$2</f>
        <v>Standardisierter Steuersatz (SST) 2022</v>
      </c>
      <c r="E181" s="328" t="str">
        <f>"Taux fiscal standardisé (TFS) " &amp; $G$2</f>
        <v>Taux fiscal standardisé (TFS) 2022</v>
      </c>
      <c r="F181" s="328" t="str">
        <f>"Aliquota d'imposta standardizzata (AIS) " &amp; $G$2</f>
        <v>Aliquota d'imposta standardizzata (AIS) 2022</v>
      </c>
      <c r="G181" s="328" t="str">
        <f>"Standardized tax rate (STRate) " &amp; $G$2</f>
        <v>Standardized tax rate (STRate) 2022</v>
      </c>
      <c r="H181" s="328" t="s">
        <v>136</v>
      </c>
    </row>
    <row r="182" spans="2:8" x14ac:dyDescent="0.2">
      <c r="B182" s="335" t="str">
        <f t="shared" si="2"/>
        <v>Steuereinnahmen der Kantone und Gemeinden</v>
      </c>
      <c r="C182" s="340" t="s">
        <v>136</v>
      </c>
      <c r="D182" s="13" t="s">
        <v>593</v>
      </c>
      <c r="E182" s="13" t="s">
        <v>601</v>
      </c>
      <c r="F182" s="13" t="s">
        <v>608</v>
      </c>
      <c r="G182" s="13" t="s">
        <v>615</v>
      </c>
      <c r="H182" s="13" t="s">
        <v>136</v>
      </c>
    </row>
    <row r="183" spans="2:8" x14ac:dyDescent="0.2">
      <c r="B183" s="335" t="str">
        <f t="shared" si="2"/>
        <v>Debitorenverluste auf Steuereinnahmen</v>
      </c>
      <c r="C183" s="340" t="s">
        <v>136</v>
      </c>
      <c r="D183" s="13" t="s">
        <v>594</v>
      </c>
      <c r="E183" s="13" t="s">
        <v>602</v>
      </c>
      <c r="F183" s="13" t="s">
        <v>609</v>
      </c>
      <c r="G183" s="13" t="s">
        <v>616</v>
      </c>
      <c r="H183" s="13" t="s">
        <v>136</v>
      </c>
    </row>
    <row r="184" spans="2:8" x14ac:dyDescent="0.2">
      <c r="B184" s="335" t="str">
        <f t="shared" si="2"/>
        <v>Einnahmen direkte Bundessteuer (DBSt)</v>
      </c>
      <c r="C184" s="340" t="s">
        <v>136</v>
      </c>
      <c r="D184" s="13" t="s">
        <v>595</v>
      </c>
      <c r="E184" s="13" t="s">
        <v>603</v>
      </c>
      <c r="F184" s="13" t="s">
        <v>610</v>
      </c>
      <c r="G184" s="13" t="s">
        <v>617</v>
      </c>
      <c r="H184" s="13" t="s">
        <v>136</v>
      </c>
    </row>
    <row r="185" spans="2:8" x14ac:dyDescent="0.2">
      <c r="B185" s="335" t="str">
        <f t="shared" si="2"/>
        <v>Kantonsanteil</v>
      </c>
      <c r="C185" s="340" t="s">
        <v>136</v>
      </c>
      <c r="D185" s="13" t="s">
        <v>588</v>
      </c>
      <c r="E185" s="13" t="s">
        <v>678</v>
      </c>
      <c r="F185" s="13" t="s">
        <v>622</v>
      </c>
      <c r="G185" s="13" t="s">
        <v>623</v>
      </c>
      <c r="H185" s="13" t="s">
        <v>136</v>
      </c>
    </row>
    <row r="186" spans="2:8" x14ac:dyDescent="0.2">
      <c r="B186" s="335" t="str">
        <f t="shared" si="2"/>
        <v>Anteil der Kantone an DBSt</v>
      </c>
      <c r="C186" s="340" t="s">
        <v>136</v>
      </c>
      <c r="D186" s="13" t="s">
        <v>596</v>
      </c>
      <c r="E186" s="13" t="s">
        <v>679</v>
      </c>
      <c r="F186" s="13" t="s">
        <v>624</v>
      </c>
      <c r="G186" s="13" t="s">
        <v>625</v>
      </c>
      <c r="H186" s="13" t="s">
        <v>136</v>
      </c>
    </row>
    <row r="187" spans="2:8" x14ac:dyDescent="0.2">
      <c r="B187" s="335" t="str">
        <f t="shared" si="2"/>
        <v>Standardisierte Steuererträge (SSE)</v>
      </c>
      <c r="C187" s="340" t="s">
        <v>136</v>
      </c>
      <c r="D187" s="13" t="s">
        <v>597</v>
      </c>
      <c r="E187" s="13" t="s">
        <v>604</v>
      </c>
      <c r="F187" s="13" t="s">
        <v>611</v>
      </c>
      <c r="G187" s="13" t="s">
        <v>618</v>
      </c>
      <c r="H187" s="13" t="s">
        <v>136</v>
      </c>
    </row>
    <row r="188" spans="2:8" x14ac:dyDescent="0.2">
      <c r="B188" s="335" t="str">
        <f t="shared" si="2"/>
        <v>Massgebende Wohnbevölkerung</v>
      </c>
      <c r="C188" s="340" t="s">
        <v>136</v>
      </c>
      <c r="D188" s="13" t="s">
        <v>0</v>
      </c>
      <c r="E188" s="13" t="s">
        <v>298</v>
      </c>
      <c r="F188" s="13" t="s">
        <v>314</v>
      </c>
      <c r="G188" s="13" t="s">
        <v>259</v>
      </c>
      <c r="H188" s="13" t="s">
        <v>136</v>
      </c>
    </row>
    <row r="189" spans="2:8" x14ac:dyDescent="0.2">
      <c r="B189" s="335" t="str">
        <f t="shared" si="2"/>
        <v>Standardisierte Steuererträge pro Kopf</v>
      </c>
      <c r="C189" s="340" t="s">
        <v>136</v>
      </c>
      <c r="D189" s="13" t="s">
        <v>598</v>
      </c>
      <c r="E189" s="13" t="s">
        <v>605</v>
      </c>
      <c r="F189" s="13" t="s">
        <v>612</v>
      </c>
      <c r="G189" s="13" t="s">
        <v>619</v>
      </c>
      <c r="H189" s="13" t="s">
        <v>136</v>
      </c>
    </row>
    <row r="190" spans="2:8" x14ac:dyDescent="0.2">
      <c r="B190" s="335" t="str">
        <f t="shared" si="2"/>
        <v>Ressourcenpotenzial pro Kopf</v>
      </c>
      <c r="C190" s="340" t="s">
        <v>136</v>
      </c>
      <c r="D190" s="13" t="s">
        <v>599</v>
      </c>
      <c r="E190" s="13" t="s">
        <v>606</v>
      </c>
      <c r="F190" s="13" t="s">
        <v>613</v>
      </c>
      <c r="G190" s="13" t="s">
        <v>620</v>
      </c>
      <c r="H190" s="13" t="s">
        <v>136</v>
      </c>
    </row>
    <row r="191" spans="2:8" x14ac:dyDescent="0.2">
      <c r="B191" s="337" t="str">
        <f t="shared" si="2"/>
        <v>Standardisierter Steuersatz (SST)</v>
      </c>
      <c r="C191" s="340" t="s">
        <v>136</v>
      </c>
      <c r="D191" s="13" t="s">
        <v>600</v>
      </c>
      <c r="E191" s="13" t="s">
        <v>607</v>
      </c>
      <c r="F191" s="13" t="s">
        <v>614</v>
      </c>
      <c r="G191" s="13" t="s">
        <v>621</v>
      </c>
      <c r="H191" s="13" t="s">
        <v>136</v>
      </c>
    </row>
    <row r="192" spans="2:8" x14ac:dyDescent="0.2">
      <c r="B192" s="338" t="str">
        <f t="shared" si="2"/>
        <v>Auszahlungen an die ressourcenschwachen Kantone 2022</v>
      </c>
      <c r="C192" s="340" t="s">
        <v>181</v>
      </c>
      <c r="D192" s="328" t="str">
        <f>"Auszahlungen an die ressourcenschwachen Kantone " &amp; $G$2</f>
        <v>Auszahlungen an die ressourcenschwachen Kantone 2022</v>
      </c>
      <c r="E192" s="328" t="str">
        <f>"Montants reçus par les cantons à faible potentiel de ressources " &amp; $G$2</f>
        <v>Montants reçus par les cantons à faible potentiel de ressources 2022</v>
      </c>
      <c r="F192" s="328" t="str">
        <f>"Versamenti ai Cantoni finanziariamente deboli " &amp; $G$2</f>
        <v>Versamenti ai Cantoni finanziariamente deboli 2022</v>
      </c>
      <c r="G192" s="328" t="str">
        <f>"Outpayments to financially weak cantons " &amp; $G$2</f>
        <v>Outpayments to financially weak cantons 2022</v>
      </c>
      <c r="H192" s="328" t="s">
        <v>136</v>
      </c>
    </row>
    <row r="193" spans="2:8" x14ac:dyDescent="0.2">
      <c r="B193" s="335" t="str">
        <f t="shared" si="2"/>
        <v>Ressourcen-
index</v>
      </c>
      <c r="C193" s="340" t="s">
        <v>136</v>
      </c>
      <c r="D193" s="13" t="s">
        <v>117</v>
      </c>
      <c r="E193" s="13" t="s">
        <v>447</v>
      </c>
      <c r="F193" s="13" t="s">
        <v>493</v>
      </c>
      <c r="G193" s="13" t="s">
        <v>466</v>
      </c>
      <c r="H193" s="13" t="s">
        <v>136</v>
      </c>
    </row>
    <row r="194" spans="2:8" ht="11.25" customHeight="1" x14ac:dyDescent="0.2">
      <c r="B194" s="335" t="str">
        <f t="shared" si="2"/>
        <v>Auszahlung in
Indexpunkten</v>
      </c>
      <c r="C194" s="340" t="s">
        <v>136</v>
      </c>
      <c r="D194" s="13" t="s">
        <v>628</v>
      </c>
      <c r="E194" s="13" t="s">
        <v>710</v>
      </c>
      <c r="F194" s="13" t="s">
        <v>719</v>
      </c>
      <c r="G194" s="13" t="s">
        <v>663</v>
      </c>
      <c r="H194" s="13" t="s">
        <v>136</v>
      </c>
    </row>
    <row r="195" spans="2:8" ht="11.25" customHeight="1" x14ac:dyDescent="0.2">
      <c r="B195" s="335" t="str">
        <f t="shared" si="2"/>
        <v>Index SSE
nach Ausgleich</v>
      </c>
      <c r="C195" s="340" t="s">
        <v>136</v>
      </c>
      <c r="D195" s="13" t="s">
        <v>629</v>
      </c>
      <c r="E195" s="13" t="s">
        <v>461</v>
      </c>
      <c r="F195" s="13" t="s">
        <v>504</v>
      </c>
      <c r="G195" s="13" t="s">
        <v>664</v>
      </c>
      <c r="H195" s="13" t="s">
        <v>136</v>
      </c>
    </row>
    <row r="196" spans="2:8" x14ac:dyDescent="0.2">
      <c r="B196" s="335" t="str">
        <f t="shared" si="2"/>
        <v>Auszahlung
pro Einwohner</v>
      </c>
      <c r="C196" s="340" t="s">
        <v>136</v>
      </c>
      <c r="D196" s="13" t="s">
        <v>122</v>
      </c>
      <c r="E196" s="13" t="s">
        <v>454</v>
      </c>
      <c r="F196" s="13" t="s">
        <v>499</v>
      </c>
      <c r="G196" s="13" t="s">
        <v>538</v>
      </c>
      <c r="H196" s="13" t="s">
        <v>136</v>
      </c>
    </row>
    <row r="197" spans="2:8" x14ac:dyDescent="0.2">
      <c r="B197" s="335" t="str">
        <f t="shared" si="2"/>
        <v>Auszahlung</v>
      </c>
      <c r="C197" s="340" t="s">
        <v>136</v>
      </c>
      <c r="D197" s="13" t="s">
        <v>121</v>
      </c>
      <c r="E197" s="13" t="s">
        <v>455</v>
      </c>
      <c r="F197" s="13" t="s">
        <v>376</v>
      </c>
      <c r="G197" s="13" t="s">
        <v>294</v>
      </c>
      <c r="H197" s="13" t="s">
        <v>136</v>
      </c>
    </row>
    <row r="198" spans="2:8" x14ac:dyDescent="0.2">
      <c r="B198" s="335" t="str">
        <f t="shared" si="2"/>
        <v>Garantierte Mindestausstattung</v>
      </c>
      <c r="C198" s="340"/>
      <c r="D198" s="13" t="s">
        <v>630</v>
      </c>
      <c r="E198" s="13" t="s">
        <v>705</v>
      </c>
      <c r="F198" s="13" t="s">
        <v>712</v>
      </c>
      <c r="G198" s="13" t="s">
        <v>665</v>
      </c>
      <c r="H198" s="13" t="s">
        <v>136</v>
      </c>
    </row>
    <row r="199" spans="2:8" x14ac:dyDescent="0.2">
      <c r="B199" s="335" t="str">
        <f t="shared" si="2"/>
        <v>Beginn Progression</v>
      </c>
      <c r="C199" s="340"/>
      <c r="D199" s="13" t="s">
        <v>631</v>
      </c>
      <c r="E199" s="13" t="s">
        <v>706</v>
      </c>
      <c r="F199" s="13" t="s">
        <v>713</v>
      </c>
      <c r="G199" s="13" t="s">
        <v>666</v>
      </c>
      <c r="H199" s="13" t="s">
        <v>136</v>
      </c>
    </row>
    <row r="200" spans="2:8" x14ac:dyDescent="0.2">
      <c r="B200" s="335" t="str">
        <f t="shared" si="2"/>
        <v>Maximale Grenzabschöpfung</v>
      </c>
      <c r="C200" s="340"/>
      <c r="D200" s="13" t="s">
        <v>632</v>
      </c>
      <c r="E200" s="13" t="s">
        <v>707</v>
      </c>
      <c r="F200" s="13" t="s">
        <v>714</v>
      </c>
      <c r="G200" s="13" t="s">
        <v>667</v>
      </c>
      <c r="H200" s="13" t="s">
        <v>136</v>
      </c>
    </row>
    <row r="201" spans="2:8" x14ac:dyDescent="0.2">
      <c r="B201" s="335" t="str">
        <f t="shared" si="2"/>
        <v>SSE pro Einwohner</v>
      </c>
      <c r="C201" s="340"/>
      <c r="D201" s="13" t="s">
        <v>633</v>
      </c>
      <c r="E201" s="13" t="s">
        <v>708</v>
      </c>
      <c r="F201" s="13" t="s">
        <v>715</v>
      </c>
      <c r="G201" s="13" t="s">
        <v>668</v>
      </c>
      <c r="H201" s="13" t="s">
        <v>136</v>
      </c>
    </row>
    <row r="202" spans="2:8" x14ac:dyDescent="0.2">
      <c r="B202" s="335" t="str">
        <f t="shared" si="2"/>
        <v>Progressionsmass p</v>
      </c>
      <c r="C202" s="340"/>
      <c r="D202" s="13" t="s">
        <v>126</v>
      </c>
      <c r="E202" s="13" t="s">
        <v>456</v>
      </c>
      <c r="F202" s="13" t="s">
        <v>716</v>
      </c>
      <c r="G202" s="13" t="s">
        <v>295</v>
      </c>
      <c r="H202" s="13" t="s">
        <v>136</v>
      </c>
    </row>
    <row r="203" spans="2:8" x14ac:dyDescent="0.2">
      <c r="B203" s="337" t="str">
        <f t="shared" si="2"/>
        <v>Progressionsmass t</v>
      </c>
      <c r="C203" s="340" t="s">
        <v>136</v>
      </c>
      <c r="D203" s="13" t="s">
        <v>643</v>
      </c>
      <c r="E203" s="13" t="s">
        <v>709</v>
      </c>
      <c r="F203" s="13" t="s">
        <v>717</v>
      </c>
      <c r="G203" s="13" t="s">
        <v>673</v>
      </c>
      <c r="H203" s="13" t="s">
        <v>136</v>
      </c>
    </row>
    <row r="204" spans="2:8" x14ac:dyDescent="0.2">
      <c r="B204" s="338" t="str">
        <f t="shared" si="2"/>
        <v>Dotationen im Ressourcenausgleich 2022</v>
      </c>
      <c r="C204" s="340" t="s">
        <v>179</v>
      </c>
      <c r="D204" s="328" t="str">
        <f>"Dotationen im Ressourcenausgleich " &amp; $G$2</f>
        <v>Dotationen im Ressourcenausgleich 2022</v>
      </c>
      <c r="E204" s="328" t="str">
        <f>"Dotations de la péréquation des ressources " &amp; $G$2</f>
        <v>Dotations de la péréquation des ressources 2022</v>
      </c>
      <c r="F204" s="328" t="str">
        <f>"Dotazioni nella perequazione delle risorse " &amp; $G$2</f>
        <v>Dotazioni nella perequazione delle risorse 2022</v>
      </c>
      <c r="G204" s="328" t="str">
        <f>"Resource equalization endowments " &amp; $G$2</f>
        <v>Resource equalization endowments 2022</v>
      </c>
      <c r="H204" s="328" t="s">
        <v>136</v>
      </c>
    </row>
    <row r="205" spans="2:8" x14ac:dyDescent="0.2">
      <c r="B205" s="335" t="str">
        <f t="shared" si="2"/>
        <v>Vertikaler
Ressourcenausgleich
(VRA)</v>
      </c>
      <c r="C205" s="340" t="s">
        <v>136</v>
      </c>
      <c r="D205" s="13" t="s">
        <v>406</v>
      </c>
      <c r="E205" s="13" t="s">
        <v>448</v>
      </c>
      <c r="F205" s="13" t="s">
        <v>494</v>
      </c>
      <c r="G205" s="13" t="s">
        <v>531</v>
      </c>
      <c r="H205" s="13" t="s">
        <v>136</v>
      </c>
    </row>
    <row r="206" spans="2:8" ht="11.25" customHeight="1" x14ac:dyDescent="0.2">
      <c r="B206" s="335" t="str">
        <f t="shared" si="2"/>
        <v>Horizontaler
Ressourcenausgleich
(HRA)</v>
      </c>
      <c r="C206" s="340" t="s">
        <v>136</v>
      </c>
      <c r="D206" s="13" t="s">
        <v>550</v>
      </c>
      <c r="E206" s="13" t="s">
        <v>449</v>
      </c>
      <c r="F206" s="13" t="s">
        <v>495</v>
      </c>
      <c r="G206" s="13" t="s">
        <v>532</v>
      </c>
      <c r="H206" s="13" t="s">
        <v>136</v>
      </c>
    </row>
    <row r="207" spans="2:8" x14ac:dyDescent="0.2">
      <c r="B207" s="335" t="str">
        <f t="shared" si="2"/>
        <v>Ausgleich
Total</v>
      </c>
      <c r="C207" s="340" t="s">
        <v>136</v>
      </c>
      <c r="D207" s="13" t="s">
        <v>407</v>
      </c>
      <c r="E207" s="13" t="s">
        <v>450</v>
      </c>
      <c r="F207" s="13" t="s">
        <v>496</v>
      </c>
      <c r="G207" s="13" t="s">
        <v>533</v>
      </c>
      <c r="H207" s="13" t="s">
        <v>136</v>
      </c>
    </row>
    <row r="208" spans="2:8" x14ac:dyDescent="0.2">
      <c r="B208" s="335" t="str">
        <f t="shared" si="2"/>
        <v>Dotation 2022</v>
      </c>
      <c r="C208" s="340" t="s">
        <v>136</v>
      </c>
      <c r="D208" s="13" t="str">
        <f>"Dotation " &amp; $G$2</f>
        <v>Dotation 2022</v>
      </c>
      <c r="E208" s="13" t="str">
        <f>"Dotation " &amp; $G$2</f>
        <v>Dotation 2022</v>
      </c>
      <c r="F208" s="13" t="str">
        <f>"Dotazione " &amp; $G$2</f>
        <v>Dotazione 2022</v>
      </c>
      <c r="G208" s="13" t="str">
        <f>"Endowment " &amp; $G$2</f>
        <v>Endowment 2022</v>
      </c>
      <c r="H208" s="13" t="s">
        <v>136</v>
      </c>
    </row>
    <row r="209" spans="2:8" x14ac:dyDescent="0.2">
      <c r="B209" s="335" t="str">
        <f t="shared" si="2"/>
        <v>Anteile</v>
      </c>
      <c r="C209" s="340"/>
      <c r="D209" s="13" t="s">
        <v>638</v>
      </c>
      <c r="E209" s="13" t="s">
        <v>711</v>
      </c>
      <c r="F209" s="13" t="s">
        <v>718</v>
      </c>
      <c r="G209" s="13" t="s">
        <v>669</v>
      </c>
      <c r="H209" s="13" t="s">
        <v>136</v>
      </c>
    </row>
    <row r="210" spans="2:8" x14ac:dyDescent="0.2">
      <c r="B210" s="337" t="str">
        <f t="shared" si="2"/>
        <v>VRA in % des HRA</v>
      </c>
      <c r="C210" s="340" t="s">
        <v>136</v>
      </c>
      <c r="D210" s="13" t="s">
        <v>639</v>
      </c>
      <c r="E210" s="13" t="s">
        <v>640</v>
      </c>
      <c r="F210" s="13" t="s">
        <v>641</v>
      </c>
      <c r="G210" s="13" t="s">
        <v>642</v>
      </c>
      <c r="H210" s="13" t="s">
        <v>136</v>
      </c>
    </row>
    <row r="211" spans="2:8" x14ac:dyDescent="0.2">
      <c r="B211" s="338" t="str">
        <f t="shared" si="2"/>
        <v>Einzahlungen der ressourcenstarken Kantone 2022</v>
      </c>
      <c r="C211" s="340" t="s">
        <v>180</v>
      </c>
      <c r="D211" s="328" t="str">
        <f>"Einzahlungen der ressourcenstarken Kantone " &amp; $G$2</f>
        <v>Einzahlungen der ressourcenstarken Kantone 2022</v>
      </c>
      <c r="E211" s="328" t="str">
        <f>"Montants versés par les cantons à fort potentiel de ressources " &amp; $G$2</f>
        <v>Montants versés par les cantons à fort potentiel de ressources 2022</v>
      </c>
      <c r="F211" s="328" t="str">
        <f>"Contributi dei Cantoni finanziariamente forti " &amp; $G$2</f>
        <v>Contributi dei Cantoni finanziariamente forti 2022</v>
      </c>
      <c r="G211" s="328" t="str">
        <f>"Inpayments of financially strong cantons " &amp; $G$2</f>
        <v>Inpayments of financially strong cantons 2022</v>
      </c>
      <c r="H211" s="328" t="s">
        <v>136</v>
      </c>
    </row>
    <row r="212" spans="2:8" x14ac:dyDescent="0.2">
      <c r="B212" s="335" t="str">
        <f t="shared" ref="B212:B227" si="3">HLOOKUP($B$9,$D$9:$G$227,ROW()-$B$8,FALSE)</f>
        <v>Ressourcen-
index</v>
      </c>
      <c r="C212" s="340" t="s">
        <v>136</v>
      </c>
      <c r="D212" s="13" t="s">
        <v>117</v>
      </c>
      <c r="E212" s="13" t="s">
        <v>447</v>
      </c>
      <c r="F212" s="13" t="s">
        <v>493</v>
      </c>
      <c r="G212" s="13" t="s">
        <v>466</v>
      </c>
      <c r="H212" s="13" t="s">
        <v>136</v>
      </c>
    </row>
    <row r="213" spans="2:8" x14ac:dyDescent="0.2">
      <c r="B213" s="335" t="str">
        <f t="shared" si="3"/>
        <v>Massgebende
Wohn-
bevölkerung</v>
      </c>
      <c r="C213" s="340" t="s">
        <v>136</v>
      </c>
      <c r="D213" s="13" t="s">
        <v>408</v>
      </c>
      <c r="E213" s="13" t="s">
        <v>444</v>
      </c>
      <c r="F213" s="13" t="s">
        <v>490</v>
      </c>
      <c r="G213" s="13" t="s">
        <v>534</v>
      </c>
      <c r="H213" s="13" t="s">
        <v>136</v>
      </c>
    </row>
    <row r="214" spans="2:8" x14ac:dyDescent="0.2">
      <c r="B214" s="335" t="str">
        <f t="shared" si="3"/>
        <v>Summe der
gewichteten
Abweichungen</v>
      </c>
      <c r="C214" s="340" t="s">
        <v>136</v>
      </c>
      <c r="D214" s="13" t="s">
        <v>409</v>
      </c>
      <c r="E214" s="13" t="s">
        <v>451</v>
      </c>
      <c r="F214" s="13" t="s">
        <v>497</v>
      </c>
      <c r="G214" s="13" t="s">
        <v>535</v>
      </c>
      <c r="H214" s="13" t="s">
        <v>136</v>
      </c>
    </row>
    <row r="215" spans="2:8" x14ac:dyDescent="0.2">
      <c r="B215" s="335" t="str">
        <f t="shared" si="3"/>
        <v>Einzahlung
pro Einwohner</v>
      </c>
      <c r="C215" s="340" t="s">
        <v>136</v>
      </c>
      <c r="D215" s="13" t="s">
        <v>410</v>
      </c>
      <c r="E215" s="13" t="s">
        <v>452</v>
      </c>
      <c r="F215" s="13" t="s">
        <v>498</v>
      </c>
      <c r="G215" s="13" t="s">
        <v>536</v>
      </c>
      <c r="H215" s="13" t="s">
        <v>136</v>
      </c>
    </row>
    <row r="216" spans="2:8" x14ac:dyDescent="0.2">
      <c r="B216" s="335" t="str">
        <f t="shared" si="3"/>
        <v>Einzahlung</v>
      </c>
      <c r="C216" s="340" t="s">
        <v>136</v>
      </c>
      <c r="D216" s="13" t="s">
        <v>123</v>
      </c>
      <c r="E216" s="13" t="s">
        <v>453</v>
      </c>
      <c r="F216" s="13" t="s">
        <v>374</v>
      </c>
      <c r="G216" s="13" t="s">
        <v>293</v>
      </c>
      <c r="H216" s="13" t="s">
        <v>136</v>
      </c>
    </row>
    <row r="217" spans="2:8" x14ac:dyDescent="0.2">
      <c r="B217" s="337" t="str">
        <f t="shared" si="3"/>
        <v>Dotation/E[Schweiz]*E</v>
      </c>
      <c r="C217" s="340" t="s">
        <v>136</v>
      </c>
      <c r="D217" s="13" t="s">
        <v>98</v>
      </c>
      <c r="E217" s="13" t="s">
        <v>248</v>
      </c>
      <c r="F217" s="13" t="s">
        <v>375</v>
      </c>
      <c r="G217" s="13" t="s">
        <v>537</v>
      </c>
      <c r="H217" s="13" t="s">
        <v>136</v>
      </c>
    </row>
    <row r="218" spans="2:8" x14ac:dyDescent="0.2">
      <c r="B218" s="338" t="str">
        <f t="shared" si="3"/>
        <v>Standardisierter Steuerertrag (SSE) 2022</v>
      </c>
      <c r="C218" s="340" t="s">
        <v>182</v>
      </c>
      <c r="D218" s="328" t="str">
        <f>"Standardisierter Steuerertrag (SSE) " &amp; $G$2</f>
        <v>Standardisierter Steuerertrag (SSE) 2022</v>
      </c>
      <c r="E218" s="328" t="str">
        <f>"Recettes fiscales standardisées (RFS) " &amp; $G$2</f>
        <v>Recettes fiscales standardisées (RFS) 2022</v>
      </c>
      <c r="F218" s="328" t="str">
        <f>"Gettito fiscale standardizzato (GFS) " &amp; $G$2</f>
        <v>Gettito fiscale standardizzato (GFS) 2022</v>
      </c>
      <c r="G218" s="328" t="str">
        <f>"Standardized tax revenue (STR) " &amp; $G$2</f>
        <v>Standardized tax revenue (STR) 2022</v>
      </c>
      <c r="H218" s="328" t="s">
        <v>136</v>
      </c>
    </row>
    <row r="219" spans="2:8" x14ac:dyDescent="0.2">
      <c r="B219" s="335" t="str">
        <f t="shared" si="3"/>
        <v>Ressourcen-
index</v>
      </c>
      <c r="C219" s="340" t="s">
        <v>136</v>
      </c>
      <c r="D219" s="13" t="s">
        <v>117</v>
      </c>
      <c r="E219" s="13" t="s">
        <v>447</v>
      </c>
      <c r="F219" s="13" t="s">
        <v>493</v>
      </c>
      <c r="G219" s="13" t="s">
        <v>466</v>
      </c>
      <c r="H219" s="13" t="s">
        <v>136</v>
      </c>
    </row>
    <row r="220" spans="2:8" x14ac:dyDescent="0.2">
      <c r="B220" s="335" t="str">
        <f t="shared" si="3"/>
        <v>Standardisierter
Steuerertrag
(SSE)</v>
      </c>
      <c r="C220" s="340" t="s">
        <v>136</v>
      </c>
      <c r="D220" s="13" t="s">
        <v>411</v>
      </c>
      <c r="E220" s="13" t="s">
        <v>457</v>
      </c>
      <c r="F220" s="13" t="s">
        <v>500</v>
      </c>
      <c r="G220" s="13" t="s">
        <v>539</v>
      </c>
      <c r="H220" s="13" t="s">
        <v>136</v>
      </c>
    </row>
    <row r="221" spans="2:8" x14ac:dyDescent="0.2">
      <c r="B221" s="335" t="str">
        <f t="shared" si="3"/>
        <v>Massgebende
Wohn-
bevölkerung</v>
      </c>
      <c r="C221" s="340" t="s">
        <v>136</v>
      </c>
      <c r="D221" s="13" t="s">
        <v>408</v>
      </c>
      <c r="E221" s="13" t="s">
        <v>444</v>
      </c>
      <c r="F221" s="13" t="s">
        <v>490</v>
      </c>
      <c r="G221" s="13" t="s">
        <v>534</v>
      </c>
      <c r="H221" s="13" t="s">
        <v>136</v>
      </c>
    </row>
    <row r="222" spans="2:8" x14ac:dyDescent="0.2">
      <c r="B222" s="335" t="str">
        <f t="shared" si="3"/>
        <v>Standardisierter
Steuerertrag pro
Einwohner vor
Ausgleich</v>
      </c>
      <c r="C222" s="340" t="s">
        <v>136</v>
      </c>
      <c r="D222" s="13" t="s">
        <v>412</v>
      </c>
      <c r="E222" s="13" t="s">
        <v>458</v>
      </c>
      <c r="F222" s="13" t="s">
        <v>501</v>
      </c>
      <c r="G222" s="13" t="s">
        <v>540</v>
      </c>
      <c r="H222" s="13" t="s">
        <v>136</v>
      </c>
    </row>
    <row r="223" spans="2:8" x14ac:dyDescent="0.2">
      <c r="B223" s="335" t="str">
        <f t="shared" si="3"/>
        <v>Ressourcen-
ausgleich pro
Einwohner</v>
      </c>
      <c r="C223" s="340" t="s">
        <v>136</v>
      </c>
      <c r="D223" s="13" t="s">
        <v>413</v>
      </c>
      <c r="E223" s="13" t="s">
        <v>459</v>
      </c>
      <c r="F223" s="13" t="s">
        <v>502</v>
      </c>
      <c r="G223" s="13" t="s">
        <v>541</v>
      </c>
      <c r="H223" s="13" t="s">
        <v>136</v>
      </c>
    </row>
    <row r="224" spans="2:8" x14ac:dyDescent="0.2">
      <c r="B224" s="335" t="str">
        <f t="shared" si="3"/>
        <v>Standardisierter
Steuerertrag pro
Einwohner nach
Ausgleich</v>
      </c>
      <c r="C224" s="340" t="s">
        <v>136</v>
      </c>
      <c r="D224" s="13" t="s">
        <v>414</v>
      </c>
      <c r="E224" s="13" t="s">
        <v>460</v>
      </c>
      <c r="F224" s="13" t="s">
        <v>503</v>
      </c>
      <c r="G224" s="13" t="s">
        <v>542</v>
      </c>
      <c r="H224" s="13" t="s">
        <v>136</v>
      </c>
    </row>
    <row r="225" spans="2:8" x14ac:dyDescent="0.2">
      <c r="B225" s="335" t="str">
        <f t="shared" si="3"/>
        <v>Index SSE
nach
Ausgleich</v>
      </c>
      <c r="C225" s="340" t="s">
        <v>136</v>
      </c>
      <c r="D225" s="13" t="s">
        <v>99</v>
      </c>
      <c r="E225" s="13" t="s">
        <v>461</v>
      </c>
      <c r="F225" s="13" t="s">
        <v>504</v>
      </c>
      <c r="G225" s="13" t="s">
        <v>543</v>
      </c>
      <c r="H225" s="13" t="s">
        <v>136</v>
      </c>
    </row>
    <row r="226" spans="2:8" x14ac:dyDescent="0.2">
      <c r="B226" s="335" t="str">
        <f t="shared" si="3"/>
        <v>H / F[Schweiz]</v>
      </c>
      <c r="C226" s="340" t="s">
        <v>136</v>
      </c>
      <c r="D226" s="13" t="s">
        <v>100</v>
      </c>
      <c r="E226" s="13" t="s">
        <v>249</v>
      </c>
      <c r="F226" s="13" t="s">
        <v>377</v>
      </c>
      <c r="G226" s="13" t="s">
        <v>261</v>
      </c>
      <c r="H226" s="13" t="s">
        <v>136</v>
      </c>
    </row>
    <row r="227" spans="2:8" x14ac:dyDescent="0.2">
      <c r="B227" s="337" t="str">
        <f t="shared" si="3"/>
        <v>Minimum</v>
      </c>
      <c r="C227" s="340" t="s">
        <v>136</v>
      </c>
      <c r="D227" s="13" t="s">
        <v>41</v>
      </c>
      <c r="E227" s="13" t="s">
        <v>41</v>
      </c>
      <c r="F227" s="13" t="s">
        <v>378</v>
      </c>
      <c r="G227" s="13" t="s">
        <v>41</v>
      </c>
      <c r="H227" s="13" t="s">
        <v>136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showGridLines="0" zoomScaleNormal="100" workbookViewId="0">
      <selection activeCell="A75" sqref="A75"/>
    </sheetView>
  </sheetViews>
  <sheetFormatPr baseColWidth="10" defaultRowHeight="12.75" x14ac:dyDescent="0.2"/>
  <cols>
    <col min="1" max="1" width="3.5703125" customWidth="1"/>
    <col min="2" max="2" width="16.7109375" customWidth="1"/>
    <col min="3" max="5" width="17.7109375" customWidth="1"/>
    <col min="6" max="6" width="3.5703125" customWidth="1"/>
    <col min="7" max="7" width="11.42578125" customWidth="1"/>
  </cols>
  <sheetData>
    <row r="1" spans="1:6" ht="48" customHeight="1" x14ac:dyDescent="0.2"/>
    <row r="2" spans="1:6" ht="28.5" customHeight="1" x14ac:dyDescent="0.2">
      <c r="A2" s="344" t="str">
        <f>DFIE!B72</f>
        <v>Zahlungen im</v>
      </c>
      <c r="B2" s="344"/>
      <c r="C2" s="344"/>
      <c r="D2" s="344"/>
      <c r="E2" s="344"/>
      <c r="F2" s="344"/>
    </row>
    <row r="3" spans="1:6" ht="27.75" customHeight="1" x14ac:dyDescent="0.2">
      <c r="A3" s="351" t="str">
        <f>DFIE!B73</f>
        <v>Ressourcenausgleich 2022</v>
      </c>
      <c r="B3" s="351"/>
      <c r="C3" s="351"/>
      <c r="D3" s="351"/>
      <c r="E3" s="351"/>
      <c r="F3" s="351"/>
    </row>
    <row r="4" spans="1:6" ht="24" customHeight="1" x14ac:dyDescent="0.2">
      <c r="B4" s="14"/>
    </row>
    <row r="5" spans="1:6" ht="24" customHeight="1" x14ac:dyDescent="0.2">
      <c r="B5" s="14"/>
    </row>
    <row r="6" spans="1:6" x14ac:dyDescent="0.2">
      <c r="B6" s="15" t="str">
        <f>DFIE!B74</f>
        <v>(+) Einzahlungen; (-) Auszahlungen in CHF</v>
      </c>
    </row>
    <row r="7" spans="1:6" ht="16.5" customHeight="1" x14ac:dyDescent="0.2">
      <c r="B7" s="347"/>
      <c r="C7" s="349" t="str">
        <f>DFIE!B75</f>
        <v>Ressourcen-
index</v>
      </c>
      <c r="D7" s="345" t="str">
        <f>DFIE!B76</f>
        <v>Ausgleichszahlungen</v>
      </c>
      <c r="E7" s="346"/>
    </row>
    <row r="8" spans="1:6" ht="16.5" customHeight="1" x14ac:dyDescent="0.2">
      <c r="B8" s="348"/>
      <c r="C8" s="350"/>
      <c r="D8" s="29" t="str">
        <f>DFIE!B64</f>
        <v>Total</v>
      </c>
      <c r="E8" s="30" t="str">
        <f>DFIE!B77</f>
        <v>Pro Einwohner</v>
      </c>
    </row>
    <row r="9" spans="1:6" x14ac:dyDescent="0.2">
      <c r="B9" s="16" t="str">
        <f>DFIE!B28</f>
        <v>Zürich</v>
      </c>
      <c r="C9" s="17">
        <f>RP!I9</f>
        <v>123.31896172677135</v>
      </c>
      <c r="D9" s="18">
        <f>SUM(EINZ!G9,-AUSZ!G9)</f>
        <v>588685509.54058766</v>
      </c>
      <c r="E9" s="19">
        <f>-SSE!G9</f>
        <v>390.28084374023445</v>
      </c>
    </row>
    <row r="10" spans="1:6" x14ac:dyDescent="0.2">
      <c r="B10" s="20" t="str">
        <f>DFIE!B29</f>
        <v>Bern</v>
      </c>
      <c r="C10" s="21">
        <f>RP!I10</f>
        <v>79.534421061562156</v>
      </c>
      <c r="D10" s="22">
        <f>SUM(EINZ!G10,-AUSZ!G10)</f>
        <v>-843510124.57618034</v>
      </c>
      <c r="E10" s="23">
        <f>-SSE!G10</f>
        <v>-815.3218658221341</v>
      </c>
    </row>
    <row r="11" spans="1:6" x14ac:dyDescent="0.2">
      <c r="B11" s="16" t="str">
        <f>DFIE!B30</f>
        <v>Luzern</v>
      </c>
      <c r="C11" s="17">
        <f>RP!I11</f>
        <v>91.31255012516273</v>
      </c>
      <c r="D11" s="18">
        <f>SUM(EINZ!G11,-AUSZ!G11)</f>
        <v>-81821190.605671674</v>
      </c>
      <c r="E11" s="19">
        <f>-SSE!G11</f>
        <v>-200.62556391261973</v>
      </c>
    </row>
    <row r="12" spans="1:6" x14ac:dyDescent="0.2">
      <c r="B12" s="20" t="str">
        <f>DFIE!B31</f>
        <v>Uri</v>
      </c>
      <c r="C12" s="21">
        <f>RP!I12</f>
        <v>71.782979736886148</v>
      </c>
      <c r="D12" s="22">
        <f>SUM(EINZ!G12,-AUSZ!G12)</f>
        <v>-50510548.138983525</v>
      </c>
      <c r="E12" s="23">
        <f>-SSE!G12</f>
        <v>-1379.0522876288946</v>
      </c>
    </row>
    <row r="13" spans="1:6" x14ac:dyDescent="0.2">
      <c r="B13" s="16" t="str">
        <f>DFIE!B32</f>
        <v>Schwyz</v>
      </c>
      <c r="C13" s="17">
        <f>RP!I13</f>
        <v>177.87133169439161</v>
      </c>
      <c r="D13" s="18">
        <f>SUM(EINZ!G13,-AUSZ!G13)</f>
        <v>205569657.74844009</v>
      </c>
      <c r="E13" s="19">
        <f>-SSE!G13</f>
        <v>1303.3036973499391</v>
      </c>
    </row>
    <row r="14" spans="1:6" x14ac:dyDescent="0.2">
      <c r="B14" s="20" t="str">
        <f>DFIE!B33</f>
        <v>Obwalden</v>
      </c>
      <c r="C14" s="21">
        <f>RP!I14</f>
        <v>102.43871118802896</v>
      </c>
      <c r="D14" s="22">
        <f>SUM(EINZ!G14,-AUSZ!G14)</f>
        <v>1542497.4033793642</v>
      </c>
      <c r="E14" s="23">
        <f>-SSE!G14</f>
        <v>40.815807807171709</v>
      </c>
    </row>
    <row r="15" spans="1:6" x14ac:dyDescent="0.2">
      <c r="B15" s="16" t="str">
        <f>DFIE!B34</f>
        <v>Nidwalden</v>
      </c>
      <c r="C15" s="17">
        <f>RP!I15</f>
        <v>155.54213685451947</v>
      </c>
      <c r="D15" s="18">
        <f>SUM(EINZ!G15,-AUSZ!G15)</f>
        <v>40049604.048975363</v>
      </c>
      <c r="E15" s="19">
        <f>-SSE!G15</f>
        <v>929.58821617821422</v>
      </c>
    </row>
    <row r="16" spans="1:6" x14ac:dyDescent="0.2">
      <c r="B16" s="20" t="str">
        <f>DFIE!B35</f>
        <v>Glarus</v>
      </c>
      <c r="C16" s="21">
        <f>RP!I16</f>
        <v>72.710322886863437</v>
      </c>
      <c r="D16" s="22">
        <f>SUM(EINZ!G16,-AUSZ!G16)</f>
        <v>-53009229.812009737</v>
      </c>
      <c r="E16" s="23">
        <f>-SSE!G16</f>
        <v>-1305.6674940149198</v>
      </c>
    </row>
    <row r="17" spans="2:5" x14ac:dyDescent="0.2">
      <c r="B17" s="16" t="str">
        <f>DFIE!B36</f>
        <v>Zug</v>
      </c>
      <c r="C17" s="17">
        <f>RP!I17</f>
        <v>255.40818855518233</v>
      </c>
      <c r="D17" s="18">
        <f>SUM(EINZ!G17,-AUSZ!G17)</f>
        <v>328668751.44951046</v>
      </c>
      <c r="E17" s="19">
        <f>-SSE!G17</f>
        <v>2601.0094130316902</v>
      </c>
    </row>
    <row r="18" spans="2:5" x14ac:dyDescent="0.2">
      <c r="B18" s="20" t="str">
        <f>DFIE!B37</f>
        <v>Freiburg</v>
      </c>
      <c r="C18" s="21">
        <f>RP!I18</f>
        <v>71.987351800311728</v>
      </c>
      <c r="D18" s="22">
        <f>SUM(EINZ!G18,-AUSZ!G18)</f>
        <v>-429593031.4545362</v>
      </c>
      <c r="E18" s="23">
        <f>-SSE!G18</f>
        <v>-1362.7455139997289</v>
      </c>
    </row>
    <row r="19" spans="2:5" x14ac:dyDescent="0.2">
      <c r="B19" s="16" t="str">
        <f>DFIE!B38</f>
        <v>Solothurn</v>
      </c>
      <c r="C19" s="17">
        <f>RP!I19</f>
        <v>71.117640572658331</v>
      </c>
      <c r="D19" s="18">
        <f>SUM(EINZ!G19,-AUSZ!G19)</f>
        <v>-390465348.44117641</v>
      </c>
      <c r="E19" s="19">
        <f>-SSE!G19</f>
        <v>-1432.6602701731076</v>
      </c>
    </row>
    <row r="20" spans="2:5" x14ac:dyDescent="0.2">
      <c r="B20" s="20" t="str">
        <f>DFIE!B39</f>
        <v>Basel-Stadt</v>
      </c>
      <c r="C20" s="21">
        <f>RP!I20</f>
        <v>141.91758693289697</v>
      </c>
      <c r="D20" s="22">
        <f>SUM(EINZ!G20,-AUSZ!G20)</f>
        <v>137818139.92045563</v>
      </c>
      <c r="E20" s="23">
        <f>-SSE!G20</f>
        <v>701.5591597692777</v>
      </c>
    </row>
    <row r="21" spans="2:5" x14ac:dyDescent="0.2">
      <c r="B21" s="16" t="str">
        <f>DFIE!B40</f>
        <v>Basel-Landschaft</v>
      </c>
      <c r="C21" s="17">
        <f>RP!I21</f>
        <v>97.29165365674146</v>
      </c>
      <c r="D21" s="18">
        <f>SUM(EINZ!G21,-AUSZ!G21)</f>
        <v>-8569761.7635291889</v>
      </c>
      <c r="E21" s="19">
        <f>-SSE!G21</f>
        <v>-29.790545312595128</v>
      </c>
    </row>
    <row r="22" spans="2:5" x14ac:dyDescent="0.2">
      <c r="B22" s="20" t="str">
        <f>DFIE!B41</f>
        <v>Schaffhausen</v>
      </c>
      <c r="C22" s="21">
        <f>RP!I22</f>
        <v>95.286838466485662</v>
      </c>
      <c r="D22" s="22">
        <f>SUM(EINZ!G22,-AUSZ!G22)</f>
        <v>-6039091.3448965969</v>
      </c>
      <c r="E22" s="23">
        <f>-SSE!G22</f>
        <v>-73.756591194653026</v>
      </c>
    </row>
    <row r="23" spans="2:5" x14ac:dyDescent="0.2">
      <c r="B23" s="16" t="str">
        <f>DFIE!B42</f>
        <v>Appenzell A.Rh.</v>
      </c>
      <c r="C23" s="17">
        <f>RP!I23</f>
        <v>85.285842810137737</v>
      </c>
      <c r="D23" s="18">
        <f>SUM(EINZ!G23,-AUSZ!G23)</f>
        <v>-26224149.962028932</v>
      </c>
      <c r="E23" s="19">
        <f>-SSE!G23</f>
        <v>-475.17848014113451</v>
      </c>
    </row>
    <row r="24" spans="2:5" x14ac:dyDescent="0.2">
      <c r="B24" s="20" t="str">
        <f>DFIE!B43</f>
        <v>Appenzell I.Rh.</v>
      </c>
      <c r="C24" s="21">
        <f>RP!I24</f>
        <v>96.254910931273812</v>
      </c>
      <c r="D24" s="22">
        <f>SUM(EINZ!G24,-AUSZ!G24)</f>
        <v>-817433.01846656972</v>
      </c>
      <c r="E24" s="23">
        <f>-SSE!G24</f>
        <v>-50.630200068125845</v>
      </c>
    </row>
    <row r="25" spans="2:5" x14ac:dyDescent="0.2">
      <c r="B25" s="16" t="str">
        <f>DFIE!B44</f>
        <v>St. Gallen</v>
      </c>
      <c r="C25" s="17">
        <f>RP!I25</f>
        <v>82.956714153929894</v>
      </c>
      <c r="D25" s="18">
        <f>SUM(EINZ!G25,-AUSZ!G25)</f>
        <v>-306244704.82105088</v>
      </c>
      <c r="E25" s="19">
        <f>-SSE!G25</f>
        <v>-604.34664440428003</v>
      </c>
    </row>
    <row r="26" spans="2:5" x14ac:dyDescent="0.2">
      <c r="B26" s="20" t="str">
        <f>DFIE!B45</f>
        <v>Graubünden</v>
      </c>
      <c r="C26" s="21">
        <f>RP!I26</f>
        <v>82.879164001697987</v>
      </c>
      <c r="D26" s="22">
        <f>SUM(EINZ!G26,-AUSZ!G26)</f>
        <v>-124951141.84430136</v>
      </c>
      <c r="E26" s="23">
        <f>-SSE!G26</f>
        <v>-608.8529768438267</v>
      </c>
    </row>
    <row r="27" spans="2:5" x14ac:dyDescent="0.2">
      <c r="B27" s="16" t="str">
        <f>DFIE!B46</f>
        <v>Aargau</v>
      </c>
      <c r="C27" s="17">
        <f>RP!I27</f>
        <v>81.574284923209163</v>
      </c>
      <c r="D27" s="18">
        <f>SUM(EINZ!G27,-AUSZ!G27)</f>
        <v>-461433399.29510337</v>
      </c>
      <c r="E27" s="19">
        <f>-SSE!G27</f>
        <v>-686.61205773795507</v>
      </c>
    </row>
    <row r="28" spans="2:5" x14ac:dyDescent="0.2">
      <c r="B28" s="20" t="str">
        <f>DFIE!B47</f>
        <v>Thurgau</v>
      </c>
      <c r="C28" s="21">
        <f>RP!I28</f>
        <v>79.297923640756935</v>
      </c>
      <c r="D28" s="22">
        <f>SUM(EINZ!G28,-AUSZ!G28)</f>
        <v>-227643748.10164231</v>
      </c>
      <c r="E28" s="23">
        <f>-SSE!G28</f>
        <v>-830.79587954914382</v>
      </c>
    </row>
    <row r="29" spans="2:5" x14ac:dyDescent="0.2">
      <c r="B29" s="16" t="str">
        <f>DFIE!B48</f>
        <v>Tessin</v>
      </c>
      <c r="C29" s="17">
        <f>RP!I29</f>
        <v>95.987151214909005</v>
      </c>
      <c r="D29" s="18">
        <f>SUM(EINZ!G29,-AUSZ!G29)</f>
        <v>-20199719.989086922</v>
      </c>
      <c r="E29" s="19">
        <f>-SSE!G29</f>
        <v>-56.687230853305046</v>
      </c>
    </row>
    <row r="30" spans="2:5" x14ac:dyDescent="0.2">
      <c r="B30" s="20" t="str">
        <f>DFIE!B49</f>
        <v>Waadt</v>
      </c>
      <c r="C30" s="21">
        <f>RP!I30</f>
        <v>99.566730419486532</v>
      </c>
      <c r="D30" s="22">
        <f>SUM(EINZ!G30,-AUSZ!G30)</f>
        <v>-1183959.8720174397</v>
      </c>
      <c r="E30" s="23">
        <f>-SSE!G30</f>
        <v>-1.4846406859892398</v>
      </c>
    </row>
    <row r="31" spans="2:5" x14ac:dyDescent="0.2">
      <c r="B31" s="16" t="str">
        <f>DFIE!B50</f>
        <v>Wallis</v>
      </c>
      <c r="C31" s="17">
        <f>RP!I31</f>
        <v>64.670638880744875</v>
      </c>
      <c r="D31" s="18">
        <f>SUM(EINZ!G31,-AUSZ!G31)</f>
        <v>-701614905.93865311</v>
      </c>
      <c r="E31" s="19">
        <f>-SSE!G31</f>
        <v>-2016.8872561323974</v>
      </c>
    </row>
    <row r="32" spans="2:5" x14ac:dyDescent="0.2">
      <c r="B32" s="20" t="str">
        <f>DFIE!B51</f>
        <v>Neuenburg</v>
      </c>
      <c r="C32" s="21">
        <f>RP!I32</f>
        <v>80.113149078189807</v>
      </c>
      <c r="D32" s="22">
        <f>SUM(EINZ!G32,-AUSZ!G32)</f>
        <v>-139448716.98774767</v>
      </c>
      <c r="E32" s="23">
        <f>-SSE!G32</f>
        <v>-777.93488040918055</v>
      </c>
    </row>
    <row r="33" spans="2:5" x14ac:dyDescent="0.2">
      <c r="B33" s="16" t="str">
        <f>DFIE!B52</f>
        <v>Genf</v>
      </c>
      <c r="C33" s="17">
        <f>RP!I33</f>
        <v>136.58112668128109</v>
      </c>
      <c r="D33" s="18">
        <f>SUM(EINZ!G33,-AUSZ!G33)</f>
        <v>303716378.43499988</v>
      </c>
      <c r="E33" s="19">
        <f>-SSE!G33</f>
        <v>612.24479689197165</v>
      </c>
    </row>
    <row r="34" spans="2:5" x14ac:dyDescent="0.2">
      <c r="B34" s="20" t="str">
        <f>DFIE!B53</f>
        <v>Jura</v>
      </c>
      <c r="C34" s="21">
        <f>RP!I34</f>
        <v>65.598794735875998</v>
      </c>
      <c r="D34" s="22">
        <f>SUM(EINZ!G34,-AUSZ!G34)</f>
        <v>-141846140.3987892</v>
      </c>
      <c r="E34" s="23">
        <f>-SSE!G34</f>
        <v>-1931.1318505714255</v>
      </c>
    </row>
    <row r="35" spans="2:5" x14ac:dyDescent="0.2">
      <c r="B35" s="24" t="str">
        <f>DFIE!B54</f>
        <v>Schweiz</v>
      </c>
      <c r="C35" s="25">
        <f>RP!I35</f>
        <v>100</v>
      </c>
      <c r="D35" s="26">
        <f>SUM(D9:D34)</f>
        <v>-2409075807.8195233</v>
      </c>
      <c r="E35" s="27"/>
    </row>
    <row r="36" spans="2:5" ht="92.25" customHeight="1" x14ac:dyDescent="0.2">
      <c r="B36" s="343" t="str">
        <f>DFIE!B78</f>
        <v>Die Berechnung des Ressourcenausgleichs wird im technischen Bericht detailliert beschrieben:
www.efv.admin.ch → Themen  → Finanzausgleich  → Dokumentation</v>
      </c>
      <c r="C36" s="343"/>
      <c r="D36" s="343"/>
      <c r="E36" s="343"/>
    </row>
    <row r="37" spans="2:5" ht="21.75" customHeight="1" x14ac:dyDescent="0.2"/>
  </sheetData>
  <mergeCells count="6">
    <mergeCell ref="B36:E36"/>
    <mergeCell ref="A2:F2"/>
    <mergeCell ref="D7:E7"/>
    <mergeCell ref="B7:B8"/>
    <mergeCell ref="C7:C8"/>
    <mergeCell ref="A3:F3"/>
  </mergeCells>
  <conditionalFormatting sqref="D9:D34">
    <cfRule type="expression" dxfId="73" priority="2">
      <formula>$F$23="Nicht optimiert!"</formula>
    </cfRule>
  </conditionalFormatting>
  <conditionalFormatting sqref="B9:C34 E9:E34">
    <cfRule type="expression" dxfId="72" priority="35">
      <formula>SIGN(#REF!-100)&lt;&gt;SIGN($G9-100)</formula>
    </cfRule>
  </conditionalFormatting>
  <pageMargins left="0.78740157480314965" right="0.78740157480314965" top="0.98425196850393704" bottom="0.78740157480314965" header="0.51181102362204722" footer="0.51181102362204722"/>
  <pageSetup paperSize="9" scale="95" orientation="portrait" r:id="rId1"/>
  <headerFooter scaleWithDoc="0" alignWithMargins="0">
    <oddHeader>&amp;L&amp;F&amp;R&amp;A</oddHeader>
    <oddFooter>&amp;C&amp;P / &amp;N</oddFooter>
  </headerFooter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showGridLines="0" zoomScaleNormal="100" workbookViewId="0">
      <pane ySplit="8" topLeftCell="A9" activePane="bottomLeft" state="frozen"/>
      <selection activeCell="A75" sqref="A75"/>
      <selection pane="bottomLeft" activeCell="A75" sqref="A75"/>
    </sheetView>
  </sheetViews>
  <sheetFormatPr baseColWidth="10" defaultRowHeight="12.75" x14ac:dyDescent="0.2"/>
  <cols>
    <col min="1" max="1" width="4.42578125" customWidth="1"/>
    <col min="2" max="2" width="17.140625" customWidth="1"/>
    <col min="3" max="5" width="23.7109375" customWidth="1"/>
    <col min="6" max="6" width="1.42578125" customWidth="1"/>
    <col min="7" max="7" width="4" customWidth="1"/>
    <col min="8" max="8" width="13.140625" customWidth="1"/>
    <col min="9" max="9" width="10" customWidth="1"/>
  </cols>
  <sheetData>
    <row r="1" spans="1:9" ht="18" customHeight="1" x14ac:dyDescent="0.25">
      <c r="B1" s="6" t="str">
        <f>DFIE!B79</f>
        <v>Einkommen natürlicher Personen 2022</v>
      </c>
    </row>
    <row r="2" spans="1:9" ht="12.75" customHeight="1" x14ac:dyDescent="0.2"/>
    <row r="3" spans="1:9" ht="0.75" customHeight="1" x14ac:dyDescent="0.2"/>
    <row r="4" spans="1:9" ht="12" customHeight="1" x14ac:dyDescent="0.2">
      <c r="B4" s="34" t="str">
        <f>DFIE!B55</f>
        <v>Spalte</v>
      </c>
      <c r="C4" s="35" t="s">
        <v>30</v>
      </c>
      <c r="D4" s="35" t="s">
        <v>31</v>
      </c>
      <c r="E4" s="36" t="s">
        <v>32</v>
      </c>
      <c r="H4" s="36" t="s">
        <v>33</v>
      </c>
      <c r="I4" s="36" t="s">
        <v>34</v>
      </c>
    </row>
    <row r="5" spans="1:9" ht="12" customHeight="1" x14ac:dyDescent="0.2">
      <c r="B5" s="34" t="str">
        <f>DFIE!B56</f>
        <v>Formel</v>
      </c>
      <c r="C5" s="37"/>
      <c r="D5" s="38"/>
      <c r="E5" s="39" t="s">
        <v>104</v>
      </c>
    </row>
    <row r="6" spans="1:9" ht="28.5" customHeight="1" x14ac:dyDescent="0.2">
      <c r="B6" s="64"/>
      <c r="C6" s="360" t="str">
        <f>DFIE!B80</f>
        <v>Steuerpflichtige mit steuerbarem Einkommen
grösser oder gleich dem Freibetrag</v>
      </c>
      <c r="D6" s="360"/>
      <c r="E6" s="356" t="str">
        <f>DFIE!B83</f>
        <v>Massgebendes
Einkommen der
natürlichen
Personen</v>
      </c>
      <c r="H6" s="352" t="str">
        <f>DFIE!B84</f>
        <v>Freibetrag pro
steuerpflichtige Person</v>
      </c>
      <c r="I6" s="353"/>
    </row>
    <row r="7" spans="1:9" ht="30.75" customHeight="1" x14ac:dyDescent="0.2">
      <c r="A7" s="52"/>
      <c r="B7" s="65"/>
      <c r="C7" s="63" t="str">
        <f>DFIE!B81</f>
        <v>Steuerpflichtige</v>
      </c>
      <c r="D7" s="63" t="str">
        <f>DFIE!B82</f>
        <v>Steuerbares Einkommen
der Steuerpflichtigen</v>
      </c>
      <c r="E7" s="356"/>
      <c r="F7" s="52"/>
      <c r="H7" s="354"/>
      <c r="I7" s="355"/>
    </row>
    <row r="8" spans="1:9" ht="12.75" customHeight="1" x14ac:dyDescent="0.2">
      <c r="B8" s="34" t="str">
        <f>DFIE!B58</f>
        <v>Einheit</v>
      </c>
      <c r="C8" s="40" t="str">
        <f>DFIE!B61</f>
        <v>Anzahl</v>
      </c>
      <c r="D8" s="40" t="str">
        <f>DFIE!$B$60</f>
        <v>CHF 1'000</v>
      </c>
      <c r="E8" s="42" t="str">
        <f>DFIE!$B$60</f>
        <v>CHF 1'000</v>
      </c>
      <c r="H8" s="44" t="str">
        <f>DFIE!B85</f>
        <v>Bemessungsjahr</v>
      </c>
      <c r="I8" s="45" t="str">
        <f>DFIE!$B$59</f>
        <v>CHF</v>
      </c>
    </row>
    <row r="9" spans="1:9" ht="12.75" customHeight="1" x14ac:dyDescent="0.2">
      <c r="A9" s="357" t="str">
        <f>DFIE!B69</f>
        <v>Bemessungsjahr 2016</v>
      </c>
      <c r="B9" s="46" t="str">
        <f>DFIE!B28</f>
        <v>Zürich</v>
      </c>
      <c r="C9" s="61">
        <v>634528</v>
      </c>
      <c r="D9" s="61">
        <v>58704274</v>
      </c>
      <c r="E9" s="18">
        <f t="shared" ref="E9:E34" si="0">D9-($I$9/1000*C9)</f>
        <v>39160811.599999994</v>
      </c>
      <c r="F9" s="54"/>
      <c r="H9" s="51">
        <f>DFIE!$G$2-6</f>
        <v>2016</v>
      </c>
      <c r="I9" s="53">
        <v>30800</v>
      </c>
    </row>
    <row r="10" spans="1:9" x14ac:dyDescent="0.2">
      <c r="A10" s="357"/>
      <c r="B10" s="47" t="str">
        <f>DFIE!B29</f>
        <v>Bern</v>
      </c>
      <c r="C10" s="43">
        <v>427963</v>
      </c>
      <c r="D10" s="43">
        <v>31136725.100000001</v>
      </c>
      <c r="E10" s="22">
        <f t="shared" si="0"/>
        <v>17955464.700000003</v>
      </c>
      <c r="F10" s="54"/>
    </row>
    <row r="11" spans="1:9" ht="12.75" customHeight="1" x14ac:dyDescent="0.2">
      <c r="A11" s="357"/>
      <c r="B11" s="46" t="str">
        <f>DFIE!B30</f>
        <v>Luzern</v>
      </c>
      <c r="C11" s="61">
        <v>167479</v>
      </c>
      <c r="D11" s="61">
        <v>12750762.300000001</v>
      </c>
      <c r="E11" s="18">
        <f t="shared" si="0"/>
        <v>7592409.1000000006</v>
      </c>
      <c r="F11" s="54"/>
    </row>
    <row r="12" spans="1:9" x14ac:dyDescent="0.2">
      <c r="A12" s="357"/>
      <c r="B12" s="47" t="str">
        <f>DFIE!B31</f>
        <v>Uri</v>
      </c>
      <c r="C12" s="43">
        <v>14848</v>
      </c>
      <c r="D12" s="43">
        <v>1016913.4</v>
      </c>
      <c r="E12" s="22">
        <f t="shared" si="0"/>
        <v>559595</v>
      </c>
      <c r="F12" s="54"/>
    </row>
    <row r="13" spans="1:9" x14ac:dyDescent="0.2">
      <c r="A13" s="357"/>
      <c r="B13" s="46" t="str">
        <f>DFIE!B32</f>
        <v>Schwyz</v>
      </c>
      <c r="C13" s="61">
        <v>67896</v>
      </c>
      <c r="D13" s="61">
        <v>7901516.9000000004</v>
      </c>
      <c r="E13" s="18">
        <f t="shared" si="0"/>
        <v>5810320.1000000006</v>
      </c>
      <c r="F13" s="54"/>
    </row>
    <row r="14" spans="1:9" x14ac:dyDescent="0.2">
      <c r="A14" s="357"/>
      <c r="B14" s="47" t="str">
        <f>DFIE!B33</f>
        <v>Obwalden</v>
      </c>
      <c r="C14" s="43">
        <v>15606</v>
      </c>
      <c r="D14" s="43">
        <v>1277638.3999999999</v>
      </c>
      <c r="E14" s="22">
        <f t="shared" si="0"/>
        <v>796973.59999999986</v>
      </c>
      <c r="F14" s="54"/>
    </row>
    <row r="15" spans="1:9" x14ac:dyDescent="0.2">
      <c r="A15" s="357"/>
      <c r="B15" s="46" t="str">
        <f>DFIE!B34</f>
        <v>Nidwalden</v>
      </c>
      <c r="C15" s="61">
        <v>19120</v>
      </c>
      <c r="D15" s="61">
        <v>1841244.9</v>
      </c>
      <c r="E15" s="18">
        <f t="shared" si="0"/>
        <v>1252348.8999999999</v>
      </c>
      <c r="F15" s="54"/>
    </row>
    <row r="16" spans="1:9" x14ac:dyDescent="0.2">
      <c r="A16" s="357"/>
      <c r="B16" s="47" t="str">
        <f>DFIE!B35</f>
        <v>Glarus</v>
      </c>
      <c r="C16" s="43">
        <v>16069</v>
      </c>
      <c r="D16" s="43">
        <v>1115458.7</v>
      </c>
      <c r="E16" s="22">
        <f t="shared" si="0"/>
        <v>620533.5</v>
      </c>
      <c r="F16" s="54"/>
    </row>
    <row r="17" spans="1:6" x14ac:dyDescent="0.2">
      <c r="A17" s="357"/>
      <c r="B17" s="46" t="str">
        <f>DFIE!B36</f>
        <v>Zug</v>
      </c>
      <c r="C17" s="61">
        <v>54940</v>
      </c>
      <c r="D17" s="61">
        <v>6841081.9000000004</v>
      </c>
      <c r="E17" s="18">
        <f t="shared" si="0"/>
        <v>5148929.9000000004</v>
      </c>
      <c r="F17" s="54"/>
    </row>
    <row r="18" spans="1:6" x14ac:dyDescent="0.2">
      <c r="A18" s="357"/>
      <c r="B18" s="47" t="str">
        <f>DFIE!B37</f>
        <v>Freiburg</v>
      </c>
      <c r="C18" s="43">
        <v>120935</v>
      </c>
      <c r="D18" s="43">
        <v>9058126.3000000007</v>
      </c>
      <c r="E18" s="22">
        <f t="shared" si="0"/>
        <v>5333328.3000000007</v>
      </c>
      <c r="F18" s="54"/>
    </row>
    <row r="19" spans="1:6" x14ac:dyDescent="0.2">
      <c r="A19" s="357"/>
      <c r="B19" s="46" t="str">
        <f>DFIE!B38</f>
        <v>Solothurn</v>
      </c>
      <c r="C19" s="61">
        <v>116193</v>
      </c>
      <c r="D19" s="61">
        <v>8594057.3000000007</v>
      </c>
      <c r="E19" s="18">
        <f t="shared" si="0"/>
        <v>5015312.9000000004</v>
      </c>
      <c r="F19" s="54"/>
    </row>
    <row r="20" spans="1:6" x14ac:dyDescent="0.2">
      <c r="A20" s="357"/>
      <c r="B20" s="47" t="str">
        <f>DFIE!B39</f>
        <v>Basel-Stadt</v>
      </c>
      <c r="C20" s="43">
        <v>80389</v>
      </c>
      <c r="D20" s="43">
        <v>7577935</v>
      </c>
      <c r="E20" s="22">
        <f t="shared" si="0"/>
        <v>5101953.8</v>
      </c>
      <c r="F20" s="54"/>
    </row>
    <row r="21" spans="1:6" x14ac:dyDescent="0.2">
      <c r="A21" s="357"/>
      <c r="B21" s="46" t="str">
        <f>DFIE!B40</f>
        <v>Basel-Landschaft</v>
      </c>
      <c r="C21" s="61">
        <v>124479</v>
      </c>
      <c r="D21" s="61">
        <v>10924072.4</v>
      </c>
      <c r="E21" s="18">
        <f t="shared" si="0"/>
        <v>7090119.2000000002</v>
      </c>
      <c r="F21" s="54"/>
    </row>
    <row r="22" spans="1:6" x14ac:dyDescent="0.2">
      <c r="A22" s="357"/>
      <c r="B22" s="47" t="str">
        <f>DFIE!B41</f>
        <v>Schaffhausen</v>
      </c>
      <c r="C22" s="43">
        <v>33371</v>
      </c>
      <c r="D22" s="43">
        <v>2442000.2000000002</v>
      </c>
      <c r="E22" s="22">
        <f t="shared" si="0"/>
        <v>1414173.4000000001</v>
      </c>
      <c r="F22" s="54"/>
    </row>
    <row r="23" spans="1:6" x14ac:dyDescent="0.2">
      <c r="A23" s="357"/>
      <c r="B23" s="46" t="str">
        <f>DFIE!B42</f>
        <v>Appenzell A.Rh.</v>
      </c>
      <c r="C23" s="61">
        <v>22821</v>
      </c>
      <c r="D23" s="61">
        <v>1746927.7</v>
      </c>
      <c r="E23" s="18">
        <f t="shared" si="0"/>
        <v>1044040.8999999999</v>
      </c>
      <c r="F23" s="54"/>
    </row>
    <row r="24" spans="1:6" x14ac:dyDescent="0.2">
      <c r="A24" s="357"/>
      <c r="B24" s="47" t="str">
        <f>DFIE!B43</f>
        <v>Appenzell I.Rh.</v>
      </c>
      <c r="C24" s="43">
        <v>6538</v>
      </c>
      <c r="D24" s="43">
        <v>514750.6</v>
      </c>
      <c r="E24" s="22">
        <f t="shared" si="0"/>
        <v>313380.19999999995</v>
      </c>
      <c r="F24" s="54"/>
    </row>
    <row r="25" spans="1:6" x14ac:dyDescent="0.2">
      <c r="A25" s="357"/>
      <c r="B25" s="46" t="str">
        <f>DFIE!B44</f>
        <v>St. Gallen</v>
      </c>
      <c r="C25" s="61">
        <v>204255</v>
      </c>
      <c r="D25" s="61">
        <v>14776170.199999999</v>
      </c>
      <c r="E25" s="18">
        <f t="shared" si="0"/>
        <v>8485116.1999999993</v>
      </c>
      <c r="F25" s="54"/>
    </row>
    <row r="26" spans="1:6" x14ac:dyDescent="0.2">
      <c r="A26" s="357"/>
      <c r="B26" s="47" t="str">
        <f>DFIE!B45</f>
        <v>Graubünden</v>
      </c>
      <c r="C26" s="43">
        <v>80730</v>
      </c>
      <c r="D26" s="43">
        <v>6066891.7999999998</v>
      </c>
      <c r="E26" s="22">
        <f t="shared" si="0"/>
        <v>3580407.8</v>
      </c>
      <c r="F26" s="54"/>
    </row>
    <row r="27" spans="1:6" x14ac:dyDescent="0.2">
      <c r="A27" s="357"/>
      <c r="B27" s="46" t="str">
        <f>DFIE!B46</f>
        <v>Aargau</v>
      </c>
      <c r="C27" s="61">
        <v>285338</v>
      </c>
      <c r="D27" s="61">
        <v>22053762</v>
      </c>
      <c r="E27" s="18">
        <f t="shared" si="0"/>
        <v>13265351.6</v>
      </c>
      <c r="F27" s="54"/>
    </row>
    <row r="28" spans="1:6" x14ac:dyDescent="0.2">
      <c r="A28" s="357"/>
      <c r="B28" s="47" t="str">
        <f>DFIE!B47</f>
        <v>Thurgau</v>
      </c>
      <c r="C28" s="43">
        <v>112026</v>
      </c>
      <c r="D28" s="43">
        <v>8431365.0999999996</v>
      </c>
      <c r="E28" s="22">
        <f t="shared" si="0"/>
        <v>4980964.2999999989</v>
      </c>
      <c r="F28" s="54"/>
    </row>
    <row r="29" spans="1:6" x14ac:dyDescent="0.2">
      <c r="A29" s="357"/>
      <c r="B29" s="46" t="str">
        <f>DFIE!B48</f>
        <v>Tessin</v>
      </c>
      <c r="C29" s="61">
        <v>132728</v>
      </c>
      <c r="D29" s="61">
        <v>11050251</v>
      </c>
      <c r="E29" s="18">
        <f t="shared" si="0"/>
        <v>6962228.5999999996</v>
      </c>
      <c r="F29" s="54"/>
    </row>
    <row r="30" spans="1:6" x14ac:dyDescent="0.2">
      <c r="A30" s="357"/>
      <c r="B30" s="47" t="str">
        <f>DFIE!B49</f>
        <v>Waadt</v>
      </c>
      <c r="C30" s="43">
        <v>293581</v>
      </c>
      <c r="D30" s="43">
        <v>26819599.899999999</v>
      </c>
      <c r="E30" s="22">
        <f t="shared" si="0"/>
        <v>17777305.099999998</v>
      </c>
      <c r="F30" s="54"/>
    </row>
    <row r="31" spans="1:6" x14ac:dyDescent="0.2">
      <c r="A31" s="357"/>
      <c r="B31" s="46" t="str">
        <f>DFIE!B50</f>
        <v>Wallis</v>
      </c>
      <c r="C31" s="61">
        <v>132312</v>
      </c>
      <c r="D31" s="61">
        <v>9418996.4000000004</v>
      </c>
      <c r="E31" s="18">
        <f t="shared" si="0"/>
        <v>5343786.8000000007</v>
      </c>
      <c r="F31" s="54"/>
    </row>
    <row r="32" spans="1:6" x14ac:dyDescent="0.2">
      <c r="A32" s="357"/>
      <c r="B32" s="47" t="str">
        <f>DFIE!B51</f>
        <v>Neuenburg</v>
      </c>
      <c r="C32" s="43">
        <v>67282</v>
      </c>
      <c r="D32" s="43">
        <v>4999394.9000000004</v>
      </c>
      <c r="E32" s="22">
        <f t="shared" si="0"/>
        <v>2927109.3000000003</v>
      </c>
      <c r="F32" s="54"/>
    </row>
    <row r="33" spans="1:9" x14ac:dyDescent="0.2">
      <c r="A33" s="357"/>
      <c r="B33" s="46" t="str">
        <f>DFIE!B52</f>
        <v>Genf</v>
      </c>
      <c r="C33" s="61">
        <v>170361</v>
      </c>
      <c r="D33" s="61">
        <v>18405245.300000001</v>
      </c>
      <c r="E33" s="18">
        <f t="shared" si="0"/>
        <v>13158126.5</v>
      </c>
      <c r="F33" s="54"/>
    </row>
    <row r="34" spans="1:9" x14ac:dyDescent="0.2">
      <c r="A34" s="357"/>
      <c r="B34" s="47" t="str">
        <f>DFIE!B53</f>
        <v>Jura</v>
      </c>
      <c r="C34" s="43">
        <v>27940</v>
      </c>
      <c r="D34" s="43">
        <v>1861756.7</v>
      </c>
      <c r="E34" s="22">
        <f t="shared" si="0"/>
        <v>1001204.7</v>
      </c>
      <c r="F34" s="54"/>
    </row>
    <row r="35" spans="1:9" x14ac:dyDescent="0.2">
      <c r="A35" s="357"/>
      <c r="B35" s="24" t="str">
        <f>DFIE!B54</f>
        <v>Schweiz</v>
      </c>
      <c r="C35" s="31">
        <f>SUM(C9:C34)</f>
        <v>3429728</v>
      </c>
      <c r="D35" s="31">
        <f>SUM(D9:D34)</f>
        <v>287326918.39999998</v>
      </c>
      <c r="E35" s="26">
        <f>SUM(E9:E34)</f>
        <v>181691296.00000003</v>
      </c>
      <c r="F35" s="56"/>
      <c r="H35" s="52"/>
      <c r="I35" s="52"/>
    </row>
    <row r="36" spans="1:9" ht="15" customHeight="1" x14ac:dyDescent="0.25">
      <c r="A36" s="32"/>
      <c r="C36" s="55"/>
      <c r="D36" s="55"/>
      <c r="E36" s="55"/>
      <c r="H36" s="52"/>
      <c r="I36" s="52"/>
    </row>
    <row r="37" spans="1:9" ht="12.75" customHeight="1" x14ac:dyDescent="0.2">
      <c r="A37" s="358" t="str">
        <f>DFIE!B70</f>
        <v>Bemessungsjahr 2017</v>
      </c>
      <c r="B37" s="48" t="str">
        <f>DFIE!B28</f>
        <v>Zürich</v>
      </c>
      <c r="C37" s="49">
        <v>641370</v>
      </c>
      <c r="D37" s="49">
        <v>60394411.799999997</v>
      </c>
      <c r="E37" s="50">
        <f t="shared" ref="E37:E62" si="1">D37-($I$37/1000*C37)</f>
        <v>40640215.799999997</v>
      </c>
      <c r="F37" s="57"/>
      <c r="H37" s="51">
        <f>DFIE!$G$2-5</f>
        <v>2017</v>
      </c>
      <c r="I37" s="53">
        <v>30800</v>
      </c>
    </row>
    <row r="38" spans="1:9" x14ac:dyDescent="0.2">
      <c r="A38" s="358"/>
      <c r="B38" s="47" t="str">
        <f>DFIE!B29</f>
        <v>Bern</v>
      </c>
      <c r="C38" s="43">
        <v>431566</v>
      </c>
      <c r="D38" s="43">
        <v>31474065.899999999</v>
      </c>
      <c r="E38" s="22">
        <f t="shared" si="1"/>
        <v>18181833.099999998</v>
      </c>
      <c r="F38" s="57"/>
    </row>
    <row r="39" spans="1:9" x14ac:dyDescent="0.2">
      <c r="A39" s="358"/>
      <c r="B39" s="46" t="str">
        <f>DFIE!B30</f>
        <v>Luzern</v>
      </c>
      <c r="C39" s="61">
        <v>169614</v>
      </c>
      <c r="D39" s="61">
        <v>13227799.6</v>
      </c>
      <c r="E39" s="18">
        <f t="shared" si="1"/>
        <v>8003688.3999999994</v>
      </c>
      <c r="F39" s="57"/>
    </row>
    <row r="40" spans="1:9" x14ac:dyDescent="0.2">
      <c r="A40" s="358"/>
      <c r="B40" s="47" t="str">
        <f>DFIE!B31</f>
        <v>Uri</v>
      </c>
      <c r="C40" s="43">
        <v>14994</v>
      </c>
      <c r="D40" s="43">
        <v>1048979</v>
      </c>
      <c r="E40" s="22">
        <f t="shared" si="1"/>
        <v>587163.80000000005</v>
      </c>
      <c r="F40" s="57"/>
    </row>
    <row r="41" spans="1:9" x14ac:dyDescent="0.2">
      <c r="A41" s="358"/>
      <c r="B41" s="46" t="str">
        <f>DFIE!B32</f>
        <v>Schwyz</v>
      </c>
      <c r="C41" s="61">
        <v>68711</v>
      </c>
      <c r="D41" s="61">
        <v>8096538.0999999996</v>
      </c>
      <c r="E41" s="18">
        <f t="shared" si="1"/>
        <v>5980239.2999999989</v>
      </c>
      <c r="F41" s="57"/>
    </row>
    <row r="42" spans="1:9" x14ac:dyDescent="0.2">
      <c r="A42" s="358"/>
      <c r="B42" s="47" t="str">
        <f>DFIE!B33</f>
        <v>Obwalden</v>
      </c>
      <c r="C42" s="43">
        <v>15797</v>
      </c>
      <c r="D42" s="43">
        <v>1363571.6</v>
      </c>
      <c r="E42" s="22">
        <f t="shared" si="1"/>
        <v>877024</v>
      </c>
      <c r="F42" s="57"/>
    </row>
    <row r="43" spans="1:9" x14ac:dyDescent="0.2">
      <c r="A43" s="358"/>
      <c r="B43" s="46" t="str">
        <f>DFIE!B34</f>
        <v>Nidwalden</v>
      </c>
      <c r="C43" s="61">
        <v>19365</v>
      </c>
      <c r="D43" s="61">
        <v>1911439.6</v>
      </c>
      <c r="E43" s="18">
        <f t="shared" si="1"/>
        <v>1314997.6000000001</v>
      </c>
      <c r="F43" s="57"/>
    </row>
    <row r="44" spans="1:9" x14ac:dyDescent="0.2">
      <c r="A44" s="358"/>
      <c r="B44" s="47" t="str">
        <f>DFIE!B35</f>
        <v>Glarus</v>
      </c>
      <c r="C44" s="43">
        <v>16217</v>
      </c>
      <c r="D44" s="43">
        <v>1130056.8999999999</v>
      </c>
      <c r="E44" s="22">
        <f t="shared" si="1"/>
        <v>630573.29999999981</v>
      </c>
      <c r="F44" s="57"/>
    </row>
    <row r="45" spans="1:9" x14ac:dyDescent="0.2">
      <c r="A45" s="358"/>
      <c r="B45" s="46" t="str">
        <f>DFIE!B36</f>
        <v>Zug</v>
      </c>
      <c r="C45" s="61">
        <v>55951</v>
      </c>
      <c r="D45" s="61">
        <v>7151470.2000000002</v>
      </c>
      <c r="E45" s="18">
        <f t="shared" si="1"/>
        <v>5428179.4000000004</v>
      </c>
      <c r="F45" s="57"/>
    </row>
    <row r="46" spans="1:9" x14ac:dyDescent="0.2">
      <c r="A46" s="358"/>
      <c r="B46" s="47" t="str">
        <f>DFIE!B37</f>
        <v>Freiburg</v>
      </c>
      <c r="C46" s="43">
        <v>123821</v>
      </c>
      <c r="D46" s="43">
        <v>9280860</v>
      </c>
      <c r="E46" s="22">
        <f t="shared" si="1"/>
        <v>5467173.1999999993</v>
      </c>
      <c r="F46" s="57"/>
    </row>
    <row r="47" spans="1:9" x14ac:dyDescent="0.2">
      <c r="A47" s="358"/>
      <c r="B47" s="46" t="str">
        <f>DFIE!B38</f>
        <v>Solothurn</v>
      </c>
      <c r="C47" s="61">
        <v>117253</v>
      </c>
      <c r="D47" s="61">
        <v>8783933.9000000004</v>
      </c>
      <c r="E47" s="18">
        <f t="shared" si="1"/>
        <v>5172541.5</v>
      </c>
      <c r="F47" s="57"/>
    </row>
    <row r="48" spans="1:9" x14ac:dyDescent="0.2">
      <c r="A48" s="358"/>
      <c r="B48" s="47" t="str">
        <f>DFIE!B39</f>
        <v>Basel-Stadt</v>
      </c>
      <c r="C48" s="43">
        <v>80521</v>
      </c>
      <c r="D48" s="43">
        <v>7708015.4000000004</v>
      </c>
      <c r="E48" s="22">
        <f t="shared" si="1"/>
        <v>5227968.5999999996</v>
      </c>
      <c r="F48" s="57"/>
    </row>
    <row r="49" spans="1:9" x14ac:dyDescent="0.2">
      <c r="A49" s="358"/>
      <c r="B49" s="46" t="str">
        <f>DFIE!B40</f>
        <v>Basel-Landschaft</v>
      </c>
      <c r="C49" s="61">
        <v>124912</v>
      </c>
      <c r="D49" s="61">
        <v>11360850.699999999</v>
      </c>
      <c r="E49" s="18">
        <f t="shared" si="1"/>
        <v>7513561.0999999996</v>
      </c>
      <c r="F49" s="57"/>
    </row>
    <row r="50" spans="1:9" x14ac:dyDescent="0.2">
      <c r="A50" s="358"/>
      <c r="B50" s="47" t="str">
        <f>DFIE!B41</f>
        <v>Schaffhausen</v>
      </c>
      <c r="C50" s="43">
        <v>33686</v>
      </c>
      <c r="D50" s="43">
        <v>2497668.5</v>
      </c>
      <c r="E50" s="22">
        <f t="shared" si="1"/>
        <v>1460139.7</v>
      </c>
      <c r="F50" s="57"/>
    </row>
    <row r="51" spans="1:9" x14ac:dyDescent="0.2">
      <c r="A51" s="358"/>
      <c r="B51" s="46" t="str">
        <f>DFIE!B42</f>
        <v>Appenzell A.Rh.</v>
      </c>
      <c r="C51" s="61">
        <v>23198</v>
      </c>
      <c r="D51" s="61">
        <v>1779152.4</v>
      </c>
      <c r="E51" s="18">
        <f t="shared" si="1"/>
        <v>1064654</v>
      </c>
      <c r="F51" s="57"/>
    </row>
    <row r="52" spans="1:9" x14ac:dyDescent="0.2">
      <c r="A52" s="358"/>
      <c r="B52" s="47" t="str">
        <f>DFIE!B43</f>
        <v>Appenzell I.Rh.</v>
      </c>
      <c r="C52" s="43">
        <v>6635</v>
      </c>
      <c r="D52" s="43">
        <v>552156.5</v>
      </c>
      <c r="E52" s="22">
        <f t="shared" si="1"/>
        <v>347798.5</v>
      </c>
      <c r="F52" s="57"/>
    </row>
    <row r="53" spans="1:9" x14ac:dyDescent="0.2">
      <c r="A53" s="358"/>
      <c r="B53" s="46" t="str">
        <f>DFIE!B44</f>
        <v>St. Gallen</v>
      </c>
      <c r="C53" s="61">
        <v>206349</v>
      </c>
      <c r="D53" s="61">
        <v>14974606.4</v>
      </c>
      <c r="E53" s="18">
        <f t="shared" si="1"/>
        <v>8619057.1999999993</v>
      </c>
      <c r="F53" s="57"/>
    </row>
    <row r="54" spans="1:9" x14ac:dyDescent="0.2">
      <c r="A54" s="358"/>
      <c r="B54" s="47" t="str">
        <f>DFIE!B45</f>
        <v>Graubünden</v>
      </c>
      <c r="C54" s="43">
        <v>81438</v>
      </c>
      <c r="D54" s="43">
        <v>6156545.5</v>
      </c>
      <c r="E54" s="22">
        <f t="shared" si="1"/>
        <v>3648255.1</v>
      </c>
      <c r="F54" s="57"/>
    </row>
    <row r="55" spans="1:9" x14ac:dyDescent="0.2">
      <c r="A55" s="358"/>
      <c r="B55" s="46" t="str">
        <f>DFIE!B46</f>
        <v>Aargau</v>
      </c>
      <c r="C55" s="61">
        <v>289217</v>
      </c>
      <c r="D55" s="61">
        <v>22437628.699999999</v>
      </c>
      <c r="E55" s="18">
        <f t="shared" si="1"/>
        <v>13529745.1</v>
      </c>
      <c r="F55" s="57"/>
    </row>
    <row r="56" spans="1:9" x14ac:dyDescent="0.2">
      <c r="A56" s="358"/>
      <c r="B56" s="47" t="str">
        <f>DFIE!B47</f>
        <v>Thurgau</v>
      </c>
      <c r="C56" s="43">
        <v>113949</v>
      </c>
      <c r="D56" s="43">
        <v>8660092.8000000007</v>
      </c>
      <c r="E56" s="22">
        <f t="shared" si="1"/>
        <v>5150463.6000000006</v>
      </c>
      <c r="F56" s="57"/>
    </row>
    <row r="57" spans="1:9" x14ac:dyDescent="0.2">
      <c r="A57" s="358"/>
      <c r="B57" s="46" t="str">
        <f>DFIE!B48</f>
        <v>Tessin</v>
      </c>
      <c r="C57" s="61">
        <v>133784</v>
      </c>
      <c r="D57" s="61">
        <v>11213483.5</v>
      </c>
      <c r="E57" s="18">
        <f t="shared" si="1"/>
        <v>7092936.2999999998</v>
      </c>
      <c r="F57" s="57"/>
    </row>
    <row r="58" spans="1:9" x14ac:dyDescent="0.2">
      <c r="A58" s="358"/>
      <c r="B58" s="47" t="str">
        <f>DFIE!B49</f>
        <v>Waadt</v>
      </c>
      <c r="C58" s="43">
        <v>298584</v>
      </c>
      <c r="D58" s="43">
        <v>27535609.199999999</v>
      </c>
      <c r="E58" s="22">
        <f t="shared" si="1"/>
        <v>18339222</v>
      </c>
      <c r="F58" s="57"/>
    </row>
    <row r="59" spans="1:9" x14ac:dyDescent="0.2">
      <c r="A59" s="358"/>
      <c r="B59" s="46" t="str">
        <f>DFIE!B50</f>
        <v>Wallis</v>
      </c>
      <c r="C59" s="61">
        <v>134298</v>
      </c>
      <c r="D59" s="61">
        <v>9560796.0999999996</v>
      </c>
      <c r="E59" s="18">
        <f t="shared" si="1"/>
        <v>5424417.6999999993</v>
      </c>
      <c r="F59" s="57"/>
    </row>
    <row r="60" spans="1:9" x14ac:dyDescent="0.2">
      <c r="A60" s="358"/>
      <c r="B60" s="47" t="str">
        <f>DFIE!B51</f>
        <v>Neuenburg</v>
      </c>
      <c r="C60" s="43">
        <v>67485</v>
      </c>
      <c r="D60" s="43">
        <v>5054985.9000000004</v>
      </c>
      <c r="E60" s="22">
        <f t="shared" si="1"/>
        <v>2976447.9000000004</v>
      </c>
      <c r="F60" s="57"/>
    </row>
    <row r="61" spans="1:9" x14ac:dyDescent="0.2">
      <c r="A61" s="358"/>
      <c r="B61" s="46" t="str">
        <f>DFIE!B52</f>
        <v>Genf</v>
      </c>
      <c r="C61" s="61">
        <v>172247</v>
      </c>
      <c r="D61" s="61">
        <v>18467447.699999999</v>
      </c>
      <c r="E61" s="18">
        <f t="shared" si="1"/>
        <v>13162240.099999998</v>
      </c>
      <c r="F61" s="57"/>
    </row>
    <row r="62" spans="1:9" x14ac:dyDescent="0.2">
      <c r="A62" s="358"/>
      <c r="B62" s="47" t="str">
        <f>DFIE!B53</f>
        <v>Jura</v>
      </c>
      <c r="C62" s="43">
        <v>28178</v>
      </c>
      <c r="D62" s="43">
        <v>1882932.8</v>
      </c>
      <c r="E62" s="22">
        <f t="shared" si="1"/>
        <v>1015050.4</v>
      </c>
      <c r="F62" s="57"/>
    </row>
    <row r="63" spans="1:9" x14ac:dyDescent="0.2">
      <c r="A63" s="358"/>
      <c r="B63" s="24" t="str">
        <f>DFIE!B54</f>
        <v>Schweiz</v>
      </c>
      <c r="C63" s="31">
        <f>SUM(C37:C62)</f>
        <v>3469140</v>
      </c>
      <c r="D63" s="31">
        <f>SUM(D37:D62)</f>
        <v>293705098.69999999</v>
      </c>
      <c r="E63" s="26">
        <f>SUM(E37:E62)</f>
        <v>186855586.69999999</v>
      </c>
      <c r="F63" s="58"/>
      <c r="H63" s="52"/>
      <c r="I63" s="52"/>
    </row>
    <row r="64" spans="1:9" ht="14.25" customHeight="1" x14ac:dyDescent="0.2">
      <c r="A64" s="33"/>
    </row>
    <row r="65" spans="1:9" x14ac:dyDescent="0.2">
      <c r="A65" s="359" t="str">
        <f>DFIE!B71</f>
        <v>Bemessungsjahr 2018</v>
      </c>
      <c r="B65" s="48" t="str">
        <f>DFIE!B28</f>
        <v>Zürich</v>
      </c>
      <c r="C65" s="49">
        <v>652109</v>
      </c>
      <c r="D65" s="49">
        <v>61856882.200000003</v>
      </c>
      <c r="E65" s="50">
        <f t="shared" ref="E65:E90" si="2">D65-($I$65/1000*C65)</f>
        <v>41771925</v>
      </c>
      <c r="F65" s="59"/>
      <c r="H65" s="51">
        <f>DFIE!$G$2-4</f>
        <v>2018</v>
      </c>
      <c r="I65" s="53">
        <v>30800</v>
      </c>
    </row>
    <row r="66" spans="1:9" x14ac:dyDescent="0.2">
      <c r="A66" s="359"/>
      <c r="B66" s="47" t="str">
        <f>DFIE!B29</f>
        <v>Bern</v>
      </c>
      <c r="C66" s="43">
        <v>436689</v>
      </c>
      <c r="D66" s="43">
        <v>32154773.899999999</v>
      </c>
      <c r="E66" s="22">
        <f t="shared" si="2"/>
        <v>18704752.699999996</v>
      </c>
      <c r="F66" s="59"/>
    </row>
    <row r="67" spans="1:9" x14ac:dyDescent="0.2">
      <c r="A67" s="359"/>
      <c r="B67" s="46" t="str">
        <f>DFIE!B30</f>
        <v>Luzern</v>
      </c>
      <c r="C67" s="61">
        <v>172179</v>
      </c>
      <c r="D67" s="61">
        <v>13524785.199999999</v>
      </c>
      <c r="E67" s="18">
        <f t="shared" si="2"/>
        <v>8221671.9999999991</v>
      </c>
      <c r="F67" s="59"/>
    </row>
    <row r="68" spans="1:9" x14ac:dyDescent="0.2">
      <c r="A68" s="359"/>
      <c r="B68" s="47" t="str">
        <f>DFIE!B31</f>
        <v>Uri</v>
      </c>
      <c r="C68" s="43">
        <v>15072</v>
      </c>
      <c r="D68" s="43">
        <v>1061367.8999999999</v>
      </c>
      <c r="E68" s="22">
        <f t="shared" si="2"/>
        <v>597150.29999999981</v>
      </c>
      <c r="F68" s="59"/>
    </row>
    <row r="69" spans="1:9" x14ac:dyDescent="0.2">
      <c r="A69" s="359"/>
      <c r="B69" s="46" t="str">
        <f>DFIE!B32</f>
        <v>Schwyz</v>
      </c>
      <c r="C69" s="61">
        <v>69916</v>
      </c>
      <c r="D69" s="61">
        <v>8389954.8000000007</v>
      </c>
      <c r="E69" s="18">
        <f t="shared" si="2"/>
        <v>6236542</v>
      </c>
      <c r="F69" s="59"/>
    </row>
    <row r="70" spans="1:9" x14ac:dyDescent="0.2">
      <c r="A70" s="359"/>
      <c r="B70" s="47" t="str">
        <f>DFIE!B33</f>
        <v>Obwalden</v>
      </c>
      <c r="C70" s="43">
        <v>16000</v>
      </c>
      <c r="D70" s="43">
        <v>1352313.9</v>
      </c>
      <c r="E70" s="22">
        <f t="shared" si="2"/>
        <v>859513.89999999991</v>
      </c>
      <c r="F70" s="59"/>
    </row>
    <row r="71" spans="1:9" x14ac:dyDescent="0.2">
      <c r="A71" s="359"/>
      <c r="B71" s="46" t="str">
        <f>DFIE!B34</f>
        <v>Nidwalden</v>
      </c>
      <c r="C71" s="61">
        <v>19560</v>
      </c>
      <c r="D71" s="61">
        <v>1887445.1</v>
      </c>
      <c r="E71" s="18">
        <f t="shared" si="2"/>
        <v>1284997.1000000001</v>
      </c>
      <c r="F71" s="59"/>
    </row>
    <row r="72" spans="1:9" x14ac:dyDescent="0.2">
      <c r="A72" s="359"/>
      <c r="B72" s="47" t="str">
        <f>DFIE!B35</f>
        <v>Glarus</v>
      </c>
      <c r="C72" s="43">
        <v>16452</v>
      </c>
      <c r="D72" s="43">
        <v>1158182.2</v>
      </c>
      <c r="E72" s="22">
        <f t="shared" si="2"/>
        <v>651460.59999999986</v>
      </c>
      <c r="F72" s="59"/>
    </row>
    <row r="73" spans="1:9" x14ac:dyDescent="0.2">
      <c r="A73" s="359"/>
      <c r="B73" s="46" t="str">
        <f>DFIE!B36</f>
        <v>Zug</v>
      </c>
      <c r="C73" s="61">
        <v>56791</v>
      </c>
      <c r="D73" s="61">
        <v>7627271.0999999996</v>
      </c>
      <c r="E73" s="18">
        <f t="shared" si="2"/>
        <v>5878108.2999999998</v>
      </c>
      <c r="F73" s="59"/>
    </row>
    <row r="74" spans="1:9" x14ac:dyDescent="0.2">
      <c r="A74" s="359"/>
      <c r="B74" s="47" t="str">
        <f>DFIE!B37</f>
        <v>Freiburg</v>
      </c>
      <c r="C74" s="43">
        <v>126673</v>
      </c>
      <c r="D74" s="43">
        <v>9547975.3000000007</v>
      </c>
      <c r="E74" s="22">
        <f t="shared" si="2"/>
        <v>5646446.9000000004</v>
      </c>
      <c r="F74" s="59"/>
    </row>
    <row r="75" spans="1:9" x14ac:dyDescent="0.2">
      <c r="A75" s="359"/>
      <c r="B75" s="46" t="str">
        <f>DFIE!B38</f>
        <v>Solothurn</v>
      </c>
      <c r="C75" s="61">
        <v>118511</v>
      </c>
      <c r="D75" s="61">
        <v>8871587.9000000004</v>
      </c>
      <c r="E75" s="18">
        <f t="shared" si="2"/>
        <v>5221449.0999999996</v>
      </c>
      <c r="F75" s="59"/>
    </row>
    <row r="76" spans="1:9" x14ac:dyDescent="0.2">
      <c r="A76" s="359"/>
      <c r="B76" s="47" t="str">
        <f>DFIE!B39</f>
        <v>Basel-Stadt</v>
      </c>
      <c r="C76" s="43">
        <v>80982</v>
      </c>
      <c r="D76" s="43">
        <v>7825278.2000000002</v>
      </c>
      <c r="E76" s="22">
        <f t="shared" si="2"/>
        <v>5331032.5999999996</v>
      </c>
      <c r="F76" s="59"/>
    </row>
    <row r="77" spans="1:9" x14ac:dyDescent="0.2">
      <c r="A77" s="359"/>
      <c r="B77" s="46" t="str">
        <f>DFIE!B40</f>
        <v>Basel-Landschaft</v>
      </c>
      <c r="C77" s="61">
        <v>125853</v>
      </c>
      <c r="D77" s="61">
        <v>11202889</v>
      </c>
      <c r="E77" s="18">
        <f t="shared" si="2"/>
        <v>7326616.5999999996</v>
      </c>
      <c r="F77" s="59"/>
    </row>
    <row r="78" spans="1:9" x14ac:dyDescent="0.2">
      <c r="A78" s="359"/>
      <c r="B78" s="47" t="str">
        <f>DFIE!B41</f>
        <v>Schaffhausen</v>
      </c>
      <c r="C78" s="43">
        <v>34357</v>
      </c>
      <c r="D78" s="43">
        <v>2555731.6</v>
      </c>
      <c r="E78" s="22">
        <f t="shared" si="2"/>
        <v>1497536</v>
      </c>
      <c r="F78" s="59"/>
    </row>
    <row r="79" spans="1:9" x14ac:dyDescent="0.2">
      <c r="A79" s="359"/>
      <c r="B79" s="46" t="str">
        <f>DFIE!B42</f>
        <v>Appenzell A.Rh.</v>
      </c>
      <c r="C79" s="61">
        <v>23482</v>
      </c>
      <c r="D79" s="61">
        <v>1811083.9</v>
      </c>
      <c r="E79" s="18">
        <f t="shared" si="2"/>
        <v>1087838.2999999998</v>
      </c>
      <c r="F79" s="59"/>
    </row>
    <row r="80" spans="1:9" x14ac:dyDescent="0.2">
      <c r="A80" s="359"/>
      <c r="B80" s="47" t="str">
        <f>DFIE!B43</f>
        <v>Appenzell I.Rh.</v>
      </c>
      <c r="C80" s="43">
        <v>6748</v>
      </c>
      <c r="D80" s="43">
        <v>553096.1</v>
      </c>
      <c r="E80" s="22">
        <f t="shared" si="2"/>
        <v>345257.69999999995</v>
      </c>
      <c r="F80" s="59"/>
    </row>
    <row r="81" spans="1:9" x14ac:dyDescent="0.2">
      <c r="A81" s="359"/>
      <c r="B81" s="46" t="str">
        <f>DFIE!B44</f>
        <v>St. Gallen</v>
      </c>
      <c r="C81" s="61">
        <v>209239</v>
      </c>
      <c r="D81" s="61">
        <v>15363562.9</v>
      </c>
      <c r="E81" s="18">
        <f t="shared" si="2"/>
        <v>8919001.6999999993</v>
      </c>
      <c r="F81" s="59"/>
    </row>
    <row r="82" spans="1:9" x14ac:dyDescent="0.2">
      <c r="A82" s="359"/>
      <c r="B82" s="47" t="str">
        <f>DFIE!B45</f>
        <v>Graubünden</v>
      </c>
      <c r="C82" s="43">
        <v>82185</v>
      </c>
      <c r="D82" s="43">
        <v>6261263.4000000004</v>
      </c>
      <c r="E82" s="22">
        <f t="shared" si="2"/>
        <v>3729965.4000000004</v>
      </c>
      <c r="F82" s="59"/>
    </row>
    <row r="83" spans="1:9" x14ac:dyDescent="0.2">
      <c r="A83" s="359"/>
      <c r="B83" s="46" t="str">
        <f>DFIE!B46</f>
        <v>Aargau</v>
      </c>
      <c r="C83" s="61">
        <v>294057</v>
      </c>
      <c r="D83" s="61">
        <v>23107969.399999999</v>
      </c>
      <c r="E83" s="18">
        <f t="shared" si="2"/>
        <v>14051013.799999999</v>
      </c>
      <c r="F83" s="59"/>
    </row>
    <row r="84" spans="1:9" x14ac:dyDescent="0.2">
      <c r="A84" s="359"/>
      <c r="B84" s="47" t="str">
        <f>DFIE!B47</f>
        <v>Thurgau</v>
      </c>
      <c r="C84" s="43">
        <v>115686</v>
      </c>
      <c r="D84" s="43">
        <v>8879085.5</v>
      </c>
      <c r="E84" s="22">
        <f t="shared" si="2"/>
        <v>5315956.6999999993</v>
      </c>
      <c r="F84" s="59"/>
    </row>
    <row r="85" spans="1:9" x14ac:dyDescent="0.2">
      <c r="A85" s="359"/>
      <c r="B85" s="46" t="str">
        <f>DFIE!B48</f>
        <v>Tessin</v>
      </c>
      <c r="C85" s="61">
        <v>134812</v>
      </c>
      <c r="D85" s="61">
        <v>11370181.800000001</v>
      </c>
      <c r="E85" s="18">
        <f t="shared" si="2"/>
        <v>7217972.2000000011</v>
      </c>
      <c r="F85" s="59"/>
    </row>
    <row r="86" spans="1:9" x14ac:dyDescent="0.2">
      <c r="A86" s="359"/>
      <c r="B86" s="47" t="str">
        <f>DFIE!B49</f>
        <v>Waadt</v>
      </c>
      <c r="C86" s="43">
        <v>304164</v>
      </c>
      <c r="D86" s="43">
        <v>28040761.100000001</v>
      </c>
      <c r="E86" s="22">
        <f t="shared" si="2"/>
        <v>18672509.899999999</v>
      </c>
      <c r="F86" s="59"/>
    </row>
    <row r="87" spans="1:9" x14ac:dyDescent="0.2">
      <c r="A87" s="359"/>
      <c r="B87" s="46" t="str">
        <f>DFIE!B50</f>
        <v>Wallis</v>
      </c>
      <c r="C87" s="61">
        <v>136981</v>
      </c>
      <c r="D87" s="61">
        <v>9839560.5</v>
      </c>
      <c r="E87" s="18">
        <f t="shared" si="2"/>
        <v>5620545.7000000002</v>
      </c>
      <c r="F87" s="59"/>
    </row>
    <row r="88" spans="1:9" x14ac:dyDescent="0.2">
      <c r="A88" s="359"/>
      <c r="B88" s="47" t="str">
        <f>DFIE!B51</f>
        <v>Neuenburg</v>
      </c>
      <c r="C88" s="43">
        <v>68259</v>
      </c>
      <c r="D88" s="43">
        <v>5112309.9000000004</v>
      </c>
      <c r="E88" s="22">
        <f t="shared" si="2"/>
        <v>3009932.7</v>
      </c>
      <c r="F88" s="59"/>
    </row>
    <row r="89" spans="1:9" x14ac:dyDescent="0.2">
      <c r="A89" s="359"/>
      <c r="B89" s="46" t="str">
        <f>DFIE!B52</f>
        <v>Genf</v>
      </c>
      <c r="C89" s="61">
        <v>175668</v>
      </c>
      <c r="D89" s="61">
        <v>18770225.399999999</v>
      </c>
      <c r="E89" s="18">
        <f t="shared" si="2"/>
        <v>13359650.999999998</v>
      </c>
      <c r="F89" s="59"/>
    </row>
    <row r="90" spans="1:9" x14ac:dyDescent="0.2">
      <c r="A90" s="359"/>
      <c r="B90" s="47" t="str">
        <f>DFIE!B53</f>
        <v>Jura</v>
      </c>
      <c r="C90" s="43">
        <v>28742</v>
      </c>
      <c r="D90" s="43">
        <v>1948391.1</v>
      </c>
      <c r="E90" s="22">
        <f t="shared" si="2"/>
        <v>1063137.5</v>
      </c>
      <c r="F90" s="59"/>
    </row>
    <row r="91" spans="1:9" x14ac:dyDescent="0.2">
      <c r="A91" s="359"/>
      <c r="B91" s="24" t="str">
        <f>DFIE!B54</f>
        <v>Schweiz</v>
      </c>
      <c r="C91" s="31">
        <f>SUM(C65:C90)</f>
        <v>3521167</v>
      </c>
      <c r="D91" s="31">
        <f>SUM(D65:D90)</f>
        <v>300073929.29999995</v>
      </c>
      <c r="E91" s="26">
        <f>SUM(E65:E90)</f>
        <v>191621985.69999993</v>
      </c>
      <c r="F91" s="60"/>
      <c r="H91" s="52"/>
      <c r="I91" s="52"/>
    </row>
    <row r="93" spans="1:9" x14ac:dyDescent="0.2">
      <c r="H93" s="41"/>
      <c r="I93" s="41"/>
    </row>
  </sheetData>
  <mergeCells count="6">
    <mergeCell ref="H6:I7"/>
    <mergeCell ref="E6:E7"/>
    <mergeCell ref="A9:A35"/>
    <mergeCell ref="A37:A63"/>
    <mergeCell ref="A65:A91"/>
    <mergeCell ref="C6:D6"/>
  </mergeCells>
  <conditionalFormatting sqref="C9:D34 C37:D62 C65:D90 I9">
    <cfRule type="expression" dxfId="71" priority="10" stopIfTrue="1">
      <formula>ISBLANK(C9)</formula>
    </cfRule>
  </conditionalFormatting>
  <conditionalFormatting sqref="I37">
    <cfRule type="expression" dxfId="70" priority="2" stopIfTrue="1">
      <formula>ISBLANK(I37)</formula>
    </cfRule>
  </conditionalFormatting>
  <conditionalFormatting sqref="I65">
    <cfRule type="expression" dxfId="69" priority="1" stopIfTrue="1">
      <formula>ISBLANK(I65)</formula>
    </cfRule>
  </conditionalFormatting>
  <pageMargins left="0.78740157480314965" right="0.78740157480314965" top="0.98425196850393704" bottom="0.78740157480314965" header="0.51181102362204722" footer="0.51181102362204722"/>
  <pageSetup paperSize="9" scale="95" fitToHeight="3" orientation="landscape" r:id="rId1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1"/>
  <sheetViews>
    <sheetView showGridLines="0" zoomScaleNormal="100" zoomScaleSheetLayoutView="70" workbookViewId="0">
      <pane xSplit="2" ySplit="8" topLeftCell="C9" activePane="bottomRight" state="frozen"/>
      <selection activeCell="A75" sqref="A75"/>
      <selection pane="topRight" activeCell="A75" sqref="A75"/>
      <selection pane="bottomLeft" activeCell="A75" sqref="A75"/>
      <selection pane="bottomRight" activeCell="A100" sqref="A100"/>
    </sheetView>
  </sheetViews>
  <sheetFormatPr baseColWidth="10" defaultRowHeight="12.75" x14ac:dyDescent="0.2"/>
  <cols>
    <col min="1" max="1" width="4.42578125" customWidth="1"/>
    <col min="2" max="2" width="17.140625" customWidth="1"/>
    <col min="3" max="10" width="17.7109375" customWidth="1"/>
    <col min="11" max="11" width="1.42578125" customWidth="1"/>
    <col min="12" max="12" width="11.140625" customWidth="1"/>
    <col min="13" max="13" width="34.7109375" customWidth="1"/>
    <col min="14" max="14" width="16.5703125" customWidth="1"/>
    <col min="15" max="15" width="1.42578125" customWidth="1"/>
    <col min="16" max="16" width="17.140625" customWidth="1"/>
    <col min="17" max="27" width="18.7109375" customWidth="1"/>
    <col min="28" max="28" width="4.42578125" customWidth="1"/>
  </cols>
  <sheetData>
    <row r="1" spans="1:28" ht="18" customHeight="1" x14ac:dyDescent="0.25">
      <c r="B1" s="6" t="str">
        <f>DFIE!B86</f>
        <v>Quellenbesteuerte Einkommen natürlicher Personen 2022</v>
      </c>
      <c r="P1" s="6" t="str">
        <f>B1</f>
        <v>Quellenbesteuerte Einkommen natürlicher Personen 2022</v>
      </c>
    </row>
    <row r="2" spans="1:28" ht="12.75" customHeight="1" x14ac:dyDescent="0.2">
      <c r="A2" s="41"/>
    </row>
    <row r="3" spans="1:28" ht="12.75" customHeight="1" x14ac:dyDescent="0.2">
      <c r="C3" s="363" t="str">
        <f>DFIE!B87</f>
        <v>Bruttoeinkommen</v>
      </c>
      <c r="D3" s="364"/>
      <c r="E3" s="364"/>
      <c r="F3" s="364"/>
      <c r="G3" s="364"/>
      <c r="H3" s="364"/>
      <c r="I3" s="364"/>
      <c r="J3" s="365"/>
      <c r="Q3" s="363" t="str">
        <f>DFIE!B118</f>
        <v>Massgebende quellenbesteuerte Einkommen</v>
      </c>
      <c r="R3" s="366"/>
      <c r="S3" s="366"/>
      <c r="T3" s="366"/>
      <c r="U3" s="366"/>
      <c r="V3" s="366"/>
      <c r="W3" s="366"/>
      <c r="X3" s="366"/>
      <c r="Y3" s="366"/>
      <c r="Z3" s="366"/>
      <c r="AA3" s="367"/>
    </row>
    <row r="4" spans="1:28" ht="12" customHeight="1" x14ac:dyDescent="0.2">
      <c r="A4" s="13"/>
      <c r="B4" s="104" t="str">
        <f>DFIE!$B$55</f>
        <v>Spalte</v>
      </c>
      <c r="C4" s="74" t="s">
        <v>30</v>
      </c>
      <c r="D4" s="74" t="s">
        <v>31</v>
      </c>
      <c r="E4" s="74" t="s">
        <v>32</v>
      </c>
      <c r="F4" s="74" t="s">
        <v>43</v>
      </c>
      <c r="G4" s="74" t="s">
        <v>42</v>
      </c>
      <c r="H4" s="74" t="s">
        <v>33</v>
      </c>
      <c r="I4" s="74" t="s">
        <v>93</v>
      </c>
      <c r="J4" s="75" t="s">
        <v>35</v>
      </c>
      <c r="K4" s="14"/>
      <c r="L4" s="52"/>
      <c r="M4" s="52"/>
      <c r="N4" s="52"/>
      <c r="O4" s="14"/>
      <c r="P4" s="104" t="str">
        <f>DFIE!$B$55</f>
        <v>Spalte</v>
      </c>
      <c r="Q4" s="74" t="s">
        <v>72</v>
      </c>
      <c r="R4" s="74" t="s">
        <v>52</v>
      </c>
      <c r="S4" s="74" t="s">
        <v>51</v>
      </c>
      <c r="T4" s="74" t="s">
        <v>50</v>
      </c>
      <c r="U4" s="74" t="s">
        <v>61</v>
      </c>
      <c r="V4" s="74" t="s">
        <v>73</v>
      </c>
      <c r="W4" s="74" t="s">
        <v>74</v>
      </c>
      <c r="X4" s="74" t="s">
        <v>75</v>
      </c>
      <c r="Y4" s="74" t="s">
        <v>62</v>
      </c>
      <c r="Z4" s="75" t="s">
        <v>114</v>
      </c>
      <c r="AA4" s="75" t="s">
        <v>263</v>
      </c>
      <c r="AB4" s="13"/>
    </row>
    <row r="5" spans="1:28" ht="12" customHeight="1" x14ac:dyDescent="0.2">
      <c r="A5" s="52"/>
      <c r="B5" s="104" t="str">
        <f>DFIE!$B$56</f>
        <v>Formel</v>
      </c>
      <c r="C5" s="105"/>
      <c r="D5" s="105"/>
      <c r="E5" s="105"/>
      <c r="F5" s="105"/>
      <c r="G5" s="105"/>
      <c r="H5" s="105"/>
      <c r="I5" s="105"/>
      <c r="J5" s="68"/>
      <c r="K5" s="14"/>
      <c r="O5" s="14"/>
      <c r="P5" s="104" t="str">
        <f>DFIE!$B$56</f>
        <v>Formel</v>
      </c>
      <c r="Q5" s="71" t="s">
        <v>107</v>
      </c>
      <c r="R5" s="71" t="s">
        <v>108</v>
      </c>
      <c r="S5" s="71" t="s">
        <v>109</v>
      </c>
      <c r="T5" s="71" t="s">
        <v>110</v>
      </c>
      <c r="U5" s="71" t="s">
        <v>111</v>
      </c>
      <c r="V5" s="71" t="s">
        <v>112</v>
      </c>
      <c r="W5" s="71" t="s">
        <v>113</v>
      </c>
      <c r="X5" s="71" t="s">
        <v>115</v>
      </c>
      <c r="Y5" s="71" t="s">
        <v>116</v>
      </c>
      <c r="Z5" s="73"/>
      <c r="AA5" s="72" t="str">
        <f>DFIE!$B$119</f>
        <v>(Q + Y) oder Z</v>
      </c>
      <c r="AB5" s="52"/>
    </row>
    <row r="6" spans="1:28" ht="12" customHeight="1" x14ac:dyDescent="0.2">
      <c r="A6" s="13"/>
      <c r="B6" s="104" t="str">
        <f>DFIE!$B$57</f>
        <v>Kategorie</v>
      </c>
      <c r="C6" s="76">
        <v>0</v>
      </c>
      <c r="D6" s="76">
        <v>1</v>
      </c>
      <c r="E6" s="76" t="s">
        <v>56</v>
      </c>
      <c r="F6" s="76" t="s">
        <v>57</v>
      </c>
      <c r="G6" s="76" t="s">
        <v>58</v>
      </c>
      <c r="H6" s="76" t="s">
        <v>59</v>
      </c>
      <c r="I6" s="76" t="s">
        <v>60</v>
      </c>
      <c r="J6" s="77"/>
      <c r="K6" s="14"/>
      <c r="L6" s="52"/>
      <c r="M6" s="52"/>
      <c r="N6" s="52"/>
      <c r="O6" s="14"/>
      <c r="P6" s="104" t="str">
        <f>DFIE!$B$57</f>
        <v>Kategorie</v>
      </c>
      <c r="Q6" s="71">
        <v>0</v>
      </c>
      <c r="R6" s="71">
        <v>1</v>
      </c>
      <c r="S6" s="71" t="s">
        <v>56</v>
      </c>
      <c r="T6" s="71" t="s">
        <v>57</v>
      </c>
      <c r="U6" s="71" t="s">
        <v>58</v>
      </c>
      <c r="V6" s="71" t="s">
        <v>59</v>
      </c>
      <c r="W6" s="71" t="s">
        <v>60</v>
      </c>
      <c r="X6" s="71"/>
      <c r="Y6" s="71"/>
      <c r="Z6" s="368" t="str">
        <f>DFIE!B116</f>
        <v>Ergebnis auf
der Basis
geschätzter
Daten</v>
      </c>
      <c r="AA6" s="361" t="str">
        <f>DFIE!B117</f>
        <v>Massgebende
quellenbesteuerte
Einkommen</v>
      </c>
      <c r="AB6" s="13"/>
    </row>
    <row r="7" spans="1:28" ht="81" customHeight="1" x14ac:dyDescent="0.2">
      <c r="A7" s="52"/>
      <c r="B7" s="80"/>
      <c r="C7" s="69" t="str">
        <f>DFIE!B88</f>
        <v>Gebietsansässige
Ausländer und
ausländische
Verwaltungsräte</v>
      </c>
      <c r="D7" s="69" t="str">
        <f>DFIE!B89</f>
        <v>Vollständig
besteuerte
Grenzgänger</v>
      </c>
      <c r="E7" s="69" t="str">
        <f>DFIE!B90</f>
        <v>Begrenzt
besteuerte
Grenzgänger
aus Österreich</v>
      </c>
      <c r="F7" s="69" t="str">
        <f>DFIE!B91</f>
        <v>Begrenzt
besteuerte
Grenzgänger
aus Deutschland</v>
      </c>
      <c r="G7" s="69" t="str">
        <f>DFIE!B92</f>
        <v>Begrenzt
besteuerte
Grenzgänger aus
Frankreich mit
Besteuerung durch
den Kanton Genf</v>
      </c>
      <c r="H7" s="69" t="str">
        <f>DFIE!B93</f>
        <v>Begrenzt
besteuerte
Grenzgänger aus
Frankreich mit
Besteuerung durch
Frankreich</v>
      </c>
      <c r="I7" s="69" t="str">
        <f>DFIE!B94</f>
        <v>Begrenzt
besteuerte
Grenzgänger
aus Italien</v>
      </c>
      <c r="J7" s="79" t="str">
        <f>DFIE!B64</f>
        <v>Total</v>
      </c>
      <c r="K7" s="14"/>
      <c r="L7" s="52"/>
      <c r="M7" s="52"/>
      <c r="N7" s="52"/>
      <c r="O7" s="14"/>
      <c r="P7" s="80"/>
      <c r="Q7" s="70" t="str">
        <f>DFIE!B88</f>
        <v>Gebietsansässige
Ausländer und
ausländische
Verwaltungsräte</v>
      </c>
      <c r="R7" s="70" t="str">
        <f>DFIE!B89</f>
        <v>Vollständig
besteuerte
Grenzgänger</v>
      </c>
      <c r="S7" s="70" t="str">
        <f>DFIE!B90</f>
        <v>Begrenzt
besteuerte
Grenzgänger
aus Österreich</v>
      </c>
      <c r="T7" s="70" t="str">
        <f>DFIE!B91</f>
        <v>Begrenzt
besteuerte
Grenzgänger
aus Deutschland</v>
      </c>
      <c r="U7" s="70" t="str">
        <f>DFIE!B92</f>
        <v>Begrenzt
besteuerte
Grenzgänger aus
Frankreich mit
Besteuerung durch
den Kanton Genf</v>
      </c>
      <c r="V7" s="70" t="str">
        <f>DFIE!B93</f>
        <v>Begrenzt
besteuerte
Grenzgänger aus
Frankreich mit
Besteuerung durch
Frankreich</v>
      </c>
      <c r="W7" s="70" t="str">
        <f>DFIE!B94</f>
        <v>Begrenzt
besteuerte
Grenzgänger
aus Italien</v>
      </c>
      <c r="X7" s="70" t="str">
        <f>DFIE!B114</f>
        <v>Grenzgänger
Total</v>
      </c>
      <c r="Y7" s="70" t="str">
        <f>DFIE!B115</f>
        <v>Ergebnis auf
der Basis der
Bruttolöhne
(Grenzgänger)</v>
      </c>
      <c r="Z7" s="369"/>
      <c r="AA7" s="362"/>
      <c r="AB7" s="52"/>
    </row>
    <row r="8" spans="1:28" ht="12.75" customHeight="1" x14ac:dyDescent="0.2">
      <c r="A8" s="14"/>
      <c r="B8" s="78" t="str">
        <f>DFIE!$B$58</f>
        <v>Einheit</v>
      </c>
      <c r="C8" s="40" t="str">
        <f>DFIE!$B$59</f>
        <v>CHF</v>
      </c>
      <c r="D8" s="40" t="str">
        <f>DFIE!$B$59</f>
        <v>CHF</v>
      </c>
      <c r="E8" s="40" t="str">
        <f>DFIE!$B$59</f>
        <v>CHF</v>
      </c>
      <c r="F8" s="40" t="str">
        <f>DFIE!$B$59</f>
        <v>CHF</v>
      </c>
      <c r="G8" s="40" t="str">
        <f>DFIE!$B$59</f>
        <v>CHF</v>
      </c>
      <c r="H8" s="40" t="str">
        <f>DFIE!$B$59</f>
        <v>CHF</v>
      </c>
      <c r="I8" s="40" t="str">
        <f>DFIE!$B$59</f>
        <v>CHF</v>
      </c>
      <c r="J8" s="42" t="str">
        <f>DFIE!$B$59</f>
        <v>CHF</v>
      </c>
      <c r="P8" s="78" t="str">
        <f>DFIE!$B$58</f>
        <v>Einheit</v>
      </c>
      <c r="Q8" s="40" t="str">
        <f>DFIE!$B$60</f>
        <v>CHF 1'000</v>
      </c>
      <c r="R8" s="40" t="str">
        <f>DFIE!$B$60</f>
        <v>CHF 1'000</v>
      </c>
      <c r="S8" s="40" t="str">
        <f>DFIE!$B$60</f>
        <v>CHF 1'000</v>
      </c>
      <c r="T8" s="40" t="str">
        <f>DFIE!$B$60</f>
        <v>CHF 1'000</v>
      </c>
      <c r="U8" s="40" t="str">
        <f>DFIE!$B$60</f>
        <v>CHF 1'000</v>
      </c>
      <c r="V8" s="40" t="str">
        <f>DFIE!$B$60</f>
        <v>CHF 1'000</v>
      </c>
      <c r="W8" s="40" t="str">
        <f>DFIE!$B$60</f>
        <v>CHF 1'000</v>
      </c>
      <c r="X8" s="40" t="str">
        <f>DFIE!$B$60</f>
        <v>CHF 1'000</v>
      </c>
      <c r="Y8" s="40" t="str">
        <f>DFIE!$B$60</f>
        <v>CHF 1'000</v>
      </c>
      <c r="Z8" s="42" t="s">
        <v>37</v>
      </c>
      <c r="AA8" s="42" t="str">
        <f>DFIE!$B$60</f>
        <v>CHF 1'000</v>
      </c>
      <c r="AB8" s="14"/>
    </row>
    <row r="9" spans="1:28" x14ac:dyDescent="0.2">
      <c r="A9" s="357" t="str">
        <f>DFIE!$B$69</f>
        <v>Bemessungsjahr 2016</v>
      </c>
      <c r="B9" s="46" t="str">
        <f>DFIE!$B28</f>
        <v>Zürich</v>
      </c>
      <c r="C9" s="61">
        <v>5995343401</v>
      </c>
      <c r="D9" s="61">
        <v>60105393</v>
      </c>
      <c r="E9" s="61">
        <v>0</v>
      </c>
      <c r="F9" s="61">
        <v>613457544</v>
      </c>
      <c r="G9" s="61">
        <v>0</v>
      </c>
      <c r="H9" s="61">
        <v>0</v>
      </c>
      <c r="I9" s="61">
        <v>0</v>
      </c>
      <c r="J9" s="18">
        <f t="shared" ref="J9:J35" si="0">SUM(C9:I9)</f>
        <v>6668906338</v>
      </c>
      <c r="K9" s="97"/>
      <c r="L9" s="97"/>
      <c r="M9" s="97"/>
      <c r="N9" s="97"/>
      <c r="O9" s="97"/>
      <c r="P9" s="46" t="str">
        <f>DFIE!$B28</f>
        <v>Zürich</v>
      </c>
      <c r="Q9" s="86">
        <f>IF(DFIE!$G$2=2008,"",C9*N$16/1000)</f>
        <v>2230267.745172</v>
      </c>
      <c r="R9" s="86">
        <f>IF(DFIE!$G$2=2008,"",D9*N$17/1000)</f>
        <v>22359.206195999999</v>
      </c>
      <c r="S9" s="86">
        <f>IF(DFIE!$G$2=2008,"",E9*N$18/1000)</f>
        <v>0</v>
      </c>
      <c r="T9" s="86">
        <f>IF(DFIE!$G$2=2008,"",F9*N$19/1000)</f>
        <v>105768.54206896551</v>
      </c>
      <c r="U9" s="86">
        <f>IF(DFIE!$G$2=2008,"",G9*N$20/1000)</f>
        <v>0</v>
      </c>
      <c r="V9" s="86">
        <f>IF(DFIE!$G$2=2008,"",H9*N$21/1000)</f>
        <v>0</v>
      </c>
      <c r="W9" s="86">
        <f>IF(DFIE!$G$2=2008,"",I9*N$22/1000)</f>
        <v>0</v>
      </c>
      <c r="X9" s="86">
        <f>IF(DFIE!$G$2=2008,"",SUM(R9:W9))</f>
        <v>128127.74826496551</v>
      </c>
      <c r="Y9" s="86">
        <f>IF(DFIE!$G$2=2008,"",X9*$N$11)</f>
        <v>96095.811198724143</v>
      </c>
      <c r="Z9" s="91">
        <v>0</v>
      </c>
      <c r="AA9" s="18">
        <f>IF(DFIE!$G$2=2008,0,IF(Z9=0,Y9+Q9,Z9))</f>
        <v>2326363.556370724</v>
      </c>
      <c r="AB9" s="357" t="str">
        <f>DFIE!$B$69</f>
        <v>Bemessungsjahr 2016</v>
      </c>
    </row>
    <row r="10" spans="1:28" x14ac:dyDescent="0.2">
      <c r="A10" s="357"/>
      <c r="B10" s="47" t="str">
        <f>DFIE!$B29</f>
        <v>Bern</v>
      </c>
      <c r="C10" s="43">
        <v>1416598346</v>
      </c>
      <c r="D10" s="43">
        <v>178393473</v>
      </c>
      <c r="E10" s="43">
        <v>320553</v>
      </c>
      <c r="F10" s="43">
        <v>21335427</v>
      </c>
      <c r="G10" s="43">
        <v>0</v>
      </c>
      <c r="H10" s="43">
        <v>153084795</v>
      </c>
      <c r="I10" s="43">
        <v>0</v>
      </c>
      <c r="J10" s="22">
        <f t="shared" si="0"/>
        <v>1769732594</v>
      </c>
      <c r="K10" s="97"/>
      <c r="L10" s="83" t="str">
        <f>DFIE!$B$95</f>
        <v>Standardisierter Steuersatz SST(2019)</v>
      </c>
      <c r="M10" s="82"/>
      <c r="N10" s="94">
        <v>0.26100000000000001</v>
      </c>
      <c r="O10" s="97"/>
      <c r="P10" s="47" t="str">
        <f>DFIE!$B29</f>
        <v>Bern</v>
      </c>
      <c r="Q10" s="95">
        <f>IF(DFIE!$G$2=2008,"",C10*N$16/1000)</f>
        <v>526974.58471199998</v>
      </c>
      <c r="R10" s="95">
        <f>IF(DFIE!$G$2=2008,"",D10*N$17/1000)</f>
        <v>66362.371956000003</v>
      </c>
      <c r="S10" s="95">
        <f>IF(DFIE!$G$2=2008,"",E10*N$18/1000)</f>
        <v>104.3400015</v>
      </c>
      <c r="T10" s="95">
        <f>IF(DFIE!$G$2=2008,"",F10*N$19/1000)</f>
        <v>3678.5218965517238</v>
      </c>
      <c r="U10" s="95">
        <f>IF(DFIE!$G$2=2008,"",G10*N$20/1000)</f>
        <v>0</v>
      </c>
      <c r="V10" s="95">
        <f>IF(DFIE!$G$2=2008,"",H10*N$21/1000)</f>
        <v>26393.930172413791</v>
      </c>
      <c r="W10" s="95">
        <f>IF(DFIE!$G$2=2008,"",I10*N$22/1000)</f>
        <v>0</v>
      </c>
      <c r="X10" s="95">
        <f>IF(DFIE!$G$2=2008,"",SUM(R10:W10))</f>
        <v>96539.164026465514</v>
      </c>
      <c r="Y10" s="95">
        <f>IF(DFIE!$G$2=2008,"",X10*$N$11)</f>
        <v>72404.373019849139</v>
      </c>
      <c r="Z10" s="92">
        <v>0</v>
      </c>
      <c r="AA10" s="22">
        <f>IF(DFIE!$G$2=2008,0,IF(Z10=0,Y10+Q10,Z10))</f>
        <v>599378.95773184916</v>
      </c>
      <c r="AB10" s="357"/>
    </row>
    <row r="11" spans="1:28" x14ac:dyDescent="0.2">
      <c r="A11" s="357"/>
      <c r="B11" s="46" t="str">
        <f>DFIE!$B30</f>
        <v>Luzern</v>
      </c>
      <c r="C11" s="61">
        <v>731143683</v>
      </c>
      <c r="D11" s="61">
        <v>80776314</v>
      </c>
      <c r="E11" s="61">
        <v>1250439</v>
      </c>
      <c r="F11" s="61">
        <v>10361796</v>
      </c>
      <c r="G11" s="61">
        <v>0</v>
      </c>
      <c r="H11" s="61">
        <v>0</v>
      </c>
      <c r="I11" s="61">
        <v>0</v>
      </c>
      <c r="J11" s="18">
        <f t="shared" si="0"/>
        <v>823532232</v>
      </c>
      <c r="K11" s="98"/>
      <c r="L11" s="83" t="str">
        <f>DFIE!$B$98</f>
        <v>Faktor Delta</v>
      </c>
      <c r="M11" s="83"/>
      <c r="N11" s="94">
        <v>0.75</v>
      </c>
      <c r="O11" s="98"/>
      <c r="P11" s="46" t="str">
        <f>DFIE!$B30</f>
        <v>Luzern</v>
      </c>
      <c r="Q11" s="86">
        <f>IF(DFIE!$G$2=2008,"",C11*N$16/1000)</f>
        <v>271985.45007599995</v>
      </c>
      <c r="R11" s="86">
        <f>IF(DFIE!$G$2=2008,"",D11*N$17/1000)</f>
        <v>30048.788807999998</v>
      </c>
      <c r="S11" s="86">
        <f>IF(DFIE!$G$2=2008,"",E11*N$18/1000)</f>
        <v>407.01789450000001</v>
      </c>
      <c r="T11" s="86">
        <f>IF(DFIE!$G$2=2008,"",F11*N$19/1000)</f>
        <v>1786.5165517241378</v>
      </c>
      <c r="U11" s="86">
        <f>IF(DFIE!$G$2=2008,"",G11*N$20/1000)</f>
        <v>0</v>
      </c>
      <c r="V11" s="86">
        <f>IF(DFIE!$G$2=2008,"",H11*N$21/1000)</f>
        <v>0</v>
      </c>
      <c r="W11" s="86">
        <f>IF(DFIE!$G$2=2008,"",I11*N$22/1000)</f>
        <v>0</v>
      </c>
      <c r="X11" s="86">
        <f>IF(DFIE!$G$2=2008,"",SUM(R11:W11))</f>
        <v>32242.323254224135</v>
      </c>
      <c r="Y11" s="86">
        <f>IF(DFIE!$G$2=2008,"",X11*$N$11)</f>
        <v>24181.742440668102</v>
      </c>
      <c r="Z11" s="93">
        <v>0</v>
      </c>
      <c r="AA11" s="18">
        <f>IF(DFIE!$G$2=2008,0,IF(Z11=0,Y11+Q11,Z11))</f>
        <v>296167.19251666806</v>
      </c>
      <c r="AB11" s="357"/>
    </row>
    <row r="12" spans="1:28" x14ac:dyDescent="0.2">
      <c r="A12" s="357"/>
      <c r="B12" s="47" t="str">
        <f>DFIE!$B31</f>
        <v>Uri</v>
      </c>
      <c r="C12" s="43">
        <v>78767160</v>
      </c>
      <c r="D12" s="43">
        <v>1105931</v>
      </c>
      <c r="E12" s="43">
        <v>0</v>
      </c>
      <c r="F12" s="43">
        <v>83080</v>
      </c>
      <c r="G12" s="43">
        <v>0</v>
      </c>
      <c r="H12" s="43">
        <v>0</v>
      </c>
      <c r="I12" s="43">
        <v>0</v>
      </c>
      <c r="J12" s="22">
        <f t="shared" si="0"/>
        <v>79956171</v>
      </c>
      <c r="K12" s="54"/>
      <c r="L12" s="54"/>
      <c r="M12" s="54"/>
      <c r="N12" s="99"/>
      <c r="O12" s="54"/>
      <c r="P12" s="47" t="str">
        <f>DFIE!$B31</f>
        <v>Uri</v>
      </c>
      <c r="Q12" s="95">
        <f>IF(DFIE!$G$2=2008,"",C12*N$16/1000)</f>
        <v>29301.383519999999</v>
      </c>
      <c r="R12" s="95">
        <f>IF(DFIE!$G$2=2008,"",D12*N$17/1000)</f>
        <v>411.40633200000002</v>
      </c>
      <c r="S12" s="95">
        <f>IF(DFIE!$G$2=2008,"",E12*N$18/1000)</f>
        <v>0</v>
      </c>
      <c r="T12" s="95">
        <f>IF(DFIE!$G$2=2008,"",F12*N$19/1000)</f>
        <v>14.324137931034482</v>
      </c>
      <c r="U12" s="95">
        <f>IF(DFIE!$G$2=2008,"",G12*N$20/1000)</f>
        <v>0</v>
      </c>
      <c r="V12" s="95">
        <f>IF(DFIE!$G$2=2008,"",H12*N$21/1000)</f>
        <v>0</v>
      </c>
      <c r="W12" s="95">
        <f>IF(DFIE!$G$2=2008,"",I12*N$22/1000)</f>
        <v>0</v>
      </c>
      <c r="X12" s="95">
        <f>IF(DFIE!$G$2=2008,"",SUM(R12:W12))</f>
        <v>425.73046993103452</v>
      </c>
      <c r="Y12" s="95">
        <f>IF(DFIE!$G$2=2008,"",X12*$N$11)</f>
        <v>319.29785244827588</v>
      </c>
      <c r="Z12" s="92">
        <v>0</v>
      </c>
      <c r="AA12" s="22">
        <f>IF(DFIE!$G$2=2008,0,IF(Z12=0,Y12+Q12,Z12))</f>
        <v>29620.681372448274</v>
      </c>
      <c r="AB12" s="357"/>
    </row>
    <row r="13" spans="1:28" x14ac:dyDescent="0.2">
      <c r="A13" s="357"/>
      <c r="B13" s="46" t="str">
        <f>DFIE!$B32</f>
        <v>Schwyz</v>
      </c>
      <c r="C13" s="61">
        <v>374020562.44</v>
      </c>
      <c r="D13" s="61">
        <v>74300388.150000006</v>
      </c>
      <c r="E13" s="61">
        <v>3096988.7</v>
      </c>
      <c r="F13" s="61">
        <v>443832.57</v>
      </c>
      <c r="G13" s="61">
        <v>0</v>
      </c>
      <c r="H13" s="61">
        <v>0</v>
      </c>
      <c r="I13" s="61">
        <v>0</v>
      </c>
      <c r="J13" s="18">
        <f t="shared" si="0"/>
        <v>451861771.86000001</v>
      </c>
      <c r="K13" s="98"/>
      <c r="L13" s="82" t="str">
        <f>DFIE!$B$99</f>
        <v>Gamma 2016</v>
      </c>
      <c r="M13" s="82"/>
      <c r="N13" s="94">
        <v>0.372</v>
      </c>
      <c r="O13" s="98"/>
      <c r="P13" s="46" t="str">
        <f>DFIE!$B32</f>
        <v>Schwyz</v>
      </c>
      <c r="Q13" s="86">
        <f>IF(DFIE!$G$2=2008,"",C13*N$16/1000)</f>
        <v>139135.64922768</v>
      </c>
      <c r="R13" s="86">
        <f>IF(DFIE!$G$2=2008,"",D13*N$17/1000)</f>
        <v>27639.744391800003</v>
      </c>
      <c r="S13" s="86">
        <f>IF(DFIE!$G$2=2008,"",E13*N$18/1000)</f>
        <v>1008.06982185</v>
      </c>
      <c r="T13" s="86">
        <f>IF(DFIE!$G$2=2008,"",F13*N$19/1000)</f>
        <v>76.522856896551716</v>
      </c>
      <c r="U13" s="86">
        <f>IF(DFIE!$G$2=2008,"",G13*N$20/1000)</f>
        <v>0</v>
      </c>
      <c r="V13" s="86">
        <f>IF(DFIE!$G$2=2008,"",H13*N$21/1000)</f>
        <v>0</v>
      </c>
      <c r="W13" s="86">
        <f>IF(DFIE!$G$2=2008,"",I13*N$22/1000)</f>
        <v>0</v>
      </c>
      <c r="X13" s="86">
        <f>IF(DFIE!$G$2=2008,"",SUM(R13:W13))</f>
        <v>28724.337070546553</v>
      </c>
      <c r="Y13" s="86">
        <f>IF(DFIE!$G$2=2008,"",X13*$N$11)</f>
        <v>21543.252802909916</v>
      </c>
      <c r="Z13" s="93">
        <v>0</v>
      </c>
      <c r="AA13" s="18">
        <f>IF(DFIE!$G$2=2008,0,IF(Z13=0,Y13+Q13,Z13))</f>
        <v>160678.9020305899</v>
      </c>
      <c r="AB13" s="357"/>
    </row>
    <row r="14" spans="1:28" x14ac:dyDescent="0.2">
      <c r="A14" s="357"/>
      <c r="B14" s="47" t="str">
        <f>DFIE!$B33</f>
        <v>Obwalden</v>
      </c>
      <c r="C14" s="43">
        <v>96260202.150000006</v>
      </c>
      <c r="D14" s="43">
        <v>5955904.75</v>
      </c>
      <c r="E14" s="43">
        <v>294350.75</v>
      </c>
      <c r="F14" s="43">
        <v>597000.05000000005</v>
      </c>
      <c r="G14" s="43">
        <v>0</v>
      </c>
      <c r="H14" s="43">
        <v>0</v>
      </c>
      <c r="I14" s="43">
        <v>0</v>
      </c>
      <c r="J14" s="22">
        <f t="shared" si="0"/>
        <v>103107457.7</v>
      </c>
      <c r="K14" s="98"/>
      <c r="L14" s="54"/>
      <c r="M14" s="54"/>
      <c r="N14" s="54"/>
      <c r="O14" s="98"/>
      <c r="P14" s="47" t="str">
        <f>DFIE!$B33</f>
        <v>Obwalden</v>
      </c>
      <c r="Q14" s="95">
        <f>IF(DFIE!$G$2=2008,"",C14*N$16/1000)</f>
        <v>35808.795199799999</v>
      </c>
      <c r="R14" s="95">
        <f>IF(DFIE!$G$2=2008,"",D14*N$17/1000)</f>
        <v>2215.5965669999996</v>
      </c>
      <c r="S14" s="95">
        <f>IF(DFIE!$G$2=2008,"",E14*N$18/1000)</f>
        <v>95.811169125000006</v>
      </c>
      <c r="T14" s="95">
        <f>IF(DFIE!$G$2=2008,"",F14*N$19/1000)</f>
        <v>102.93104310344827</v>
      </c>
      <c r="U14" s="95">
        <f>IF(DFIE!$G$2=2008,"",G14*N$20/1000)</f>
        <v>0</v>
      </c>
      <c r="V14" s="95">
        <f>IF(DFIE!$G$2=2008,"",H14*N$21/1000)</f>
        <v>0</v>
      </c>
      <c r="W14" s="95">
        <f>IF(DFIE!$G$2=2008,"",I14*N$22/1000)</f>
        <v>0</v>
      </c>
      <c r="X14" s="95">
        <f>IF(DFIE!$G$2=2008,"",SUM(R14:W14))</f>
        <v>2414.3387792284479</v>
      </c>
      <c r="Y14" s="95">
        <f>IF(DFIE!$G$2=2008,"",X14*$N$11)</f>
        <v>1810.7540844213358</v>
      </c>
      <c r="Z14" s="92">
        <v>0</v>
      </c>
      <c r="AA14" s="22">
        <f>IF(DFIE!$G$2=2008,0,IF(Z14=0,Y14+Q14,Z14))</f>
        <v>37619.549284221335</v>
      </c>
      <c r="AB14" s="357"/>
    </row>
    <row r="15" spans="1:28" x14ac:dyDescent="0.2">
      <c r="A15" s="357"/>
      <c r="B15" s="46" t="str">
        <f>DFIE!$B34</f>
        <v>Nidwalden</v>
      </c>
      <c r="C15" s="61">
        <v>101431505</v>
      </c>
      <c r="D15" s="61">
        <v>3155623</v>
      </c>
      <c r="E15" s="61">
        <v>3302985</v>
      </c>
      <c r="F15" s="61">
        <v>470827</v>
      </c>
      <c r="G15" s="61">
        <v>0</v>
      </c>
      <c r="H15" s="61">
        <v>0</v>
      </c>
      <c r="I15" s="61">
        <v>0</v>
      </c>
      <c r="J15" s="18">
        <f t="shared" si="0"/>
        <v>108360940</v>
      </c>
      <c r="K15" s="98"/>
      <c r="L15" s="82" t="str">
        <f>DFIE!$B$57</f>
        <v>Kategorie</v>
      </c>
      <c r="M15" s="82" t="str">
        <f>DFIE!$B$106</f>
        <v>Formel für Gewicht</v>
      </c>
      <c r="N15" s="88" t="str">
        <f>DFIE!$B$107</f>
        <v>Gewicht (ω)</v>
      </c>
      <c r="O15" s="98"/>
      <c r="P15" s="46" t="str">
        <f>DFIE!$B34</f>
        <v>Nidwalden</v>
      </c>
      <c r="Q15" s="86">
        <f>IF(DFIE!$G$2=2008,"",C15*N$16/1000)</f>
        <v>37732.51986</v>
      </c>
      <c r="R15" s="86">
        <f>IF(DFIE!$G$2=2008,"",D15*N$17/1000)</f>
        <v>1173.891756</v>
      </c>
      <c r="S15" s="86">
        <f>IF(DFIE!$G$2=2008,"",E15*N$18/1000)</f>
        <v>1075.1216175</v>
      </c>
      <c r="T15" s="86">
        <f>IF(DFIE!$G$2=2008,"",F15*N$19/1000)</f>
        <v>81.177068965517236</v>
      </c>
      <c r="U15" s="86">
        <f>IF(DFIE!$G$2=2008,"",G15*N$20/1000)</f>
        <v>0</v>
      </c>
      <c r="V15" s="86">
        <f>IF(DFIE!$G$2=2008,"",H15*N$21/1000)</f>
        <v>0</v>
      </c>
      <c r="W15" s="86">
        <f>IF(DFIE!$G$2=2008,"",I15*N$22/1000)</f>
        <v>0</v>
      </c>
      <c r="X15" s="86">
        <f>IF(DFIE!$G$2=2008,"",SUM(R15:W15))</f>
        <v>2330.1904424655172</v>
      </c>
      <c r="Y15" s="86">
        <f>IF(DFIE!$G$2=2008,"",X15*$N$11)</f>
        <v>1747.642831849138</v>
      </c>
      <c r="Z15" s="93">
        <v>0</v>
      </c>
      <c r="AA15" s="18">
        <f>IF(DFIE!$G$2=2008,0,IF(Z15=0,Y15+Q15,Z15))</f>
        <v>39480.162691849138</v>
      </c>
      <c r="AB15" s="357"/>
    </row>
    <row r="16" spans="1:28" x14ac:dyDescent="0.2">
      <c r="A16" s="357"/>
      <c r="B16" s="47" t="str">
        <f>DFIE!$B35</f>
        <v>Glarus</v>
      </c>
      <c r="C16" s="43">
        <v>118588430.25</v>
      </c>
      <c r="D16" s="43">
        <v>1527559.8</v>
      </c>
      <c r="E16" s="43">
        <v>0</v>
      </c>
      <c r="F16" s="43">
        <v>271385.65000000002</v>
      </c>
      <c r="G16" s="43">
        <v>0</v>
      </c>
      <c r="H16" s="43">
        <v>0</v>
      </c>
      <c r="I16" s="43">
        <v>0</v>
      </c>
      <c r="J16" s="22">
        <f t="shared" si="0"/>
        <v>120387375.7</v>
      </c>
      <c r="K16" s="98"/>
      <c r="L16" s="89">
        <v>0</v>
      </c>
      <c r="M16" s="89" t="s">
        <v>67</v>
      </c>
      <c r="N16" s="90">
        <f>IF(DFIE!$G$2=2008,"",N13)</f>
        <v>0.372</v>
      </c>
      <c r="O16" s="98"/>
      <c r="P16" s="47" t="str">
        <f>DFIE!$B35</f>
        <v>Glarus</v>
      </c>
      <c r="Q16" s="95">
        <f>IF(DFIE!$G$2=2008,"",C16*N$16/1000)</f>
        <v>44114.896053000004</v>
      </c>
      <c r="R16" s="95">
        <f>IF(DFIE!$G$2=2008,"",D16*N$17/1000)</f>
        <v>568.25224560000004</v>
      </c>
      <c r="S16" s="95">
        <f>IF(DFIE!$G$2=2008,"",E16*N$18/1000)</f>
        <v>0</v>
      </c>
      <c r="T16" s="95">
        <f>IF(DFIE!$G$2=2008,"",F16*N$19/1000)</f>
        <v>46.790629310344826</v>
      </c>
      <c r="U16" s="95">
        <f>IF(DFIE!$G$2=2008,"",G16*N$20/1000)</f>
        <v>0</v>
      </c>
      <c r="V16" s="95">
        <f>IF(DFIE!$G$2=2008,"",H16*N$21/1000)</f>
        <v>0</v>
      </c>
      <c r="W16" s="95">
        <f>IF(DFIE!$G$2=2008,"",I16*N$22/1000)</f>
        <v>0</v>
      </c>
      <c r="X16" s="95">
        <f>IF(DFIE!$G$2=2008,"",SUM(R16:W16))</f>
        <v>615.04287491034484</v>
      </c>
      <c r="Y16" s="95">
        <f>IF(DFIE!$G$2=2008,"",X16*$N$11)</f>
        <v>461.28215618275863</v>
      </c>
      <c r="Z16" s="92">
        <v>0</v>
      </c>
      <c r="AA16" s="22">
        <f>IF(DFIE!$G$2=2008,0,IF(Z16=0,Y16+Q16,Z16))</f>
        <v>44576.178209182763</v>
      </c>
      <c r="AB16" s="357"/>
    </row>
    <row r="17" spans="1:28" x14ac:dyDescent="0.2">
      <c r="A17" s="357"/>
      <c r="B17" s="46" t="str">
        <f>DFIE!$B36</f>
        <v>Zug</v>
      </c>
      <c r="C17" s="61">
        <v>587112697</v>
      </c>
      <c r="D17" s="61">
        <v>91588539</v>
      </c>
      <c r="E17" s="61">
        <v>6157833</v>
      </c>
      <c r="F17" s="61">
        <v>8264086</v>
      </c>
      <c r="G17" s="61">
        <v>0</v>
      </c>
      <c r="H17" s="61">
        <v>0</v>
      </c>
      <c r="I17" s="61">
        <v>0</v>
      </c>
      <c r="J17" s="18">
        <f t="shared" si="0"/>
        <v>693123155</v>
      </c>
      <c r="K17" s="98"/>
      <c r="L17" s="89">
        <v>1</v>
      </c>
      <c r="M17" s="89" t="s">
        <v>67</v>
      </c>
      <c r="N17" s="90">
        <f>IF(DFIE!$G$2=2008,"",N13)</f>
        <v>0.372</v>
      </c>
      <c r="O17" s="98"/>
      <c r="P17" s="46" t="str">
        <f>DFIE!$B36</f>
        <v>Zug</v>
      </c>
      <c r="Q17" s="86">
        <f>IF(DFIE!$G$2=2008,"",C17*N$16/1000)</f>
        <v>218405.92328400002</v>
      </c>
      <c r="R17" s="86">
        <f>IF(DFIE!$G$2=2008,"",D17*N$17/1000)</f>
        <v>34070.936507999999</v>
      </c>
      <c r="S17" s="86">
        <f>IF(DFIE!$G$2=2008,"",E17*N$18/1000)</f>
        <v>2004.3746415000001</v>
      </c>
      <c r="T17" s="86">
        <f>IF(DFIE!$G$2=2008,"",F17*N$19/1000)</f>
        <v>1424.8424137931033</v>
      </c>
      <c r="U17" s="86">
        <f>IF(DFIE!$G$2=2008,"",G17*N$20/1000)</f>
        <v>0</v>
      </c>
      <c r="V17" s="86">
        <f>IF(DFIE!$G$2=2008,"",H17*N$21/1000)</f>
        <v>0</v>
      </c>
      <c r="W17" s="86">
        <f>IF(DFIE!$G$2=2008,"",I17*N$22/1000)</f>
        <v>0</v>
      </c>
      <c r="X17" s="86">
        <f>IF(DFIE!$G$2=2008,"",SUM(R17:W17))</f>
        <v>37500.153563293105</v>
      </c>
      <c r="Y17" s="86">
        <f>IF(DFIE!$G$2=2008,"",X17*$N$11)</f>
        <v>28125.115172469828</v>
      </c>
      <c r="Z17" s="93">
        <v>0</v>
      </c>
      <c r="AA17" s="18">
        <f>IF(DFIE!$G$2=2008,0,IF(Z17=0,Y17+Q17,Z17))</f>
        <v>246531.03845646983</v>
      </c>
      <c r="AB17" s="357"/>
    </row>
    <row r="18" spans="1:28" x14ac:dyDescent="0.2">
      <c r="A18" s="357"/>
      <c r="B18" s="47" t="str">
        <f>DFIE!$B37</f>
        <v>Freiburg</v>
      </c>
      <c r="C18" s="43">
        <v>646043364.53000295</v>
      </c>
      <c r="D18" s="43">
        <v>78388402.459999993</v>
      </c>
      <c r="E18" s="43">
        <v>30040</v>
      </c>
      <c r="F18" s="43">
        <v>526565</v>
      </c>
      <c r="G18" s="43">
        <v>0</v>
      </c>
      <c r="H18" s="43">
        <v>0</v>
      </c>
      <c r="I18" s="43">
        <v>0</v>
      </c>
      <c r="J18" s="22">
        <f t="shared" si="0"/>
        <v>724988371.99000299</v>
      </c>
      <c r="K18" s="54"/>
      <c r="L18" s="89" t="s">
        <v>56</v>
      </c>
      <c r="M18" s="89" t="s">
        <v>91</v>
      </c>
      <c r="N18" s="90">
        <f>IF(DFIE!$G$2=2008,"",IF(DFIE!$G$2-6&lt;2006,0.03/$N$7,0.875*N13))</f>
        <v>0.32550000000000001</v>
      </c>
      <c r="O18" s="54"/>
      <c r="P18" s="47" t="str">
        <f>DFIE!$B37</f>
        <v>Freiburg</v>
      </c>
      <c r="Q18" s="95">
        <f>IF(DFIE!$G$2=2008,"",C18*N$16/1000)</f>
        <v>240328.13160516109</v>
      </c>
      <c r="R18" s="95">
        <f>IF(DFIE!$G$2=2008,"",D18*N$17/1000)</f>
        <v>29160.485715119998</v>
      </c>
      <c r="S18" s="95">
        <f>IF(DFIE!$G$2=2008,"",E18*N$18/1000)</f>
        <v>9.7780199999999997</v>
      </c>
      <c r="T18" s="95">
        <f>IF(DFIE!$G$2=2008,"",F18*N$19/1000)</f>
        <v>90.787068965517236</v>
      </c>
      <c r="U18" s="95">
        <f>IF(DFIE!$G$2=2008,"",G18*N$20/1000)</f>
        <v>0</v>
      </c>
      <c r="V18" s="95">
        <f>IF(DFIE!$G$2=2008,"",H18*N$21/1000)</f>
        <v>0</v>
      </c>
      <c r="W18" s="95">
        <f>IF(DFIE!$G$2=2008,"",I18*N$22/1000)</f>
        <v>0</v>
      </c>
      <c r="X18" s="95">
        <f>IF(DFIE!$G$2=2008,"",SUM(R18:W18))</f>
        <v>29261.050804085517</v>
      </c>
      <c r="Y18" s="95">
        <f>IF(DFIE!$G$2=2008,"",X18*$N$11)</f>
        <v>21945.788103064137</v>
      </c>
      <c r="Z18" s="92">
        <v>0</v>
      </c>
      <c r="AA18" s="22">
        <f>IF(DFIE!$G$2=2008,0,IF(Z18=0,Y18+Q18,Z18))</f>
        <v>262273.91970822524</v>
      </c>
      <c r="AB18" s="357"/>
    </row>
    <row r="19" spans="1:28" x14ac:dyDescent="0.2">
      <c r="A19" s="357"/>
      <c r="B19" s="46" t="str">
        <f>DFIE!$B38</f>
        <v>Solothurn</v>
      </c>
      <c r="C19" s="61">
        <v>412853194</v>
      </c>
      <c r="D19" s="61">
        <v>32805762</v>
      </c>
      <c r="E19" s="61">
        <v>969666</v>
      </c>
      <c r="F19" s="61">
        <v>51224118</v>
      </c>
      <c r="G19" s="61">
        <v>0</v>
      </c>
      <c r="H19" s="61">
        <v>101579229</v>
      </c>
      <c r="I19" s="61">
        <v>0</v>
      </c>
      <c r="J19" s="18">
        <f t="shared" si="0"/>
        <v>599431969</v>
      </c>
      <c r="K19" s="54"/>
      <c r="L19" s="89" t="s">
        <v>57</v>
      </c>
      <c r="M19" s="89" t="str">
        <f>DFIE!$B$108</f>
        <v>0.045 / SST(2019)</v>
      </c>
      <c r="N19" s="90">
        <f>IF(DFIE!$G$2=2008,"",0.045/ROUND($N$10,3))</f>
        <v>0.17241379310344826</v>
      </c>
      <c r="O19" s="54"/>
      <c r="P19" s="46" t="str">
        <f>DFIE!$B38</f>
        <v>Solothurn</v>
      </c>
      <c r="Q19" s="86">
        <f>IF(DFIE!$G$2=2008,"",C19*N$16/1000)</f>
        <v>153581.388168</v>
      </c>
      <c r="R19" s="86">
        <f>IF(DFIE!$G$2=2008,"",D19*N$17/1000)</f>
        <v>12203.743463999999</v>
      </c>
      <c r="S19" s="86">
        <f>IF(DFIE!$G$2=2008,"",E19*N$18/1000)</f>
        <v>315.626283</v>
      </c>
      <c r="T19" s="86">
        <f>IF(DFIE!$G$2=2008,"",F19*N$19/1000)</f>
        <v>8831.7444827586205</v>
      </c>
      <c r="U19" s="86">
        <f>IF(DFIE!$G$2=2008,"",G19*N$20/1000)</f>
        <v>0</v>
      </c>
      <c r="V19" s="86">
        <f>IF(DFIE!$G$2=2008,"",H19*N$21/1000)</f>
        <v>17513.660172413791</v>
      </c>
      <c r="W19" s="86">
        <f>IF(DFIE!$G$2=2008,"",I19*N$22/1000)</f>
        <v>0</v>
      </c>
      <c r="X19" s="86">
        <f>IF(DFIE!$G$2=2008,"",SUM(R19:W19))</f>
        <v>38864.774402172407</v>
      </c>
      <c r="Y19" s="86">
        <f>IF(DFIE!$G$2=2008,"",X19*$N$11)</f>
        <v>29148.580801629305</v>
      </c>
      <c r="Z19" s="93">
        <v>0</v>
      </c>
      <c r="AA19" s="18">
        <f>IF(DFIE!$G$2=2008,0,IF(Z19=0,Y19+Q19,Z19))</f>
        <v>182729.96896962932</v>
      </c>
      <c r="AB19" s="357"/>
    </row>
    <row r="20" spans="1:28" x14ac:dyDescent="0.2">
      <c r="A20" s="357"/>
      <c r="B20" s="47" t="str">
        <f>DFIE!$B39</f>
        <v>Basel-Stadt</v>
      </c>
      <c r="C20" s="43">
        <v>674417029</v>
      </c>
      <c r="D20" s="43">
        <v>382365109.64999998</v>
      </c>
      <c r="E20" s="43">
        <v>2422995.8199999998</v>
      </c>
      <c r="F20" s="43">
        <v>1570882724.53</v>
      </c>
      <c r="G20" s="43">
        <v>0</v>
      </c>
      <c r="H20" s="43">
        <v>1623131730.3499999</v>
      </c>
      <c r="I20" s="43">
        <v>0</v>
      </c>
      <c r="J20" s="22">
        <f t="shared" si="0"/>
        <v>4253219589.3499999</v>
      </c>
      <c r="K20" s="54"/>
      <c r="L20" s="89" t="s">
        <v>58</v>
      </c>
      <c r="M20" s="89" t="str">
        <f>DFIE!$B$109</f>
        <v>γ - 0.035 / SST(2019)</v>
      </c>
      <c r="N20" s="90">
        <f>IF(DFIE!$G$2=2008,"",N13-0.035/ROUND($N$10,3))</f>
        <v>0.23790038314176243</v>
      </c>
      <c r="O20" s="54"/>
      <c r="P20" s="47" t="str">
        <f>DFIE!$B39</f>
        <v>Basel-Stadt</v>
      </c>
      <c r="Q20" s="95">
        <f>IF(DFIE!$G$2=2008,"",C20*N$16/1000)</f>
        <v>250883.134788</v>
      </c>
      <c r="R20" s="95">
        <f>IF(DFIE!$G$2=2008,"",D20*N$17/1000)</f>
        <v>142239.8207898</v>
      </c>
      <c r="S20" s="95">
        <f>IF(DFIE!$G$2=2008,"",E20*N$18/1000)</f>
        <v>788.68513940999992</v>
      </c>
      <c r="T20" s="95">
        <f>IF(DFIE!$G$2=2008,"",F20*N$19/1000)</f>
        <v>270841.84905689652</v>
      </c>
      <c r="U20" s="95">
        <f>IF(DFIE!$G$2=2008,"",G20*N$20/1000)</f>
        <v>0</v>
      </c>
      <c r="V20" s="95">
        <f>IF(DFIE!$G$2=2008,"",H20*N$21/1000)</f>
        <v>279850.29833620688</v>
      </c>
      <c r="W20" s="95">
        <f>IF(DFIE!$G$2=2008,"",I20*N$22/1000)</f>
        <v>0</v>
      </c>
      <c r="X20" s="95">
        <f>IF(DFIE!$G$2=2008,"",SUM(R20:W20))</f>
        <v>693720.65332231345</v>
      </c>
      <c r="Y20" s="95">
        <f>IF(DFIE!$G$2=2008,"",X20*$N$11)</f>
        <v>520290.48999173508</v>
      </c>
      <c r="Z20" s="92">
        <v>0</v>
      </c>
      <c r="AA20" s="22">
        <f>IF(DFIE!$G$2=2008,0,IF(Z20=0,Y20+Q20,Z20))</f>
        <v>771173.62477973511</v>
      </c>
      <c r="AB20" s="357"/>
    </row>
    <row r="21" spans="1:28" x14ac:dyDescent="0.2">
      <c r="A21" s="357"/>
      <c r="B21" s="46" t="str">
        <f>DFIE!$B40</f>
        <v>Basel-Landschaft</v>
      </c>
      <c r="C21" s="61">
        <v>403649969.18000001</v>
      </c>
      <c r="D21" s="61">
        <v>102005520.54000001</v>
      </c>
      <c r="E21" s="61">
        <v>1690876.75</v>
      </c>
      <c r="F21" s="61">
        <v>785459898.52999997</v>
      </c>
      <c r="G21" s="61">
        <v>0</v>
      </c>
      <c r="H21" s="61">
        <v>1050467331.55</v>
      </c>
      <c r="I21" s="61">
        <v>0</v>
      </c>
      <c r="J21" s="18">
        <f t="shared" si="0"/>
        <v>2343273596.5500002</v>
      </c>
      <c r="K21" s="54"/>
      <c r="L21" s="89" t="s">
        <v>59</v>
      </c>
      <c r="M21" s="89" t="str">
        <f>DFIE!$B$108</f>
        <v>0.045 / SST(2019)</v>
      </c>
      <c r="N21" s="90">
        <f>IF(DFIE!$G$2=2008,"",0.045/ROUND($N$10,3))</f>
        <v>0.17241379310344826</v>
      </c>
      <c r="O21" s="54"/>
      <c r="P21" s="46" t="str">
        <f>DFIE!$B40</f>
        <v>Basel-Landschaft</v>
      </c>
      <c r="Q21" s="86">
        <f>IF(DFIE!$G$2=2008,"",C21*N$16/1000)</f>
        <v>150157.78853496001</v>
      </c>
      <c r="R21" s="86">
        <f>IF(DFIE!$G$2=2008,"",D21*N$17/1000)</f>
        <v>37946.053640880004</v>
      </c>
      <c r="S21" s="86">
        <f>IF(DFIE!$G$2=2008,"",E21*N$18/1000)</f>
        <v>550.38038212499998</v>
      </c>
      <c r="T21" s="86">
        <f>IF(DFIE!$G$2=2008,"",F21*N$19/1000)</f>
        <v>135424.12043620687</v>
      </c>
      <c r="U21" s="86">
        <f>IF(DFIE!$G$2=2008,"",G21*N$20/1000)</f>
        <v>0</v>
      </c>
      <c r="V21" s="86">
        <f>IF(DFIE!$G$2=2008,"",H21*N$21/1000)</f>
        <v>181115.0571637931</v>
      </c>
      <c r="W21" s="86">
        <f>IF(DFIE!$G$2=2008,"",I21*N$22/1000)</f>
        <v>0</v>
      </c>
      <c r="X21" s="86">
        <f>IF(DFIE!$G$2=2008,"",SUM(R21:W21))</f>
        <v>355035.61162300501</v>
      </c>
      <c r="Y21" s="86">
        <f>IF(DFIE!$G$2=2008,"",X21*$N$11)</f>
        <v>266276.70871725376</v>
      </c>
      <c r="Z21" s="93">
        <v>0</v>
      </c>
      <c r="AA21" s="18">
        <f>IF(DFIE!$G$2=2008,0,IF(Z21=0,Y21+Q21,Z21))</f>
        <v>416434.49725221377</v>
      </c>
      <c r="AB21" s="357"/>
    </row>
    <row r="22" spans="1:28" x14ac:dyDescent="0.2">
      <c r="A22" s="357"/>
      <c r="B22" s="47" t="str">
        <f>DFIE!$B41</f>
        <v>Schaffhausen</v>
      </c>
      <c r="C22" s="43">
        <v>270190392</v>
      </c>
      <c r="D22" s="43">
        <v>26409324</v>
      </c>
      <c r="E22" s="43">
        <v>1091072</v>
      </c>
      <c r="F22" s="43">
        <v>385372955</v>
      </c>
      <c r="G22" s="43">
        <v>0</v>
      </c>
      <c r="H22" s="43">
        <v>0</v>
      </c>
      <c r="I22" s="43">
        <v>0</v>
      </c>
      <c r="J22" s="22">
        <f t="shared" si="0"/>
        <v>683063743</v>
      </c>
      <c r="K22" s="54"/>
      <c r="L22" s="89" t="s">
        <v>60</v>
      </c>
      <c r="M22" s="89" t="s">
        <v>92</v>
      </c>
      <c r="N22" s="90">
        <f>IF(DFIE!$G$2=2008,"",0.6*N13)</f>
        <v>0.22319999999999998</v>
      </c>
      <c r="O22" s="54"/>
      <c r="P22" s="47" t="str">
        <f>DFIE!$B41</f>
        <v>Schaffhausen</v>
      </c>
      <c r="Q22" s="95">
        <f>IF(DFIE!$G$2=2008,"",C22*N$16/1000)</f>
        <v>100510.825824</v>
      </c>
      <c r="R22" s="95">
        <f>IF(DFIE!$G$2=2008,"",D22*N$17/1000)</f>
        <v>9824.2685279999987</v>
      </c>
      <c r="S22" s="95">
        <f>IF(DFIE!$G$2=2008,"",E22*N$18/1000)</f>
        <v>355.143936</v>
      </c>
      <c r="T22" s="95">
        <f>IF(DFIE!$G$2=2008,"",F22*N$19/1000)</f>
        <v>66443.61293103447</v>
      </c>
      <c r="U22" s="95">
        <f>IF(DFIE!$G$2=2008,"",G22*N$20/1000)</f>
        <v>0</v>
      </c>
      <c r="V22" s="95">
        <f>IF(DFIE!$G$2=2008,"",H22*N$21/1000)</f>
        <v>0</v>
      </c>
      <c r="W22" s="95">
        <f>IF(DFIE!$G$2=2008,"",I22*N$22/1000)</f>
        <v>0</v>
      </c>
      <c r="X22" s="95">
        <f>IF(DFIE!$G$2=2008,"",SUM(R22:W22))</f>
        <v>76623.025395034463</v>
      </c>
      <c r="Y22" s="95">
        <f>IF(DFIE!$G$2=2008,"",X22*$N$11)</f>
        <v>57467.269046275847</v>
      </c>
      <c r="Z22" s="92">
        <v>0</v>
      </c>
      <c r="AA22" s="22">
        <f>IF(DFIE!$G$2=2008,0,IF(Z22=0,Y22+Q22,Z22))</f>
        <v>157978.09487027585</v>
      </c>
      <c r="AB22" s="357"/>
    </row>
    <row r="23" spans="1:28" x14ac:dyDescent="0.2">
      <c r="A23" s="357"/>
      <c r="B23" s="46" t="str">
        <f>DFIE!$B42</f>
        <v>Appenzell A.Rh.</v>
      </c>
      <c r="C23" s="61">
        <v>16225256</v>
      </c>
      <c r="D23" s="61">
        <v>21311960</v>
      </c>
      <c r="E23" s="61">
        <v>14666041</v>
      </c>
      <c r="F23" s="61">
        <v>4752987</v>
      </c>
      <c r="G23" s="61">
        <v>0</v>
      </c>
      <c r="H23" s="61">
        <v>0</v>
      </c>
      <c r="I23" s="61">
        <v>0</v>
      </c>
      <c r="J23" s="18">
        <f t="shared" si="0"/>
        <v>56956244</v>
      </c>
      <c r="K23" s="54"/>
      <c r="L23" s="54"/>
      <c r="M23" s="54"/>
      <c r="N23" s="54"/>
      <c r="O23" s="54"/>
      <c r="P23" s="46" t="str">
        <f>DFIE!$B42</f>
        <v>Appenzell A.Rh.</v>
      </c>
      <c r="Q23" s="86">
        <f>IF(DFIE!$G$2=2008,"",C23*N$16/1000)</f>
        <v>6035.7952319999995</v>
      </c>
      <c r="R23" s="86">
        <f>IF(DFIE!$G$2=2008,"",D23*N$17/1000)</f>
        <v>7928.0491199999997</v>
      </c>
      <c r="S23" s="86">
        <f>IF(DFIE!$G$2=2008,"",E23*N$18/1000)</f>
        <v>4773.7963454999999</v>
      </c>
      <c r="T23" s="86">
        <f>IF(DFIE!$G$2=2008,"",F23*N$19/1000)</f>
        <v>819.48051724137929</v>
      </c>
      <c r="U23" s="86">
        <f>IF(DFIE!$G$2=2008,"",G23*N$20/1000)</f>
        <v>0</v>
      </c>
      <c r="V23" s="86">
        <f>IF(DFIE!$G$2=2008,"",H23*N$21/1000)</f>
        <v>0</v>
      </c>
      <c r="W23" s="86">
        <f>IF(DFIE!$G$2=2008,"",I23*N$22/1000)</f>
        <v>0</v>
      </c>
      <c r="X23" s="86">
        <f>IF(DFIE!$G$2=2008,"",SUM(R23:W23))</f>
        <v>13521.325982741379</v>
      </c>
      <c r="Y23" s="86">
        <f>IF(DFIE!$G$2=2008,"",X23*$N$11)</f>
        <v>10140.994487056034</v>
      </c>
      <c r="Z23" s="93">
        <v>0</v>
      </c>
      <c r="AA23" s="18">
        <f>IF(DFIE!$G$2=2008,0,IF(Z23=0,Y23+Q23,Z23))</f>
        <v>16176.789719056032</v>
      </c>
      <c r="AB23" s="357"/>
    </row>
    <row r="24" spans="1:28" x14ac:dyDescent="0.2">
      <c r="A24" s="357"/>
      <c r="B24" s="47" t="str">
        <f>DFIE!$B43</f>
        <v>Appenzell I.Rh.</v>
      </c>
      <c r="C24" s="43">
        <v>22081474.66</v>
      </c>
      <c r="D24" s="43">
        <v>2611129.29</v>
      </c>
      <c r="E24" s="43">
        <v>4818532.29</v>
      </c>
      <c r="F24" s="43">
        <v>620358.13</v>
      </c>
      <c r="G24" s="43">
        <v>0</v>
      </c>
      <c r="H24" s="43">
        <v>0</v>
      </c>
      <c r="I24" s="43">
        <v>0</v>
      </c>
      <c r="J24" s="22">
        <f t="shared" si="0"/>
        <v>30131494.369999997</v>
      </c>
      <c r="K24" s="54"/>
      <c r="L24" s="54"/>
      <c r="M24" s="54"/>
      <c r="N24" s="54"/>
      <c r="O24" s="54"/>
      <c r="P24" s="47" t="str">
        <f>DFIE!$B43</f>
        <v>Appenzell I.Rh.</v>
      </c>
      <c r="Q24" s="95">
        <f>IF(DFIE!$G$2=2008,"",C24*N$16/1000)</f>
        <v>8214.3085735200002</v>
      </c>
      <c r="R24" s="95">
        <f>IF(DFIE!$G$2=2008,"",D24*N$17/1000)</f>
        <v>971.34009588000004</v>
      </c>
      <c r="S24" s="95">
        <f>IF(DFIE!$G$2=2008,"",E24*N$18/1000)</f>
        <v>1568.432260395</v>
      </c>
      <c r="T24" s="95">
        <f>IF(DFIE!$G$2=2008,"",F24*N$19/1000)</f>
        <v>106.95829827586206</v>
      </c>
      <c r="U24" s="95">
        <f>IF(DFIE!$G$2=2008,"",G24*N$20/1000)</f>
        <v>0</v>
      </c>
      <c r="V24" s="95">
        <f>IF(DFIE!$G$2=2008,"",H24*N$21/1000)</f>
        <v>0</v>
      </c>
      <c r="W24" s="95">
        <f>IF(DFIE!$G$2=2008,"",I24*N$22/1000)</f>
        <v>0</v>
      </c>
      <c r="X24" s="95">
        <f>IF(DFIE!$G$2=2008,"",SUM(R24:W24))</f>
        <v>2646.7306545508618</v>
      </c>
      <c r="Y24" s="95">
        <f>IF(DFIE!$G$2=2008,"",X24*$N$11)</f>
        <v>1985.0479909131464</v>
      </c>
      <c r="Z24" s="92">
        <v>0</v>
      </c>
      <c r="AA24" s="22">
        <f>IF(DFIE!$G$2=2008,0,IF(Z24=0,Y24+Q24,Z24))</f>
        <v>10199.356564433147</v>
      </c>
      <c r="AB24" s="357"/>
    </row>
    <row r="25" spans="1:28" x14ac:dyDescent="0.2">
      <c r="A25" s="357"/>
      <c r="B25" s="46" t="str">
        <f>DFIE!$B44</f>
        <v>St. Gallen</v>
      </c>
      <c r="C25" s="61">
        <v>821183869.13999999</v>
      </c>
      <c r="D25" s="61">
        <v>55615538.439999998</v>
      </c>
      <c r="E25" s="61">
        <v>515517690.5</v>
      </c>
      <c r="F25" s="61">
        <v>96880918.659999996</v>
      </c>
      <c r="G25" s="61">
        <v>0</v>
      </c>
      <c r="H25" s="61">
        <v>0</v>
      </c>
      <c r="I25" s="61">
        <v>0</v>
      </c>
      <c r="J25" s="18">
        <f t="shared" si="0"/>
        <v>1489198016.74</v>
      </c>
      <c r="K25" s="54"/>
      <c r="L25" s="54"/>
      <c r="M25" s="54"/>
      <c r="N25" s="54"/>
      <c r="O25" s="54"/>
      <c r="P25" s="46" t="str">
        <f>DFIE!$B44</f>
        <v>St. Gallen</v>
      </c>
      <c r="Q25" s="86">
        <f>IF(DFIE!$G$2=2008,"",C25*N$16/1000)</f>
        <v>305480.39932008</v>
      </c>
      <c r="R25" s="86">
        <f>IF(DFIE!$G$2=2008,"",D25*N$17/1000)</f>
        <v>20688.980299679999</v>
      </c>
      <c r="S25" s="86">
        <f>IF(DFIE!$G$2=2008,"",E25*N$18/1000)</f>
        <v>167801.00825775001</v>
      </c>
      <c r="T25" s="86">
        <f>IF(DFIE!$G$2=2008,"",F25*N$19/1000)</f>
        <v>16703.60666551724</v>
      </c>
      <c r="U25" s="86">
        <f>IF(DFIE!$G$2=2008,"",G25*N$20/1000)</f>
        <v>0</v>
      </c>
      <c r="V25" s="86">
        <f>IF(DFIE!$G$2=2008,"",H25*N$21/1000)</f>
        <v>0</v>
      </c>
      <c r="W25" s="86">
        <f>IF(DFIE!$G$2=2008,"",I25*N$22/1000)</f>
        <v>0</v>
      </c>
      <c r="X25" s="86">
        <f>IF(DFIE!$G$2=2008,"",SUM(R25:W25))</f>
        <v>205193.59522294725</v>
      </c>
      <c r="Y25" s="86">
        <f>IF(DFIE!$G$2=2008,"",X25*$N$11)</f>
        <v>153895.19641721045</v>
      </c>
      <c r="Z25" s="93">
        <v>0</v>
      </c>
      <c r="AA25" s="18">
        <f>IF(DFIE!$G$2=2008,0,IF(Z25=0,Y25+Q25,Z25))</f>
        <v>459375.59573729045</v>
      </c>
      <c r="AB25" s="357"/>
    </row>
    <row r="26" spans="1:28" x14ac:dyDescent="0.2">
      <c r="A26" s="357"/>
      <c r="B26" s="47" t="str">
        <f>DFIE!$B45</f>
        <v>Graubünden</v>
      </c>
      <c r="C26" s="43">
        <v>896109654.30999994</v>
      </c>
      <c r="D26" s="43">
        <v>165927335.81999999</v>
      </c>
      <c r="E26" s="43">
        <v>23318912.649999999</v>
      </c>
      <c r="F26" s="43">
        <v>1091485.8999999999</v>
      </c>
      <c r="G26" s="43">
        <v>0</v>
      </c>
      <c r="H26" s="43">
        <v>0</v>
      </c>
      <c r="I26" s="43">
        <v>105150310.12</v>
      </c>
      <c r="J26" s="22">
        <f t="shared" si="0"/>
        <v>1191597698.8000002</v>
      </c>
      <c r="K26" s="54"/>
      <c r="L26" s="54"/>
      <c r="M26" s="54"/>
      <c r="N26" s="54"/>
      <c r="O26" s="54"/>
      <c r="P26" s="47" t="str">
        <f>DFIE!$B45</f>
        <v>Graubünden</v>
      </c>
      <c r="Q26" s="95">
        <f>IF(DFIE!$G$2=2008,"",C26*N$16/1000)</f>
        <v>333352.79140331998</v>
      </c>
      <c r="R26" s="95">
        <f>IF(DFIE!$G$2=2008,"",D26*N$17/1000)</f>
        <v>61724.968925039997</v>
      </c>
      <c r="S26" s="95">
        <f>IF(DFIE!$G$2=2008,"",E26*N$18/1000)</f>
        <v>7590.3060675750003</v>
      </c>
      <c r="T26" s="95">
        <f>IF(DFIE!$G$2=2008,"",F26*N$19/1000)</f>
        <v>188.18722413793103</v>
      </c>
      <c r="U26" s="95">
        <f>IF(DFIE!$G$2=2008,"",G26*N$20/1000)</f>
        <v>0</v>
      </c>
      <c r="V26" s="95">
        <f>IF(DFIE!$G$2=2008,"",H26*N$21/1000)</f>
        <v>0</v>
      </c>
      <c r="W26" s="95">
        <f>IF(DFIE!$G$2=2008,"",I26*N$22/1000)</f>
        <v>23469.549218783999</v>
      </c>
      <c r="X26" s="95">
        <f>IF(DFIE!$G$2=2008,"",SUM(R26:W26))</f>
        <v>92973.01143553693</v>
      </c>
      <c r="Y26" s="95">
        <f>IF(DFIE!$G$2=2008,"",X26*$N$11)</f>
        <v>69729.758576652705</v>
      </c>
      <c r="Z26" s="92">
        <v>0</v>
      </c>
      <c r="AA26" s="22">
        <f>IF(DFIE!$G$2=2008,0,IF(Z26=0,Y26+Q26,Z26))</f>
        <v>403082.54997997265</v>
      </c>
      <c r="AB26" s="357"/>
    </row>
    <row r="27" spans="1:28" x14ac:dyDescent="0.2">
      <c r="A27" s="357"/>
      <c r="B27" s="46" t="str">
        <f>DFIE!$B46</f>
        <v>Aargau</v>
      </c>
      <c r="C27" s="61">
        <v>1338866853</v>
      </c>
      <c r="D27" s="61">
        <v>321614118.5</v>
      </c>
      <c r="E27" s="61">
        <v>6356076</v>
      </c>
      <c r="F27" s="61">
        <v>958040188</v>
      </c>
      <c r="G27" s="61">
        <v>0</v>
      </c>
      <c r="H27" s="61">
        <v>0</v>
      </c>
      <c r="I27" s="61">
        <v>0</v>
      </c>
      <c r="J27" s="18">
        <f t="shared" si="0"/>
        <v>2624877235.5</v>
      </c>
      <c r="K27" s="54"/>
      <c r="L27" s="54"/>
      <c r="M27" s="54"/>
      <c r="N27" s="54"/>
      <c r="O27" s="54"/>
      <c r="P27" s="46" t="str">
        <f>DFIE!$B46</f>
        <v>Aargau</v>
      </c>
      <c r="Q27" s="86">
        <f>IF(DFIE!$G$2=2008,"",C27*N$16/1000)</f>
        <v>498058.469316</v>
      </c>
      <c r="R27" s="86">
        <f>IF(DFIE!$G$2=2008,"",D27*N$17/1000)</f>
        <v>119640.452082</v>
      </c>
      <c r="S27" s="86">
        <f>IF(DFIE!$G$2=2008,"",E27*N$18/1000)</f>
        <v>2068.9027380000002</v>
      </c>
      <c r="T27" s="86">
        <f>IF(DFIE!$G$2=2008,"",F27*N$19/1000)</f>
        <v>165179.34275862068</v>
      </c>
      <c r="U27" s="86">
        <f>IF(DFIE!$G$2=2008,"",G27*N$20/1000)</f>
        <v>0</v>
      </c>
      <c r="V27" s="86">
        <f>IF(DFIE!$G$2=2008,"",H27*N$21/1000)</f>
        <v>0</v>
      </c>
      <c r="W27" s="86">
        <f>IF(DFIE!$G$2=2008,"",I27*N$22/1000)</f>
        <v>0</v>
      </c>
      <c r="X27" s="86">
        <f>IF(DFIE!$G$2=2008,"",SUM(R27:W27))</f>
        <v>286888.69757862069</v>
      </c>
      <c r="Y27" s="86">
        <f>IF(DFIE!$G$2=2008,"",X27*$N$11)</f>
        <v>215166.52318396553</v>
      </c>
      <c r="Z27" s="93">
        <v>0</v>
      </c>
      <c r="AA27" s="18">
        <f>IF(DFIE!$G$2=2008,0,IF(Z27=0,Y27+Q27,Z27))</f>
        <v>713224.99249996548</v>
      </c>
      <c r="AB27" s="357"/>
    </row>
    <row r="28" spans="1:28" x14ac:dyDescent="0.2">
      <c r="A28" s="357"/>
      <c r="B28" s="47" t="str">
        <f>DFIE!$B47</f>
        <v>Thurgau</v>
      </c>
      <c r="C28" s="43">
        <v>652455282.14999998</v>
      </c>
      <c r="D28" s="43">
        <v>71259365.069999993</v>
      </c>
      <c r="E28" s="43">
        <v>18895993.879999999</v>
      </c>
      <c r="F28" s="43">
        <v>310965387.16000003</v>
      </c>
      <c r="G28" s="43">
        <v>0</v>
      </c>
      <c r="H28" s="43">
        <v>0</v>
      </c>
      <c r="I28" s="43">
        <v>0</v>
      </c>
      <c r="J28" s="22">
        <f t="shared" si="0"/>
        <v>1053576028.26</v>
      </c>
      <c r="K28" s="54"/>
      <c r="L28" s="54"/>
      <c r="M28" s="54"/>
      <c r="N28" s="54"/>
      <c r="O28" s="54"/>
      <c r="P28" s="47" t="str">
        <f>DFIE!$B47</f>
        <v>Thurgau</v>
      </c>
      <c r="Q28" s="95">
        <f>IF(DFIE!$G$2=2008,"",C28*N$16/1000)</f>
        <v>242713.36495979998</v>
      </c>
      <c r="R28" s="95">
        <f>IF(DFIE!$G$2=2008,"",D28*N$17/1000)</f>
        <v>26508.483806039996</v>
      </c>
      <c r="S28" s="95">
        <f>IF(DFIE!$G$2=2008,"",E28*N$18/1000)</f>
        <v>6150.6460079400003</v>
      </c>
      <c r="T28" s="95">
        <f>IF(DFIE!$G$2=2008,"",F28*N$19/1000)</f>
        <v>53614.721924137928</v>
      </c>
      <c r="U28" s="95">
        <f>IF(DFIE!$G$2=2008,"",G28*N$20/1000)</f>
        <v>0</v>
      </c>
      <c r="V28" s="95">
        <f>IF(DFIE!$G$2=2008,"",H28*N$21/1000)</f>
        <v>0</v>
      </c>
      <c r="W28" s="95">
        <f>IF(DFIE!$G$2=2008,"",I28*N$22/1000)</f>
        <v>0</v>
      </c>
      <c r="X28" s="95">
        <f>IF(DFIE!$G$2=2008,"",SUM(R28:W28))</f>
        <v>86273.851738117926</v>
      </c>
      <c r="Y28" s="95">
        <f>IF(DFIE!$G$2=2008,"",X28*$N$11)</f>
        <v>64705.388803588445</v>
      </c>
      <c r="Z28" s="92">
        <v>0</v>
      </c>
      <c r="AA28" s="22">
        <f>IF(DFIE!$G$2=2008,0,IF(Z28=0,Y28+Q28,Z28))</f>
        <v>307418.75376338843</v>
      </c>
      <c r="AB28" s="357"/>
    </row>
    <row r="29" spans="1:28" x14ac:dyDescent="0.2">
      <c r="A29" s="357"/>
      <c r="B29" s="46" t="str">
        <f>DFIE!$B48</f>
        <v>Tessin</v>
      </c>
      <c r="C29" s="61">
        <v>1313711638</v>
      </c>
      <c r="D29" s="61">
        <v>560579628</v>
      </c>
      <c r="E29" s="61">
        <v>788655</v>
      </c>
      <c r="F29" s="61">
        <v>0</v>
      </c>
      <c r="G29" s="61">
        <v>0</v>
      </c>
      <c r="H29" s="61">
        <v>0</v>
      </c>
      <c r="I29" s="61">
        <v>2903125440</v>
      </c>
      <c r="J29" s="18">
        <f t="shared" si="0"/>
        <v>4778205361</v>
      </c>
      <c r="K29" s="54"/>
      <c r="L29" s="54"/>
      <c r="M29" s="54"/>
      <c r="N29" s="99"/>
      <c r="O29" s="54"/>
      <c r="P29" s="46" t="str">
        <f>DFIE!$B48</f>
        <v>Tessin</v>
      </c>
      <c r="Q29" s="86">
        <f>IF(DFIE!$G$2=2008,"",C29*N$16/1000)</f>
        <v>488700.72933600005</v>
      </c>
      <c r="R29" s="86">
        <f>IF(DFIE!$G$2=2008,"",D29*N$17/1000)</f>
        <v>208535.62161599999</v>
      </c>
      <c r="S29" s="86">
        <f>IF(DFIE!$G$2=2008,"",E29*N$18/1000)</f>
        <v>256.70720249999999</v>
      </c>
      <c r="T29" s="86">
        <f>IF(DFIE!$G$2=2008,"",F29*N$19/1000)</f>
        <v>0</v>
      </c>
      <c r="U29" s="86">
        <f>IF(DFIE!$G$2=2008,"",G29*N$20/1000)</f>
        <v>0</v>
      </c>
      <c r="V29" s="86">
        <f>IF(DFIE!$G$2=2008,"",H29*N$21/1000)</f>
        <v>0</v>
      </c>
      <c r="W29" s="86">
        <f>IF(DFIE!$G$2=2008,"",I29*N$22/1000)</f>
        <v>647977.59820799995</v>
      </c>
      <c r="X29" s="86">
        <f>IF(DFIE!$G$2=2008,"",SUM(R29:W29))</f>
        <v>856769.92702649999</v>
      </c>
      <c r="Y29" s="86">
        <f>IF(DFIE!$G$2=2008,"",X29*$N$11)</f>
        <v>642577.445269875</v>
      </c>
      <c r="Z29" s="93">
        <v>0</v>
      </c>
      <c r="AA29" s="18">
        <f>IF(DFIE!$G$2=2008,0,IF(Z29=0,Y29+Q29,Z29))</f>
        <v>1131278.174605875</v>
      </c>
      <c r="AB29" s="357"/>
    </row>
    <row r="30" spans="1:28" x14ac:dyDescent="0.2">
      <c r="A30" s="357"/>
      <c r="B30" s="47" t="str">
        <f>DFIE!$B49</f>
        <v>Waadt</v>
      </c>
      <c r="C30" s="43">
        <v>2916658325</v>
      </c>
      <c r="D30" s="43">
        <v>0</v>
      </c>
      <c r="E30" s="43">
        <v>0</v>
      </c>
      <c r="F30" s="43">
        <v>0</v>
      </c>
      <c r="G30" s="43">
        <v>0</v>
      </c>
      <c r="H30" s="43">
        <v>2205575545</v>
      </c>
      <c r="I30" s="43">
        <v>0</v>
      </c>
      <c r="J30" s="22">
        <f t="shared" si="0"/>
        <v>5122233870</v>
      </c>
      <c r="K30" s="54"/>
      <c r="L30" s="54"/>
      <c r="M30" s="54"/>
      <c r="N30" s="54"/>
      <c r="O30" s="54"/>
      <c r="P30" s="47" t="str">
        <f>DFIE!$B49</f>
        <v>Waadt</v>
      </c>
      <c r="Q30" s="95">
        <f>IF(DFIE!$G$2=2008,"",C30*N$16/1000)</f>
        <v>1084996.8969000001</v>
      </c>
      <c r="R30" s="95">
        <f>IF(DFIE!$G$2=2008,"",D30*N$17/1000)</f>
        <v>0</v>
      </c>
      <c r="S30" s="95">
        <f>IF(DFIE!$G$2=2008,"",E30*N$18/1000)</f>
        <v>0</v>
      </c>
      <c r="T30" s="95">
        <f>IF(DFIE!$G$2=2008,"",F30*N$19/1000)</f>
        <v>0</v>
      </c>
      <c r="U30" s="95">
        <f>IF(DFIE!$G$2=2008,"",G30*N$20/1000)</f>
        <v>0</v>
      </c>
      <c r="V30" s="95">
        <f>IF(DFIE!$G$2=2008,"",H30*N$21/1000)</f>
        <v>380271.64568965515</v>
      </c>
      <c r="W30" s="95">
        <f>IF(DFIE!$G$2=2008,"",I30*N$22/1000)</f>
        <v>0</v>
      </c>
      <c r="X30" s="95">
        <f>IF(DFIE!$G$2=2008,"",SUM(R30:W30))</f>
        <v>380271.64568965515</v>
      </c>
      <c r="Y30" s="95">
        <f>IF(DFIE!$G$2=2008,"",X30*$N$11)</f>
        <v>285203.73426724138</v>
      </c>
      <c r="Z30" s="92">
        <v>0</v>
      </c>
      <c r="AA30" s="22">
        <f>IF(DFIE!$G$2=2008,0,IF(Z30=0,Y30+Q30,Z30))</f>
        <v>1370200.6311672414</v>
      </c>
      <c r="AB30" s="357"/>
    </row>
    <row r="31" spans="1:28" x14ac:dyDescent="0.2">
      <c r="A31" s="357"/>
      <c r="B31" s="46" t="str">
        <f>DFIE!$B50</f>
        <v>Wallis</v>
      </c>
      <c r="C31" s="61">
        <v>1220019503.8900001</v>
      </c>
      <c r="D31" s="61">
        <v>13260119.199999999</v>
      </c>
      <c r="E31" s="61">
        <v>0</v>
      </c>
      <c r="F31" s="61">
        <v>493582.7</v>
      </c>
      <c r="G31" s="61">
        <v>0</v>
      </c>
      <c r="H31" s="61">
        <v>105127458.73999999</v>
      </c>
      <c r="I31" s="61">
        <v>67965616.030000001</v>
      </c>
      <c r="J31" s="18">
        <f t="shared" si="0"/>
        <v>1406866280.5600002</v>
      </c>
      <c r="K31" s="54"/>
      <c r="L31" s="54"/>
      <c r="M31" s="54"/>
      <c r="N31" s="54"/>
      <c r="O31" s="54"/>
      <c r="P31" s="46" t="str">
        <f>DFIE!$B50</f>
        <v>Wallis</v>
      </c>
      <c r="Q31" s="86">
        <f>IF(DFIE!$G$2=2008,"",C31*N$16/1000)</f>
        <v>453847.25544708001</v>
      </c>
      <c r="R31" s="86">
        <f>IF(DFIE!$G$2=2008,"",D31*N$17/1000)</f>
        <v>4932.7643423999998</v>
      </c>
      <c r="S31" s="86">
        <f>IF(DFIE!$G$2=2008,"",E31*N$18/1000)</f>
        <v>0</v>
      </c>
      <c r="T31" s="86">
        <f>IF(DFIE!$G$2=2008,"",F31*N$19/1000)</f>
        <v>85.100465517241375</v>
      </c>
      <c r="U31" s="86">
        <f>IF(DFIE!$G$2=2008,"",G31*N$20/1000)</f>
        <v>0</v>
      </c>
      <c r="V31" s="86">
        <f>IF(DFIE!$G$2=2008,"",H31*N$21/1000)</f>
        <v>18125.423920689653</v>
      </c>
      <c r="W31" s="86">
        <f>IF(DFIE!$G$2=2008,"",I31*N$22/1000)</f>
        <v>15169.925497895998</v>
      </c>
      <c r="X31" s="86">
        <f>IF(DFIE!$G$2=2008,"",SUM(R31:W31))</f>
        <v>38313.214226502896</v>
      </c>
      <c r="Y31" s="86">
        <f>IF(DFIE!$G$2=2008,"",X31*$N$11)</f>
        <v>28734.910669877172</v>
      </c>
      <c r="Z31" s="93">
        <v>0</v>
      </c>
      <c r="AA31" s="18">
        <f>IF(DFIE!$G$2=2008,0,IF(Z31=0,Y31+Q31,Z31))</f>
        <v>482582.1661169572</v>
      </c>
      <c r="AB31" s="357"/>
    </row>
    <row r="32" spans="1:28" x14ac:dyDescent="0.2">
      <c r="A32" s="357"/>
      <c r="B32" s="47" t="str">
        <f>DFIE!$B51</f>
        <v>Neuenburg</v>
      </c>
      <c r="C32" s="43">
        <v>409008554</v>
      </c>
      <c r="D32" s="43">
        <v>44192614</v>
      </c>
      <c r="E32" s="43">
        <v>0</v>
      </c>
      <c r="F32" s="43">
        <v>76163</v>
      </c>
      <c r="G32" s="43">
        <v>0</v>
      </c>
      <c r="H32" s="43">
        <v>953085138</v>
      </c>
      <c r="I32" s="43">
        <v>0</v>
      </c>
      <c r="J32" s="22">
        <f t="shared" si="0"/>
        <v>1406362469</v>
      </c>
      <c r="K32" s="54"/>
      <c r="L32" s="54"/>
      <c r="M32" s="54"/>
      <c r="N32" s="54"/>
      <c r="O32" s="54"/>
      <c r="P32" s="47" t="str">
        <f>DFIE!$B51</f>
        <v>Neuenburg</v>
      </c>
      <c r="Q32" s="95">
        <f>IF(DFIE!$G$2=2008,"",C32*N$16/1000)</f>
        <v>152151.182088</v>
      </c>
      <c r="R32" s="95">
        <f>IF(DFIE!$G$2=2008,"",D32*N$17/1000)</f>
        <v>16439.652407999998</v>
      </c>
      <c r="S32" s="95">
        <f>IF(DFIE!$G$2=2008,"",E32*N$18/1000)</f>
        <v>0</v>
      </c>
      <c r="T32" s="95">
        <f>IF(DFIE!$G$2=2008,"",F32*N$19/1000)</f>
        <v>13.13155172413793</v>
      </c>
      <c r="U32" s="95">
        <f>IF(DFIE!$G$2=2008,"",G32*N$20/1000)</f>
        <v>0</v>
      </c>
      <c r="V32" s="95">
        <f>IF(DFIE!$G$2=2008,"",H32*N$21/1000)</f>
        <v>164325.02379310344</v>
      </c>
      <c r="W32" s="95">
        <f>IF(DFIE!$G$2=2008,"",I32*N$22/1000)</f>
        <v>0</v>
      </c>
      <c r="X32" s="95">
        <f>IF(DFIE!$G$2=2008,"",SUM(R32:W32))</f>
        <v>180777.80775282756</v>
      </c>
      <c r="Y32" s="95">
        <f>IF(DFIE!$G$2=2008,"",X32*$N$11)</f>
        <v>135583.35581462068</v>
      </c>
      <c r="Z32" s="92">
        <v>0</v>
      </c>
      <c r="AA32" s="22">
        <f>IF(DFIE!$G$2=2008,0,IF(Z32=0,Y32+Q32,Z32))</f>
        <v>287734.53790262068</v>
      </c>
      <c r="AB32" s="357"/>
    </row>
    <row r="33" spans="1:28" x14ac:dyDescent="0.2">
      <c r="A33" s="357"/>
      <c r="B33" s="46" t="str">
        <f>DFIE!$B52</f>
        <v>Genf</v>
      </c>
      <c r="C33" s="61">
        <v>2145340536</v>
      </c>
      <c r="D33" s="61">
        <v>584695196</v>
      </c>
      <c r="E33" s="61">
        <v>2196541</v>
      </c>
      <c r="F33" s="61">
        <v>0</v>
      </c>
      <c r="G33" s="61">
        <v>8368684529</v>
      </c>
      <c r="H33" s="61">
        <v>0</v>
      </c>
      <c r="I33" s="61">
        <v>0</v>
      </c>
      <c r="J33" s="18">
        <f t="shared" si="0"/>
        <v>11100916802</v>
      </c>
      <c r="K33" s="54"/>
      <c r="L33" s="54"/>
      <c r="M33" s="54"/>
      <c r="N33" s="54"/>
      <c r="O33" s="54"/>
      <c r="P33" s="46" t="str">
        <f>DFIE!$B52</f>
        <v>Genf</v>
      </c>
      <c r="Q33" s="86">
        <f>IF(DFIE!$G$2=2008,"",C33*N$16/1000)</f>
        <v>798066.67939199996</v>
      </c>
      <c r="R33" s="86">
        <f>IF(DFIE!$G$2=2008,"",D33*N$17/1000)</f>
        <v>217506.61291200001</v>
      </c>
      <c r="S33" s="86">
        <f>IF(DFIE!$G$2=2008,"",E33*N$18/1000)</f>
        <v>714.97409550000009</v>
      </c>
      <c r="T33" s="86">
        <f>IF(DFIE!$G$2=2008,"",F33*N$19/1000)</f>
        <v>0</v>
      </c>
      <c r="U33" s="86">
        <f>IF(DFIE!$G$2=2008,"",G33*N$20/1000)</f>
        <v>1990913.2558416398</v>
      </c>
      <c r="V33" s="86">
        <f>IF(DFIE!$G$2=2008,"",H33*N$21/1000)</f>
        <v>0</v>
      </c>
      <c r="W33" s="86">
        <f>IF(DFIE!$G$2=2008,"",I33*N$22/1000)</f>
        <v>0</v>
      </c>
      <c r="X33" s="86">
        <f>IF(DFIE!$G$2=2008,"",SUM(R33:W33))</f>
        <v>2209134.8428491401</v>
      </c>
      <c r="Y33" s="86">
        <f>IF(DFIE!$G$2=2008,"",X33*$N$11)</f>
        <v>1656851.132136855</v>
      </c>
      <c r="Z33" s="93">
        <v>0</v>
      </c>
      <c r="AA33" s="18">
        <f>IF(DFIE!$G$2=2008,0,IF(Z33=0,Y33+Q33,Z33))</f>
        <v>2454917.811528855</v>
      </c>
      <c r="AB33" s="357"/>
    </row>
    <row r="34" spans="1:28" x14ac:dyDescent="0.2">
      <c r="A34" s="357"/>
      <c r="B34" s="47" t="str">
        <f>DFIE!$B53</f>
        <v>Jura</v>
      </c>
      <c r="C34" s="43">
        <v>90618952</v>
      </c>
      <c r="D34" s="43">
        <v>12200324</v>
      </c>
      <c r="E34" s="43">
        <v>0</v>
      </c>
      <c r="F34" s="43">
        <v>1022644</v>
      </c>
      <c r="G34" s="43">
        <v>0</v>
      </c>
      <c r="H34" s="43">
        <v>535449499</v>
      </c>
      <c r="I34" s="43">
        <v>0</v>
      </c>
      <c r="J34" s="22">
        <f t="shared" si="0"/>
        <v>639291419</v>
      </c>
      <c r="K34" s="54"/>
      <c r="L34" s="54"/>
      <c r="M34" s="54"/>
      <c r="N34" s="54"/>
      <c r="O34" s="54"/>
      <c r="P34" s="47" t="str">
        <f>DFIE!$B53</f>
        <v>Jura</v>
      </c>
      <c r="Q34" s="95">
        <f>IF(DFIE!$G$2=2008,"",C34*N$16/1000)</f>
        <v>33710.250143999998</v>
      </c>
      <c r="R34" s="95">
        <f>IF(DFIE!$G$2=2008,"",D34*N$17/1000)</f>
        <v>4538.520528</v>
      </c>
      <c r="S34" s="95">
        <f>IF(DFIE!$G$2=2008,"",E34*N$18/1000)</f>
        <v>0</v>
      </c>
      <c r="T34" s="95">
        <f>IF(DFIE!$G$2=2008,"",F34*N$19/1000)</f>
        <v>176.31793103448274</v>
      </c>
      <c r="U34" s="95">
        <f>IF(DFIE!$G$2=2008,"",G34*N$20/1000)</f>
        <v>0</v>
      </c>
      <c r="V34" s="95">
        <f>IF(DFIE!$G$2=2008,"",H34*N$21/1000)</f>
        <v>92318.879137931013</v>
      </c>
      <c r="W34" s="95">
        <f>IF(DFIE!$G$2=2008,"",I34*N$22/1000)</f>
        <v>0</v>
      </c>
      <c r="X34" s="95">
        <f>IF(DFIE!$G$2=2008,"",SUM(R34:W34))</f>
        <v>97033.717596965493</v>
      </c>
      <c r="Y34" s="95">
        <f>IF(DFIE!$G$2=2008,"",X34*$N$11)</f>
        <v>72775.28819772412</v>
      </c>
      <c r="Z34" s="92">
        <v>0</v>
      </c>
      <c r="AA34" s="22">
        <f>IF(DFIE!$G$2=2008,0,IF(Z34=0,Y34+Q34,Z34))</f>
        <v>106485.53834172411</v>
      </c>
      <c r="AB34" s="357"/>
    </row>
    <row r="35" spans="1:28" x14ac:dyDescent="0.2">
      <c r="A35" s="357"/>
      <c r="B35" s="24" t="str">
        <f>DFIE!$B54</f>
        <v>Schweiz</v>
      </c>
      <c r="C35" s="67">
        <f t="shared" ref="C35:I35" si="1">SUM(C9:C34)</f>
        <v>23748699833.700001</v>
      </c>
      <c r="D35" s="67">
        <f t="shared" si="1"/>
        <v>2972150572.6699996</v>
      </c>
      <c r="E35" s="67">
        <f t="shared" si="1"/>
        <v>607186242.33999991</v>
      </c>
      <c r="F35" s="67">
        <f t="shared" si="1"/>
        <v>4822694953.8800001</v>
      </c>
      <c r="G35" s="67">
        <f t="shared" si="1"/>
        <v>8368684529</v>
      </c>
      <c r="H35" s="67">
        <f t="shared" si="1"/>
        <v>6727500726.6399994</v>
      </c>
      <c r="I35" s="67">
        <f t="shared" si="1"/>
        <v>3076241366.1500001</v>
      </c>
      <c r="J35" s="66">
        <f t="shared" si="0"/>
        <v>50323158224.379997</v>
      </c>
      <c r="K35" s="54"/>
      <c r="L35" s="54"/>
      <c r="M35" s="54"/>
      <c r="N35" s="54"/>
      <c r="O35" s="54"/>
      <c r="P35" s="24" t="str">
        <f>DFIE!$B54</f>
        <v>Schweiz</v>
      </c>
      <c r="Q35" s="31">
        <f>SUM(Q9:Q34)</f>
        <v>8834516.3381363992</v>
      </c>
      <c r="R35" s="31">
        <f t="shared" ref="R35:Y35" si="2">SUM(R9:R34)</f>
        <v>1105640.0130332399</v>
      </c>
      <c r="S35" s="31">
        <f t="shared" si="2"/>
        <v>197639.12188167</v>
      </c>
      <c r="T35" s="31">
        <f t="shared" si="2"/>
        <v>831499.12997931032</v>
      </c>
      <c r="U35" s="31">
        <f t="shared" si="2"/>
        <v>1990913.2558416398</v>
      </c>
      <c r="V35" s="31">
        <f t="shared" si="2"/>
        <v>1159913.9183862067</v>
      </c>
      <c r="W35" s="31">
        <f t="shared" si="2"/>
        <v>686617.07292467996</v>
      </c>
      <c r="X35" s="31">
        <f t="shared" si="2"/>
        <v>5972222.5120467478</v>
      </c>
      <c r="Y35" s="31">
        <f t="shared" si="2"/>
        <v>4479166.8840350602</v>
      </c>
      <c r="Z35" s="66">
        <f>IF(DFIE!$G$2=2008,"",SUM(Z9:Z34))</f>
        <v>0</v>
      </c>
      <c r="AA35" s="26">
        <f>SUM(AA9:AA34)</f>
        <v>13313683.222171463</v>
      </c>
      <c r="AB35" s="357"/>
    </row>
    <row r="36" spans="1:28" ht="14.25" customHeight="1" x14ac:dyDescent="0.2">
      <c r="A36" s="33"/>
      <c r="B36" s="81"/>
      <c r="C36" s="81"/>
      <c r="D36" s="81"/>
      <c r="E36" s="81"/>
      <c r="F36" s="81"/>
      <c r="G36" s="81"/>
      <c r="H36" s="81"/>
      <c r="I36" s="81"/>
      <c r="J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</row>
    <row r="37" spans="1:28" x14ac:dyDescent="0.2">
      <c r="A37" s="358" t="str">
        <f>DFIE!$B$70</f>
        <v>Bemessungsjahr 2017</v>
      </c>
      <c r="B37" s="48" t="str">
        <f>DFIE!$B28</f>
        <v>Zürich</v>
      </c>
      <c r="C37" s="49">
        <v>5925496707</v>
      </c>
      <c r="D37" s="49">
        <v>76437682</v>
      </c>
      <c r="E37" s="49">
        <v>0</v>
      </c>
      <c r="F37" s="49">
        <v>607901634</v>
      </c>
      <c r="G37" s="49">
        <v>0</v>
      </c>
      <c r="H37" s="49">
        <v>0</v>
      </c>
      <c r="I37" s="49">
        <v>0</v>
      </c>
      <c r="J37" s="50">
        <f t="shared" ref="J37:J63" si="3">SUM(C37:I37)</f>
        <v>6609836023</v>
      </c>
      <c r="K37" s="100"/>
      <c r="L37" s="57"/>
      <c r="M37" s="57"/>
      <c r="N37" s="57"/>
      <c r="O37" s="100"/>
      <c r="P37" s="48" t="str">
        <f>DFIE!$B28</f>
        <v>Zürich</v>
      </c>
      <c r="Q37" s="96">
        <f t="shared" ref="Q37:Q62" si="4">C37*N$44/1000</f>
        <v>2245763.2519530002</v>
      </c>
      <c r="R37" s="96">
        <f t="shared" ref="R37:R62" si="5">D37*N$45/1000</f>
        <v>28969.881477999999</v>
      </c>
      <c r="S37" s="96">
        <f t="shared" ref="S37:S62" si="6">E37*N$46/1000</f>
        <v>0</v>
      </c>
      <c r="T37" s="96">
        <f t="shared" ref="T37:T62" si="7">F37*N$47/1000</f>
        <v>104810.62655172413</v>
      </c>
      <c r="U37" s="96">
        <f t="shared" ref="U37:U62" si="8">G37*N$48/1000</f>
        <v>0</v>
      </c>
      <c r="V37" s="96">
        <f t="shared" ref="V37:V62" si="9">H37*N$49/1000</f>
        <v>0</v>
      </c>
      <c r="W37" s="96">
        <f t="shared" ref="W37:W62" si="10">I37*N$50/1000</f>
        <v>0</v>
      </c>
      <c r="X37" s="96">
        <f t="shared" ref="X37:X62" si="11">SUM(R37:W37)</f>
        <v>133780.50802972412</v>
      </c>
      <c r="Y37" s="96">
        <f>X37*$N$39</f>
        <v>100335.38102229309</v>
      </c>
      <c r="Z37" s="91">
        <v>0</v>
      </c>
      <c r="AA37" s="50">
        <f>IF(Z37=0,Y37+Q37,Z37)</f>
        <v>2346098.6329752933</v>
      </c>
      <c r="AB37" s="358" t="str">
        <f>DFIE!$B$70</f>
        <v>Bemessungsjahr 2017</v>
      </c>
    </row>
    <row r="38" spans="1:28" x14ac:dyDescent="0.2">
      <c r="A38" s="358"/>
      <c r="B38" s="47" t="str">
        <f>DFIE!$B29</f>
        <v>Bern</v>
      </c>
      <c r="C38" s="43">
        <v>1413167847.4000101</v>
      </c>
      <c r="D38" s="43">
        <v>187033539.33000001</v>
      </c>
      <c r="E38" s="43">
        <v>322483.05</v>
      </c>
      <c r="F38" s="43">
        <v>23599317.18</v>
      </c>
      <c r="G38" s="43">
        <v>0</v>
      </c>
      <c r="H38" s="43">
        <v>157986072.34999999</v>
      </c>
      <c r="I38" s="43">
        <v>0</v>
      </c>
      <c r="J38" s="22">
        <f t="shared" si="3"/>
        <v>1782109259.31001</v>
      </c>
      <c r="K38" s="100"/>
      <c r="L38" s="83" t="str">
        <f>DFIE!$B$96</f>
        <v>Standardisierter Steuersatz SST(2020)</v>
      </c>
      <c r="M38" s="82"/>
      <c r="N38" s="94">
        <v>0.26100000000000001</v>
      </c>
      <c r="O38" s="100"/>
      <c r="P38" s="47" t="str">
        <f>DFIE!$B29</f>
        <v>Bern</v>
      </c>
      <c r="Q38" s="95">
        <f t="shared" si="4"/>
        <v>535590.61416460387</v>
      </c>
      <c r="R38" s="95">
        <f t="shared" si="5"/>
        <v>70885.711406070011</v>
      </c>
      <c r="S38" s="95">
        <f t="shared" si="6"/>
        <v>106.94344145625</v>
      </c>
      <c r="T38" s="95">
        <f t="shared" si="7"/>
        <v>4068.8477896551717</v>
      </c>
      <c r="U38" s="95">
        <f t="shared" si="8"/>
        <v>0</v>
      </c>
      <c r="V38" s="95">
        <f t="shared" si="9"/>
        <v>27238.977991379306</v>
      </c>
      <c r="W38" s="95">
        <f t="shared" si="10"/>
        <v>0</v>
      </c>
      <c r="X38" s="95">
        <f t="shared" si="11"/>
        <v>102300.48062856075</v>
      </c>
      <c r="Y38" s="95">
        <f t="shared" ref="Y38:Y62" si="12">X38*$N$39</f>
        <v>76725.360471420558</v>
      </c>
      <c r="Z38" s="92">
        <v>0</v>
      </c>
      <c r="AA38" s="22">
        <f t="shared" ref="AA38:AA62" si="13">IF(Z38=0,Y38+Q38,Z38)</f>
        <v>612315.97463602445</v>
      </c>
      <c r="AB38" s="358"/>
    </row>
    <row r="39" spans="1:28" x14ac:dyDescent="0.2">
      <c r="A39" s="358"/>
      <c r="B39" s="46" t="str">
        <f>DFIE!$B30</f>
        <v>Luzern</v>
      </c>
      <c r="C39" s="61">
        <v>757365346</v>
      </c>
      <c r="D39" s="61">
        <v>88566460</v>
      </c>
      <c r="E39" s="61">
        <v>964755</v>
      </c>
      <c r="F39" s="61">
        <v>10003082</v>
      </c>
      <c r="G39" s="61">
        <v>0</v>
      </c>
      <c r="H39" s="61">
        <v>0</v>
      </c>
      <c r="I39" s="61">
        <v>0</v>
      </c>
      <c r="J39" s="18">
        <f t="shared" si="3"/>
        <v>856899643</v>
      </c>
      <c r="K39" s="100"/>
      <c r="L39" s="83" t="str">
        <f>DFIE!$B$98</f>
        <v>Faktor Delta</v>
      </c>
      <c r="M39" s="83"/>
      <c r="N39" s="94">
        <v>0.75</v>
      </c>
      <c r="O39" s="100"/>
      <c r="P39" s="46" t="str">
        <f>DFIE!$B30</f>
        <v>Luzern</v>
      </c>
      <c r="Q39" s="86">
        <f t="shared" si="4"/>
        <v>287041.46613399999</v>
      </c>
      <c r="R39" s="86">
        <f t="shared" si="5"/>
        <v>33566.688340000001</v>
      </c>
      <c r="S39" s="86">
        <f t="shared" si="6"/>
        <v>319.936876875</v>
      </c>
      <c r="T39" s="86">
        <f t="shared" si="7"/>
        <v>1724.6693103448274</v>
      </c>
      <c r="U39" s="86">
        <f t="shared" si="8"/>
        <v>0</v>
      </c>
      <c r="V39" s="86">
        <f t="shared" si="9"/>
        <v>0</v>
      </c>
      <c r="W39" s="86">
        <f t="shared" si="10"/>
        <v>0</v>
      </c>
      <c r="X39" s="86">
        <f t="shared" si="11"/>
        <v>35611.294527219827</v>
      </c>
      <c r="Y39" s="86">
        <f t="shared" si="12"/>
        <v>26708.47089541487</v>
      </c>
      <c r="Z39" s="93">
        <v>0</v>
      </c>
      <c r="AA39" s="18">
        <f t="shared" si="13"/>
        <v>313749.93702941487</v>
      </c>
      <c r="AB39" s="358"/>
    </row>
    <row r="40" spans="1:28" x14ac:dyDescent="0.2">
      <c r="A40" s="358"/>
      <c r="B40" s="47" t="str">
        <f>DFIE!$B31</f>
        <v>Uri</v>
      </c>
      <c r="C40" s="43">
        <v>80013235</v>
      </c>
      <c r="D40" s="43">
        <v>400067</v>
      </c>
      <c r="E40" s="43">
        <v>0</v>
      </c>
      <c r="F40" s="43">
        <v>1253</v>
      </c>
      <c r="G40" s="43">
        <v>0</v>
      </c>
      <c r="H40" s="43">
        <v>0</v>
      </c>
      <c r="I40" s="43">
        <v>0</v>
      </c>
      <c r="J40" s="22">
        <f t="shared" si="3"/>
        <v>80414555</v>
      </c>
      <c r="K40" s="100"/>
      <c r="L40" s="57"/>
      <c r="M40" s="57"/>
      <c r="N40" s="57"/>
      <c r="O40" s="100"/>
      <c r="P40" s="47" t="str">
        <f>DFIE!$B31</f>
        <v>Uri</v>
      </c>
      <c r="Q40" s="95">
        <f t="shared" si="4"/>
        <v>30325.016065</v>
      </c>
      <c r="R40" s="95">
        <f t="shared" si="5"/>
        <v>151.625393</v>
      </c>
      <c r="S40" s="95">
        <f t="shared" si="6"/>
        <v>0</v>
      </c>
      <c r="T40" s="95">
        <f t="shared" si="7"/>
        <v>0.21603448275862067</v>
      </c>
      <c r="U40" s="95">
        <f t="shared" si="8"/>
        <v>0</v>
      </c>
      <c r="V40" s="95">
        <f t="shared" si="9"/>
        <v>0</v>
      </c>
      <c r="W40" s="95">
        <f t="shared" si="10"/>
        <v>0</v>
      </c>
      <c r="X40" s="95">
        <f t="shared" si="11"/>
        <v>151.84142748275863</v>
      </c>
      <c r="Y40" s="95">
        <f t="shared" si="12"/>
        <v>113.88107061206898</v>
      </c>
      <c r="Z40" s="92">
        <v>0</v>
      </c>
      <c r="AA40" s="22">
        <f t="shared" si="13"/>
        <v>30438.897135612067</v>
      </c>
      <c r="AB40" s="358"/>
    </row>
    <row r="41" spans="1:28" x14ac:dyDescent="0.2">
      <c r="A41" s="358"/>
      <c r="B41" s="46" t="str">
        <f>DFIE!$B32</f>
        <v>Schwyz</v>
      </c>
      <c r="C41" s="61">
        <v>363722521.80000001</v>
      </c>
      <c r="D41" s="61">
        <v>73652772.349999994</v>
      </c>
      <c r="E41" s="61">
        <v>4264031.2</v>
      </c>
      <c r="F41" s="61">
        <v>490761.1</v>
      </c>
      <c r="G41" s="61">
        <v>0</v>
      </c>
      <c r="H41" s="61">
        <v>0</v>
      </c>
      <c r="I41" s="61">
        <v>0</v>
      </c>
      <c r="J41" s="18">
        <f t="shared" si="3"/>
        <v>442130086.44999999</v>
      </c>
      <c r="K41" s="100"/>
      <c r="L41" s="82" t="str">
        <f>DFIE!$B$100</f>
        <v>Gamma 2017</v>
      </c>
      <c r="M41" s="82"/>
      <c r="N41" s="94">
        <v>0.379</v>
      </c>
      <c r="O41" s="100"/>
      <c r="P41" s="46" t="str">
        <f>DFIE!$B32</f>
        <v>Schwyz</v>
      </c>
      <c r="Q41" s="86">
        <f t="shared" si="4"/>
        <v>137850.8357622</v>
      </c>
      <c r="R41" s="86">
        <f t="shared" si="5"/>
        <v>27914.400720649999</v>
      </c>
      <c r="S41" s="86">
        <f t="shared" si="6"/>
        <v>1414.0593467000001</v>
      </c>
      <c r="T41" s="86">
        <f t="shared" si="7"/>
        <v>84.613982758620679</v>
      </c>
      <c r="U41" s="86">
        <f t="shared" si="8"/>
        <v>0</v>
      </c>
      <c r="V41" s="86">
        <f t="shared" si="9"/>
        <v>0</v>
      </c>
      <c r="W41" s="86">
        <f t="shared" si="10"/>
        <v>0</v>
      </c>
      <c r="X41" s="86">
        <f t="shared" si="11"/>
        <v>29413.074050108618</v>
      </c>
      <c r="Y41" s="86">
        <f t="shared" si="12"/>
        <v>22059.805537581466</v>
      </c>
      <c r="Z41" s="93">
        <v>0</v>
      </c>
      <c r="AA41" s="18">
        <f t="shared" si="13"/>
        <v>159910.64129978148</v>
      </c>
      <c r="AB41" s="358"/>
    </row>
    <row r="42" spans="1:28" x14ac:dyDescent="0.2">
      <c r="A42" s="358"/>
      <c r="B42" s="47" t="str">
        <f>DFIE!$B33</f>
        <v>Obwalden</v>
      </c>
      <c r="C42" s="43">
        <v>98734936.890000001</v>
      </c>
      <c r="D42" s="43">
        <v>6238340.4100000001</v>
      </c>
      <c r="E42" s="43">
        <v>207671.95</v>
      </c>
      <c r="F42" s="43">
        <v>778662.19</v>
      </c>
      <c r="G42" s="43">
        <v>0</v>
      </c>
      <c r="H42" s="43">
        <v>0</v>
      </c>
      <c r="I42" s="43">
        <v>0</v>
      </c>
      <c r="J42" s="22">
        <f t="shared" si="3"/>
        <v>105959611.44</v>
      </c>
      <c r="K42" s="100"/>
      <c r="L42" s="57"/>
      <c r="M42" s="57"/>
      <c r="N42" s="57"/>
      <c r="O42" s="100"/>
      <c r="P42" s="47" t="str">
        <f>DFIE!$B33</f>
        <v>Obwalden</v>
      </c>
      <c r="Q42" s="95">
        <f t="shared" si="4"/>
        <v>37420.541081310002</v>
      </c>
      <c r="R42" s="95">
        <f t="shared" si="5"/>
        <v>2364.3310153900002</v>
      </c>
      <c r="S42" s="95">
        <f t="shared" si="6"/>
        <v>68.869210418750015</v>
      </c>
      <c r="T42" s="95">
        <f t="shared" si="7"/>
        <v>134.2521017241379</v>
      </c>
      <c r="U42" s="95">
        <f t="shared" si="8"/>
        <v>0</v>
      </c>
      <c r="V42" s="95">
        <f t="shared" si="9"/>
        <v>0</v>
      </c>
      <c r="W42" s="95">
        <f t="shared" si="10"/>
        <v>0</v>
      </c>
      <c r="X42" s="95">
        <f t="shared" si="11"/>
        <v>2567.4523275328879</v>
      </c>
      <c r="Y42" s="95">
        <f t="shared" si="12"/>
        <v>1925.5892456496658</v>
      </c>
      <c r="Z42" s="92">
        <v>0</v>
      </c>
      <c r="AA42" s="22">
        <f t="shared" si="13"/>
        <v>39346.130326959668</v>
      </c>
      <c r="AB42" s="358"/>
    </row>
    <row r="43" spans="1:28" x14ac:dyDescent="0.2">
      <c r="A43" s="358"/>
      <c r="B43" s="46" t="str">
        <f>DFIE!$B34</f>
        <v>Nidwalden</v>
      </c>
      <c r="C43" s="61">
        <v>106455100</v>
      </c>
      <c r="D43" s="61">
        <v>4413136</v>
      </c>
      <c r="E43" s="61">
        <v>3224294</v>
      </c>
      <c r="F43" s="61">
        <v>703264</v>
      </c>
      <c r="G43" s="61">
        <v>0</v>
      </c>
      <c r="H43" s="61">
        <v>0</v>
      </c>
      <c r="I43" s="61">
        <v>0</v>
      </c>
      <c r="J43" s="18">
        <f t="shared" si="3"/>
        <v>114795794</v>
      </c>
      <c r="K43" s="100"/>
      <c r="L43" s="82" t="str">
        <f>DFIE!$B$57</f>
        <v>Kategorie</v>
      </c>
      <c r="M43" s="82" t="str">
        <f>DFIE!$B$106</f>
        <v>Formel für Gewicht</v>
      </c>
      <c r="N43" s="88" t="str">
        <f>DFIE!$B$107</f>
        <v>Gewicht (ω)</v>
      </c>
      <c r="O43" s="100"/>
      <c r="P43" s="46" t="str">
        <f>DFIE!$B34</f>
        <v>Nidwalden</v>
      </c>
      <c r="Q43" s="86">
        <f t="shared" si="4"/>
        <v>40346.482899999995</v>
      </c>
      <c r="R43" s="86">
        <f t="shared" si="5"/>
        <v>1672.578544</v>
      </c>
      <c r="S43" s="86">
        <f t="shared" si="6"/>
        <v>1069.2564977500001</v>
      </c>
      <c r="T43" s="86">
        <f t="shared" si="7"/>
        <v>121.25241379310343</v>
      </c>
      <c r="U43" s="86">
        <f t="shared" si="8"/>
        <v>0</v>
      </c>
      <c r="V43" s="86">
        <f t="shared" si="9"/>
        <v>0</v>
      </c>
      <c r="W43" s="86">
        <f t="shared" si="10"/>
        <v>0</v>
      </c>
      <c r="X43" s="86">
        <f t="shared" si="11"/>
        <v>2863.0874555431037</v>
      </c>
      <c r="Y43" s="86">
        <f t="shared" si="12"/>
        <v>2147.3155916573278</v>
      </c>
      <c r="Z43" s="93">
        <v>0</v>
      </c>
      <c r="AA43" s="18">
        <f t="shared" si="13"/>
        <v>42493.798491657326</v>
      </c>
      <c r="AB43" s="358"/>
    </row>
    <row r="44" spans="1:28" x14ac:dyDescent="0.2">
      <c r="A44" s="358"/>
      <c r="B44" s="47" t="str">
        <f>DFIE!$B35</f>
        <v>Glarus</v>
      </c>
      <c r="C44" s="43">
        <v>119816958.2</v>
      </c>
      <c r="D44" s="43">
        <v>1020160</v>
      </c>
      <c r="E44" s="43">
        <v>0</v>
      </c>
      <c r="F44" s="43">
        <v>128875.1</v>
      </c>
      <c r="G44" s="43">
        <v>0</v>
      </c>
      <c r="H44" s="43">
        <v>0</v>
      </c>
      <c r="I44" s="43">
        <v>0</v>
      </c>
      <c r="J44" s="22">
        <f t="shared" si="3"/>
        <v>120965993.3</v>
      </c>
      <c r="K44" s="100"/>
      <c r="L44" s="89">
        <v>0</v>
      </c>
      <c r="M44" s="89" t="s">
        <v>67</v>
      </c>
      <c r="N44" s="90">
        <f>N41</f>
        <v>0.379</v>
      </c>
      <c r="O44" s="100"/>
      <c r="P44" s="47" t="str">
        <f>DFIE!$B35</f>
        <v>Glarus</v>
      </c>
      <c r="Q44" s="95">
        <f t="shared" si="4"/>
        <v>45410.627157800001</v>
      </c>
      <c r="R44" s="95">
        <f t="shared" si="5"/>
        <v>386.64064000000002</v>
      </c>
      <c r="S44" s="95">
        <f t="shared" si="6"/>
        <v>0</v>
      </c>
      <c r="T44" s="95">
        <f t="shared" si="7"/>
        <v>22.219844827586208</v>
      </c>
      <c r="U44" s="95">
        <f t="shared" si="8"/>
        <v>0</v>
      </c>
      <c r="V44" s="95">
        <f t="shared" si="9"/>
        <v>0</v>
      </c>
      <c r="W44" s="95">
        <f t="shared" si="10"/>
        <v>0</v>
      </c>
      <c r="X44" s="95">
        <f t="shared" si="11"/>
        <v>408.86048482758622</v>
      </c>
      <c r="Y44" s="95">
        <f t="shared" si="12"/>
        <v>306.64536362068964</v>
      </c>
      <c r="Z44" s="92">
        <v>0</v>
      </c>
      <c r="AA44" s="22">
        <f t="shared" si="13"/>
        <v>45717.272521420688</v>
      </c>
      <c r="AB44" s="358"/>
    </row>
    <row r="45" spans="1:28" x14ac:dyDescent="0.2">
      <c r="A45" s="358"/>
      <c r="B45" s="46" t="str">
        <f>DFIE!$B36</f>
        <v>Zug</v>
      </c>
      <c r="C45" s="61">
        <v>610550899</v>
      </c>
      <c r="D45" s="61">
        <v>101816713</v>
      </c>
      <c r="E45" s="61">
        <v>4829883</v>
      </c>
      <c r="F45" s="61">
        <v>10573757</v>
      </c>
      <c r="G45" s="61">
        <v>0</v>
      </c>
      <c r="H45" s="61">
        <v>0</v>
      </c>
      <c r="I45" s="61">
        <v>0</v>
      </c>
      <c r="J45" s="18">
        <f t="shared" si="3"/>
        <v>727771252</v>
      </c>
      <c r="K45" s="100"/>
      <c r="L45" s="89">
        <v>1</v>
      </c>
      <c r="M45" s="89" t="s">
        <v>67</v>
      </c>
      <c r="N45" s="90">
        <f>N41</f>
        <v>0.379</v>
      </c>
      <c r="O45" s="100"/>
      <c r="P45" s="46" t="str">
        <f>DFIE!$B36</f>
        <v>Zug</v>
      </c>
      <c r="Q45" s="86">
        <f t="shared" si="4"/>
        <v>231398.79072100003</v>
      </c>
      <c r="R45" s="86">
        <f t="shared" si="5"/>
        <v>38588.534226999996</v>
      </c>
      <c r="S45" s="86">
        <f t="shared" si="6"/>
        <v>1601.7099498749999</v>
      </c>
      <c r="T45" s="86">
        <f t="shared" si="7"/>
        <v>1823.0615517241376</v>
      </c>
      <c r="U45" s="86">
        <f t="shared" si="8"/>
        <v>0</v>
      </c>
      <c r="V45" s="86">
        <f t="shared" si="9"/>
        <v>0</v>
      </c>
      <c r="W45" s="86">
        <f t="shared" si="10"/>
        <v>0</v>
      </c>
      <c r="X45" s="86">
        <f t="shared" si="11"/>
        <v>42013.305728599138</v>
      </c>
      <c r="Y45" s="86">
        <f t="shared" si="12"/>
        <v>31509.979296449354</v>
      </c>
      <c r="Z45" s="93">
        <v>0</v>
      </c>
      <c r="AA45" s="18">
        <f t="shared" si="13"/>
        <v>262908.77001744939</v>
      </c>
      <c r="AB45" s="358"/>
    </row>
    <row r="46" spans="1:28" x14ac:dyDescent="0.2">
      <c r="A46" s="358"/>
      <c r="B46" s="47" t="str">
        <f>DFIE!$B37</f>
        <v>Freiburg</v>
      </c>
      <c r="C46" s="43">
        <v>631523717.25</v>
      </c>
      <c r="D46" s="43">
        <v>81069101.75</v>
      </c>
      <c r="E46" s="43">
        <v>296377.40000000002</v>
      </c>
      <c r="F46" s="43">
        <v>654105.69999999995</v>
      </c>
      <c r="G46" s="43">
        <v>0</v>
      </c>
      <c r="H46" s="43">
        <v>0</v>
      </c>
      <c r="I46" s="43">
        <v>0</v>
      </c>
      <c r="J46" s="22">
        <f t="shared" si="3"/>
        <v>713543302.10000002</v>
      </c>
      <c r="K46" s="100"/>
      <c r="L46" s="89" t="s">
        <v>56</v>
      </c>
      <c r="M46" s="89" t="s">
        <v>91</v>
      </c>
      <c r="N46" s="90">
        <f>IF(DFIE!$G$2-5&lt;2006,0.03/$N$7,0.875*N41)</f>
        <v>0.331625</v>
      </c>
      <c r="O46" s="100"/>
      <c r="P46" s="47" t="str">
        <f>DFIE!$B37</f>
        <v>Freiburg</v>
      </c>
      <c r="Q46" s="95">
        <f t="shared" si="4"/>
        <v>239347.48883774999</v>
      </c>
      <c r="R46" s="95">
        <f t="shared" si="5"/>
        <v>30725.189563250002</v>
      </c>
      <c r="S46" s="95">
        <f t="shared" si="6"/>
        <v>98.286155275000013</v>
      </c>
      <c r="T46" s="95">
        <f t="shared" si="7"/>
        <v>112.77684482758619</v>
      </c>
      <c r="U46" s="95">
        <f t="shared" si="8"/>
        <v>0</v>
      </c>
      <c r="V46" s="95">
        <f t="shared" si="9"/>
        <v>0</v>
      </c>
      <c r="W46" s="95">
        <f t="shared" si="10"/>
        <v>0</v>
      </c>
      <c r="X46" s="95">
        <f t="shared" si="11"/>
        <v>30936.252563352587</v>
      </c>
      <c r="Y46" s="95">
        <f t="shared" si="12"/>
        <v>23202.189422514442</v>
      </c>
      <c r="Z46" s="92">
        <v>0</v>
      </c>
      <c r="AA46" s="22">
        <f t="shared" si="13"/>
        <v>262549.67826026445</v>
      </c>
      <c r="AB46" s="358"/>
    </row>
    <row r="47" spans="1:28" x14ac:dyDescent="0.2">
      <c r="A47" s="358"/>
      <c r="B47" s="46" t="str">
        <f>DFIE!$B38</f>
        <v>Solothurn</v>
      </c>
      <c r="C47" s="61">
        <v>577369064.98000002</v>
      </c>
      <c r="D47" s="61">
        <v>29352477.23</v>
      </c>
      <c r="E47" s="61">
        <v>1893042</v>
      </c>
      <c r="F47" s="61">
        <v>53219045.740000002</v>
      </c>
      <c r="G47" s="61">
        <v>0</v>
      </c>
      <c r="H47" s="61">
        <v>96431213.450000003</v>
      </c>
      <c r="I47" s="61">
        <v>0</v>
      </c>
      <c r="J47" s="18">
        <f t="shared" si="3"/>
        <v>758264843.4000001</v>
      </c>
      <c r="K47" s="100"/>
      <c r="L47" s="89" t="s">
        <v>57</v>
      </c>
      <c r="M47" s="89" t="str">
        <f>DFIE!$B$110</f>
        <v>0.045 / SST(2020)</v>
      </c>
      <c r="N47" s="90">
        <f>0.045/ROUND($N$38,3)</f>
        <v>0.17241379310344826</v>
      </c>
      <c r="O47" s="100"/>
      <c r="P47" s="46" t="str">
        <f>DFIE!$B38</f>
        <v>Solothurn</v>
      </c>
      <c r="Q47" s="86">
        <f t="shared" si="4"/>
        <v>218822.87562742</v>
      </c>
      <c r="R47" s="86">
        <f t="shared" si="5"/>
        <v>11124.588870170001</v>
      </c>
      <c r="S47" s="86">
        <f t="shared" si="6"/>
        <v>627.78005325000004</v>
      </c>
      <c r="T47" s="86">
        <f t="shared" si="7"/>
        <v>9175.6975413793098</v>
      </c>
      <c r="U47" s="86">
        <f t="shared" si="8"/>
        <v>0</v>
      </c>
      <c r="V47" s="86">
        <f t="shared" si="9"/>
        <v>16626.071284482758</v>
      </c>
      <c r="W47" s="86">
        <f t="shared" si="10"/>
        <v>0</v>
      </c>
      <c r="X47" s="86">
        <f t="shared" si="11"/>
        <v>37554.137749282068</v>
      </c>
      <c r="Y47" s="86">
        <f t="shared" si="12"/>
        <v>28165.603311961553</v>
      </c>
      <c r="Z47" s="93">
        <v>0</v>
      </c>
      <c r="AA47" s="18">
        <f t="shared" si="13"/>
        <v>246988.47893938154</v>
      </c>
      <c r="AB47" s="358"/>
    </row>
    <row r="48" spans="1:28" x14ac:dyDescent="0.2">
      <c r="A48" s="358"/>
      <c r="B48" s="47" t="str">
        <f>DFIE!$B39</f>
        <v>Basel-Stadt</v>
      </c>
      <c r="C48" s="43">
        <v>678286926.20000005</v>
      </c>
      <c r="D48" s="43">
        <v>417282854.45999998</v>
      </c>
      <c r="E48" s="43">
        <v>3546033.75</v>
      </c>
      <c r="F48" s="43">
        <v>1588350985.8</v>
      </c>
      <c r="G48" s="43">
        <v>0</v>
      </c>
      <c r="H48" s="43">
        <v>1643001637.23</v>
      </c>
      <c r="I48" s="43">
        <v>0</v>
      </c>
      <c r="J48" s="22">
        <f t="shared" si="3"/>
        <v>4330468437.4400005</v>
      </c>
      <c r="K48" s="100"/>
      <c r="L48" s="89" t="s">
        <v>58</v>
      </c>
      <c r="M48" s="89" t="str">
        <f>DFIE!$B$111</f>
        <v>γ - 0.035 / SST(2020)</v>
      </c>
      <c r="N48" s="90">
        <f>N41-0.035/ROUND($N$38,3)</f>
        <v>0.24490038314176243</v>
      </c>
      <c r="O48" s="100"/>
      <c r="P48" s="47" t="str">
        <f>DFIE!$B39</f>
        <v>Basel-Stadt</v>
      </c>
      <c r="Q48" s="95">
        <f t="shared" si="4"/>
        <v>257070.74502980002</v>
      </c>
      <c r="R48" s="95">
        <f t="shared" si="5"/>
        <v>158150.20184033999</v>
      </c>
      <c r="S48" s="95">
        <f t="shared" si="6"/>
        <v>1175.9534423437501</v>
      </c>
      <c r="T48" s="95">
        <f t="shared" si="7"/>
        <v>273853.61824137927</v>
      </c>
      <c r="U48" s="95">
        <f t="shared" si="8"/>
        <v>0</v>
      </c>
      <c r="V48" s="95">
        <f t="shared" si="9"/>
        <v>283276.14434999996</v>
      </c>
      <c r="W48" s="95">
        <f t="shared" si="10"/>
        <v>0</v>
      </c>
      <c r="X48" s="95">
        <f t="shared" si="11"/>
        <v>716455.9178740629</v>
      </c>
      <c r="Y48" s="95">
        <f t="shared" si="12"/>
        <v>537341.93840554717</v>
      </c>
      <c r="Z48" s="92">
        <v>0</v>
      </c>
      <c r="AA48" s="22">
        <f t="shared" si="13"/>
        <v>794412.68343534716</v>
      </c>
      <c r="AB48" s="358"/>
    </row>
    <row r="49" spans="1:28" x14ac:dyDescent="0.2">
      <c r="A49" s="358"/>
      <c r="B49" s="46" t="str">
        <f>DFIE!$B40</f>
        <v>Basel-Landschaft</v>
      </c>
      <c r="C49" s="61">
        <v>425637457.37</v>
      </c>
      <c r="D49" s="61">
        <v>105365118.12</v>
      </c>
      <c r="E49" s="61">
        <v>1684473.4</v>
      </c>
      <c r="F49" s="61">
        <v>836708861.15999997</v>
      </c>
      <c r="G49" s="61">
        <v>0</v>
      </c>
      <c r="H49" s="61">
        <v>993918088</v>
      </c>
      <c r="I49" s="61">
        <v>0</v>
      </c>
      <c r="J49" s="18">
        <f t="shared" si="3"/>
        <v>2363313998.0500002</v>
      </c>
      <c r="K49" s="100"/>
      <c r="L49" s="89" t="s">
        <v>59</v>
      </c>
      <c r="M49" s="89" t="str">
        <f>DFIE!$B$110</f>
        <v>0.045 / SST(2020)</v>
      </c>
      <c r="N49" s="90">
        <f>0.045/ROUND($N$38,3)</f>
        <v>0.17241379310344826</v>
      </c>
      <c r="O49" s="100"/>
      <c r="P49" s="46" t="str">
        <f>DFIE!$B40</f>
        <v>Basel-Landschaft</v>
      </c>
      <c r="Q49" s="86">
        <f t="shared" si="4"/>
        <v>161316.59634323002</v>
      </c>
      <c r="R49" s="86">
        <f t="shared" si="5"/>
        <v>39933.379767480001</v>
      </c>
      <c r="S49" s="86">
        <f t="shared" si="6"/>
        <v>558.61349127499989</v>
      </c>
      <c r="T49" s="86">
        <f t="shared" si="7"/>
        <v>144260.14847586205</v>
      </c>
      <c r="U49" s="86">
        <f t="shared" si="8"/>
        <v>0</v>
      </c>
      <c r="V49" s="86">
        <f t="shared" si="9"/>
        <v>171365.18758620688</v>
      </c>
      <c r="W49" s="86">
        <f t="shared" si="10"/>
        <v>0</v>
      </c>
      <c r="X49" s="86">
        <f t="shared" si="11"/>
        <v>356117.32932082395</v>
      </c>
      <c r="Y49" s="86">
        <f t="shared" si="12"/>
        <v>267087.99699061795</v>
      </c>
      <c r="Z49" s="93">
        <v>0</v>
      </c>
      <c r="AA49" s="18">
        <f t="shared" si="13"/>
        <v>428404.59333384794</v>
      </c>
      <c r="AB49" s="358"/>
    </row>
    <row r="50" spans="1:28" x14ac:dyDescent="0.2">
      <c r="A50" s="358"/>
      <c r="B50" s="47" t="str">
        <f>DFIE!$B41</f>
        <v>Schaffhausen</v>
      </c>
      <c r="C50" s="43">
        <v>258865208</v>
      </c>
      <c r="D50" s="43">
        <v>36057990</v>
      </c>
      <c r="E50" s="43">
        <v>1450922</v>
      </c>
      <c r="F50" s="43">
        <v>386416337</v>
      </c>
      <c r="G50" s="43">
        <v>0</v>
      </c>
      <c r="H50" s="43">
        <v>0</v>
      </c>
      <c r="I50" s="43">
        <v>0</v>
      </c>
      <c r="J50" s="22">
        <f t="shared" si="3"/>
        <v>682790457</v>
      </c>
      <c r="K50" s="100"/>
      <c r="L50" s="89" t="s">
        <v>60</v>
      </c>
      <c r="M50" s="89" t="s">
        <v>92</v>
      </c>
      <c r="N50" s="90">
        <f>0.6*N41</f>
        <v>0.22739999999999999</v>
      </c>
      <c r="O50" s="100"/>
      <c r="P50" s="47" t="str">
        <f>DFIE!$B41</f>
        <v>Schaffhausen</v>
      </c>
      <c r="Q50" s="95">
        <f t="shared" si="4"/>
        <v>98109.913832000006</v>
      </c>
      <c r="R50" s="95">
        <f t="shared" si="5"/>
        <v>13665.978210000001</v>
      </c>
      <c r="S50" s="95">
        <f t="shared" si="6"/>
        <v>481.16200824999999</v>
      </c>
      <c r="T50" s="95">
        <f t="shared" si="7"/>
        <v>66623.506379310333</v>
      </c>
      <c r="U50" s="95">
        <f t="shared" si="8"/>
        <v>0</v>
      </c>
      <c r="V50" s="95">
        <f t="shared" si="9"/>
        <v>0</v>
      </c>
      <c r="W50" s="95">
        <f t="shared" si="10"/>
        <v>0</v>
      </c>
      <c r="X50" s="95">
        <f t="shared" si="11"/>
        <v>80770.646597560335</v>
      </c>
      <c r="Y50" s="95">
        <f t="shared" si="12"/>
        <v>60577.984948170255</v>
      </c>
      <c r="Z50" s="92">
        <v>0</v>
      </c>
      <c r="AA50" s="22">
        <f t="shared" si="13"/>
        <v>158687.89878017025</v>
      </c>
      <c r="AB50" s="358"/>
    </row>
    <row r="51" spans="1:28" x14ac:dyDescent="0.2">
      <c r="A51" s="358"/>
      <c r="B51" s="46" t="str">
        <f>DFIE!$B42</f>
        <v>Appenzell A.Rh.</v>
      </c>
      <c r="C51" s="61">
        <v>12692446</v>
      </c>
      <c r="D51" s="61">
        <v>24989320</v>
      </c>
      <c r="E51" s="61">
        <v>15295684</v>
      </c>
      <c r="F51" s="61">
        <v>5017235</v>
      </c>
      <c r="G51" s="61">
        <v>0</v>
      </c>
      <c r="H51" s="61">
        <v>0</v>
      </c>
      <c r="I51" s="61">
        <v>0</v>
      </c>
      <c r="J51" s="18">
        <f t="shared" si="3"/>
        <v>57994685</v>
      </c>
      <c r="K51" s="100"/>
      <c r="L51" s="57"/>
      <c r="M51" s="57"/>
      <c r="N51" s="101"/>
      <c r="O51" s="100"/>
      <c r="P51" s="46" t="str">
        <f>DFIE!$B42</f>
        <v>Appenzell A.Rh.</v>
      </c>
      <c r="Q51" s="86">
        <f t="shared" si="4"/>
        <v>4810.4370339999996</v>
      </c>
      <c r="R51" s="86">
        <f t="shared" si="5"/>
        <v>9470.9522799999995</v>
      </c>
      <c r="S51" s="86">
        <f t="shared" si="6"/>
        <v>5072.4312065000004</v>
      </c>
      <c r="T51" s="86">
        <f t="shared" si="7"/>
        <v>865.04051724137923</v>
      </c>
      <c r="U51" s="86">
        <f t="shared" si="8"/>
        <v>0</v>
      </c>
      <c r="V51" s="86">
        <f t="shared" si="9"/>
        <v>0</v>
      </c>
      <c r="W51" s="86">
        <f t="shared" si="10"/>
        <v>0</v>
      </c>
      <c r="X51" s="86">
        <f t="shared" si="11"/>
        <v>15408.424003741378</v>
      </c>
      <c r="Y51" s="86">
        <f t="shared" si="12"/>
        <v>11556.318002806034</v>
      </c>
      <c r="Z51" s="93">
        <v>0</v>
      </c>
      <c r="AA51" s="18">
        <f t="shared" si="13"/>
        <v>16366.755036806033</v>
      </c>
      <c r="AB51" s="358"/>
    </row>
    <row r="52" spans="1:28" x14ac:dyDescent="0.2">
      <c r="A52" s="358"/>
      <c r="B52" s="47" t="str">
        <f>DFIE!$B43</f>
        <v>Appenzell I.Rh.</v>
      </c>
      <c r="C52" s="43">
        <v>20707718.510000002</v>
      </c>
      <c r="D52" s="43">
        <v>2488028.35</v>
      </c>
      <c r="E52" s="43">
        <v>3997746.13</v>
      </c>
      <c r="F52" s="43">
        <v>927803.66</v>
      </c>
      <c r="G52" s="43">
        <v>0</v>
      </c>
      <c r="H52" s="43">
        <v>0</v>
      </c>
      <c r="I52" s="43">
        <v>0</v>
      </c>
      <c r="J52" s="22">
        <f t="shared" si="3"/>
        <v>28121296.650000002</v>
      </c>
      <c r="K52" s="100"/>
      <c r="L52" s="57"/>
      <c r="M52" s="57"/>
      <c r="N52" s="57"/>
      <c r="O52" s="100"/>
      <c r="P52" s="47" t="str">
        <f>DFIE!$B43</f>
        <v>Appenzell I.Rh.</v>
      </c>
      <c r="Q52" s="95">
        <f t="shared" si="4"/>
        <v>7848.2253152900003</v>
      </c>
      <c r="R52" s="95">
        <f t="shared" si="5"/>
        <v>942.96274464999999</v>
      </c>
      <c r="S52" s="95">
        <f t="shared" si="6"/>
        <v>1325.7525603612501</v>
      </c>
      <c r="T52" s="95">
        <f t="shared" si="7"/>
        <v>159.96614827586208</v>
      </c>
      <c r="U52" s="95">
        <f t="shared" si="8"/>
        <v>0</v>
      </c>
      <c r="V52" s="95">
        <f t="shared" si="9"/>
        <v>0</v>
      </c>
      <c r="W52" s="95">
        <f t="shared" si="10"/>
        <v>0</v>
      </c>
      <c r="X52" s="95">
        <f t="shared" si="11"/>
        <v>2428.6814532871122</v>
      </c>
      <c r="Y52" s="95">
        <f t="shared" si="12"/>
        <v>1821.5110899653341</v>
      </c>
      <c r="Z52" s="92">
        <v>0</v>
      </c>
      <c r="AA52" s="22">
        <f t="shared" si="13"/>
        <v>9669.7364052553348</v>
      </c>
      <c r="AB52" s="358"/>
    </row>
    <row r="53" spans="1:28" x14ac:dyDescent="0.2">
      <c r="A53" s="358"/>
      <c r="B53" s="46" t="str">
        <f>DFIE!$B44</f>
        <v>St. Gallen</v>
      </c>
      <c r="C53" s="61">
        <v>821569956.94000006</v>
      </c>
      <c r="D53" s="61">
        <v>96459321.569999993</v>
      </c>
      <c r="E53" s="61">
        <v>526442442.24000001</v>
      </c>
      <c r="F53" s="61">
        <v>101886576.81999999</v>
      </c>
      <c r="G53" s="61">
        <v>0</v>
      </c>
      <c r="H53" s="61">
        <v>0</v>
      </c>
      <c r="I53" s="61">
        <v>0</v>
      </c>
      <c r="J53" s="18">
        <f t="shared" si="3"/>
        <v>1546358297.5699999</v>
      </c>
      <c r="K53" s="100"/>
      <c r="L53" s="57"/>
      <c r="M53" s="57"/>
      <c r="N53" s="101"/>
      <c r="O53" s="100"/>
      <c r="P53" s="46" t="str">
        <f>DFIE!$B44</f>
        <v>St. Gallen</v>
      </c>
      <c r="Q53" s="86">
        <f t="shared" si="4"/>
        <v>311375.01368025999</v>
      </c>
      <c r="R53" s="86">
        <f t="shared" si="5"/>
        <v>36558.082875029999</v>
      </c>
      <c r="S53" s="86">
        <f t="shared" si="6"/>
        <v>174581.47490784002</v>
      </c>
      <c r="T53" s="86">
        <f t="shared" si="7"/>
        <v>17566.651175862065</v>
      </c>
      <c r="U53" s="86">
        <f t="shared" si="8"/>
        <v>0</v>
      </c>
      <c r="V53" s="86">
        <f t="shared" si="9"/>
        <v>0</v>
      </c>
      <c r="W53" s="86">
        <f t="shared" si="10"/>
        <v>0</v>
      </c>
      <c r="X53" s="86">
        <f t="shared" si="11"/>
        <v>228706.20895873208</v>
      </c>
      <c r="Y53" s="86">
        <f t="shared" si="12"/>
        <v>171529.65671904906</v>
      </c>
      <c r="Z53" s="93">
        <v>0</v>
      </c>
      <c r="AA53" s="18">
        <f t="shared" si="13"/>
        <v>482904.67039930902</v>
      </c>
      <c r="AB53" s="358"/>
    </row>
    <row r="54" spans="1:28" x14ac:dyDescent="0.2">
      <c r="A54" s="358"/>
      <c r="B54" s="47" t="str">
        <f>DFIE!$B45</f>
        <v>Graubünden</v>
      </c>
      <c r="C54" s="43">
        <v>900755899.87</v>
      </c>
      <c r="D54" s="43">
        <v>183051040.87</v>
      </c>
      <c r="E54" s="43">
        <v>25277875.460000001</v>
      </c>
      <c r="F54" s="43">
        <v>1310952.1000000001</v>
      </c>
      <c r="G54" s="43">
        <v>0</v>
      </c>
      <c r="H54" s="43">
        <v>0</v>
      </c>
      <c r="I54" s="43">
        <v>109371639.90000001</v>
      </c>
      <c r="J54" s="22">
        <f t="shared" si="3"/>
        <v>1219767408.2</v>
      </c>
      <c r="K54" s="100"/>
      <c r="L54" s="57"/>
      <c r="M54" s="57"/>
      <c r="N54" s="57"/>
      <c r="O54" s="100"/>
      <c r="P54" s="47" t="str">
        <f>DFIE!$B45</f>
        <v>Graubünden</v>
      </c>
      <c r="Q54" s="95">
        <f t="shared" si="4"/>
        <v>341386.48605072999</v>
      </c>
      <c r="R54" s="95">
        <f t="shared" si="5"/>
        <v>69376.344489730007</v>
      </c>
      <c r="S54" s="95">
        <f t="shared" si="6"/>
        <v>8382.775449422501</v>
      </c>
      <c r="T54" s="95">
        <f t="shared" si="7"/>
        <v>226.02622413793105</v>
      </c>
      <c r="U54" s="95">
        <f t="shared" si="8"/>
        <v>0</v>
      </c>
      <c r="V54" s="95">
        <f t="shared" si="9"/>
        <v>0</v>
      </c>
      <c r="W54" s="95">
        <f t="shared" si="10"/>
        <v>24871.110913260003</v>
      </c>
      <c r="X54" s="95">
        <f t="shared" si="11"/>
        <v>102856.25707655042</v>
      </c>
      <c r="Y54" s="95">
        <f t="shared" si="12"/>
        <v>77142.192807412823</v>
      </c>
      <c r="Z54" s="92">
        <v>0</v>
      </c>
      <c r="AA54" s="22">
        <f t="shared" si="13"/>
        <v>418528.67885814281</v>
      </c>
      <c r="AB54" s="358"/>
    </row>
    <row r="55" spans="1:28" x14ac:dyDescent="0.2">
      <c r="A55" s="358"/>
      <c r="B55" s="46" t="str">
        <f>DFIE!$B46</f>
        <v>Aargau</v>
      </c>
      <c r="C55" s="61">
        <v>1386602430</v>
      </c>
      <c r="D55" s="61">
        <v>340864603</v>
      </c>
      <c r="E55" s="61">
        <v>6104061.5</v>
      </c>
      <c r="F55" s="61">
        <v>965593132</v>
      </c>
      <c r="G55" s="61">
        <v>0</v>
      </c>
      <c r="H55" s="61">
        <v>0</v>
      </c>
      <c r="I55" s="61">
        <v>0</v>
      </c>
      <c r="J55" s="18">
        <f t="shared" si="3"/>
        <v>2699164226.5</v>
      </c>
      <c r="K55" s="100"/>
      <c r="L55" s="57"/>
      <c r="M55" s="57"/>
      <c r="N55" s="101"/>
      <c r="O55" s="100"/>
      <c r="P55" s="46" t="str">
        <f>DFIE!$B46</f>
        <v>Aargau</v>
      </c>
      <c r="Q55" s="86">
        <f t="shared" si="4"/>
        <v>525522.32097</v>
      </c>
      <c r="R55" s="86">
        <f t="shared" si="5"/>
        <v>129187.68453699999</v>
      </c>
      <c r="S55" s="86">
        <f t="shared" si="6"/>
        <v>2024.2593949375</v>
      </c>
      <c r="T55" s="86">
        <f t="shared" si="7"/>
        <v>166481.57448275862</v>
      </c>
      <c r="U55" s="86">
        <f t="shared" si="8"/>
        <v>0</v>
      </c>
      <c r="V55" s="86">
        <f t="shared" si="9"/>
        <v>0</v>
      </c>
      <c r="W55" s="86">
        <f t="shared" si="10"/>
        <v>0</v>
      </c>
      <c r="X55" s="86">
        <f t="shared" si="11"/>
        <v>297693.5184146961</v>
      </c>
      <c r="Y55" s="86">
        <f t="shared" si="12"/>
        <v>223270.13881102207</v>
      </c>
      <c r="Z55" s="93">
        <v>0</v>
      </c>
      <c r="AA55" s="18">
        <f t="shared" si="13"/>
        <v>748792.45978102204</v>
      </c>
      <c r="AB55" s="358"/>
    </row>
    <row r="56" spans="1:28" x14ac:dyDescent="0.2">
      <c r="A56" s="358"/>
      <c r="B56" s="47" t="str">
        <f>DFIE!$B47</f>
        <v>Thurgau</v>
      </c>
      <c r="C56" s="43">
        <v>575463324.13</v>
      </c>
      <c r="D56" s="43">
        <v>70953456.560000002</v>
      </c>
      <c r="E56" s="43">
        <v>20633310.120000001</v>
      </c>
      <c r="F56" s="43">
        <v>322332197.64999998</v>
      </c>
      <c r="G56" s="43">
        <v>0</v>
      </c>
      <c r="H56" s="43">
        <v>0</v>
      </c>
      <c r="I56" s="43">
        <v>0</v>
      </c>
      <c r="J56" s="22">
        <f t="shared" si="3"/>
        <v>989382288.46000004</v>
      </c>
      <c r="K56" s="100"/>
      <c r="L56" s="57"/>
      <c r="M56" s="57"/>
      <c r="N56" s="57"/>
      <c r="O56" s="100"/>
      <c r="P56" s="47" t="str">
        <f>DFIE!$B47</f>
        <v>Thurgau</v>
      </c>
      <c r="Q56" s="95">
        <f t="shared" si="4"/>
        <v>218100.59984527002</v>
      </c>
      <c r="R56" s="95">
        <f t="shared" si="5"/>
        <v>26891.360036239999</v>
      </c>
      <c r="S56" s="95">
        <f t="shared" si="6"/>
        <v>6842.5214685450001</v>
      </c>
      <c r="T56" s="95">
        <f t="shared" si="7"/>
        <v>55574.516836206887</v>
      </c>
      <c r="U56" s="95">
        <f t="shared" si="8"/>
        <v>0</v>
      </c>
      <c r="V56" s="95">
        <f t="shared" si="9"/>
        <v>0</v>
      </c>
      <c r="W56" s="95">
        <f t="shared" si="10"/>
        <v>0</v>
      </c>
      <c r="X56" s="95">
        <f t="shared" si="11"/>
        <v>89308.398340991887</v>
      </c>
      <c r="Y56" s="95">
        <f t="shared" si="12"/>
        <v>66981.298755743919</v>
      </c>
      <c r="Z56" s="92">
        <v>0</v>
      </c>
      <c r="AA56" s="22">
        <f t="shared" si="13"/>
        <v>285081.89860101393</v>
      </c>
      <c r="AB56" s="358"/>
    </row>
    <row r="57" spans="1:28" x14ac:dyDescent="0.2">
      <c r="A57" s="358"/>
      <c r="B57" s="46" t="str">
        <f>DFIE!$B48</f>
        <v>Tessin</v>
      </c>
      <c r="C57" s="61">
        <v>1190075254</v>
      </c>
      <c r="D57" s="61">
        <v>632498643</v>
      </c>
      <c r="E57" s="61">
        <v>545542</v>
      </c>
      <c r="F57" s="61">
        <v>0</v>
      </c>
      <c r="G57" s="61">
        <v>0</v>
      </c>
      <c r="H57" s="61">
        <v>0</v>
      </c>
      <c r="I57" s="61">
        <v>3082127336</v>
      </c>
      <c r="J57" s="18">
        <f t="shared" si="3"/>
        <v>4905246775</v>
      </c>
      <c r="K57" s="100"/>
      <c r="L57" s="57"/>
      <c r="M57" s="57"/>
      <c r="N57" s="101"/>
      <c r="O57" s="100"/>
      <c r="P57" s="46" t="str">
        <f>DFIE!$B48</f>
        <v>Tessin</v>
      </c>
      <c r="Q57" s="86">
        <f t="shared" si="4"/>
        <v>451038.52126600005</v>
      </c>
      <c r="R57" s="86">
        <f t="shared" si="5"/>
        <v>239716.985697</v>
      </c>
      <c r="S57" s="86">
        <f t="shared" si="6"/>
        <v>180.91536575000001</v>
      </c>
      <c r="T57" s="86">
        <f t="shared" si="7"/>
        <v>0</v>
      </c>
      <c r="U57" s="86">
        <f t="shared" si="8"/>
        <v>0</v>
      </c>
      <c r="V57" s="86">
        <f t="shared" si="9"/>
        <v>0</v>
      </c>
      <c r="W57" s="86">
        <f t="shared" si="10"/>
        <v>700875.75620639988</v>
      </c>
      <c r="X57" s="86">
        <f t="shared" si="11"/>
        <v>940773.6572691499</v>
      </c>
      <c r="Y57" s="86">
        <f t="shared" si="12"/>
        <v>705580.2429518624</v>
      </c>
      <c r="Z57" s="93">
        <v>0</v>
      </c>
      <c r="AA57" s="18">
        <f t="shared" si="13"/>
        <v>1156618.7642178624</v>
      </c>
      <c r="AB57" s="358"/>
    </row>
    <row r="58" spans="1:28" x14ac:dyDescent="0.2">
      <c r="A58" s="358"/>
      <c r="B58" s="47" t="str">
        <f>DFIE!$B49</f>
        <v>Waadt</v>
      </c>
      <c r="C58" s="43">
        <v>2813396109</v>
      </c>
      <c r="D58" s="43">
        <v>0</v>
      </c>
      <c r="E58" s="43">
        <v>0</v>
      </c>
      <c r="F58" s="43">
        <v>0</v>
      </c>
      <c r="G58" s="43">
        <v>0</v>
      </c>
      <c r="H58" s="43">
        <v>2491614957.52</v>
      </c>
      <c r="I58" s="43">
        <v>0</v>
      </c>
      <c r="J58" s="22">
        <f t="shared" si="3"/>
        <v>5305011066.5200005</v>
      </c>
      <c r="K58" s="100"/>
      <c r="L58" s="57"/>
      <c r="M58" s="57"/>
      <c r="N58" s="57"/>
      <c r="O58" s="100"/>
      <c r="P58" s="47" t="str">
        <f>DFIE!$B49</f>
        <v>Waadt</v>
      </c>
      <c r="Q58" s="95">
        <f t="shared" si="4"/>
        <v>1066277.125311</v>
      </c>
      <c r="R58" s="95">
        <f t="shared" si="5"/>
        <v>0</v>
      </c>
      <c r="S58" s="95">
        <f t="shared" si="6"/>
        <v>0</v>
      </c>
      <c r="T58" s="95">
        <f t="shared" si="7"/>
        <v>0</v>
      </c>
      <c r="U58" s="95">
        <f t="shared" si="8"/>
        <v>0</v>
      </c>
      <c r="V58" s="95">
        <f t="shared" si="9"/>
        <v>429588.78577931027</v>
      </c>
      <c r="W58" s="95">
        <f t="shared" si="10"/>
        <v>0</v>
      </c>
      <c r="X58" s="95">
        <f t="shared" si="11"/>
        <v>429588.78577931027</v>
      </c>
      <c r="Y58" s="95">
        <f t="shared" si="12"/>
        <v>322191.58933448268</v>
      </c>
      <c r="Z58" s="92">
        <v>0</v>
      </c>
      <c r="AA58" s="22">
        <f t="shared" si="13"/>
        <v>1388468.7146454826</v>
      </c>
      <c r="AB58" s="358"/>
    </row>
    <row r="59" spans="1:28" x14ac:dyDescent="0.2">
      <c r="A59" s="358"/>
      <c r="B59" s="46" t="str">
        <f>DFIE!$B50</f>
        <v>Wallis</v>
      </c>
      <c r="C59" s="61">
        <v>1034508615</v>
      </c>
      <c r="D59" s="61">
        <v>12595859</v>
      </c>
      <c r="E59" s="61">
        <v>0</v>
      </c>
      <c r="F59" s="61">
        <v>548072</v>
      </c>
      <c r="G59" s="61">
        <v>0</v>
      </c>
      <c r="H59" s="61">
        <v>105737123</v>
      </c>
      <c r="I59" s="61">
        <v>69555200</v>
      </c>
      <c r="J59" s="18">
        <f t="shared" si="3"/>
        <v>1222944869</v>
      </c>
      <c r="K59" s="100"/>
      <c r="L59" s="57"/>
      <c r="M59" s="57"/>
      <c r="N59" s="57"/>
      <c r="O59" s="100"/>
      <c r="P59" s="46" t="str">
        <f>DFIE!$B50</f>
        <v>Wallis</v>
      </c>
      <c r="Q59" s="86">
        <f t="shared" si="4"/>
        <v>392078.76508499996</v>
      </c>
      <c r="R59" s="86">
        <f t="shared" si="5"/>
        <v>4773.8305609999998</v>
      </c>
      <c r="S59" s="86">
        <f t="shared" si="6"/>
        <v>0</v>
      </c>
      <c r="T59" s="86">
        <f t="shared" si="7"/>
        <v>94.4951724137931</v>
      </c>
      <c r="U59" s="86">
        <f t="shared" si="8"/>
        <v>0</v>
      </c>
      <c r="V59" s="86">
        <f t="shared" si="9"/>
        <v>18230.53844827586</v>
      </c>
      <c r="W59" s="86">
        <f t="shared" si="10"/>
        <v>15816.852479999998</v>
      </c>
      <c r="X59" s="86">
        <f t="shared" si="11"/>
        <v>38915.71666168965</v>
      </c>
      <c r="Y59" s="86">
        <f t="shared" si="12"/>
        <v>29186.787496267236</v>
      </c>
      <c r="Z59" s="93">
        <v>0</v>
      </c>
      <c r="AA59" s="18">
        <f t="shared" si="13"/>
        <v>421265.5525812672</v>
      </c>
      <c r="AB59" s="358"/>
    </row>
    <row r="60" spans="1:28" x14ac:dyDescent="0.2">
      <c r="A60" s="358"/>
      <c r="B60" s="47" t="str">
        <f>DFIE!$B51</f>
        <v>Neuenburg</v>
      </c>
      <c r="C60" s="43">
        <v>373967917</v>
      </c>
      <c r="D60" s="43">
        <v>54008027</v>
      </c>
      <c r="E60" s="43">
        <v>0</v>
      </c>
      <c r="F60" s="43">
        <v>124706</v>
      </c>
      <c r="G60" s="43">
        <v>0</v>
      </c>
      <c r="H60" s="43">
        <v>945065180</v>
      </c>
      <c r="I60" s="43">
        <v>0</v>
      </c>
      <c r="J60" s="22">
        <f t="shared" si="3"/>
        <v>1373165830</v>
      </c>
      <c r="K60" s="100"/>
      <c r="L60" s="57"/>
      <c r="M60" s="57"/>
      <c r="N60" s="57"/>
      <c r="O60" s="100"/>
      <c r="P60" s="47" t="str">
        <f>DFIE!$B51</f>
        <v>Neuenburg</v>
      </c>
      <c r="Q60" s="95">
        <f t="shared" si="4"/>
        <v>141733.840543</v>
      </c>
      <c r="R60" s="95">
        <f t="shared" si="5"/>
        <v>20469.042233</v>
      </c>
      <c r="S60" s="95">
        <f t="shared" si="6"/>
        <v>0</v>
      </c>
      <c r="T60" s="95">
        <f t="shared" si="7"/>
        <v>21.50103448275862</v>
      </c>
      <c r="U60" s="95">
        <f t="shared" si="8"/>
        <v>0</v>
      </c>
      <c r="V60" s="95">
        <f t="shared" si="9"/>
        <v>162942.27241379308</v>
      </c>
      <c r="W60" s="95">
        <f t="shared" si="10"/>
        <v>0</v>
      </c>
      <c r="X60" s="95">
        <f t="shared" si="11"/>
        <v>183432.81568127582</v>
      </c>
      <c r="Y60" s="95">
        <f t="shared" si="12"/>
        <v>137574.61176095688</v>
      </c>
      <c r="Z60" s="92">
        <v>0</v>
      </c>
      <c r="AA60" s="22">
        <f t="shared" si="13"/>
        <v>279308.45230395684</v>
      </c>
      <c r="AB60" s="358"/>
    </row>
    <row r="61" spans="1:28" x14ac:dyDescent="0.2">
      <c r="A61" s="358"/>
      <c r="B61" s="46" t="str">
        <f>DFIE!$B52</f>
        <v>Genf</v>
      </c>
      <c r="C61" s="61">
        <v>2187837984</v>
      </c>
      <c r="D61" s="61">
        <v>616792157</v>
      </c>
      <c r="E61" s="61">
        <v>3223832</v>
      </c>
      <c r="F61" s="61">
        <v>0</v>
      </c>
      <c r="G61" s="61">
        <v>8579267635</v>
      </c>
      <c r="H61" s="61">
        <v>0</v>
      </c>
      <c r="I61" s="61">
        <v>0</v>
      </c>
      <c r="J61" s="18">
        <f t="shared" si="3"/>
        <v>11387121608</v>
      </c>
      <c r="K61" s="100"/>
      <c r="L61" s="57"/>
      <c r="M61" s="57"/>
      <c r="N61" s="57"/>
      <c r="O61" s="100"/>
      <c r="P61" s="46" t="str">
        <f>DFIE!$B52</f>
        <v>Genf</v>
      </c>
      <c r="Q61" s="86">
        <f t="shared" si="4"/>
        <v>829190.595936</v>
      </c>
      <c r="R61" s="86">
        <f t="shared" si="5"/>
        <v>233764.227503</v>
      </c>
      <c r="S61" s="86">
        <f t="shared" si="6"/>
        <v>1069.1032869999999</v>
      </c>
      <c r="T61" s="86">
        <f t="shared" si="7"/>
        <v>0</v>
      </c>
      <c r="U61" s="86">
        <f t="shared" si="8"/>
        <v>2101065.9308872218</v>
      </c>
      <c r="V61" s="86">
        <f t="shared" si="9"/>
        <v>0</v>
      </c>
      <c r="W61" s="86">
        <f t="shared" si="10"/>
        <v>0</v>
      </c>
      <c r="X61" s="86">
        <f t="shared" si="11"/>
        <v>2335899.2616772219</v>
      </c>
      <c r="Y61" s="86">
        <f t="shared" si="12"/>
        <v>1751924.4462579163</v>
      </c>
      <c r="Z61" s="93">
        <v>0</v>
      </c>
      <c r="AA61" s="18">
        <f t="shared" si="13"/>
        <v>2581115.0421939162</v>
      </c>
      <c r="AB61" s="358"/>
    </row>
    <row r="62" spans="1:28" x14ac:dyDescent="0.2">
      <c r="A62" s="358"/>
      <c r="B62" s="47" t="str">
        <f>DFIE!$B53</f>
        <v>Jura</v>
      </c>
      <c r="C62" s="43">
        <v>87218137</v>
      </c>
      <c r="D62" s="43">
        <v>12492645</v>
      </c>
      <c r="E62" s="43">
        <v>0</v>
      </c>
      <c r="F62" s="43">
        <v>755874</v>
      </c>
      <c r="G62" s="43">
        <v>0</v>
      </c>
      <c r="H62" s="43">
        <v>552074624</v>
      </c>
      <c r="I62" s="43">
        <v>0</v>
      </c>
      <c r="J62" s="22">
        <f t="shared" si="3"/>
        <v>652541280</v>
      </c>
      <c r="K62" s="100"/>
      <c r="L62" s="57"/>
      <c r="M62" s="57"/>
      <c r="N62" s="57"/>
      <c r="O62" s="100"/>
      <c r="P62" s="47" t="str">
        <f>DFIE!$B53</f>
        <v>Jura</v>
      </c>
      <c r="Q62" s="95">
        <f t="shared" si="4"/>
        <v>33055.673923000002</v>
      </c>
      <c r="R62" s="95">
        <f t="shared" si="5"/>
        <v>4734.7124549999999</v>
      </c>
      <c r="S62" s="95">
        <f t="shared" si="6"/>
        <v>0</v>
      </c>
      <c r="T62" s="95">
        <f t="shared" si="7"/>
        <v>130.32310344827584</v>
      </c>
      <c r="U62" s="95">
        <f t="shared" si="8"/>
        <v>0</v>
      </c>
      <c r="V62" s="95">
        <f t="shared" si="9"/>
        <v>95185.279999999984</v>
      </c>
      <c r="W62" s="95">
        <f t="shared" si="10"/>
        <v>0</v>
      </c>
      <c r="X62" s="95">
        <f t="shared" si="11"/>
        <v>100050.31555844826</v>
      </c>
      <c r="Y62" s="95">
        <f t="shared" si="12"/>
        <v>75037.736668836194</v>
      </c>
      <c r="Z62" s="92">
        <v>0</v>
      </c>
      <c r="AA62" s="22">
        <f t="shared" si="13"/>
        <v>108093.4105918362</v>
      </c>
      <c r="AB62" s="358"/>
    </row>
    <row r="63" spans="1:28" x14ac:dyDescent="0.2">
      <c r="A63" s="358"/>
      <c r="B63" s="24" t="str">
        <f>DFIE!$B54</f>
        <v>Schweiz</v>
      </c>
      <c r="C63" s="67">
        <f t="shared" ref="C63:I63" si="14">SUM(C37:C62)</f>
        <v>23451801716.540012</v>
      </c>
      <c r="D63" s="67">
        <f t="shared" si="14"/>
        <v>3255899513</v>
      </c>
      <c r="E63" s="67">
        <f t="shared" si="14"/>
        <v>624204460.20000005</v>
      </c>
      <c r="F63" s="67">
        <f t="shared" si="14"/>
        <v>4918026490.1999989</v>
      </c>
      <c r="G63" s="67">
        <f t="shared" si="14"/>
        <v>8579267635</v>
      </c>
      <c r="H63" s="67">
        <f t="shared" si="14"/>
        <v>6985828895.5499992</v>
      </c>
      <c r="I63" s="67">
        <f t="shared" si="14"/>
        <v>3261054175.9000001</v>
      </c>
      <c r="J63" s="66">
        <f t="shared" si="3"/>
        <v>51076082886.390007</v>
      </c>
      <c r="K63" s="57"/>
      <c r="L63" s="57"/>
      <c r="M63" s="57"/>
      <c r="N63" s="57"/>
      <c r="O63" s="57"/>
      <c r="P63" s="24" t="str">
        <f>DFIE!$B54</f>
        <v>Schweiz</v>
      </c>
      <c r="Q63" s="31">
        <f t="shared" ref="Q63:Z63" si="15">SUM(Q37:Q62)</f>
        <v>8888232.8505686633</v>
      </c>
      <c r="R63" s="31">
        <f t="shared" si="15"/>
        <v>1233985.915427</v>
      </c>
      <c r="S63" s="31">
        <f t="shared" si="15"/>
        <v>207001.804113825</v>
      </c>
      <c r="T63" s="31">
        <f t="shared" si="15"/>
        <v>847935.60175862059</v>
      </c>
      <c r="U63" s="31">
        <f t="shared" si="15"/>
        <v>2101065.9308872218</v>
      </c>
      <c r="V63" s="31">
        <f t="shared" si="15"/>
        <v>1204453.2578534482</v>
      </c>
      <c r="W63" s="31">
        <f t="shared" si="15"/>
        <v>741563.7195996599</v>
      </c>
      <c r="X63" s="31">
        <f t="shared" si="15"/>
        <v>6336006.2296397761</v>
      </c>
      <c r="Y63" s="31">
        <f>SUM(Y37:Y62)</f>
        <v>4752004.672229832</v>
      </c>
      <c r="Z63" s="66">
        <f t="shared" si="15"/>
        <v>0</v>
      </c>
      <c r="AA63" s="26">
        <f>SUM(AA37:AA62)</f>
        <v>13640237.522798495</v>
      </c>
      <c r="AB63" s="358"/>
    </row>
    <row r="64" spans="1:28" ht="14.25" customHeight="1" x14ac:dyDescent="0.2">
      <c r="A64" s="33"/>
      <c r="B64" s="81"/>
      <c r="C64" s="81"/>
      <c r="D64" s="81"/>
      <c r="E64" s="81"/>
      <c r="F64" s="81"/>
      <c r="G64" s="81"/>
      <c r="H64" s="81"/>
      <c r="I64" s="81"/>
      <c r="J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</row>
    <row r="65" spans="1:28" ht="12.75" customHeight="1" x14ac:dyDescent="0.2">
      <c r="A65" s="359" t="str">
        <f>DFIE!$B$71</f>
        <v>Bemessungsjahr 2018</v>
      </c>
      <c r="B65" s="48" t="str">
        <f>DFIE!$B28</f>
        <v>Zürich</v>
      </c>
      <c r="C65" s="49">
        <v>5541634534</v>
      </c>
      <c r="D65" s="49">
        <v>64513806</v>
      </c>
      <c r="E65" s="49">
        <v>24784155</v>
      </c>
      <c r="F65" s="49">
        <v>614574806</v>
      </c>
      <c r="G65" s="49">
        <v>0</v>
      </c>
      <c r="H65" s="49">
        <v>0</v>
      </c>
      <c r="I65" s="49">
        <v>0</v>
      </c>
      <c r="J65" s="50">
        <f t="shared" ref="J65:J91" si="16">SUM(C65:I65)</f>
        <v>6245507301</v>
      </c>
      <c r="K65" s="102"/>
      <c r="L65" s="59"/>
      <c r="M65" s="59"/>
      <c r="N65" s="59"/>
      <c r="O65" s="102"/>
      <c r="P65" s="48" t="str">
        <f>DFIE!$B28</f>
        <v>Zürich</v>
      </c>
      <c r="Q65" s="96">
        <f>C65*N$77/1000</f>
        <v>2111362.7574539999</v>
      </c>
      <c r="R65" s="96">
        <f>D65*N$78/1000</f>
        <v>24579.760085999998</v>
      </c>
      <c r="S65" s="96">
        <f>E65*N$79/1000</f>
        <v>8262.4176731249991</v>
      </c>
      <c r="T65" s="96">
        <f>F65*N$80/1000</f>
        <v>106779.40644787643</v>
      </c>
      <c r="U65" s="96">
        <f>G65*N$81/1000</f>
        <v>0</v>
      </c>
      <c r="V65" s="96">
        <f>H65*N$82/1000</f>
        <v>0</v>
      </c>
      <c r="W65" s="96">
        <f>I65*N$83/1000</f>
        <v>0</v>
      </c>
      <c r="X65" s="96">
        <f t="shared" ref="X65:X90" si="17">SUM(R65:W65)</f>
        <v>139621.58420700143</v>
      </c>
      <c r="Y65" s="96">
        <f>X65*$N$67</f>
        <v>104716.18815525107</v>
      </c>
      <c r="Z65" s="91">
        <v>0</v>
      </c>
      <c r="AA65" s="50">
        <f t="shared" ref="AA65:AA90" si="18">IF(Z65=0,Y65+Q65,Z65)</f>
        <v>2216078.945609251</v>
      </c>
      <c r="AB65" s="359" t="str">
        <f>DFIE!$B$71</f>
        <v>Bemessungsjahr 2018</v>
      </c>
    </row>
    <row r="66" spans="1:28" x14ac:dyDescent="0.2">
      <c r="A66" s="359"/>
      <c r="B66" s="47" t="str">
        <f>DFIE!$B29</f>
        <v>Bern</v>
      </c>
      <c r="C66" s="43">
        <v>1555157208</v>
      </c>
      <c r="D66" s="43">
        <v>195723062</v>
      </c>
      <c r="E66" s="43">
        <v>287603</v>
      </c>
      <c r="F66" s="43">
        <v>24588631</v>
      </c>
      <c r="G66" s="43">
        <v>0</v>
      </c>
      <c r="H66" s="43">
        <v>172800931</v>
      </c>
      <c r="I66" s="43">
        <v>0</v>
      </c>
      <c r="J66" s="22">
        <f t="shared" si="16"/>
        <v>1948557435</v>
      </c>
      <c r="K66" s="102"/>
      <c r="L66" s="83" t="str">
        <f>DFIE!$B$97</f>
        <v>Standardisierter Steuersatz SST(2021)</v>
      </c>
      <c r="M66" s="82"/>
      <c r="N66" s="94">
        <v>0.25900000000000001</v>
      </c>
      <c r="O66" s="102"/>
      <c r="P66" s="47" t="str">
        <f>DFIE!$B29</f>
        <v>Bern</v>
      </c>
      <c r="Q66" s="95">
        <f t="shared" ref="Q66:Q90" si="19">C66*N$77/1000</f>
        <v>592514.89624799998</v>
      </c>
      <c r="R66" s="95">
        <f t="shared" ref="R66:R90" si="20">D66*N$78/1000</f>
        <v>74570.486621999997</v>
      </c>
      <c r="S66" s="95">
        <f t="shared" ref="S66:S90" si="21">E66*N$79/1000</f>
        <v>95.879650124999998</v>
      </c>
      <c r="T66" s="95">
        <f t="shared" ref="T66:T90" si="22">F66*N$80/1000</f>
        <v>4272.155965250965</v>
      </c>
      <c r="U66" s="95">
        <f t="shared" ref="U66:U90" si="23">G66*N$81/1000</f>
        <v>0</v>
      </c>
      <c r="V66" s="95">
        <f t="shared" ref="V66:V90" si="24">H66*N$82/1000</f>
        <v>30023.327779922776</v>
      </c>
      <c r="W66" s="95">
        <f t="shared" ref="W66:W90" si="25">I66*N$83/1000</f>
        <v>0</v>
      </c>
      <c r="X66" s="95">
        <f t="shared" si="17"/>
        <v>108961.85001729874</v>
      </c>
      <c r="Y66" s="95">
        <f t="shared" ref="Y66:Y90" si="26">X66*$N$67</f>
        <v>81721.387512974063</v>
      </c>
      <c r="Z66" s="92">
        <v>0</v>
      </c>
      <c r="AA66" s="22">
        <f t="shared" si="18"/>
        <v>674236.28376097407</v>
      </c>
      <c r="AB66" s="359"/>
    </row>
    <row r="67" spans="1:28" x14ac:dyDescent="0.2">
      <c r="A67" s="359"/>
      <c r="B67" s="46" t="str">
        <f>DFIE!$B30</f>
        <v>Luzern</v>
      </c>
      <c r="C67" s="61">
        <v>771984275</v>
      </c>
      <c r="D67" s="61">
        <v>107738411</v>
      </c>
      <c r="E67" s="61">
        <v>979475</v>
      </c>
      <c r="F67" s="61">
        <v>10722059</v>
      </c>
      <c r="G67" s="61">
        <v>0</v>
      </c>
      <c r="H67" s="61">
        <v>0</v>
      </c>
      <c r="I67" s="61">
        <v>0</v>
      </c>
      <c r="J67" s="18">
        <f t="shared" si="16"/>
        <v>891424220</v>
      </c>
      <c r="K67" s="102"/>
      <c r="L67" s="83" t="str">
        <f>DFIE!$B$98</f>
        <v>Faktor Delta</v>
      </c>
      <c r="M67" s="83"/>
      <c r="N67" s="94">
        <v>0.75</v>
      </c>
      <c r="O67" s="102"/>
      <c r="P67" s="46" t="str">
        <f>DFIE!$B30</f>
        <v>Luzern</v>
      </c>
      <c r="Q67" s="86">
        <f t="shared" si="19"/>
        <v>294126.00877499999</v>
      </c>
      <c r="R67" s="86">
        <f t="shared" si="20"/>
        <v>41048.334590999999</v>
      </c>
      <c r="S67" s="86">
        <f t="shared" si="21"/>
        <v>326.53247812499995</v>
      </c>
      <c r="T67" s="86">
        <f t="shared" si="22"/>
        <v>1862.9060038610037</v>
      </c>
      <c r="U67" s="86">
        <f t="shared" si="23"/>
        <v>0</v>
      </c>
      <c r="V67" s="86">
        <f t="shared" si="24"/>
        <v>0</v>
      </c>
      <c r="W67" s="86">
        <f t="shared" si="25"/>
        <v>0</v>
      </c>
      <c r="X67" s="86">
        <f t="shared" si="17"/>
        <v>43237.773072986005</v>
      </c>
      <c r="Y67" s="86">
        <f t="shared" si="26"/>
        <v>32428.329804739504</v>
      </c>
      <c r="Z67" s="93">
        <v>0</v>
      </c>
      <c r="AA67" s="18">
        <f t="shared" si="18"/>
        <v>326554.3385797395</v>
      </c>
      <c r="AB67" s="359"/>
    </row>
    <row r="68" spans="1:28" x14ac:dyDescent="0.2">
      <c r="A68" s="359"/>
      <c r="B68" s="47" t="str">
        <f>DFIE!$B31</f>
        <v>Uri</v>
      </c>
      <c r="C68" s="43">
        <v>87945841</v>
      </c>
      <c r="D68" s="43">
        <v>625916</v>
      </c>
      <c r="E68" s="43">
        <v>0</v>
      </c>
      <c r="F68" s="43">
        <v>81828</v>
      </c>
      <c r="G68" s="43">
        <v>0</v>
      </c>
      <c r="H68" s="43">
        <v>0</v>
      </c>
      <c r="I68" s="43">
        <v>0</v>
      </c>
      <c r="J68" s="22">
        <f t="shared" si="16"/>
        <v>88653585</v>
      </c>
      <c r="K68" s="102"/>
      <c r="L68" s="59"/>
      <c r="M68" s="59"/>
      <c r="N68" s="59"/>
      <c r="O68" s="102"/>
      <c r="P68" s="47" t="str">
        <f>DFIE!$B31</f>
        <v>Uri</v>
      </c>
      <c r="Q68" s="95">
        <f t="shared" si="19"/>
        <v>33507.365421000002</v>
      </c>
      <c r="R68" s="95">
        <f t="shared" si="20"/>
        <v>238.473996</v>
      </c>
      <c r="S68" s="95">
        <f t="shared" si="21"/>
        <v>0</v>
      </c>
      <c r="T68" s="95">
        <f t="shared" si="22"/>
        <v>14.217220077220075</v>
      </c>
      <c r="U68" s="95">
        <f t="shared" si="23"/>
        <v>0</v>
      </c>
      <c r="V68" s="95">
        <f t="shared" si="24"/>
        <v>0</v>
      </c>
      <c r="W68" s="95">
        <f t="shared" si="25"/>
        <v>0</v>
      </c>
      <c r="X68" s="95">
        <f t="shared" si="17"/>
        <v>252.69121607722008</v>
      </c>
      <c r="Y68" s="95">
        <f t="shared" si="26"/>
        <v>189.51841205791504</v>
      </c>
      <c r="Z68" s="92">
        <v>0</v>
      </c>
      <c r="AA68" s="22">
        <f t="shared" si="18"/>
        <v>33696.883833057916</v>
      </c>
      <c r="AB68" s="359"/>
    </row>
    <row r="69" spans="1:28" x14ac:dyDescent="0.2">
      <c r="A69" s="359"/>
      <c r="B69" s="46" t="str">
        <f>DFIE!$B32</f>
        <v>Schwyz</v>
      </c>
      <c r="C69" s="61">
        <v>369955174</v>
      </c>
      <c r="D69" s="61">
        <v>92830049</v>
      </c>
      <c r="E69" s="61">
        <v>4574296</v>
      </c>
      <c r="F69" s="61">
        <v>367177</v>
      </c>
      <c r="G69" s="61">
        <v>0</v>
      </c>
      <c r="H69" s="61">
        <v>0</v>
      </c>
      <c r="I69" s="61">
        <v>0</v>
      </c>
      <c r="J69" s="18">
        <f t="shared" si="16"/>
        <v>467726696</v>
      </c>
      <c r="K69" s="102"/>
      <c r="L69" s="82" t="str">
        <f>DFIE!B101</f>
        <v>Berechnung Gamma 2018</v>
      </c>
      <c r="M69" s="82"/>
      <c r="N69" s="83"/>
      <c r="O69" s="102"/>
      <c r="P69" s="46" t="str">
        <f>DFIE!$B32</f>
        <v>Schwyz</v>
      </c>
      <c r="Q69" s="86">
        <f t="shared" si="19"/>
        <v>140952.921294</v>
      </c>
      <c r="R69" s="86">
        <f t="shared" si="20"/>
        <v>35368.248669000001</v>
      </c>
      <c r="S69" s="86">
        <f t="shared" si="21"/>
        <v>1524.955929</v>
      </c>
      <c r="T69" s="86">
        <f t="shared" si="22"/>
        <v>63.795231660231657</v>
      </c>
      <c r="U69" s="86">
        <f t="shared" si="23"/>
        <v>0</v>
      </c>
      <c r="V69" s="86">
        <f t="shared" si="24"/>
        <v>0</v>
      </c>
      <c r="W69" s="86">
        <f t="shared" si="25"/>
        <v>0</v>
      </c>
      <c r="X69" s="86">
        <f t="shared" si="17"/>
        <v>36956.999829660235</v>
      </c>
      <c r="Y69" s="86">
        <f t="shared" si="26"/>
        <v>27717.749872245178</v>
      </c>
      <c r="Z69" s="93">
        <v>0</v>
      </c>
      <c r="AA69" s="18">
        <f t="shared" si="18"/>
        <v>168670.67116624519</v>
      </c>
      <c r="AB69" s="359"/>
    </row>
    <row r="70" spans="1:28" x14ac:dyDescent="0.2">
      <c r="A70" s="359"/>
      <c r="B70" s="47" t="str">
        <f>DFIE!$B33</f>
        <v>Obwalden</v>
      </c>
      <c r="C70" s="43">
        <v>102783934</v>
      </c>
      <c r="D70" s="43">
        <v>7463004</v>
      </c>
      <c r="E70" s="43">
        <v>322441</v>
      </c>
      <c r="F70" s="43">
        <v>941969</v>
      </c>
      <c r="G70" s="43">
        <v>0</v>
      </c>
      <c r="H70" s="43">
        <v>0</v>
      </c>
      <c r="I70" s="43">
        <v>0</v>
      </c>
      <c r="J70" s="22">
        <f t="shared" si="16"/>
        <v>111511348</v>
      </c>
      <c r="K70" s="102"/>
      <c r="L70" s="83"/>
      <c r="M70" s="83"/>
      <c r="N70" s="83"/>
      <c r="O70" s="102"/>
      <c r="P70" s="47" t="str">
        <f>DFIE!$B33</f>
        <v>Obwalden</v>
      </c>
      <c r="Q70" s="95">
        <f t="shared" si="19"/>
        <v>39160.678854000005</v>
      </c>
      <c r="R70" s="95">
        <f t="shared" si="20"/>
        <v>2843.404524</v>
      </c>
      <c r="S70" s="95">
        <f t="shared" si="21"/>
        <v>107.493768375</v>
      </c>
      <c r="T70" s="95">
        <f t="shared" si="22"/>
        <v>163.66256756756755</v>
      </c>
      <c r="U70" s="95">
        <f t="shared" si="23"/>
        <v>0</v>
      </c>
      <c r="V70" s="95">
        <f t="shared" si="24"/>
        <v>0</v>
      </c>
      <c r="W70" s="95">
        <f t="shared" si="25"/>
        <v>0</v>
      </c>
      <c r="X70" s="95">
        <f t="shared" si="17"/>
        <v>3114.5608599425677</v>
      </c>
      <c r="Y70" s="95">
        <f t="shared" si="26"/>
        <v>2335.9206449569256</v>
      </c>
      <c r="Z70" s="92">
        <v>0</v>
      </c>
      <c r="AA70" s="22">
        <f t="shared" si="18"/>
        <v>41496.59949895693</v>
      </c>
      <c r="AB70" s="359"/>
    </row>
    <row r="71" spans="1:28" x14ac:dyDescent="0.2">
      <c r="A71" s="359"/>
      <c r="B71" s="46" t="str">
        <f>DFIE!$B34</f>
        <v>Nidwalden</v>
      </c>
      <c r="C71" s="61">
        <v>116045340</v>
      </c>
      <c r="D71" s="61">
        <v>6577920</v>
      </c>
      <c r="E71" s="61">
        <v>2761353</v>
      </c>
      <c r="F71" s="61">
        <v>782388</v>
      </c>
      <c r="G71" s="61">
        <v>0</v>
      </c>
      <c r="H71" s="61">
        <v>0</v>
      </c>
      <c r="I71" s="61">
        <v>0</v>
      </c>
      <c r="J71" s="18">
        <f t="shared" si="16"/>
        <v>126167001</v>
      </c>
      <c r="K71" s="102"/>
      <c r="L71" s="84" t="str">
        <f>DFIE!$B$102</f>
        <v>in CHF 1'000</v>
      </c>
      <c r="M71" s="84"/>
      <c r="N71" s="85"/>
      <c r="O71" s="102"/>
      <c r="P71" s="46" t="str">
        <f>DFIE!$B34</f>
        <v>Nidwalden</v>
      </c>
      <c r="Q71" s="86">
        <f t="shared" si="19"/>
        <v>44213.274539999999</v>
      </c>
      <c r="R71" s="86">
        <f t="shared" si="20"/>
        <v>2506.1875199999999</v>
      </c>
      <c r="S71" s="86">
        <f t="shared" si="21"/>
        <v>920.5660563749999</v>
      </c>
      <c r="T71" s="86">
        <f t="shared" si="22"/>
        <v>135.93613899613899</v>
      </c>
      <c r="U71" s="86">
        <f t="shared" si="23"/>
        <v>0</v>
      </c>
      <c r="V71" s="86">
        <f t="shared" si="24"/>
        <v>0</v>
      </c>
      <c r="W71" s="86">
        <f t="shared" si="25"/>
        <v>0</v>
      </c>
      <c r="X71" s="86">
        <f t="shared" si="17"/>
        <v>3562.6897153711388</v>
      </c>
      <c r="Y71" s="86">
        <f t="shared" si="26"/>
        <v>2672.0172865283539</v>
      </c>
      <c r="Z71" s="93">
        <v>0</v>
      </c>
      <c r="AA71" s="18">
        <f t="shared" si="18"/>
        <v>46885.291826528352</v>
      </c>
      <c r="AB71" s="359"/>
    </row>
    <row r="72" spans="1:28" x14ac:dyDescent="0.2">
      <c r="A72" s="359"/>
      <c r="B72" s="47" t="str">
        <f>DFIE!$B35</f>
        <v>Glarus</v>
      </c>
      <c r="C72" s="43">
        <v>123229425</v>
      </c>
      <c r="D72" s="43">
        <v>971316</v>
      </c>
      <c r="E72" s="43">
        <v>0</v>
      </c>
      <c r="F72" s="43">
        <v>148904</v>
      </c>
      <c r="G72" s="43">
        <v>0</v>
      </c>
      <c r="H72" s="43">
        <v>0</v>
      </c>
      <c r="I72" s="43">
        <v>0</v>
      </c>
      <c r="J72" s="22">
        <f t="shared" si="16"/>
        <v>124349645</v>
      </c>
      <c r="K72" s="102"/>
      <c r="L72" s="83" t="str">
        <f>DFIE!$B$103</f>
        <v>A    Primäreinkommen der privaten Haushalte</v>
      </c>
      <c r="M72" s="83"/>
      <c r="N72" s="61">
        <v>502600122.36676401</v>
      </c>
      <c r="O72" s="102"/>
      <c r="P72" s="47" t="str">
        <f>DFIE!$B35</f>
        <v>Glarus</v>
      </c>
      <c r="Q72" s="95">
        <f t="shared" si="19"/>
        <v>46950.410924999996</v>
      </c>
      <c r="R72" s="95">
        <f t="shared" si="20"/>
        <v>370.07139599999999</v>
      </c>
      <c r="S72" s="95">
        <f t="shared" si="21"/>
        <v>0</v>
      </c>
      <c r="T72" s="95">
        <f t="shared" si="22"/>
        <v>25.87135135135135</v>
      </c>
      <c r="U72" s="95">
        <f t="shared" si="23"/>
        <v>0</v>
      </c>
      <c r="V72" s="95">
        <f t="shared" si="24"/>
        <v>0</v>
      </c>
      <c r="W72" s="95">
        <f t="shared" si="25"/>
        <v>0</v>
      </c>
      <c r="X72" s="95">
        <f t="shared" si="17"/>
        <v>395.94274735135133</v>
      </c>
      <c r="Y72" s="95">
        <f t="shared" si="26"/>
        <v>296.95706051351351</v>
      </c>
      <c r="Z72" s="92">
        <v>0</v>
      </c>
      <c r="AA72" s="22">
        <f t="shared" si="18"/>
        <v>47247.367985513512</v>
      </c>
      <c r="AB72" s="359"/>
    </row>
    <row r="73" spans="1:28" x14ac:dyDescent="0.2">
      <c r="A73" s="359"/>
      <c r="B73" s="46" t="str">
        <f>DFIE!$B36</f>
        <v>Zug</v>
      </c>
      <c r="C73" s="61">
        <v>418764323</v>
      </c>
      <c r="D73" s="61">
        <v>293640119</v>
      </c>
      <c r="E73" s="61">
        <v>7480748</v>
      </c>
      <c r="F73" s="61">
        <v>15463900</v>
      </c>
      <c r="G73" s="61">
        <v>0</v>
      </c>
      <c r="H73" s="61">
        <v>0</v>
      </c>
      <c r="I73" s="61">
        <v>0</v>
      </c>
      <c r="J73" s="18">
        <f t="shared" si="16"/>
        <v>735349090</v>
      </c>
      <c r="K73" s="102"/>
      <c r="L73" s="83" t="str">
        <f>DFIE!$B$104</f>
        <v>B    Massgebendes Einkommen</v>
      </c>
      <c r="M73" s="83"/>
      <c r="N73" s="86">
        <f>NP!E91</f>
        <v>191621985.69999993</v>
      </c>
      <c r="O73" s="102"/>
      <c r="P73" s="46" t="str">
        <f>DFIE!$B36</f>
        <v>Zug</v>
      </c>
      <c r="Q73" s="86">
        <f t="shared" si="19"/>
        <v>159549.20706299998</v>
      </c>
      <c r="R73" s="86">
        <f t="shared" si="20"/>
        <v>111876.885339</v>
      </c>
      <c r="S73" s="86">
        <f t="shared" si="21"/>
        <v>2493.8943644999995</v>
      </c>
      <c r="T73" s="86">
        <f t="shared" si="22"/>
        <v>2686.7779922779919</v>
      </c>
      <c r="U73" s="86">
        <f t="shared" si="23"/>
        <v>0</v>
      </c>
      <c r="V73" s="86">
        <f t="shared" si="24"/>
        <v>0</v>
      </c>
      <c r="W73" s="86">
        <f t="shared" si="25"/>
        <v>0</v>
      </c>
      <c r="X73" s="86">
        <f t="shared" si="17"/>
        <v>117057.55769577798</v>
      </c>
      <c r="Y73" s="86">
        <f t="shared" si="26"/>
        <v>87793.168271833492</v>
      </c>
      <c r="Z73" s="93">
        <v>0</v>
      </c>
      <c r="AA73" s="18">
        <f t="shared" si="18"/>
        <v>247342.37533483346</v>
      </c>
      <c r="AB73" s="359"/>
    </row>
    <row r="74" spans="1:28" x14ac:dyDescent="0.2">
      <c r="A74" s="359"/>
      <c r="B74" s="47" t="str">
        <f>DFIE!$B37</f>
        <v>Freiburg</v>
      </c>
      <c r="C74" s="43">
        <v>617576273</v>
      </c>
      <c r="D74" s="43">
        <v>98576537</v>
      </c>
      <c r="E74" s="43">
        <v>510726</v>
      </c>
      <c r="F74" s="43">
        <v>700618</v>
      </c>
      <c r="G74" s="43">
        <v>0</v>
      </c>
      <c r="H74" s="43">
        <v>0</v>
      </c>
      <c r="I74" s="43">
        <v>0</v>
      </c>
      <c r="J74" s="22">
        <f t="shared" si="16"/>
        <v>717364154</v>
      </c>
      <c r="K74" s="102"/>
      <c r="L74" s="82" t="str">
        <f>DFIE!$B$105</f>
        <v>C    Gamma (B / A)</v>
      </c>
      <c r="M74" s="82"/>
      <c r="N74" s="87">
        <f>ROUND(N73/N72,3)</f>
        <v>0.38100000000000001</v>
      </c>
      <c r="O74" s="102"/>
      <c r="P74" s="47" t="str">
        <f>DFIE!$B37</f>
        <v>Freiburg</v>
      </c>
      <c r="Q74" s="95">
        <f t="shared" si="19"/>
        <v>235296.56001300001</v>
      </c>
      <c r="R74" s="95">
        <f t="shared" si="20"/>
        <v>37557.660597000002</v>
      </c>
      <c r="S74" s="95">
        <f t="shared" si="21"/>
        <v>170.26328024999998</v>
      </c>
      <c r="T74" s="95">
        <f t="shared" si="22"/>
        <v>121.72899613899612</v>
      </c>
      <c r="U74" s="95">
        <f t="shared" si="23"/>
        <v>0</v>
      </c>
      <c r="V74" s="95">
        <f t="shared" si="24"/>
        <v>0</v>
      </c>
      <c r="W74" s="95">
        <f t="shared" si="25"/>
        <v>0</v>
      </c>
      <c r="X74" s="95">
        <f t="shared" si="17"/>
        <v>37849.652873389001</v>
      </c>
      <c r="Y74" s="95">
        <f t="shared" si="26"/>
        <v>28387.239655041751</v>
      </c>
      <c r="Z74" s="92">
        <v>0</v>
      </c>
      <c r="AA74" s="22">
        <f t="shared" si="18"/>
        <v>263683.79966804176</v>
      </c>
      <c r="AB74" s="359"/>
    </row>
    <row r="75" spans="1:28" x14ac:dyDescent="0.2">
      <c r="A75" s="359"/>
      <c r="B75" s="46" t="str">
        <f>DFIE!$B38</f>
        <v>Solothurn</v>
      </c>
      <c r="C75" s="61">
        <v>504810592</v>
      </c>
      <c r="D75" s="61">
        <v>28182130</v>
      </c>
      <c r="E75" s="61">
        <v>2350379</v>
      </c>
      <c r="F75" s="61">
        <v>53384419</v>
      </c>
      <c r="G75" s="61">
        <v>0</v>
      </c>
      <c r="H75" s="61">
        <v>100617427</v>
      </c>
      <c r="I75" s="61">
        <v>0</v>
      </c>
      <c r="J75" s="18">
        <f t="shared" si="16"/>
        <v>689344947</v>
      </c>
      <c r="K75" s="102"/>
      <c r="L75" s="59"/>
      <c r="M75" s="59"/>
      <c r="N75" s="59"/>
      <c r="O75" s="102"/>
      <c r="P75" s="46" t="str">
        <f>DFIE!$B38</f>
        <v>Solothurn</v>
      </c>
      <c r="Q75" s="86">
        <f t="shared" si="19"/>
        <v>192332.835552</v>
      </c>
      <c r="R75" s="86">
        <f t="shared" si="20"/>
        <v>10737.391529999999</v>
      </c>
      <c r="S75" s="86">
        <f t="shared" si="21"/>
        <v>783.55759912499991</v>
      </c>
      <c r="T75" s="86">
        <f t="shared" si="22"/>
        <v>9275.2851544401528</v>
      </c>
      <c r="U75" s="86">
        <f t="shared" si="23"/>
        <v>0</v>
      </c>
      <c r="V75" s="86">
        <f t="shared" si="24"/>
        <v>17481.792335907336</v>
      </c>
      <c r="W75" s="86">
        <f t="shared" si="25"/>
        <v>0</v>
      </c>
      <c r="X75" s="86">
        <f t="shared" si="17"/>
        <v>38278.026619472483</v>
      </c>
      <c r="Y75" s="86">
        <f t="shared" si="26"/>
        <v>28708.519964604362</v>
      </c>
      <c r="Z75" s="93">
        <v>0</v>
      </c>
      <c r="AA75" s="18">
        <f t="shared" si="18"/>
        <v>221041.35551660438</v>
      </c>
      <c r="AB75" s="359"/>
    </row>
    <row r="76" spans="1:28" x14ac:dyDescent="0.2">
      <c r="A76" s="359"/>
      <c r="B76" s="47" t="str">
        <f>DFIE!$B39</f>
        <v>Basel-Stadt</v>
      </c>
      <c r="C76" s="43">
        <v>666208534</v>
      </c>
      <c r="D76" s="43">
        <v>435893869</v>
      </c>
      <c r="E76" s="43">
        <v>4333843</v>
      </c>
      <c r="F76" s="43">
        <v>1564583504</v>
      </c>
      <c r="G76" s="43">
        <v>0</v>
      </c>
      <c r="H76" s="43">
        <v>1653415383</v>
      </c>
      <c r="I76" s="43">
        <v>0</v>
      </c>
      <c r="J76" s="22">
        <f t="shared" si="16"/>
        <v>4324435133</v>
      </c>
      <c r="K76" s="102"/>
      <c r="L76" s="82" t="str">
        <f>DFIE!$B$57</f>
        <v>Kategorie</v>
      </c>
      <c r="M76" s="82" t="str">
        <f>DFIE!$B$106</f>
        <v>Formel für Gewicht</v>
      </c>
      <c r="N76" s="88" t="str">
        <f>DFIE!$B$107</f>
        <v>Gewicht (ω)</v>
      </c>
      <c r="O76" s="102"/>
      <c r="P76" s="47" t="str">
        <f>DFIE!$B39</f>
        <v>Basel-Stadt</v>
      </c>
      <c r="Q76" s="95">
        <f t="shared" si="19"/>
        <v>253825.45145399999</v>
      </c>
      <c r="R76" s="95">
        <f t="shared" si="20"/>
        <v>166075.56408900002</v>
      </c>
      <c r="S76" s="95">
        <f t="shared" si="21"/>
        <v>1444.7949101249999</v>
      </c>
      <c r="T76" s="95">
        <f t="shared" si="22"/>
        <v>271838.83274131274</v>
      </c>
      <c r="U76" s="95">
        <f t="shared" si="23"/>
        <v>0</v>
      </c>
      <c r="V76" s="95">
        <f t="shared" si="24"/>
        <v>287272.94299227797</v>
      </c>
      <c r="W76" s="95">
        <f t="shared" si="25"/>
        <v>0</v>
      </c>
      <c r="X76" s="95">
        <f t="shared" si="17"/>
        <v>726632.13473271579</v>
      </c>
      <c r="Y76" s="95">
        <f t="shared" si="26"/>
        <v>544974.10104953684</v>
      </c>
      <c r="Z76" s="92">
        <v>0</v>
      </c>
      <c r="AA76" s="22">
        <f t="shared" si="18"/>
        <v>798799.5525035368</v>
      </c>
      <c r="AB76" s="359"/>
    </row>
    <row r="77" spans="1:28" x14ac:dyDescent="0.2">
      <c r="A77" s="359"/>
      <c r="B77" s="46" t="str">
        <f>DFIE!$B40</f>
        <v>Basel-Landschaft</v>
      </c>
      <c r="C77" s="61">
        <v>414724399</v>
      </c>
      <c r="D77" s="61">
        <v>113946003</v>
      </c>
      <c r="E77" s="61">
        <v>2069843</v>
      </c>
      <c r="F77" s="61">
        <v>801523671</v>
      </c>
      <c r="G77" s="61">
        <v>0</v>
      </c>
      <c r="H77" s="61">
        <v>1050156632</v>
      </c>
      <c r="I77" s="61">
        <v>0</v>
      </c>
      <c r="J77" s="18">
        <f t="shared" si="16"/>
        <v>2382420548</v>
      </c>
      <c r="K77" s="102"/>
      <c r="L77" s="89">
        <v>0</v>
      </c>
      <c r="M77" s="89" t="s">
        <v>67</v>
      </c>
      <c r="N77" s="90">
        <f>N74</f>
        <v>0.38100000000000001</v>
      </c>
      <c r="O77" s="102"/>
      <c r="P77" s="46" t="str">
        <f>DFIE!$B40</f>
        <v>Basel-Landschaft</v>
      </c>
      <c r="Q77" s="86">
        <f t="shared" si="19"/>
        <v>158009.99601899998</v>
      </c>
      <c r="R77" s="86">
        <f t="shared" si="20"/>
        <v>43413.427143000001</v>
      </c>
      <c r="S77" s="86">
        <f t="shared" si="21"/>
        <v>690.03391012499992</v>
      </c>
      <c r="T77" s="86">
        <f t="shared" si="22"/>
        <v>139260.86947876448</v>
      </c>
      <c r="U77" s="86">
        <f t="shared" si="23"/>
        <v>0</v>
      </c>
      <c r="V77" s="86">
        <f t="shared" si="24"/>
        <v>182459.64648648645</v>
      </c>
      <c r="W77" s="86">
        <f t="shared" si="25"/>
        <v>0</v>
      </c>
      <c r="X77" s="86">
        <f t="shared" si="17"/>
        <v>365823.97701837594</v>
      </c>
      <c r="Y77" s="86">
        <f t="shared" si="26"/>
        <v>274367.98276378197</v>
      </c>
      <c r="Z77" s="93">
        <v>0</v>
      </c>
      <c r="AA77" s="18">
        <f t="shared" si="18"/>
        <v>432377.97878278198</v>
      </c>
      <c r="AB77" s="359"/>
    </row>
    <row r="78" spans="1:28" x14ac:dyDescent="0.2">
      <c r="A78" s="359"/>
      <c r="B78" s="47" t="str">
        <f>DFIE!$B41</f>
        <v>Schaffhausen</v>
      </c>
      <c r="C78" s="43">
        <v>291399061</v>
      </c>
      <c r="D78" s="43">
        <v>33452147</v>
      </c>
      <c r="E78" s="43">
        <v>1900156</v>
      </c>
      <c r="F78" s="43">
        <v>386832201</v>
      </c>
      <c r="G78" s="43">
        <v>0</v>
      </c>
      <c r="H78" s="43">
        <v>0</v>
      </c>
      <c r="I78" s="43">
        <v>0</v>
      </c>
      <c r="J78" s="22">
        <f t="shared" si="16"/>
        <v>713583565</v>
      </c>
      <c r="K78" s="102"/>
      <c r="L78" s="89">
        <v>1</v>
      </c>
      <c r="M78" s="89" t="s">
        <v>67</v>
      </c>
      <c r="N78" s="90">
        <f>N74</f>
        <v>0.38100000000000001</v>
      </c>
      <c r="O78" s="102"/>
      <c r="P78" s="47" t="str">
        <f>DFIE!$B41</f>
        <v>Schaffhausen</v>
      </c>
      <c r="Q78" s="95">
        <f t="shared" si="19"/>
        <v>111023.042241</v>
      </c>
      <c r="R78" s="95">
        <f t="shared" si="20"/>
        <v>12745.268006999999</v>
      </c>
      <c r="S78" s="95">
        <f t="shared" si="21"/>
        <v>633.46450649999986</v>
      </c>
      <c r="T78" s="95">
        <f t="shared" si="22"/>
        <v>67210.227972972978</v>
      </c>
      <c r="U78" s="95">
        <f t="shared" si="23"/>
        <v>0</v>
      </c>
      <c r="V78" s="95">
        <f t="shared" si="24"/>
        <v>0</v>
      </c>
      <c r="W78" s="95">
        <f t="shared" si="25"/>
        <v>0</v>
      </c>
      <c r="X78" s="95">
        <f t="shared" si="17"/>
        <v>80588.960486472977</v>
      </c>
      <c r="Y78" s="95">
        <f t="shared" si="26"/>
        <v>60441.720364854729</v>
      </c>
      <c r="Z78" s="92">
        <v>0</v>
      </c>
      <c r="AA78" s="22">
        <f t="shared" si="18"/>
        <v>171464.76260585472</v>
      </c>
      <c r="AB78" s="359"/>
    </row>
    <row r="79" spans="1:28" x14ac:dyDescent="0.2">
      <c r="A79" s="359"/>
      <c r="B79" s="46" t="str">
        <f>DFIE!$B42</f>
        <v>Appenzell A.Rh.</v>
      </c>
      <c r="C79" s="61">
        <v>14042296</v>
      </c>
      <c r="D79" s="61">
        <v>28689763</v>
      </c>
      <c r="E79" s="61">
        <v>16522875</v>
      </c>
      <c r="F79" s="61">
        <v>5269499</v>
      </c>
      <c r="G79" s="61">
        <v>0</v>
      </c>
      <c r="H79" s="61">
        <v>0</v>
      </c>
      <c r="I79" s="61">
        <v>0</v>
      </c>
      <c r="J79" s="18">
        <f t="shared" si="16"/>
        <v>64524433</v>
      </c>
      <c r="K79" s="102"/>
      <c r="L79" s="89" t="s">
        <v>56</v>
      </c>
      <c r="M79" s="89" t="s">
        <v>91</v>
      </c>
      <c r="N79" s="90">
        <f>IF(DFIE!$G$2-4&lt;2006,0.03/$N$7,0.875*N74)</f>
        <v>0.33337499999999998</v>
      </c>
      <c r="O79" s="102"/>
      <c r="P79" s="46" t="str">
        <f>DFIE!$B42</f>
        <v>Appenzell A.Rh.</v>
      </c>
      <c r="Q79" s="86">
        <f t="shared" si="19"/>
        <v>5350.1147760000003</v>
      </c>
      <c r="R79" s="86">
        <f t="shared" si="20"/>
        <v>10930.799703000001</v>
      </c>
      <c r="S79" s="86">
        <f t="shared" si="21"/>
        <v>5508.3134531249998</v>
      </c>
      <c r="T79" s="86">
        <f t="shared" si="22"/>
        <v>915.55001930501919</v>
      </c>
      <c r="U79" s="86">
        <f t="shared" si="23"/>
        <v>0</v>
      </c>
      <c r="V79" s="86">
        <f t="shared" si="24"/>
        <v>0</v>
      </c>
      <c r="W79" s="86">
        <f t="shared" si="25"/>
        <v>0</v>
      </c>
      <c r="X79" s="86">
        <f t="shared" si="17"/>
        <v>17354.663175430018</v>
      </c>
      <c r="Y79" s="86">
        <f t="shared" si="26"/>
        <v>13015.997381572513</v>
      </c>
      <c r="Z79" s="93">
        <v>0</v>
      </c>
      <c r="AA79" s="18">
        <f t="shared" si="18"/>
        <v>18366.112157572512</v>
      </c>
      <c r="AB79" s="359"/>
    </row>
    <row r="80" spans="1:28" x14ac:dyDescent="0.2">
      <c r="A80" s="359"/>
      <c r="B80" s="47" t="str">
        <f>DFIE!$B43</f>
        <v>Appenzell I.Rh.</v>
      </c>
      <c r="C80" s="43">
        <v>20705529</v>
      </c>
      <c r="D80" s="43">
        <v>2611084</v>
      </c>
      <c r="E80" s="43">
        <v>4381376</v>
      </c>
      <c r="F80" s="43">
        <v>814271</v>
      </c>
      <c r="G80" s="43">
        <v>0</v>
      </c>
      <c r="H80" s="43">
        <v>0</v>
      </c>
      <c r="I80" s="43">
        <v>0</v>
      </c>
      <c r="J80" s="22">
        <f t="shared" si="16"/>
        <v>28512260</v>
      </c>
      <c r="K80" s="102"/>
      <c r="L80" s="89" t="s">
        <v>57</v>
      </c>
      <c r="M80" s="89" t="str">
        <f>DFIE!$B$112</f>
        <v>0.045 / SST(2021)</v>
      </c>
      <c r="N80" s="90">
        <f>0.045/ROUND($N$66,3)</f>
        <v>0.17374517374517373</v>
      </c>
      <c r="O80" s="102"/>
      <c r="P80" s="47" t="str">
        <f>DFIE!$B43</f>
        <v>Appenzell I.Rh.</v>
      </c>
      <c r="Q80" s="95">
        <f t="shared" si="19"/>
        <v>7888.8065489999999</v>
      </c>
      <c r="R80" s="95">
        <f t="shared" si="20"/>
        <v>994.82300399999997</v>
      </c>
      <c r="S80" s="95">
        <f t="shared" si="21"/>
        <v>1460.641224</v>
      </c>
      <c r="T80" s="95">
        <f t="shared" si="22"/>
        <v>141.47565637065637</v>
      </c>
      <c r="U80" s="95">
        <f t="shared" si="23"/>
        <v>0</v>
      </c>
      <c r="V80" s="95">
        <f t="shared" si="24"/>
        <v>0</v>
      </c>
      <c r="W80" s="95">
        <f t="shared" si="25"/>
        <v>0</v>
      </c>
      <c r="X80" s="95">
        <f t="shared" si="17"/>
        <v>2596.9398843706563</v>
      </c>
      <c r="Y80" s="95">
        <f t="shared" si="26"/>
        <v>1947.7049132779921</v>
      </c>
      <c r="Z80" s="92">
        <v>0</v>
      </c>
      <c r="AA80" s="22">
        <f t="shared" si="18"/>
        <v>9836.5114622779911</v>
      </c>
      <c r="AB80" s="359"/>
    </row>
    <row r="81" spans="1:28" x14ac:dyDescent="0.2">
      <c r="A81" s="359"/>
      <c r="B81" s="46" t="str">
        <f>DFIE!$B44</f>
        <v>St. Gallen</v>
      </c>
      <c r="C81" s="61">
        <v>848985412</v>
      </c>
      <c r="D81" s="61">
        <v>115088835</v>
      </c>
      <c r="E81" s="61">
        <v>526508172</v>
      </c>
      <c r="F81" s="61">
        <v>106510304</v>
      </c>
      <c r="G81" s="61">
        <v>0</v>
      </c>
      <c r="H81" s="61">
        <v>0</v>
      </c>
      <c r="I81" s="61">
        <v>0</v>
      </c>
      <c r="J81" s="18">
        <f t="shared" si="16"/>
        <v>1597092723</v>
      </c>
      <c r="K81" s="102"/>
      <c r="L81" s="89" t="s">
        <v>58</v>
      </c>
      <c r="M81" s="89" t="str">
        <f>DFIE!$B$113</f>
        <v>γ - 0.035 / SST(2021)</v>
      </c>
      <c r="N81" s="90">
        <f>N74-0.035/ROUND($N$66,3)</f>
        <v>0.24586486486486486</v>
      </c>
      <c r="O81" s="102"/>
      <c r="P81" s="46" t="str">
        <f>DFIE!$B44</f>
        <v>St. Gallen</v>
      </c>
      <c r="Q81" s="86">
        <f t="shared" si="19"/>
        <v>323463.441972</v>
      </c>
      <c r="R81" s="86">
        <f t="shared" si="20"/>
        <v>43848.846135</v>
      </c>
      <c r="S81" s="86">
        <f t="shared" si="21"/>
        <v>175524.66184049999</v>
      </c>
      <c r="T81" s="86">
        <f t="shared" si="22"/>
        <v>18505.651274131273</v>
      </c>
      <c r="U81" s="86">
        <f t="shared" si="23"/>
        <v>0</v>
      </c>
      <c r="V81" s="86">
        <f t="shared" si="24"/>
        <v>0</v>
      </c>
      <c r="W81" s="86">
        <f t="shared" si="25"/>
        <v>0</v>
      </c>
      <c r="X81" s="86">
        <f t="shared" si="17"/>
        <v>237879.15924963125</v>
      </c>
      <c r="Y81" s="86">
        <f t="shared" si="26"/>
        <v>178409.36943722345</v>
      </c>
      <c r="Z81" s="93">
        <v>0</v>
      </c>
      <c r="AA81" s="18">
        <f t="shared" si="18"/>
        <v>501872.81140922348</v>
      </c>
      <c r="AB81" s="359"/>
    </row>
    <row r="82" spans="1:28" x14ac:dyDescent="0.2">
      <c r="A82" s="359"/>
      <c r="B82" s="47" t="str">
        <f>DFIE!$B45</f>
        <v>Graubünden</v>
      </c>
      <c r="C82" s="43">
        <v>906927577</v>
      </c>
      <c r="D82" s="43">
        <v>207732777</v>
      </c>
      <c r="E82" s="43">
        <v>25173764</v>
      </c>
      <c r="F82" s="43">
        <v>1268869</v>
      </c>
      <c r="G82" s="43">
        <v>0</v>
      </c>
      <c r="H82" s="43">
        <v>0</v>
      </c>
      <c r="I82" s="43">
        <v>114069443</v>
      </c>
      <c r="J82" s="22">
        <f t="shared" si="16"/>
        <v>1255172430</v>
      </c>
      <c r="K82" s="102"/>
      <c r="L82" s="89" t="s">
        <v>59</v>
      </c>
      <c r="M82" s="89" t="str">
        <f>DFIE!$B$112</f>
        <v>0.045 / SST(2021)</v>
      </c>
      <c r="N82" s="90">
        <f>0.045/ROUND($N$66,3)</f>
        <v>0.17374517374517373</v>
      </c>
      <c r="O82" s="102"/>
      <c r="P82" s="47" t="str">
        <f>DFIE!$B45</f>
        <v>Graubünden</v>
      </c>
      <c r="Q82" s="95">
        <f t="shared" si="19"/>
        <v>345539.40683699999</v>
      </c>
      <c r="R82" s="95">
        <f t="shared" si="20"/>
        <v>79146.188037</v>
      </c>
      <c r="S82" s="95">
        <f t="shared" si="21"/>
        <v>8392.3035734999994</v>
      </c>
      <c r="T82" s="95">
        <f t="shared" si="22"/>
        <v>220.45986486486484</v>
      </c>
      <c r="U82" s="95">
        <f t="shared" si="23"/>
        <v>0</v>
      </c>
      <c r="V82" s="95">
        <f t="shared" si="24"/>
        <v>0</v>
      </c>
      <c r="W82" s="95">
        <f t="shared" si="25"/>
        <v>26076.274669799997</v>
      </c>
      <c r="X82" s="95">
        <f t="shared" si="17"/>
        <v>113835.22614516487</v>
      </c>
      <c r="Y82" s="95">
        <f t="shared" si="26"/>
        <v>85376.41960887365</v>
      </c>
      <c r="Z82" s="92">
        <v>0</v>
      </c>
      <c r="AA82" s="22">
        <f t="shared" si="18"/>
        <v>430915.82644587365</v>
      </c>
      <c r="AB82" s="359"/>
    </row>
    <row r="83" spans="1:28" x14ac:dyDescent="0.2">
      <c r="A83" s="359"/>
      <c r="B83" s="46" t="str">
        <f>DFIE!$B46</f>
        <v>Aargau</v>
      </c>
      <c r="C83" s="61">
        <v>1385565640</v>
      </c>
      <c r="D83" s="61">
        <v>354567809</v>
      </c>
      <c r="E83" s="61">
        <v>5262049</v>
      </c>
      <c r="F83" s="61">
        <v>982267843</v>
      </c>
      <c r="G83" s="61">
        <v>0</v>
      </c>
      <c r="H83" s="61">
        <v>0</v>
      </c>
      <c r="I83" s="61">
        <v>0</v>
      </c>
      <c r="J83" s="18">
        <f t="shared" si="16"/>
        <v>2727663341</v>
      </c>
      <c r="K83" s="102"/>
      <c r="L83" s="89" t="s">
        <v>60</v>
      </c>
      <c r="M83" s="89" t="s">
        <v>92</v>
      </c>
      <c r="N83" s="90">
        <f>0.6*N74</f>
        <v>0.2286</v>
      </c>
      <c r="O83" s="102"/>
      <c r="P83" s="46" t="str">
        <f>DFIE!$B46</f>
        <v>Aargau</v>
      </c>
      <c r="Q83" s="86">
        <f t="shared" si="19"/>
        <v>527900.50884000002</v>
      </c>
      <c r="R83" s="86">
        <f t="shared" si="20"/>
        <v>135090.33522899999</v>
      </c>
      <c r="S83" s="86">
        <f t="shared" si="21"/>
        <v>1754.2355853749998</v>
      </c>
      <c r="T83" s="86">
        <f t="shared" si="22"/>
        <v>170664.29704633204</v>
      </c>
      <c r="U83" s="86">
        <f t="shared" si="23"/>
        <v>0</v>
      </c>
      <c r="V83" s="86">
        <f t="shared" si="24"/>
        <v>0</v>
      </c>
      <c r="W83" s="86">
        <f t="shared" si="25"/>
        <v>0</v>
      </c>
      <c r="X83" s="86">
        <f t="shared" si="17"/>
        <v>307508.86786070699</v>
      </c>
      <c r="Y83" s="86">
        <f t="shared" si="26"/>
        <v>230631.65089553024</v>
      </c>
      <c r="Z83" s="93">
        <v>0</v>
      </c>
      <c r="AA83" s="18">
        <f t="shared" si="18"/>
        <v>758532.15973553027</v>
      </c>
      <c r="AB83" s="359"/>
    </row>
    <row r="84" spans="1:28" x14ac:dyDescent="0.2">
      <c r="A84" s="359"/>
      <c r="B84" s="47" t="str">
        <f>DFIE!$B47</f>
        <v>Thurgau</v>
      </c>
      <c r="C84" s="43">
        <v>687398386</v>
      </c>
      <c r="D84" s="43">
        <v>76346408</v>
      </c>
      <c r="E84" s="43">
        <v>23548007</v>
      </c>
      <c r="F84" s="43">
        <v>329006676</v>
      </c>
      <c r="G84" s="43">
        <v>0</v>
      </c>
      <c r="H84" s="43">
        <v>0</v>
      </c>
      <c r="I84" s="43">
        <v>0</v>
      </c>
      <c r="J84" s="22">
        <f t="shared" si="16"/>
        <v>1116299477</v>
      </c>
      <c r="K84" s="102"/>
      <c r="L84" s="59"/>
      <c r="M84" s="59"/>
      <c r="N84" s="59"/>
      <c r="O84" s="102"/>
      <c r="P84" s="47" t="str">
        <f>DFIE!$B47</f>
        <v>Thurgau</v>
      </c>
      <c r="Q84" s="95">
        <f t="shared" si="19"/>
        <v>261898.78506600001</v>
      </c>
      <c r="R84" s="95">
        <f t="shared" si="20"/>
        <v>29087.981447999999</v>
      </c>
      <c r="S84" s="95">
        <f t="shared" si="21"/>
        <v>7850.3168336249992</v>
      </c>
      <c r="T84" s="95">
        <f t="shared" si="22"/>
        <v>57163.322084942083</v>
      </c>
      <c r="U84" s="95">
        <f t="shared" si="23"/>
        <v>0</v>
      </c>
      <c r="V84" s="95">
        <f t="shared" si="24"/>
        <v>0</v>
      </c>
      <c r="W84" s="95">
        <f t="shared" si="25"/>
        <v>0</v>
      </c>
      <c r="X84" s="95">
        <f t="shared" si="17"/>
        <v>94101.620366567076</v>
      </c>
      <c r="Y84" s="95">
        <f t="shared" si="26"/>
        <v>70576.215274925315</v>
      </c>
      <c r="Z84" s="92">
        <v>0</v>
      </c>
      <c r="AA84" s="22">
        <f t="shared" si="18"/>
        <v>332475.0003409253</v>
      </c>
      <c r="AB84" s="359"/>
    </row>
    <row r="85" spans="1:28" x14ac:dyDescent="0.2">
      <c r="A85" s="359"/>
      <c r="B85" s="46" t="str">
        <f>DFIE!$B48</f>
        <v>Tessin</v>
      </c>
      <c r="C85" s="61">
        <v>1225329002</v>
      </c>
      <c r="D85" s="61">
        <v>614411789</v>
      </c>
      <c r="E85" s="61">
        <v>443785</v>
      </c>
      <c r="F85" s="61">
        <v>0</v>
      </c>
      <c r="G85" s="61">
        <v>0</v>
      </c>
      <c r="H85" s="61">
        <v>0</v>
      </c>
      <c r="I85" s="61">
        <v>3187567095</v>
      </c>
      <c r="J85" s="18">
        <f t="shared" si="16"/>
        <v>5027751671</v>
      </c>
      <c r="K85" s="102"/>
      <c r="L85" s="59"/>
      <c r="M85" s="59"/>
      <c r="N85" s="103"/>
      <c r="O85" s="102"/>
      <c r="P85" s="46" t="str">
        <f>DFIE!$B48</f>
        <v>Tessin</v>
      </c>
      <c r="Q85" s="86">
        <f t="shared" si="19"/>
        <v>466850.34976200003</v>
      </c>
      <c r="R85" s="86">
        <f t="shared" si="20"/>
        <v>234090.89160899998</v>
      </c>
      <c r="S85" s="86">
        <f t="shared" si="21"/>
        <v>147.94682437500001</v>
      </c>
      <c r="T85" s="86">
        <f t="shared" si="22"/>
        <v>0</v>
      </c>
      <c r="U85" s="86">
        <f t="shared" si="23"/>
        <v>0</v>
      </c>
      <c r="V85" s="86">
        <f t="shared" si="24"/>
        <v>0</v>
      </c>
      <c r="W85" s="86">
        <f t="shared" si="25"/>
        <v>728677.83791699994</v>
      </c>
      <c r="X85" s="86">
        <f t="shared" si="17"/>
        <v>962916.67635037494</v>
      </c>
      <c r="Y85" s="86">
        <f t="shared" si="26"/>
        <v>722187.50726278126</v>
      </c>
      <c r="Z85" s="93">
        <v>0</v>
      </c>
      <c r="AA85" s="18">
        <f t="shared" si="18"/>
        <v>1189037.8570247814</v>
      </c>
      <c r="AB85" s="359"/>
    </row>
    <row r="86" spans="1:28" x14ac:dyDescent="0.2">
      <c r="A86" s="359"/>
      <c r="B86" s="47" t="str">
        <f>DFIE!$B49</f>
        <v>Waadt</v>
      </c>
      <c r="C86" s="43">
        <v>2712907255</v>
      </c>
      <c r="D86" s="43">
        <v>0</v>
      </c>
      <c r="E86" s="43">
        <v>0</v>
      </c>
      <c r="F86" s="43">
        <v>0</v>
      </c>
      <c r="G86" s="43">
        <v>0</v>
      </c>
      <c r="H86" s="43">
        <v>2427479258</v>
      </c>
      <c r="I86" s="43">
        <v>0</v>
      </c>
      <c r="J86" s="22">
        <f t="shared" si="16"/>
        <v>5140386513</v>
      </c>
      <c r="K86" s="102"/>
      <c r="L86" s="59"/>
      <c r="M86" s="59"/>
      <c r="N86" s="59"/>
      <c r="O86" s="102"/>
      <c r="P86" s="47" t="str">
        <f>DFIE!$B49</f>
        <v>Waadt</v>
      </c>
      <c r="Q86" s="95">
        <f t="shared" si="19"/>
        <v>1033617.664155</v>
      </c>
      <c r="R86" s="95">
        <f t="shared" si="20"/>
        <v>0</v>
      </c>
      <c r="S86" s="95">
        <f t="shared" si="21"/>
        <v>0</v>
      </c>
      <c r="T86" s="95">
        <f t="shared" si="22"/>
        <v>0</v>
      </c>
      <c r="U86" s="95">
        <f t="shared" si="23"/>
        <v>0</v>
      </c>
      <c r="V86" s="95">
        <f t="shared" si="24"/>
        <v>421762.80544401536</v>
      </c>
      <c r="W86" s="95">
        <f t="shared" si="25"/>
        <v>0</v>
      </c>
      <c r="X86" s="95">
        <f t="shared" si="17"/>
        <v>421762.80544401536</v>
      </c>
      <c r="Y86" s="95">
        <f t="shared" si="26"/>
        <v>316322.10408301151</v>
      </c>
      <c r="Z86" s="92">
        <v>0</v>
      </c>
      <c r="AA86" s="22">
        <f t="shared" si="18"/>
        <v>1349939.7682380115</v>
      </c>
      <c r="AB86" s="359"/>
    </row>
    <row r="87" spans="1:28" x14ac:dyDescent="0.2">
      <c r="A87" s="359"/>
      <c r="B87" s="46" t="str">
        <f>DFIE!$B50</f>
        <v>Wallis</v>
      </c>
      <c r="C87" s="61">
        <v>1046217725</v>
      </c>
      <c r="D87" s="61">
        <v>16207710</v>
      </c>
      <c r="E87" s="61">
        <v>0</v>
      </c>
      <c r="F87" s="61">
        <v>917997</v>
      </c>
      <c r="G87" s="61">
        <v>0</v>
      </c>
      <c r="H87" s="61">
        <v>113044158</v>
      </c>
      <c r="I87" s="61">
        <v>74992945</v>
      </c>
      <c r="J87" s="18">
        <f t="shared" si="16"/>
        <v>1251380535</v>
      </c>
      <c r="K87" s="102"/>
      <c r="L87" s="59"/>
      <c r="M87" s="59"/>
      <c r="N87" s="59"/>
      <c r="O87" s="102"/>
      <c r="P87" s="46" t="str">
        <f>DFIE!$B50</f>
        <v>Wallis</v>
      </c>
      <c r="Q87" s="86">
        <f t="shared" si="19"/>
        <v>398608.953225</v>
      </c>
      <c r="R87" s="86">
        <f t="shared" si="20"/>
        <v>6175.1375099999996</v>
      </c>
      <c r="S87" s="86">
        <f t="shared" si="21"/>
        <v>0</v>
      </c>
      <c r="T87" s="86">
        <f t="shared" si="22"/>
        <v>159.49754826254826</v>
      </c>
      <c r="U87" s="86">
        <f t="shared" si="23"/>
        <v>0</v>
      </c>
      <c r="V87" s="86">
        <f t="shared" si="24"/>
        <v>19640.876872586872</v>
      </c>
      <c r="W87" s="86">
        <f t="shared" si="25"/>
        <v>17143.387226999999</v>
      </c>
      <c r="X87" s="86">
        <f t="shared" si="17"/>
        <v>43118.899157849417</v>
      </c>
      <c r="Y87" s="86">
        <f t="shared" si="26"/>
        <v>32339.174368387063</v>
      </c>
      <c r="Z87" s="93">
        <v>0</v>
      </c>
      <c r="AA87" s="18">
        <f t="shared" si="18"/>
        <v>430948.12759338709</v>
      </c>
      <c r="AB87" s="359"/>
    </row>
    <row r="88" spans="1:28" x14ac:dyDescent="0.2">
      <c r="A88" s="359"/>
      <c r="B88" s="47" t="str">
        <f>DFIE!$B51</f>
        <v>Neuenburg</v>
      </c>
      <c r="C88" s="43">
        <v>332164281</v>
      </c>
      <c r="D88" s="43">
        <v>72753809</v>
      </c>
      <c r="E88" s="43">
        <v>32000</v>
      </c>
      <c r="F88" s="43">
        <v>258859</v>
      </c>
      <c r="G88" s="43">
        <v>0</v>
      </c>
      <c r="H88" s="43">
        <v>1014492597</v>
      </c>
      <c r="I88" s="43">
        <v>0</v>
      </c>
      <c r="J88" s="22">
        <f t="shared" si="16"/>
        <v>1419701546</v>
      </c>
      <c r="K88" s="102"/>
      <c r="L88" s="59"/>
      <c r="M88" s="59"/>
      <c r="N88" s="59"/>
      <c r="O88" s="102"/>
      <c r="P88" s="47" t="str">
        <f>DFIE!$B51</f>
        <v>Neuenburg</v>
      </c>
      <c r="Q88" s="95">
        <f t="shared" si="19"/>
        <v>126554.591061</v>
      </c>
      <c r="R88" s="95">
        <f t="shared" si="20"/>
        <v>27719.201229000002</v>
      </c>
      <c r="S88" s="95">
        <f t="shared" si="21"/>
        <v>10.667999999999999</v>
      </c>
      <c r="T88" s="95">
        <f t="shared" si="22"/>
        <v>44.975501930501927</v>
      </c>
      <c r="U88" s="95">
        <f t="shared" si="23"/>
        <v>0</v>
      </c>
      <c r="V88" s="95">
        <f t="shared" si="24"/>
        <v>176263.19252895753</v>
      </c>
      <c r="W88" s="95">
        <f t="shared" si="25"/>
        <v>0</v>
      </c>
      <c r="X88" s="95">
        <f t="shared" si="17"/>
        <v>204038.03725988802</v>
      </c>
      <c r="Y88" s="95">
        <f t="shared" si="26"/>
        <v>153028.52794491602</v>
      </c>
      <c r="Z88" s="92">
        <v>0</v>
      </c>
      <c r="AA88" s="22">
        <f t="shared" si="18"/>
        <v>279583.119005916</v>
      </c>
      <c r="AB88" s="359"/>
    </row>
    <row r="89" spans="1:28" x14ac:dyDescent="0.2">
      <c r="A89" s="359"/>
      <c r="B89" s="46" t="str">
        <f>DFIE!$B52</f>
        <v>Genf</v>
      </c>
      <c r="C89" s="61">
        <v>2130679049</v>
      </c>
      <c r="D89" s="61">
        <v>686767071</v>
      </c>
      <c r="E89" s="61">
        <v>3439613</v>
      </c>
      <c r="F89" s="61">
        <v>0</v>
      </c>
      <c r="G89" s="61">
        <v>8912606221</v>
      </c>
      <c r="H89" s="61">
        <v>0</v>
      </c>
      <c r="I89" s="61">
        <v>0</v>
      </c>
      <c r="J89" s="18">
        <f t="shared" si="16"/>
        <v>11733491954</v>
      </c>
      <c r="K89" s="102"/>
      <c r="L89" s="59"/>
      <c r="M89" s="59"/>
      <c r="N89" s="59"/>
      <c r="O89" s="102"/>
      <c r="P89" s="46" t="str">
        <f>DFIE!$B52</f>
        <v>Genf</v>
      </c>
      <c r="Q89" s="86">
        <f t="shared" si="19"/>
        <v>811788.71766900003</v>
      </c>
      <c r="R89" s="86">
        <f t="shared" si="20"/>
        <v>261658.254051</v>
      </c>
      <c r="S89" s="86">
        <f t="shared" si="21"/>
        <v>1146.6809838749998</v>
      </c>
      <c r="T89" s="86">
        <f t="shared" si="22"/>
        <v>0</v>
      </c>
      <c r="U89" s="86">
        <f t="shared" si="23"/>
        <v>2191296.7241199189</v>
      </c>
      <c r="V89" s="86">
        <f t="shared" si="24"/>
        <v>0</v>
      </c>
      <c r="W89" s="86">
        <f t="shared" si="25"/>
        <v>0</v>
      </c>
      <c r="X89" s="86">
        <f t="shared" si="17"/>
        <v>2454101.6591547937</v>
      </c>
      <c r="Y89" s="86">
        <f t="shared" si="26"/>
        <v>1840576.2443660954</v>
      </c>
      <c r="Z89" s="93">
        <v>0</v>
      </c>
      <c r="AA89" s="18">
        <f t="shared" si="18"/>
        <v>2652364.9620350953</v>
      </c>
      <c r="AB89" s="359"/>
    </row>
    <row r="90" spans="1:28" x14ac:dyDescent="0.2">
      <c r="A90" s="359"/>
      <c r="B90" s="47" t="str">
        <f>DFIE!$B53</f>
        <v>Jura</v>
      </c>
      <c r="C90" s="43">
        <v>83283364</v>
      </c>
      <c r="D90" s="43">
        <v>13552138</v>
      </c>
      <c r="E90" s="43">
        <v>0</v>
      </c>
      <c r="F90" s="43">
        <v>1065058</v>
      </c>
      <c r="G90" s="43">
        <v>0</v>
      </c>
      <c r="H90" s="43">
        <v>586280249</v>
      </c>
      <c r="I90" s="43">
        <v>0</v>
      </c>
      <c r="J90" s="22">
        <f t="shared" si="16"/>
        <v>684180809</v>
      </c>
      <c r="K90" s="102"/>
      <c r="L90" s="59"/>
      <c r="M90" s="59"/>
      <c r="N90" s="59"/>
      <c r="O90" s="102"/>
      <c r="P90" s="47" t="str">
        <f>DFIE!$B53</f>
        <v>Jura</v>
      </c>
      <c r="Q90" s="95">
        <f t="shared" si="19"/>
        <v>31730.961684000002</v>
      </c>
      <c r="R90" s="95">
        <f t="shared" si="20"/>
        <v>5163.3645779999997</v>
      </c>
      <c r="S90" s="95">
        <f t="shared" si="21"/>
        <v>0</v>
      </c>
      <c r="T90" s="95">
        <f t="shared" si="22"/>
        <v>185.04868725868724</v>
      </c>
      <c r="U90" s="95">
        <f t="shared" si="23"/>
        <v>0</v>
      </c>
      <c r="V90" s="95">
        <f t="shared" si="24"/>
        <v>101863.36372586872</v>
      </c>
      <c r="W90" s="95">
        <f t="shared" si="25"/>
        <v>0</v>
      </c>
      <c r="X90" s="95">
        <f t="shared" si="17"/>
        <v>107211.77699112741</v>
      </c>
      <c r="Y90" s="95">
        <f t="shared" si="26"/>
        <v>80408.832743345556</v>
      </c>
      <c r="Z90" s="92">
        <v>0</v>
      </c>
      <c r="AA90" s="22">
        <f t="shared" si="18"/>
        <v>112139.79442734557</v>
      </c>
      <c r="AB90" s="359"/>
    </row>
    <row r="91" spans="1:28" x14ac:dyDescent="0.2">
      <c r="A91" s="359"/>
      <c r="B91" s="24" t="str">
        <f>DFIE!$B54</f>
        <v>Schweiz</v>
      </c>
      <c r="C91" s="67">
        <f t="shared" ref="C91:I91" si="27">SUM(C65:C90)</f>
        <v>22976424429</v>
      </c>
      <c r="D91" s="67">
        <f t="shared" si="27"/>
        <v>3668863482</v>
      </c>
      <c r="E91" s="67">
        <f t="shared" si="27"/>
        <v>657666659</v>
      </c>
      <c r="F91" s="67">
        <f t="shared" si="27"/>
        <v>4902075451</v>
      </c>
      <c r="G91" s="67">
        <f t="shared" si="27"/>
        <v>8912606221</v>
      </c>
      <c r="H91" s="67">
        <f t="shared" si="27"/>
        <v>7118286635</v>
      </c>
      <c r="I91" s="67">
        <f t="shared" si="27"/>
        <v>3376629483</v>
      </c>
      <c r="J91" s="66">
        <f t="shared" si="16"/>
        <v>51612552360</v>
      </c>
      <c r="K91" s="59"/>
      <c r="L91" s="59"/>
      <c r="M91" s="59"/>
      <c r="N91" s="59"/>
      <c r="O91" s="59"/>
      <c r="P91" s="24" t="str">
        <f>DFIE!$B54</f>
        <v>Schweiz</v>
      </c>
      <c r="Q91" s="31">
        <f t="shared" ref="Q91:Z91" si="28">SUM(Q65:Q90)</f>
        <v>8754017.7074489985</v>
      </c>
      <c r="R91" s="31">
        <f t="shared" si="28"/>
        <v>1397836.986642</v>
      </c>
      <c r="S91" s="31">
        <f t="shared" si="28"/>
        <v>219249.62244412495</v>
      </c>
      <c r="T91" s="31">
        <f t="shared" si="28"/>
        <v>851711.95094594592</v>
      </c>
      <c r="U91" s="31">
        <f t="shared" si="28"/>
        <v>2191296.7241199189</v>
      </c>
      <c r="V91" s="31">
        <f t="shared" si="28"/>
        <v>1236767.9481660232</v>
      </c>
      <c r="W91" s="31">
        <f t="shared" si="28"/>
        <v>771897.49981379986</v>
      </c>
      <c r="X91" s="31">
        <f t="shared" si="28"/>
        <v>6668760.7321318127</v>
      </c>
      <c r="Y91" s="31">
        <f>SUM(Y65:Y90)</f>
        <v>5001570.5490988595</v>
      </c>
      <c r="Z91" s="66">
        <f t="shared" si="28"/>
        <v>0</v>
      </c>
      <c r="AA91" s="26">
        <f>SUM(AA65:AA90)</f>
        <v>13755588.256547861</v>
      </c>
      <c r="AB91" s="359"/>
    </row>
  </sheetData>
  <mergeCells count="10">
    <mergeCell ref="AB37:AB63"/>
    <mergeCell ref="AB65:AB91"/>
    <mergeCell ref="A9:A35"/>
    <mergeCell ref="A37:A63"/>
    <mergeCell ref="A65:A91"/>
    <mergeCell ref="AA6:AA7"/>
    <mergeCell ref="C3:J3"/>
    <mergeCell ref="Q3:AA3"/>
    <mergeCell ref="Z6:Z7"/>
    <mergeCell ref="AB9:AB35"/>
  </mergeCells>
  <conditionalFormatting sqref="C9:I34">
    <cfRule type="expression" dxfId="68" priority="40" stopIfTrue="1">
      <formula>ISBLANK(C9)</formula>
    </cfRule>
  </conditionalFormatting>
  <conditionalFormatting sqref="C37:I37">
    <cfRule type="expression" dxfId="67" priority="34" stopIfTrue="1">
      <formula>ISBLANK(C37)</formula>
    </cfRule>
    <cfRule type="expression" dxfId="66" priority="26" stopIfTrue="1">
      <formula>ISBLANK(C37)</formula>
    </cfRule>
  </conditionalFormatting>
  <conditionalFormatting sqref="C65:I65 N72:N73">
    <cfRule type="expression" dxfId="65" priority="31" stopIfTrue="1">
      <formula>ISBLANK(C65)</formula>
    </cfRule>
  </conditionalFormatting>
  <conditionalFormatting sqref="N73">
    <cfRule type="expression" dxfId="64" priority="27" stopIfTrue="1">
      <formula>ISBLANK(N73)</formula>
    </cfRule>
  </conditionalFormatting>
  <conditionalFormatting sqref="C65:I65">
    <cfRule type="expression" dxfId="63" priority="25" stopIfTrue="1">
      <formula>ISBLANK(C65)</formula>
    </cfRule>
  </conditionalFormatting>
  <conditionalFormatting sqref="N72">
    <cfRule type="expression" dxfId="62" priority="19" stopIfTrue="1">
      <formula>ISBLANK(N72)</formula>
    </cfRule>
  </conditionalFormatting>
  <conditionalFormatting sqref="Z9:Z34">
    <cfRule type="expression" dxfId="61" priority="15" stopIfTrue="1">
      <formula>ISBLANK(Z9)</formula>
    </cfRule>
  </conditionalFormatting>
  <conditionalFormatting sqref="Z37">
    <cfRule type="expression" dxfId="60" priority="14" stopIfTrue="1">
      <formula>ISBLANK(Z37)</formula>
    </cfRule>
  </conditionalFormatting>
  <conditionalFormatting sqref="Z65">
    <cfRule type="expression" dxfId="59" priority="13" stopIfTrue="1">
      <formula>ISBLANK(Z65)</formula>
    </cfRule>
  </conditionalFormatting>
  <conditionalFormatting sqref="C38:I62">
    <cfRule type="expression" dxfId="58" priority="12" stopIfTrue="1">
      <formula>ISBLANK(C38)</formula>
    </cfRule>
  </conditionalFormatting>
  <conditionalFormatting sqref="C66:I90">
    <cfRule type="expression" dxfId="57" priority="11" stopIfTrue="1">
      <formula>ISBLANK(C66)</formula>
    </cfRule>
  </conditionalFormatting>
  <conditionalFormatting sqref="Z38:Z62">
    <cfRule type="expression" dxfId="56" priority="10" stopIfTrue="1">
      <formula>ISBLANK(Z38)</formula>
    </cfRule>
  </conditionalFormatting>
  <conditionalFormatting sqref="Z66:Z90">
    <cfRule type="expression" dxfId="55" priority="9" stopIfTrue="1">
      <formula>ISBLANK(Z66)</formula>
    </cfRule>
  </conditionalFormatting>
  <conditionalFormatting sqref="N13">
    <cfRule type="expression" dxfId="54" priority="8" stopIfTrue="1">
      <formula>ISBLANK(N13)</formula>
    </cfRule>
  </conditionalFormatting>
  <conditionalFormatting sqref="N10">
    <cfRule type="expression" dxfId="53" priority="7" stopIfTrue="1">
      <formula>ISBLANK(N10)</formula>
    </cfRule>
  </conditionalFormatting>
  <conditionalFormatting sqref="N11">
    <cfRule type="expression" dxfId="52" priority="6" stopIfTrue="1">
      <formula>ISBLANK(N11)</formula>
    </cfRule>
  </conditionalFormatting>
  <conditionalFormatting sqref="N39">
    <cfRule type="expression" dxfId="51" priority="4" stopIfTrue="1">
      <formula>ISBLANK(N39)</formula>
    </cfRule>
  </conditionalFormatting>
  <conditionalFormatting sqref="N38">
    <cfRule type="expression" dxfId="50" priority="5" stopIfTrue="1">
      <formula>ISBLANK(N38)</formula>
    </cfRule>
  </conditionalFormatting>
  <conditionalFormatting sqref="N41">
    <cfRule type="expression" dxfId="49" priority="3" stopIfTrue="1">
      <formula>ISBLANK(N41)</formula>
    </cfRule>
  </conditionalFormatting>
  <conditionalFormatting sqref="N67">
    <cfRule type="expression" dxfId="48" priority="1" stopIfTrue="1">
      <formula>ISBLANK(N67)</formula>
    </cfRule>
  </conditionalFormatting>
  <conditionalFormatting sqref="N66">
    <cfRule type="expression" dxfId="47" priority="2" stopIfTrue="1">
      <formula>ISBLANK(N66)</formula>
    </cfRule>
  </conditionalFormatting>
  <pageMargins left="0.59055118110236227" right="0.31496062992125984" top="0.98425196850393704" bottom="0.78740157480314965" header="0.51181102362204722" footer="0.51181102362204722"/>
  <pageSetup paperSize="9" scale="60" fitToWidth="2" orientation="landscape" r:id="rId1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olBreaks count="1" manualBreakCount="1">
    <brk id="15" max="1048575" man="1"/>
  </colBreaks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1"/>
  <sheetViews>
    <sheetView showGridLines="0" zoomScaleNormal="100" zoomScaleSheetLayoutView="70" workbookViewId="0">
      <pane ySplit="8" topLeftCell="A9" activePane="bottomLeft" state="frozen"/>
      <selection activeCell="A75" sqref="A75"/>
      <selection pane="bottomLeft" activeCell="A75" sqref="A75"/>
    </sheetView>
  </sheetViews>
  <sheetFormatPr baseColWidth="10" defaultRowHeight="12.75" x14ac:dyDescent="0.2"/>
  <cols>
    <col min="1" max="1" width="1.42578125" customWidth="1"/>
    <col min="2" max="2" width="17.140625" customWidth="1"/>
    <col min="3" max="4" width="16.7109375" customWidth="1"/>
    <col min="5" max="5" width="1.28515625" customWidth="1"/>
    <col min="6" max="7" width="16.7109375" customWidth="1"/>
    <col min="8" max="8" width="1.28515625" customWidth="1"/>
    <col min="9" max="10" width="16.7109375" customWidth="1"/>
    <col min="11" max="11" width="2.85546875" customWidth="1"/>
    <col min="12" max="12" width="3" customWidth="1"/>
    <col min="13" max="13" width="42.42578125" customWidth="1"/>
    <col min="14" max="15" width="9" customWidth="1"/>
    <col min="16" max="22" width="12" customWidth="1"/>
  </cols>
  <sheetData>
    <row r="1" spans="1:22" ht="18" customHeight="1" x14ac:dyDescent="0.2">
      <c r="B1" s="116" t="str">
        <f>DFIE!B120</f>
        <v>Vermögen natürlicher Personen 2022</v>
      </c>
    </row>
    <row r="2" spans="1:22" ht="12.75" customHeight="1" x14ac:dyDescent="0.2"/>
    <row r="3" spans="1:22" ht="20.25" customHeight="1" x14ac:dyDescent="0.2">
      <c r="A3" s="52"/>
      <c r="C3" s="370" t="str">
        <f>DFIE!B69</f>
        <v>Bemessungsjahr 2016</v>
      </c>
      <c r="D3" s="370"/>
      <c r="E3" s="52"/>
      <c r="F3" s="371" t="str">
        <f>DFIE!B70</f>
        <v>Bemessungsjahr 2017</v>
      </c>
      <c r="G3" s="371"/>
      <c r="H3" s="52"/>
      <c r="I3" s="372" t="str">
        <f>DFIE!B71</f>
        <v>Bemessungsjahr 2018</v>
      </c>
      <c r="J3" s="372"/>
      <c r="L3" s="121" t="str">
        <f>DFIE!$B$125</f>
        <v>Berechnung Alpha für Bemessungsjahr 2018</v>
      </c>
    </row>
    <row r="4" spans="1:22" ht="12" customHeight="1" x14ac:dyDescent="0.2">
      <c r="A4" s="13"/>
      <c r="B4" s="34" t="str">
        <f>DFIE!B55</f>
        <v>Spalte</v>
      </c>
      <c r="C4" s="35" t="s">
        <v>30</v>
      </c>
      <c r="D4" s="112" t="s">
        <v>31</v>
      </c>
      <c r="E4" s="113"/>
      <c r="F4" s="114" t="s">
        <v>43</v>
      </c>
      <c r="G4" s="112" t="s">
        <v>42</v>
      </c>
      <c r="H4" s="113"/>
      <c r="I4" s="114" t="s">
        <v>34</v>
      </c>
      <c r="J4" s="112" t="s">
        <v>35</v>
      </c>
      <c r="N4" s="125"/>
      <c r="O4" s="125"/>
      <c r="V4" s="13"/>
    </row>
    <row r="5" spans="1:22" ht="12" customHeight="1" x14ac:dyDescent="0.2">
      <c r="A5" s="13"/>
      <c r="B5" s="34" t="str">
        <f>DFIE!B56</f>
        <v>Formel</v>
      </c>
      <c r="C5" s="35"/>
      <c r="D5" s="115" t="str">
        <f>"C * " &amp;DFIE!$B$123</f>
        <v>C * Alpha</v>
      </c>
      <c r="E5" s="113"/>
      <c r="F5" s="114"/>
      <c r="G5" s="115" t="str">
        <f>"F * " &amp;DFIE!$B$123</f>
        <v>F * Alpha</v>
      </c>
      <c r="H5" s="113"/>
      <c r="I5" s="114"/>
      <c r="J5" s="115" t="str">
        <f>"I * " &amp;DFIE!$B$123</f>
        <v>I * Alpha</v>
      </c>
      <c r="L5" s="13"/>
      <c r="M5" s="13"/>
      <c r="N5" s="125"/>
      <c r="O5" s="125"/>
      <c r="V5" s="13"/>
    </row>
    <row r="6" spans="1:22" ht="12" customHeight="1" x14ac:dyDescent="0.2">
      <c r="A6" s="13"/>
      <c r="B6" s="34" t="str">
        <f>DFIE!$B$124</f>
        <v>Alpha</v>
      </c>
      <c r="C6" s="35"/>
      <c r="D6" s="175">
        <v>1.4E-2</v>
      </c>
      <c r="E6" s="113"/>
      <c r="F6" s="114"/>
      <c r="G6" s="175">
        <v>1.4E-2</v>
      </c>
      <c r="H6" s="113"/>
      <c r="I6" s="114"/>
      <c r="J6" s="175">
        <f>$V$27</f>
        <v>1.4999999999999999E-2</v>
      </c>
      <c r="L6" s="122"/>
      <c r="M6" s="122"/>
      <c r="N6" s="125"/>
      <c r="O6" s="125"/>
    </row>
    <row r="7" spans="1:22" ht="33.75" customHeight="1" x14ac:dyDescent="0.2">
      <c r="A7" s="52"/>
      <c r="B7" s="179"/>
      <c r="C7" s="180" t="str">
        <f>DFIE!$B$121</f>
        <v>Reinvermögen</v>
      </c>
      <c r="D7" s="109" t="str">
        <f>DFIE!$B$122</f>
        <v>Massgebendes
Vermögen</v>
      </c>
      <c r="E7" s="52"/>
      <c r="F7" s="181" t="str">
        <f>DFIE!$B$121</f>
        <v>Reinvermögen</v>
      </c>
      <c r="G7" s="109" t="str">
        <f>DFIE!$B$122</f>
        <v>Massgebendes
Vermögen</v>
      </c>
      <c r="H7" s="52"/>
      <c r="I7" s="181" t="str">
        <f>DFIE!$B$121</f>
        <v>Reinvermögen</v>
      </c>
      <c r="J7" s="109" t="str">
        <f>DFIE!$B$122</f>
        <v>Massgebendes
Vermögen</v>
      </c>
      <c r="L7" s="123"/>
      <c r="M7" s="174"/>
      <c r="N7" s="158"/>
      <c r="O7" s="158"/>
      <c r="P7" s="128">
        <f>DFIE!$G$2-9</f>
        <v>2013</v>
      </c>
      <c r="Q7" s="128">
        <f>DFIE!$G$2-8</f>
        <v>2014</v>
      </c>
      <c r="R7" s="128">
        <f>DFIE!$G$2-7</f>
        <v>2015</v>
      </c>
      <c r="S7" s="128">
        <f>DFIE!$G$2-6</f>
        <v>2016</v>
      </c>
      <c r="T7" s="128">
        <f>DFIE!$G$2-5</f>
        <v>2017</v>
      </c>
      <c r="U7" s="128">
        <f>DFIE!$G$2-4</f>
        <v>2018</v>
      </c>
      <c r="V7" s="173" t="str">
        <f>DFIE!$B$142</f>
        <v>Mittelwert</v>
      </c>
    </row>
    <row r="8" spans="1:22" x14ac:dyDescent="0.2">
      <c r="A8" s="13"/>
      <c r="B8" s="78" t="str">
        <f>DFIE!B58</f>
        <v>Einheit</v>
      </c>
      <c r="C8" s="40" t="str">
        <f>DFIE!$B$60</f>
        <v>CHF 1'000</v>
      </c>
      <c r="D8" s="117" t="str">
        <f>DFIE!$B$60</f>
        <v>CHF 1'000</v>
      </c>
      <c r="E8" s="113"/>
      <c r="F8" s="118" t="str">
        <f>DFIE!$B$60</f>
        <v>CHF 1'000</v>
      </c>
      <c r="G8" s="117" t="str">
        <f>DFIE!$B$60</f>
        <v>CHF 1'000</v>
      </c>
      <c r="H8" s="113"/>
      <c r="I8" s="118" t="str">
        <f>DFIE!$B$60</f>
        <v>CHF 1'000</v>
      </c>
      <c r="J8" s="117" t="str">
        <f>DFIE!$B$60</f>
        <v>CHF 1'000</v>
      </c>
      <c r="L8" s="124"/>
      <c r="N8" s="159" t="str">
        <f>DFIE!$B$58</f>
        <v>Einheit</v>
      </c>
      <c r="O8" s="159" t="str">
        <f>DFIE!$B$56</f>
        <v>Formel</v>
      </c>
      <c r="P8" s="3" t="s">
        <v>563</v>
      </c>
      <c r="Q8" s="3" t="s">
        <v>564</v>
      </c>
      <c r="R8" s="3" t="s">
        <v>565</v>
      </c>
      <c r="S8" s="3" t="s">
        <v>566</v>
      </c>
      <c r="T8" s="3" t="s">
        <v>567</v>
      </c>
      <c r="U8" s="3" t="s">
        <v>568</v>
      </c>
      <c r="V8" s="159"/>
    </row>
    <row r="9" spans="1:22" ht="12.75" customHeight="1" x14ac:dyDescent="0.2">
      <c r="A9" s="52"/>
      <c r="B9" s="46" t="str">
        <f>DFIE!$B28</f>
        <v>Zürich</v>
      </c>
      <c r="C9" s="61">
        <v>407000821</v>
      </c>
      <c r="D9" s="106">
        <f>C9*$D$6</f>
        <v>5698011.4939999999</v>
      </c>
      <c r="E9" s="83"/>
      <c r="F9" s="178">
        <v>437166829</v>
      </c>
      <c r="G9" s="106">
        <f>F9*$G$6</f>
        <v>6120335.6059999997</v>
      </c>
      <c r="H9" s="83"/>
      <c r="I9" s="178">
        <v>425667704</v>
      </c>
      <c r="J9" s="106">
        <f>I9*$J$6</f>
        <v>6385015.5599999996</v>
      </c>
      <c r="L9" s="129"/>
      <c r="M9" s="130" t="str">
        <f>DFIE!$B$126</f>
        <v>Fiskaleinnahmen</v>
      </c>
      <c r="N9" s="160"/>
      <c r="O9" s="160"/>
      <c r="P9" s="131"/>
      <c r="Q9" s="131"/>
      <c r="R9" s="131"/>
      <c r="S9" s="131"/>
      <c r="T9" s="131"/>
      <c r="U9" s="131"/>
      <c r="V9" s="165"/>
    </row>
    <row r="10" spans="1:22" ht="12.75" customHeight="1" x14ac:dyDescent="0.2">
      <c r="A10" s="52"/>
      <c r="B10" s="47" t="str">
        <f>DFIE!$B29</f>
        <v>Bern</v>
      </c>
      <c r="C10" s="43">
        <v>171532393.88800001</v>
      </c>
      <c r="D10" s="119">
        <f t="shared" ref="D10:D34" si="0">C10*$D$6</f>
        <v>2401453.514432</v>
      </c>
      <c r="E10" s="83"/>
      <c r="F10" s="120">
        <v>178960166.24399999</v>
      </c>
      <c r="G10" s="119">
        <f t="shared" ref="G10:G34" si="1">F10*$G$6</f>
        <v>2505442.327416</v>
      </c>
      <c r="H10" s="83"/>
      <c r="I10" s="120">
        <v>181549119.95500001</v>
      </c>
      <c r="J10" s="119">
        <f t="shared" ref="J10:J34" si="2">I10*$J$6</f>
        <v>2723236.799325</v>
      </c>
      <c r="L10" s="132" t="s">
        <v>118</v>
      </c>
      <c r="M10" s="126" t="str">
        <f>DFIE!$B$127</f>
        <v>Einkommenssteuern natürliche Personen *</v>
      </c>
      <c r="N10" s="161" t="str">
        <f>DFIE!$B$60</f>
        <v>CHF 1'000</v>
      </c>
      <c r="O10" s="161"/>
      <c r="P10" s="133">
        <v>40667913.898759998</v>
      </c>
      <c r="Q10" s="133">
        <v>41218607.184689999</v>
      </c>
      <c r="R10" s="133">
        <v>42314912.541330002</v>
      </c>
      <c r="S10" s="133">
        <v>42734044.188019998</v>
      </c>
      <c r="T10" s="133">
        <v>43457059.327150002</v>
      </c>
      <c r="U10" s="133">
        <v>44712779.40439</v>
      </c>
      <c r="V10" s="166"/>
    </row>
    <row r="11" spans="1:22" ht="12.75" customHeight="1" x14ac:dyDescent="0.2">
      <c r="A11" s="52"/>
      <c r="B11" s="46" t="str">
        <f>DFIE!$B30</f>
        <v>Luzern</v>
      </c>
      <c r="C11" s="61">
        <v>88204992.101999998</v>
      </c>
      <c r="D11" s="106">
        <f t="shared" si="0"/>
        <v>1234869.889428</v>
      </c>
      <c r="E11" s="83"/>
      <c r="F11" s="178">
        <v>94795145.118000001</v>
      </c>
      <c r="G11" s="106">
        <f t="shared" si="1"/>
        <v>1327132.031652</v>
      </c>
      <c r="H11" s="83"/>
      <c r="I11" s="178">
        <v>98139459.349000007</v>
      </c>
      <c r="J11" s="106">
        <f t="shared" si="2"/>
        <v>1472091.8902350001</v>
      </c>
      <c r="L11" s="132" t="s">
        <v>119</v>
      </c>
      <c r="M11" s="126" t="str">
        <f>DFIE!$B$128</f>
        <v>Quellensteuern natürliche Personen *</v>
      </c>
      <c r="N11" s="161" t="str">
        <f>DFIE!$B$60</f>
        <v>CHF 1'000</v>
      </c>
      <c r="O11" s="161"/>
      <c r="P11" s="133">
        <v>3315313.59344</v>
      </c>
      <c r="Q11" s="133">
        <v>3489272.7673599999</v>
      </c>
      <c r="R11" s="133">
        <v>3492580.9331100001</v>
      </c>
      <c r="S11" s="133">
        <v>3642126.3693499998</v>
      </c>
      <c r="T11" s="133">
        <v>3833020.3042700002</v>
      </c>
      <c r="U11" s="133">
        <v>3713087.9344799998</v>
      </c>
      <c r="V11" s="166"/>
    </row>
    <row r="12" spans="1:22" ht="12.75" customHeight="1" x14ac:dyDescent="0.2">
      <c r="A12" s="52"/>
      <c r="B12" s="47" t="str">
        <f>DFIE!$B31</f>
        <v>Uri</v>
      </c>
      <c r="C12" s="43">
        <v>6636122.6739999996</v>
      </c>
      <c r="D12" s="119">
        <f t="shared" si="0"/>
        <v>92905.717435999992</v>
      </c>
      <c r="E12" s="83"/>
      <c r="F12" s="120">
        <v>7247085.8849999998</v>
      </c>
      <c r="G12" s="119">
        <f t="shared" si="1"/>
        <v>101459.20239000001</v>
      </c>
      <c r="H12" s="83"/>
      <c r="I12" s="120">
        <v>7427556.0559999999</v>
      </c>
      <c r="J12" s="119">
        <f t="shared" si="2"/>
        <v>111413.34083999999</v>
      </c>
      <c r="L12" s="129" t="s">
        <v>30</v>
      </c>
      <c r="M12" s="134" t="str">
        <f>DFIE!$B$129</f>
        <v>Direkte Bundessteuer (DBSt) natürliche Personen</v>
      </c>
      <c r="N12" s="160" t="str">
        <f>DFIE!$B$60</f>
        <v>CHF 1'000</v>
      </c>
      <c r="O12" s="160"/>
      <c r="P12" s="135">
        <v>9654954.5125099998</v>
      </c>
      <c r="Q12" s="135">
        <v>9487449.5333900005</v>
      </c>
      <c r="R12" s="135">
        <v>10394146.740390001</v>
      </c>
      <c r="S12" s="135">
        <v>10599472.656789999</v>
      </c>
      <c r="T12" s="135">
        <v>10472054.90391</v>
      </c>
      <c r="U12" s="135">
        <v>11231872.72311</v>
      </c>
      <c r="V12" s="167"/>
    </row>
    <row r="13" spans="1:22" ht="12.75" customHeight="1" x14ac:dyDescent="0.2">
      <c r="A13" s="52"/>
      <c r="B13" s="46" t="str">
        <f>DFIE!$B32</f>
        <v>Schwyz</v>
      </c>
      <c r="C13" s="61">
        <v>114451724.088</v>
      </c>
      <c r="D13" s="106">
        <f t="shared" si="0"/>
        <v>1602324.137232</v>
      </c>
      <c r="E13" s="83"/>
      <c r="F13" s="178">
        <v>124194381.70100001</v>
      </c>
      <c r="G13" s="106">
        <f t="shared" si="1"/>
        <v>1738721.343814</v>
      </c>
      <c r="H13" s="83"/>
      <c r="I13" s="178">
        <v>122631335.90700001</v>
      </c>
      <c r="J13" s="106">
        <f t="shared" si="2"/>
        <v>1839470.0386050001</v>
      </c>
      <c r="L13" s="132" t="s">
        <v>31</v>
      </c>
      <c r="M13" s="126" t="str">
        <f>DFIE!$B$130</f>
        <v>Kantonsanteil</v>
      </c>
      <c r="N13" s="161" t="str">
        <f>DFIE!$B$63</f>
        <v>Prozent</v>
      </c>
      <c r="O13" s="161"/>
      <c r="P13" s="136">
        <v>0.17</v>
      </c>
      <c r="Q13" s="136">
        <v>0.17</v>
      </c>
      <c r="R13" s="136">
        <v>0.17</v>
      </c>
      <c r="S13" s="136">
        <v>0.17</v>
      </c>
      <c r="T13" s="136">
        <v>0.17</v>
      </c>
      <c r="U13" s="136">
        <v>0.17</v>
      </c>
      <c r="V13" s="168"/>
    </row>
    <row r="14" spans="1:22" ht="12.75" customHeight="1" x14ac:dyDescent="0.2">
      <c r="A14" s="52"/>
      <c r="B14" s="47" t="str">
        <f>DFIE!$B33</f>
        <v>Obwalden</v>
      </c>
      <c r="C14" s="43">
        <v>12247251.195</v>
      </c>
      <c r="D14" s="119">
        <f t="shared" si="0"/>
        <v>171461.51673</v>
      </c>
      <c r="E14" s="83"/>
      <c r="F14" s="120">
        <v>13743043.568</v>
      </c>
      <c r="G14" s="119">
        <f t="shared" si="1"/>
        <v>192402.609952</v>
      </c>
      <c r="H14" s="83"/>
      <c r="I14" s="120">
        <v>14945855.880999999</v>
      </c>
      <c r="J14" s="119">
        <f t="shared" si="2"/>
        <v>224187.83821499997</v>
      </c>
      <c r="L14" s="137" t="s">
        <v>32</v>
      </c>
      <c r="M14" s="138" t="str">
        <f>DFIE!$B$131</f>
        <v>Anteil der Kantone an DBSt natürliche Personen</v>
      </c>
      <c r="N14" s="162" t="str">
        <f>DFIE!$B$60</f>
        <v>CHF 1'000</v>
      </c>
      <c r="O14" s="162" t="s">
        <v>583</v>
      </c>
      <c r="P14" s="139">
        <f>P12*P13</f>
        <v>1641342.2671267001</v>
      </c>
      <c r="Q14" s="139">
        <f t="shared" ref="Q14:U14" si="3">Q12*Q13</f>
        <v>1612866.4206763003</v>
      </c>
      <c r="R14" s="139">
        <f t="shared" si="3"/>
        <v>1767004.9458663003</v>
      </c>
      <c r="S14" s="139">
        <f t="shared" si="3"/>
        <v>1801910.3516543</v>
      </c>
      <c r="T14" s="139">
        <f t="shared" si="3"/>
        <v>1780249.3336647002</v>
      </c>
      <c r="U14" s="139">
        <f t="shared" si="3"/>
        <v>1909418.3629287002</v>
      </c>
      <c r="V14" s="169"/>
    </row>
    <row r="15" spans="1:22" ht="12.75" customHeight="1" x14ac:dyDescent="0.2">
      <c r="A15" s="52"/>
      <c r="B15" s="46" t="str">
        <f>DFIE!$B34</f>
        <v>Nidwalden</v>
      </c>
      <c r="C15" s="61">
        <v>32678838.789999999</v>
      </c>
      <c r="D15" s="106">
        <f t="shared" si="0"/>
        <v>457503.74306000001</v>
      </c>
      <c r="E15" s="83"/>
      <c r="F15" s="178">
        <v>35873769.027000003</v>
      </c>
      <c r="G15" s="106">
        <f t="shared" si="1"/>
        <v>502232.76637800003</v>
      </c>
      <c r="H15" s="83"/>
      <c r="I15" s="178">
        <v>37194305.123999998</v>
      </c>
      <c r="J15" s="106">
        <f t="shared" si="2"/>
        <v>557914.57685999991</v>
      </c>
      <c r="L15" s="137" t="s">
        <v>43</v>
      </c>
      <c r="M15" s="127" t="str">
        <f>DFIE!$B$132</f>
        <v>Fiskaleinnahmen Einkommen</v>
      </c>
      <c r="N15" s="162" t="str">
        <f>DFIE!$B$60</f>
        <v>CHF 1'000</v>
      </c>
      <c r="O15" s="162" t="s">
        <v>570</v>
      </c>
      <c r="P15" s="139">
        <f>SUM(P10,P11,P14)</f>
        <v>45624569.759326704</v>
      </c>
      <c r="Q15" s="139">
        <f t="shared" ref="Q15:U15" si="4">SUM(Q10,Q11,Q14)</f>
        <v>46320746.372726299</v>
      </c>
      <c r="R15" s="139">
        <f t="shared" si="4"/>
        <v>47574498.420306303</v>
      </c>
      <c r="S15" s="139">
        <f t="shared" si="4"/>
        <v>48178080.909024298</v>
      </c>
      <c r="T15" s="139">
        <f t="shared" si="4"/>
        <v>49070328.965084702</v>
      </c>
      <c r="U15" s="139">
        <f t="shared" si="4"/>
        <v>50335285.7017987</v>
      </c>
      <c r="V15" s="170">
        <f>AVERAGE(P15:U15)</f>
        <v>47850585.021377832</v>
      </c>
    </row>
    <row r="16" spans="1:22" ht="12.75" customHeight="1" x14ac:dyDescent="0.2">
      <c r="A16" s="52"/>
      <c r="B16" s="47" t="str">
        <f>DFIE!$B35</f>
        <v>Glarus</v>
      </c>
      <c r="C16" s="43">
        <v>7730051.023</v>
      </c>
      <c r="D16" s="119">
        <f t="shared" si="0"/>
        <v>108220.714322</v>
      </c>
      <c r="E16" s="83"/>
      <c r="F16" s="120">
        <v>8188701.335</v>
      </c>
      <c r="G16" s="119">
        <f t="shared" si="1"/>
        <v>114641.81869</v>
      </c>
      <c r="H16" s="83"/>
      <c r="I16" s="120">
        <v>8270391.6619999995</v>
      </c>
      <c r="J16" s="119">
        <f t="shared" si="2"/>
        <v>124055.87492999999</v>
      </c>
      <c r="L16" s="140" t="s">
        <v>42</v>
      </c>
      <c r="M16" s="127" t="str">
        <f>DFIE!$B$133</f>
        <v>Vermögenssteuern natürliche Personen *</v>
      </c>
      <c r="N16" s="163" t="str">
        <f>DFIE!$B$60</f>
        <v>CHF 1'000</v>
      </c>
      <c r="O16" s="163"/>
      <c r="P16" s="171">
        <v>5787459.1982300002</v>
      </c>
      <c r="Q16" s="141">
        <v>6324218.5979800001</v>
      </c>
      <c r="R16" s="141">
        <v>6606349.2748800004</v>
      </c>
      <c r="S16" s="141">
        <v>7005906.9266600003</v>
      </c>
      <c r="T16" s="141">
        <v>7321151.0645599999</v>
      </c>
      <c r="U16" s="172">
        <v>7535195.8254399998</v>
      </c>
      <c r="V16" s="170">
        <f>AVERAGE(P16:U16)</f>
        <v>6763380.1479583336</v>
      </c>
    </row>
    <row r="17" spans="1:22" ht="12.75" customHeight="1" x14ac:dyDescent="0.2">
      <c r="A17" s="52"/>
      <c r="B17" s="46" t="str">
        <f>DFIE!$B36</f>
        <v>Zug</v>
      </c>
      <c r="C17" s="61">
        <v>65474911.005000003</v>
      </c>
      <c r="D17" s="106">
        <f t="shared" si="0"/>
        <v>916648.75407000002</v>
      </c>
      <c r="E17" s="83"/>
      <c r="F17" s="178">
        <v>72028864.753999993</v>
      </c>
      <c r="G17" s="106">
        <f t="shared" si="1"/>
        <v>1008404.106556</v>
      </c>
      <c r="H17" s="83"/>
      <c r="I17" s="178">
        <v>77889044.127000004</v>
      </c>
      <c r="J17" s="106">
        <f t="shared" si="2"/>
        <v>1168335.661905</v>
      </c>
      <c r="L17" s="142"/>
      <c r="M17" s="143"/>
      <c r="N17" s="153"/>
      <c r="O17" s="153"/>
      <c r="P17" s="143"/>
      <c r="Q17" s="143"/>
      <c r="R17" s="143"/>
      <c r="S17" s="143"/>
      <c r="T17" s="143"/>
      <c r="U17" s="143"/>
      <c r="V17" s="143"/>
    </row>
    <row r="18" spans="1:22" ht="12.75" customHeight="1" x14ac:dyDescent="0.2">
      <c r="A18" s="52"/>
      <c r="B18" s="47" t="str">
        <f>DFIE!$B37</f>
        <v>Freiburg</v>
      </c>
      <c r="C18" s="43">
        <v>30231970.048999999</v>
      </c>
      <c r="D18" s="119">
        <f t="shared" si="0"/>
        <v>423247.580686</v>
      </c>
      <c r="E18" s="83"/>
      <c r="F18" s="120">
        <v>31824426.675000001</v>
      </c>
      <c r="G18" s="119">
        <f t="shared" si="1"/>
        <v>445541.97345000005</v>
      </c>
      <c r="H18" s="83"/>
      <c r="I18" s="120">
        <v>32303746.649999999</v>
      </c>
      <c r="J18" s="119">
        <f t="shared" si="2"/>
        <v>484556.19974999997</v>
      </c>
      <c r="L18" s="129"/>
      <c r="M18" s="130" t="str">
        <f>DFIE!$B$134</f>
        <v>Daten Finanzausgleich</v>
      </c>
      <c r="N18" s="160"/>
      <c r="O18" s="160"/>
      <c r="P18" s="144"/>
      <c r="Q18" s="144"/>
      <c r="R18" s="144"/>
      <c r="S18" s="144"/>
      <c r="T18" s="144"/>
      <c r="U18" s="144"/>
      <c r="V18" s="165"/>
    </row>
    <row r="19" spans="1:22" ht="12.75" customHeight="1" x14ac:dyDescent="0.2">
      <c r="A19" s="52"/>
      <c r="B19" s="46" t="str">
        <f>DFIE!$B38</f>
        <v>Solothurn</v>
      </c>
      <c r="C19" s="61">
        <v>28416212.697999999</v>
      </c>
      <c r="D19" s="106">
        <f t="shared" si="0"/>
        <v>397826.97777200001</v>
      </c>
      <c r="E19" s="83"/>
      <c r="F19" s="178">
        <v>28881958.037999999</v>
      </c>
      <c r="G19" s="106">
        <f t="shared" si="1"/>
        <v>404347.41253199999</v>
      </c>
      <c r="H19" s="83"/>
      <c r="I19" s="178">
        <v>27431172.456</v>
      </c>
      <c r="J19" s="106">
        <f t="shared" si="2"/>
        <v>411467.58684</v>
      </c>
      <c r="L19" s="132" t="s">
        <v>33</v>
      </c>
      <c r="M19" s="126" t="str">
        <f>DFIE!$B$135</f>
        <v>Massgebende Einkommen der natürlichen Personen</v>
      </c>
      <c r="N19" s="161" t="str">
        <f>DFIE!$B$60</f>
        <v>CHF 1'000</v>
      </c>
      <c r="O19" s="161"/>
      <c r="P19" s="133">
        <v>166207085.80000001</v>
      </c>
      <c r="Q19" s="133">
        <v>173454199.5</v>
      </c>
      <c r="R19" s="133">
        <v>175978533.69999999</v>
      </c>
      <c r="S19" s="145">
        <f>NP!$E$35</f>
        <v>181691296.00000003</v>
      </c>
      <c r="T19" s="145">
        <f>NP!$E$63</f>
        <v>186855586.69999999</v>
      </c>
      <c r="U19" s="145">
        <f>NP!$E$91</f>
        <v>191621985.69999993</v>
      </c>
      <c r="V19" s="166"/>
    </row>
    <row r="20" spans="1:22" ht="12.75" customHeight="1" x14ac:dyDescent="0.2">
      <c r="A20" s="52"/>
      <c r="B20" s="47" t="str">
        <f>DFIE!$B39</f>
        <v>Basel-Stadt</v>
      </c>
      <c r="C20" s="43">
        <v>59224405.990999997</v>
      </c>
      <c r="D20" s="119">
        <f t="shared" si="0"/>
        <v>829141.68387399998</v>
      </c>
      <c r="E20" s="83"/>
      <c r="F20" s="120">
        <v>63020565.343000002</v>
      </c>
      <c r="G20" s="119">
        <f t="shared" si="1"/>
        <v>882287.91480200004</v>
      </c>
      <c r="H20" s="83"/>
      <c r="I20" s="120">
        <v>62498352.053000003</v>
      </c>
      <c r="J20" s="119">
        <f t="shared" si="2"/>
        <v>937475.28079500003</v>
      </c>
      <c r="L20" s="132" t="s">
        <v>591</v>
      </c>
      <c r="M20" s="126" t="str">
        <f>DFIE!$B$136</f>
        <v>Massgebende quellenbesteuerte Einkommen</v>
      </c>
      <c r="N20" s="161" t="str">
        <f>DFIE!$B$60</f>
        <v>CHF 1'000</v>
      </c>
      <c r="O20" s="161"/>
      <c r="P20" s="133">
        <v>12477188.042711301</v>
      </c>
      <c r="Q20" s="133">
        <v>12859610.9529319</v>
      </c>
      <c r="R20" s="133">
        <v>13026121.866359301</v>
      </c>
      <c r="S20" s="145">
        <f>QS!$AA$35</f>
        <v>13313683.222171463</v>
      </c>
      <c r="T20" s="145">
        <f>QS!$AA$63</f>
        <v>13640237.522798495</v>
      </c>
      <c r="U20" s="145">
        <f>QS!$AA$91</f>
        <v>13755588.256547861</v>
      </c>
      <c r="V20" s="166"/>
    </row>
    <row r="21" spans="1:22" ht="12.75" customHeight="1" x14ac:dyDescent="0.2">
      <c r="A21" s="52"/>
      <c r="B21" s="46" t="str">
        <f>DFIE!$B40</f>
        <v>Basel-Landschaft</v>
      </c>
      <c r="C21" s="61">
        <v>43824256.009999998</v>
      </c>
      <c r="D21" s="106">
        <f t="shared" si="0"/>
        <v>613539.58413999993</v>
      </c>
      <c r="E21" s="83"/>
      <c r="F21" s="178">
        <v>48389644.413000003</v>
      </c>
      <c r="G21" s="106">
        <f t="shared" si="1"/>
        <v>677455.02178200008</v>
      </c>
      <c r="H21" s="83"/>
      <c r="I21" s="178">
        <v>45461005.696999997</v>
      </c>
      <c r="J21" s="106">
        <f t="shared" si="2"/>
        <v>681915.08545499993</v>
      </c>
      <c r="L21" s="140" t="s">
        <v>35</v>
      </c>
      <c r="M21" s="127" t="str">
        <f>DFIE!$B$137</f>
        <v>Massgebende Einkommen</v>
      </c>
      <c r="N21" s="163" t="str">
        <f>DFIE!$B$60</f>
        <v>CHF 1'000</v>
      </c>
      <c r="O21" s="163" t="s">
        <v>574</v>
      </c>
      <c r="P21" s="146">
        <f t="shared" ref="P21:U21" si="5">SUM(P19:P20)</f>
        <v>178684273.8427113</v>
      </c>
      <c r="Q21" s="146">
        <f t="shared" si="5"/>
        <v>186313810.45293191</v>
      </c>
      <c r="R21" s="146">
        <f t="shared" si="5"/>
        <v>189004655.56635928</v>
      </c>
      <c r="S21" s="146">
        <f t="shared" si="5"/>
        <v>195004979.22217149</v>
      </c>
      <c r="T21" s="146">
        <f t="shared" si="5"/>
        <v>200495824.2227985</v>
      </c>
      <c r="U21" s="146">
        <f t="shared" si="5"/>
        <v>205377573.9565478</v>
      </c>
      <c r="V21" s="170">
        <f>AVERAGE(P21:U21)</f>
        <v>192480186.2105867</v>
      </c>
    </row>
    <row r="22" spans="1:22" ht="12.75" customHeight="1" x14ac:dyDescent="0.2">
      <c r="A22" s="52"/>
      <c r="B22" s="47" t="str">
        <f>DFIE!$B41</f>
        <v>Schaffhausen</v>
      </c>
      <c r="C22" s="43">
        <v>13752696.355</v>
      </c>
      <c r="D22" s="119">
        <f t="shared" si="0"/>
        <v>192537.74897000002</v>
      </c>
      <c r="E22" s="83"/>
      <c r="F22" s="120">
        <v>14997263.780999999</v>
      </c>
      <c r="G22" s="119">
        <f t="shared" si="1"/>
        <v>209961.69293399999</v>
      </c>
      <c r="H22" s="83"/>
      <c r="I22" s="120">
        <v>15052213.018999999</v>
      </c>
      <c r="J22" s="119">
        <f t="shared" si="2"/>
        <v>225783.19528499999</v>
      </c>
      <c r="L22" s="137" t="s">
        <v>576</v>
      </c>
      <c r="M22" s="138" t="str">
        <f>DFIE!$B$138</f>
        <v>Reinvermögen</v>
      </c>
      <c r="N22" s="162" t="str">
        <f>DFIE!$B$60</f>
        <v>CHF 1'000</v>
      </c>
      <c r="O22" s="162"/>
      <c r="P22" s="147">
        <v>1656429032.4124701</v>
      </c>
      <c r="Q22" s="147">
        <v>1744744875.5549901</v>
      </c>
      <c r="R22" s="147">
        <v>1791713588.67784</v>
      </c>
      <c r="S22" s="139">
        <f>$C$35</f>
        <v>1868951853.5260003</v>
      </c>
      <c r="T22" s="139">
        <f>$F$35</f>
        <v>2000486810.4079998</v>
      </c>
      <c r="U22" s="139">
        <f>$I$35</f>
        <v>2005371367.0429997</v>
      </c>
      <c r="V22" s="169">
        <f>AVERAGE(P22:U22)</f>
        <v>1844616254.6037166</v>
      </c>
    </row>
    <row r="23" spans="1:22" ht="12.75" customHeight="1" x14ac:dyDescent="0.2">
      <c r="A23" s="52"/>
      <c r="B23" s="46" t="str">
        <f>DFIE!$B42</f>
        <v>Appenzell A.Rh.</v>
      </c>
      <c r="C23" s="61">
        <v>14711751.782</v>
      </c>
      <c r="D23" s="106">
        <f t="shared" si="0"/>
        <v>205964.52494800001</v>
      </c>
      <c r="E23" s="83"/>
      <c r="F23" s="178">
        <v>15810497.023</v>
      </c>
      <c r="G23" s="106">
        <f t="shared" si="1"/>
        <v>221346.95832199999</v>
      </c>
      <c r="H23" s="83"/>
      <c r="I23" s="178">
        <v>15054761.627</v>
      </c>
      <c r="J23" s="106">
        <f t="shared" si="2"/>
        <v>225821.424405</v>
      </c>
      <c r="L23" s="142"/>
      <c r="M23" s="143"/>
      <c r="N23" s="153"/>
      <c r="O23" s="153"/>
      <c r="P23" s="143"/>
      <c r="Q23" s="143"/>
      <c r="R23" s="143"/>
      <c r="S23" s="143"/>
      <c r="T23" s="143"/>
      <c r="U23" s="143"/>
      <c r="V23" s="143"/>
    </row>
    <row r="24" spans="1:22" ht="12.75" customHeight="1" x14ac:dyDescent="0.2">
      <c r="A24" s="52"/>
      <c r="B24" s="47" t="str">
        <f>DFIE!$B43</f>
        <v>Appenzell I.Rh.</v>
      </c>
      <c r="C24" s="43">
        <v>5246718.9630000005</v>
      </c>
      <c r="D24" s="119">
        <f t="shared" si="0"/>
        <v>73454.065482000005</v>
      </c>
      <c r="E24" s="83"/>
      <c r="F24" s="120">
        <v>5827368.4299999997</v>
      </c>
      <c r="G24" s="119">
        <f t="shared" si="1"/>
        <v>81583.158020000003</v>
      </c>
      <c r="H24" s="83"/>
      <c r="I24" s="120">
        <v>6528928.2829999998</v>
      </c>
      <c r="J24" s="119">
        <f t="shared" si="2"/>
        <v>97933.924244999987</v>
      </c>
      <c r="L24" s="129" t="s">
        <v>549</v>
      </c>
      <c r="M24" s="134" t="str">
        <f>DFIE!$B$139</f>
        <v>Ausschöpfung der Einkommen</v>
      </c>
      <c r="N24" s="160" t="str">
        <f>DFIE!$B$63</f>
        <v>Prozent</v>
      </c>
      <c r="O24" s="160" t="s">
        <v>577</v>
      </c>
      <c r="P24" s="144"/>
      <c r="Q24" s="144"/>
      <c r="R24" s="144"/>
      <c r="S24" s="144"/>
      <c r="T24" s="144"/>
      <c r="U24" s="144"/>
      <c r="V24" s="148">
        <f>V15/V21</f>
        <v>0.24860005574301539</v>
      </c>
    </row>
    <row r="25" spans="1:22" ht="12.75" customHeight="1" x14ac:dyDescent="0.2">
      <c r="A25" s="52"/>
      <c r="B25" s="46" t="str">
        <f>DFIE!$B44</f>
        <v>St. Gallen</v>
      </c>
      <c r="C25" s="61">
        <v>108079484.02</v>
      </c>
      <c r="D25" s="106">
        <f t="shared" si="0"/>
        <v>1513112.7762799999</v>
      </c>
      <c r="E25" s="83"/>
      <c r="F25" s="178">
        <v>114723418.18700001</v>
      </c>
      <c r="G25" s="106">
        <f t="shared" si="1"/>
        <v>1606127.8546180001</v>
      </c>
      <c r="H25" s="83"/>
      <c r="I25" s="178">
        <v>117079525.63699999</v>
      </c>
      <c r="J25" s="106">
        <f t="shared" si="2"/>
        <v>1756192.8845549999</v>
      </c>
      <c r="L25" s="137" t="s">
        <v>579</v>
      </c>
      <c r="M25" s="138" t="str">
        <f>DFIE!$B$140</f>
        <v>Ausschöpfung der Vermögen</v>
      </c>
      <c r="N25" s="162" t="str">
        <f>DFIE!$B$63</f>
        <v>Prozent</v>
      </c>
      <c r="O25" s="162" t="s">
        <v>580</v>
      </c>
      <c r="P25" s="149"/>
      <c r="Q25" s="149"/>
      <c r="R25" s="149"/>
      <c r="S25" s="149"/>
      <c r="T25" s="149"/>
      <c r="U25" s="149"/>
      <c r="V25" s="150">
        <f>V16/V22</f>
        <v>3.6665513117314077E-3</v>
      </c>
    </row>
    <row r="26" spans="1:22" ht="12.75" customHeight="1" x14ac:dyDescent="0.2">
      <c r="A26" s="52"/>
      <c r="B26" s="47" t="str">
        <f>DFIE!$B45</f>
        <v>Graubünden</v>
      </c>
      <c r="C26" s="43">
        <v>62244402.722000003</v>
      </c>
      <c r="D26" s="119">
        <f t="shared" si="0"/>
        <v>871421.63810800004</v>
      </c>
      <c r="E26" s="83"/>
      <c r="F26" s="120">
        <v>65602907.123999998</v>
      </c>
      <c r="G26" s="119">
        <f t="shared" si="1"/>
        <v>918440.69973600004</v>
      </c>
      <c r="H26" s="83"/>
      <c r="I26" s="120">
        <v>66755596.945</v>
      </c>
      <c r="J26" s="119">
        <f t="shared" si="2"/>
        <v>1001333.954175</v>
      </c>
      <c r="L26" s="142"/>
      <c r="M26" s="151"/>
      <c r="N26" s="153"/>
      <c r="O26" s="153"/>
      <c r="P26" s="143"/>
      <c r="Q26" s="143"/>
      <c r="R26" s="143"/>
      <c r="S26" s="143"/>
      <c r="T26" s="143"/>
      <c r="U26" s="143"/>
      <c r="V26" s="143"/>
    </row>
    <row r="27" spans="1:22" ht="12.75" customHeight="1" x14ac:dyDescent="0.2">
      <c r="A27" s="52"/>
      <c r="B27" s="46" t="str">
        <f>DFIE!$B46</f>
        <v>Aargau</v>
      </c>
      <c r="C27" s="61">
        <v>118246773.759</v>
      </c>
      <c r="D27" s="106">
        <f t="shared" si="0"/>
        <v>1655454.832626</v>
      </c>
      <c r="E27" s="83"/>
      <c r="F27" s="178">
        <v>126002795.735</v>
      </c>
      <c r="G27" s="106">
        <f t="shared" si="1"/>
        <v>1764039.14029</v>
      </c>
      <c r="H27" s="83"/>
      <c r="I27" s="178">
        <v>126524100.37899999</v>
      </c>
      <c r="J27" s="106">
        <f t="shared" si="2"/>
        <v>1897861.5056849997</v>
      </c>
      <c r="L27" s="154" t="s">
        <v>592</v>
      </c>
      <c r="M27" s="155" t="str">
        <f>DFIE!$B$141</f>
        <v>Faktor Alpha</v>
      </c>
      <c r="N27" s="164" t="str">
        <f>DFIE!$B$63</f>
        <v>Prozent</v>
      </c>
      <c r="O27" s="164" t="s">
        <v>582</v>
      </c>
      <c r="P27" s="156"/>
      <c r="Q27" s="156"/>
      <c r="R27" s="156"/>
      <c r="S27" s="156"/>
      <c r="T27" s="156"/>
      <c r="U27" s="156"/>
      <c r="V27" s="157">
        <f>ROUND(V25/V24,3)</f>
        <v>1.4999999999999999E-2</v>
      </c>
    </row>
    <row r="28" spans="1:22" ht="12.75" customHeight="1" x14ac:dyDescent="0.2">
      <c r="A28" s="52"/>
      <c r="B28" s="47" t="str">
        <f>DFIE!$B47</f>
        <v>Thurgau</v>
      </c>
      <c r="C28" s="43">
        <v>57591072.399999999</v>
      </c>
      <c r="D28" s="119">
        <f t="shared" si="0"/>
        <v>806275.01359999995</v>
      </c>
      <c r="E28" s="83"/>
      <c r="F28" s="120">
        <v>60401024.100000001</v>
      </c>
      <c r="G28" s="119">
        <f t="shared" si="1"/>
        <v>845614.33740000008</v>
      </c>
      <c r="H28" s="83"/>
      <c r="I28" s="120">
        <v>62112893.200000003</v>
      </c>
      <c r="J28" s="119">
        <f t="shared" si="2"/>
        <v>931693.39800000004</v>
      </c>
    </row>
    <row r="29" spans="1:22" ht="12.75" customHeight="1" x14ac:dyDescent="0.2">
      <c r="A29" s="52"/>
      <c r="B29" s="46" t="str">
        <f>DFIE!$B48</f>
        <v>Tessin</v>
      </c>
      <c r="C29" s="61">
        <v>66430288.050999999</v>
      </c>
      <c r="D29" s="106">
        <f t="shared" si="0"/>
        <v>930024.03271399997</v>
      </c>
      <c r="E29" s="83"/>
      <c r="F29" s="178">
        <v>75964358.910999998</v>
      </c>
      <c r="G29" s="106">
        <f t="shared" si="1"/>
        <v>1063501.0247539999</v>
      </c>
      <c r="H29" s="83"/>
      <c r="I29" s="178">
        <v>77813212.460999995</v>
      </c>
      <c r="J29" s="106">
        <f t="shared" si="2"/>
        <v>1167198.186915</v>
      </c>
      <c r="L29" s="52"/>
    </row>
    <row r="30" spans="1:22" ht="12.75" customHeight="1" x14ac:dyDescent="0.2">
      <c r="A30" s="52"/>
      <c r="B30" s="47" t="str">
        <f>DFIE!$B49</f>
        <v>Waadt</v>
      </c>
      <c r="C30" s="43">
        <v>148219118.42399999</v>
      </c>
      <c r="D30" s="119">
        <f t="shared" si="0"/>
        <v>2075067.657936</v>
      </c>
      <c r="E30" s="83"/>
      <c r="F30" s="120">
        <v>156541623.73800001</v>
      </c>
      <c r="G30" s="119">
        <f t="shared" si="1"/>
        <v>2191582.732332</v>
      </c>
      <c r="H30" s="83"/>
      <c r="I30" s="120">
        <v>153681057.17300001</v>
      </c>
      <c r="J30" s="119">
        <f t="shared" si="2"/>
        <v>2305215.857595</v>
      </c>
      <c r="L30" s="152" t="str">
        <f>DFIE!$B$143</f>
        <v>* Fiskaleinnahmen der Kantone und Gemeinden</v>
      </c>
      <c r="M30" s="13"/>
    </row>
    <row r="31" spans="1:22" ht="12.75" customHeight="1" x14ac:dyDescent="0.2">
      <c r="A31" s="52"/>
      <c r="B31" s="46" t="str">
        <f>DFIE!$B50</f>
        <v>Wallis</v>
      </c>
      <c r="C31" s="61">
        <v>54125417.781999998</v>
      </c>
      <c r="D31" s="106">
        <f t="shared" si="0"/>
        <v>757755.848948</v>
      </c>
      <c r="E31" s="83"/>
      <c r="F31" s="178">
        <v>57105910.151000001</v>
      </c>
      <c r="G31" s="106">
        <f t="shared" si="1"/>
        <v>799482.74211400002</v>
      </c>
      <c r="H31" s="83"/>
      <c r="I31" s="178">
        <v>57407672.465000004</v>
      </c>
      <c r="J31" s="106">
        <f t="shared" si="2"/>
        <v>861115.08697499998</v>
      </c>
      <c r="L31" s="13"/>
      <c r="M31" s="125"/>
    </row>
    <row r="32" spans="1:22" ht="12.75" customHeight="1" x14ac:dyDescent="0.2">
      <c r="A32" s="52"/>
      <c r="B32" s="47" t="str">
        <f>DFIE!$B51</f>
        <v>Neuenburg</v>
      </c>
      <c r="C32" s="43">
        <v>19353197.015000001</v>
      </c>
      <c r="D32" s="119">
        <f t="shared" si="0"/>
        <v>270944.75821</v>
      </c>
      <c r="E32" s="83"/>
      <c r="F32" s="120">
        <v>19929195.510000002</v>
      </c>
      <c r="G32" s="119">
        <f t="shared" si="1"/>
        <v>279008.73714000004</v>
      </c>
      <c r="H32" s="83"/>
      <c r="I32" s="120">
        <v>19786374.725000001</v>
      </c>
      <c r="J32" s="119">
        <f t="shared" si="2"/>
        <v>296795.62087500002</v>
      </c>
      <c r="L32" s="13"/>
      <c r="M32" s="125"/>
    </row>
    <row r="33" spans="1:22" ht="12.75" customHeight="1" x14ac:dyDescent="0.2">
      <c r="A33" s="52"/>
      <c r="B33" s="46" t="str">
        <f>DFIE!$B52</f>
        <v>Genf</v>
      </c>
      <c r="C33" s="61">
        <v>125836835.73999999</v>
      </c>
      <c r="D33" s="106">
        <f t="shared" si="0"/>
        <v>1761715.7003599999</v>
      </c>
      <c r="E33" s="83"/>
      <c r="F33" s="178">
        <v>135698209.61700001</v>
      </c>
      <c r="G33" s="106">
        <f t="shared" si="1"/>
        <v>1899774.9346380003</v>
      </c>
      <c r="H33" s="83"/>
      <c r="I33" s="178">
        <v>138616478.21200001</v>
      </c>
      <c r="J33" s="106">
        <f t="shared" si="2"/>
        <v>2079247.1731800002</v>
      </c>
      <c r="L33" s="13"/>
      <c r="M33" s="125"/>
    </row>
    <row r="34" spans="1:22" ht="12.75" customHeight="1" x14ac:dyDescent="0.2">
      <c r="A34" s="52"/>
      <c r="B34" s="47" t="str">
        <f>DFIE!$B53</f>
        <v>Jura</v>
      </c>
      <c r="C34" s="43">
        <v>7460146</v>
      </c>
      <c r="D34" s="119">
        <f t="shared" si="0"/>
        <v>104442.04400000001</v>
      </c>
      <c r="E34" s="83"/>
      <c r="F34" s="120">
        <v>7567657</v>
      </c>
      <c r="G34" s="119">
        <f t="shared" si="1"/>
        <v>105947.198</v>
      </c>
      <c r="H34" s="83"/>
      <c r="I34" s="120">
        <v>7549504</v>
      </c>
      <c r="J34" s="119">
        <f t="shared" si="2"/>
        <v>113242.56</v>
      </c>
    </row>
    <row r="35" spans="1:22" ht="12.75" customHeight="1" x14ac:dyDescent="0.2">
      <c r="A35" s="41"/>
      <c r="B35" s="24" t="str">
        <f>DFIE!$B54</f>
        <v>Schweiz</v>
      </c>
      <c r="C35" s="31">
        <f>SUM(C9:C34)</f>
        <v>1868951853.5260003</v>
      </c>
      <c r="D35" s="107">
        <f>SUM(D9:D34)</f>
        <v>26165325.949364003</v>
      </c>
      <c r="E35" s="82"/>
      <c r="F35" s="108">
        <f>SUM(F9:F34)</f>
        <v>2000486810.4079998</v>
      </c>
      <c r="G35" s="107">
        <f>SUM(G9:G34)</f>
        <v>28006815.345711999</v>
      </c>
      <c r="H35" s="82"/>
      <c r="I35" s="108">
        <f>SUM(I9:I34)</f>
        <v>2005371367.0429997</v>
      </c>
      <c r="J35" s="107">
        <f>SUM(J9:J34)</f>
        <v>30080570.505645003</v>
      </c>
    </row>
    <row r="36" spans="1:22" ht="10.5" customHeight="1" x14ac:dyDescent="0.2">
      <c r="B36" s="82"/>
      <c r="C36" s="110"/>
      <c r="D36" s="110"/>
      <c r="E36" s="176"/>
      <c r="F36" s="111"/>
      <c r="G36" s="111"/>
      <c r="I36" s="59"/>
      <c r="J36" s="59"/>
      <c r="N36" s="125"/>
      <c r="O36" s="125"/>
      <c r="V36" s="41"/>
    </row>
    <row r="37" spans="1:22" x14ac:dyDescent="0.2">
      <c r="A37" s="52"/>
      <c r="B37" s="52"/>
      <c r="C37" s="52"/>
      <c r="D37" s="52"/>
      <c r="E37" s="52"/>
      <c r="F37" s="52"/>
      <c r="G37" s="52"/>
      <c r="H37" s="52"/>
      <c r="I37" s="52"/>
      <c r="J37" s="52"/>
      <c r="N37" s="125"/>
      <c r="O37" s="125"/>
    </row>
    <row r="71" spans="2:4" x14ac:dyDescent="0.2">
      <c r="B71" s="82"/>
      <c r="C71" s="177"/>
      <c r="D71" s="177"/>
    </row>
  </sheetData>
  <mergeCells count="3">
    <mergeCell ref="C3:D3"/>
    <mergeCell ref="F3:G3"/>
    <mergeCell ref="I3:J3"/>
  </mergeCells>
  <conditionalFormatting sqref="D9:D34 G9:G34 J9:J34">
    <cfRule type="expression" dxfId="46" priority="14" stopIfTrue="1">
      <formula>ISBLANK(D9)</formula>
    </cfRule>
  </conditionalFormatting>
  <conditionalFormatting sqref="C9:C34 F9:F34 I9:I34">
    <cfRule type="expression" dxfId="45" priority="13" stopIfTrue="1">
      <formula>ISBLANK(C9)</formula>
    </cfRule>
  </conditionalFormatting>
  <conditionalFormatting sqref="P10:U13">
    <cfRule type="expression" dxfId="44" priority="7">
      <formula>ISBLANK(P10)</formula>
    </cfRule>
  </conditionalFormatting>
  <conditionalFormatting sqref="P19:R20">
    <cfRule type="expression" dxfId="43" priority="6">
      <formula>ISBLANK(P19)</formula>
    </cfRule>
  </conditionalFormatting>
  <conditionalFormatting sqref="P22:R22">
    <cfRule type="expression" dxfId="42" priority="5">
      <formula>ISBLANK(P22)</formula>
    </cfRule>
  </conditionalFormatting>
  <conditionalFormatting sqref="P16:U16">
    <cfRule type="expression" dxfId="41" priority="4">
      <formula>ISBLANK(P16)</formula>
    </cfRule>
  </conditionalFormatting>
  <conditionalFormatting sqref="D6">
    <cfRule type="expression" dxfId="40" priority="3" stopIfTrue="1">
      <formula>ISBLANK(D6)</formula>
    </cfRule>
  </conditionalFormatting>
  <conditionalFormatting sqref="G6">
    <cfRule type="expression" dxfId="39" priority="2" stopIfTrue="1">
      <formula>ISBLANK(G6)</formula>
    </cfRule>
  </conditionalFormatting>
  <conditionalFormatting sqref="J6">
    <cfRule type="expression" dxfId="38" priority="1" stopIfTrue="1">
      <formula>ISBLANK(J6)</formula>
    </cfRule>
  </conditionalFormatting>
  <pageMargins left="0.78740157480314965" right="0.31496062992125984" top="0.98425196850393704" bottom="0.78740157480314965" header="0.51181102362204722" footer="0.51181102362204722"/>
  <pageSetup paperSize="9" scale="92" orientation="landscape" r:id="rId1"/>
  <headerFooter scaleWithDoc="0" alignWithMargins="0">
    <oddHeader>&amp;L&amp;F&amp;R&amp;A</oddHeader>
    <oddFooter>&amp;C&amp;P / &amp;N</oddFooter>
  </headerFooter>
  <colBreaks count="1" manualBreakCount="1">
    <brk id="11" max="1048575" man="1"/>
  </colBreaks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zoomScaleNormal="100" workbookViewId="0">
      <pane ySplit="8" topLeftCell="A9" activePane="bottomLeft" state="frozen"/>
      <selection activeCell="A75" sqref="A75"/>
      <selection pane="bottomLeft" activeCell="A75" sqref="A75"/>
    </sheetView>
  </sheetViews>
  <sheetFormatPr baseColWidth="10" defaultRowHeight="12.75" x14ac:dyDescent="0.2"/>
  <cols>
    <col min="1" max="1" width="4.42578125" customWidth="1"/>
    <col min="2" max="2" width="17.140625" customWidth="1"/>
    <col min="3" max="5" width="25.7109375" customWidth="1"/>
    <col min="6" max="6" width="1.42578125" customWidth="1"/>
    <col min="7" max="7" width="3.28515625" customWidth="1"/>
    <col min="8" max="8" width="25.7109375" customWidth="1"/>
  </cols>
  <sheetData>
    <row r="1" spans="1:9" ht="18" customHeight="1" x14ac:dyDescent="0.25">
      <c r="B1" s="6" t="str">
        <f>DFIE!B144</f>
        <v>Gewinne juristischer Personen 2022</v>
      </c>
    </row>
    <row r="3" spans="1:9" ht="0.75" customHeight="1" x14ac:dyDescent="0.2"/>
    <row r="4" spans="1:9" ht="0.75" customHeight="1" x14ac:dyDescent="0.2"/>
    <row r="5" spans="1:9" ht="12" customHeight="1" x14ac:dyDescent="0.2">
      <c r="B5" s="34" t="str">
        <f>DFIE!B55</f>
        <v>Spalte</v>
      </c>
      <c r="C5" s="35" t="s">
        <v>30</v>
      </c>
      <c r="D5" s="35" t="s">
        <v>31</v>
      </c>
      <c r="E5" s="36" t="s">
        <v>32</v>
      </c>
      <c r="H5" s="114" t="s">
        <v>33</v>
      </c>
      <c r="I5" s="112" t="s">
        <v>34</v>
      </c>
    </row>
    <row r="6" spans="1:9" ht="12" customHeight="1" x14ac:dyDescent="0.2">
      <c r="B6" s="34" t="str">
        <f>DFIE!B56</f>
        <v>Formel</v>
      </c>
      <c r="C6" s="37"/>
      <c r="D6" s="183"/>
      <c r="E6" s="39" t="s">
        <v>77</v>
      </c>
    </row>
    <row r="7" spans="1:9" ht="43.5" customHeight="1" x14ac:dyDescent="0.2">
      <c r="A7" s="52"/>
      <c r="B7" s="182"/>
      <c r="C7" s="180" t="str">
        <f>DFIE!B145</f>
        <v>Massgebender Gewinn
ordentlich besteuerter
Unternehmen</v>
      </c>
      <c r="D7" s="180" t="str">
        <f>DFIE!B146</f>
        <v>Massgebender Gewinn
von Gesellschaften mit
besonderem Steuerstatus</v>
      </c>
      <c r="E7" s="190" t="str">
        <f>DFIE!B147</f>
        <v>Massgebender Gewinn
der juristischen Personen</v>
      </c>
      <c r="F7" s="52"/>
      <c r="H7" s="373" t="str">
        <f>DFIE!B148</f>
        <v>Beta-Faktoren</v>
      </c>
      <c r="I7" s="374"/>
    </row>
    <row r="8" spans="1:9" ht="12.75" customHeight="1" x14ac:dyDescent="0.2">
      <c r="B8" s="34" t="str">
        <f>DFIE!B58</f>
        <v>Einheit</v>
      </c>
      <c r="C8" s="40" t="str">
        <f>DFIE!$B$60</f>
        <v>CHF 1'000</v>
      </c>
      <c r="D8" s="40" t="str">
        <f>DFIE!$B$60</f>
        <v>CHF 1'000</v>
      </c>
      <c r="E8" s="42" t="str">
        <f>DFIE!$B$60</f>
        <v>CHF 1'000</v>
      </c>
      <c r="H8" s="375"/>
      <c r="I8" s="376"/>
    </row>
    <row r="9" spans="1:9" x14ac:dyDescent="0.2">
      <c r="A9" s="357" t="str">
        <f>DFIE!B69</f>
        <v>Bemessungsjahr 2016</v>
      </c>
      <c r="B9" s="46" t="str">
        <f>DFIE!$B28</f>
        <v>Zürich</v>
      </c>
      <c r="C9" s="61">
        <v>15436729.5</v>
      </c>
      <c r="D9" s="61">
        <v>898470.81400000001</v>
      </c>
      <c r="E9" s="18">
        <f>C9+D9</f>
        <v>16335200.313999999</v>
      </c>
      <c r="F9" s="54"/>
      <c r="H9" s="184" t="str">
        <f>DFIE!B149</f>
        <v>Holdinggesellschaften</v>
      </c>
      <c r="I9" s="185">
        <v>2.8000000000000001E-2</v>
      </c>
    </row>
    <row r="10" spans="1:9" x14ac:dyDescent="0.2">
      <c r="A10" s="357"/>
      <c r="B10" s="47" t="str">
        <f>DFIE!$B29</f>
        <v>Bern</v>
      </c>
      <c r="C10" s="43">
        <v>7329533.7000000002</v>
      </c>
      <c r="D10" s="43">
        <v>278200.2427</v>
      </c>
      <c r="E10" s="22">
        <f t="shared" ref="E10:E34" si="0">C10+D10</f>
        <v>7607733.9427000005</v>
      </c>
      <c r="F10" s="54"/>
      <c r="H10" s="186" t="str">
        <f>DFIE!B150</f>
        <v>Domizilgesellschaften</v>
      </c>
      <c r="I10" s="187">
        <v>0.124</v>
      </c>
    </row>
    <row r="11" spans="1:9" x14ac:dyDescent="0.2">
      <c r="A11" s="357"/>
      <c r="B11" s="46" t="str">
        <f>DFIE!$B30</f>
        <v>Luzern</v>
      </c>
      <c r="C11" s="61">
        <v>3595794.2</v>
      </c>
      <c r="D11" s="61">
        <v>143027.03969999999</v>
      </c>
      <c r="E11" s="18">
        <f t="shared" si="0"/>
        <v>3738821.2397000003</v>
      </c>
      <c r="F11" s="54"/>
      <c r="H11" s="188" t="str">
        <f>DFIE!B151</f>
        <v>Gemischte Gesellschaften</v>
      </c>
      <c r="I11" s="189">
        <v>0.125</v>
      </c>
    </row>
    <row r="12" spans="1:9" x14ac:dyDescent="0.2">
      <c r="A12" s="357"/>
      <c r="B12" s="47" t="str">
        <f>DFIE!$B31</f>
        <v>Uri</v>
      </c>
      <c r="C12" s="43">
        <v>232222.7</v>
      </c>
      <c r="D12" s="43">
        <v>1070.7401</v>
      </c>
      <c r="E12" s="22">
        <f t="shared" si="0"/>
        <v>233293.44010000001</v>
      </c>
      <c r="F12" s="54"/>
    </row>
    <row r="13" spans="1:9" x14ac:dyDescent="0.2">
      <c r="A13" s="357"/>
      <c r="B13" s="46" t="str">
        <f>DFIE!$B32</f>
        <v>Schwyz</v>
      </c>
      <c r="C13" s="61">
        <v>2770337</v>
      </c>
      <c r="D13" s="61">
        <v>187846.59940000001</v>
      </c>
      <c r="E13" s="18">
        <f t="shared" si="0"/>
        <v>2958183.5994000002</v>
      </c>
      <c r="F13" s="54"/>
    </row>
    <row r="14" spans="1:9" x14ac:dyDescent="0.2">
      <c r="A14" s="357"/>
      <c r="B14" s="47" t="str">
        <f>DFIE!$B33</f>
        <v>Obwalden</v>
      </c>
      <c r="C14" s="43">
        <v>295778.90000000002</v>
      </c>
      <c r="D14" s="43">
        <v>13898.565699999999</v>
      </c>
      <c r="E14" s="22">
        <f t="shared" si="0"/>
        <v>309677.4657</v>
      </c>
      <c r="F14" s="54"/>
    </row>
    <row r="15" spans="1:9" x14ac:dyDescent="0.2">
      <c r="A15" s="357"/>
      <c r="B15" s="46" t="str">
        <f>DFIE!$B34</f>
        <v>Nidwalden</v>
      </c>
      <c r="C15" s="61">
        <v>541730.1</v>
      </c>
      <c r="D15" s="61">
        <v>19027.926599999999</v>
      </c>
      <c r="E15" s="18">
        <f t="shared" si="0"/>
        <v>560758.02659999998</v>
      </c>
      <c r="F15" s="54"/>
    </row>
    <row r="16" spans="1:9" x14ac:dyDescent="0.2">
      <c r="A16" s="357"/>
      <c r="B16" s="47" t="str">
        <f>DFIE!$B35</f>
        <v>Glarus</v>
      </c>
      <c r="C16" s="43">
        <v>211964.2</v>
      </c>
      <c r="D16" s="43">
        <v>21699.571599999999</v>
      </c>
      <c r="E16" s="22">
        <f t="shared" si="0"/>
        <v>233663.77160000001</v>
      </c>
      <c r="F16" s="54"/>
    </row>
    <row r="17" spans="1:6" x14ac:dyDescent="0.2">
      <c r="A17" s="357"/>
      <c r="B17" s="46" t="str">
        <f>DFIE!$B36</f>
        <v>Zug</v>
      </c>
      <c r="C17" s="61">
        <v>3155120.1</v>
      </c>
      <c r="D17" s="61">
        <v>1317052.0767000001</v>
      </c>
      <c r="E17" s="18">
        <f t="shared" si="0"/>
        <v>4472172.1766999997</v>
      </c>
      <c r="F17" s="54"/>
    </row>
    <row r="18" spans="1:6" x14ac:dyDescent="0.2">
      <c r="A18" s="357"/>
      <c r="B18" s="47" t="str">
        <f>DFIE!$B37</f>
        <v>Freiburg</v>
      </c>
      <c r="C18" s="43">
        <v>1914097</v>
      </c>
      <c r="D18" s="43">
        <v>522857.3273</v>
      </c>
      <c r="E18" s="22">
        <f t="shared" si="0"/>
        <v>2436954.3273</v>
      </c>
      <c r="F18" s="54"/>
    </row>
    <row r="19" spans="1:6" x14ac:dyDescent="0.2">
      <c r="A19" s="357"/>
      <c r="B19" s="46" t="str">
        <f>DFIE!$B38</f>
        <v>Solothurn</v>
      </c>
      <c r="C19" s="61">
        <v>1055899.3</v>
      </c>
      <c r="D19" s="61">
        <v>26212.823700000001</v>
      </c>
      <c r="E19" s="18">
        <f t="shared" si="0"/>
        <v>1082112.1237000001</v>
      </c>
      <c r="F19" s="54"/>
    </row>
    <row r="20" spans="1:6" x14ac:dyDescent="0.2">
      <c r="A20" s="357"/>
      <c r="B20" s="47" t="str">
        <f>DFIE!$B39</f>
        <v>Basel-Stadt</v>
      </c>
      <c r="C20" s="43">
        <v>2621667.1</v>
      </c>
      <c r="D20" s="43">
        <v>280679.5528</v>
      </c>
      <c r="E20" s="22">
        <f t="shared" si="0"/>
        <v>2902346.6528000003</v>
      </c>
      <c r="F20" s="54"/>
    </row>
    <row r="21" spans="1:6" x14ac:dyDescent="0.2">
      <c r="A21" s="357"/>
      <c r="B21" s="46" t="str">
        <f>DFIE!$B40</f>
        <v>Basel-Landschaft</v>
      </c>
      <c r="C21" s="61">
        <v>1286632</v>
      </c>
      <c r="D21" s="61">
        <v>305039.34470000002</v>
      </c>
      <c r="E21" s="18">
        <f t="shared" si="0"/>
        <v>1591671.3447</v>
      </c>
      <c r="F21" s="54"/>
    </row>
    <row r="22" spans="1:6" x14ac:dyDescent="0.2">
      <c r="A22" s="357"/>
      <c r="B22" s="47" t="str">
        <f>DFIE!$B41</f>
        <v>Schaffhausen</v>
      </c>
      <c r="C22" s="43">
        <v>445601.3</v>
      </c>
      <c r="D22" s="43">
        <v>318460.24890000001</v>
      </c>
      <c r="E22" s="22">
        <f t="shared" si="0"/>
        <v>764061.54890000005</v>
      </c>
      <c r="F22" s="54"/>
    </row>
    <row r="23" spans="1:6" x14ac:dyDescent="0.2">
      <c r="A23" s="357"/>
      <c r="B23" s="46" t="str">
        <f>DFIE!$B42</f>
        <v>Appenzell A.Rh.</v>
      </c>
      <c r="C23" s="61">
        <v>357945</v>
      </c>
      <c r="D23" s="61">
        <v>8052.5604000000003</v>
      </c>
      <c r="E23" s="18">
        <f t="shared" si="0"/>
        <v>365997.56040000002</v>
      </c>
      <c r="F23" s="54"/>
    </row>
    <row r="24" spans="1:6" x14ac:dyDescent="0.2">
      <c r="A24" s="357"/>
      <c r="B24" s="47" t="str">
        <f>DFIE!$B43</f>
        <v>Appenzell I.Rh.</v>
      </c>
      <c r="C24" s="43">
        <v>116791.2</v>
      </c>
      <c r="D24" s="43">
        <v>1745.9418000000001</v>
      </c>
      <c r="E24" s="22">
        <f t="shared" si="0"/>
        <v>118537.1418</v>
      </c>
      <c r="F24" s="54"/>
    </row>
    <row r="25" spans="1:6" x14ac:dyDescent="0.2">
      <c r="A25" s="357"/>
      <c r="B25" s="46" t="str">
        <f>DFIE!$B44</f>
        <v>St. Gallen</v>
      </c>
      <c r="C25" s="61">
        <v>3431590.3</v>
      </c>
      <c r="D25" s="61">
        <v>335181.62420000002</v>
      </c>
      <c r="E25" s="18">
        <f t="shared" si="0"/>
        <v>3766771.9241999998</v>
      </c>
      <c r="F25" s="54"/>
    </row>
    <row r="26" spans="1:6" x14ac:dyDescent="0.2">
      <c r="A26" s="357"/>
      <c r="B26" s="47" t="str">
        <f>DFIE!$B45</f>
        <v>Graubünden</v>
      </c>
      <c r="C26" s="43">
        <v>816347.7</v>
      </c>
      <c r="D26" s="43">
        <v>139451.4736</v>
      </c>
      <c r="E26" s="22">
        <f t="shared" si="0"/>
        <v>955799.17359999998</v>
      </c>
      <c r="F26" s="54"/>
    </row>
    <row r="27" spans="1:6" x14ac:dyDescent="0.2">
      <c r="A27" s="357"/>
      <c r="B27" s="46" t="str">
        <f>DFIE!$B46</f>
        <v>Aargau</v>
      </c>
      <c r="C27" s="61">
        <v>3197907.7</v>
      </c>
      <c r="D27" s="61">
        <v>27183.783899999999</v>
      </c>
      <c r="E27" s="18">
        <f t="shared" si="0"/>
        <v>3225091.4839000003</v>
      </c>
      <c r="F27" s="54"/>
    </row>
    <row r="28" spans="1:6" x14ac:dyDescent="0.2">
      <c r="A28" s="357"/>
      <c r="B28" s="47" t="str">
        <f>DFIE!$B47</f>
        <v>Thurgau</v>
      </c>
      <c r="C28" s="43">
        <v>1314970.6000000001</v>
      </c>
      <c r="D28" s="43">
        <v>9625.4827999999998</v>
      </c>
      <c r="E28" s="22">
        <f t="shared" si="0"/>
        <v>1324596.0828000002</v>
      </c>
      <c r="F28" s="54"/>
    </row>
    <row r="29" spans="1:6" x14ac:dyDescent="0.2">
      <c r="A29" s="357"/>
      <c r="B29" s="46" t="str">
        <f>DFIE!$B48</f>
        <v>Tessin</v>
      </c>
      <c r="C29" s="61">
        <v>2552902.1</v>
      </c>
      <c r="D29" s="61">
        <v>312953.24080000003</v>
      </c>
      <c r="E29" s="18">
        <f t="shared" si="0"/>
        <v>2865855.3408000004</v>
      </c>
      <c r="F29" s="54"/>
    </row>
    <row r="30" spans="1:6" x14ac:dyDescent="0.2">
      <c r="A30" s="357"/>
      <c r="B30" s="47" t="str">
        <f>DFIE!$B49</f>
        <v>Waadt</v>
      </c>
      <c r="C30" s="43">
        <v>4025331</v>
      </c>
      <c r="D30" s="43">
        <v>2164869.4635999999</v>
      </c>
      <c r="E30" s="22">
        <f t="shared" si="0"/>
        <v>6190200.4636000004</v>
      </c>
      <c r="F30" s="54"/>
    </row>
    <row r="31" spans="1:6" x14ac:dyDescent="0.2">
      <c r="A31" s="357"/>
      <c r="B31" s="46" t="str">
        <f>DFIE!$B50</f>
        <v>Wallis</v>
      </c>
      <c r="C31" s="61">
        <v>1264510.5</v>
      </c>
      <c r="D31" s="61">
        <v>6908.9845999999998</v>
      </c>
      <c r="E31" s="18">
        <f t="shared" si="0"/>
        <v>1271419.4846000001</v>
      </c>
      <c r="F31" s="54"/>
    </row>
    <row r="32" spans="1:6" x14ac:dyDescent="0.2">
      <c r="A32" s="357"/>
      <c r="B32" s="47" t="str">
        <f>DFIE!$B51</f>
        <v>Neuenburg</v>
      </c>
      <c r="C32" s="43">
        <v>815541.3</v>
      </c>
      <c r="D32" s="43">
        <v>715309.90969999996</v>
      </c>
      <c r="E32" s="22">
        <f t="shared" si="0"/>
        <v>1530851.2097</v>
      </c>
      <c r="F32" s="54"/>
    </row>
    <row r="33" spans="1:9" x14ac:dyDescent="0.2">
      <c r="A33" s="357"/>
      <c r="B33" s="46" t="str">
        <f>DFIE!$B52</f>
        <v>Genf</v>
      </c>
      <c r="C33" s="61">
        <v>4832199.2</v>
      </c>
      <c r="D33" s="61">
        <v>1159722.3356999999</v>
      </c>
      <c r="E33" s="18">
        <f t="shared" si="0"/>
        <v>5991921.5356999999</v>
      </c>
      <c r="F33" s="54"/>
    </row>
    <row r="34" spans="1:9" x14ac:dyDescent="0.2">
      <c r="A34" s="357"/>
      <c r="B34" s="47" t="str">
        <f>DFIE!$B53</f>
        <v>Jura</v>
      </c>
      <c r="C34" s="43">
        <v>377988.2</v>
      </c>
      <c r="D34" s="43">
        <v>28606.066299999999</v>
      </c>
      <c r="E34" s="22">
        <f t="shared" si="0"/>
        <v>406594.26630000002</v>
      </c>
      <c r="F34" s="54"/>
      <c r="H34" s="41"/>
      <c r="I34" s="41"/>
    </row>
    <row r="35" spans="1:9" x14ac:dyDescent="0.2">
      <c r="A35" s="357"/>
      <c r="B35" s="24" t="str">
        <f>DFIE!$B54</f>
        <v>Schweiz</v>
      </c>
      <c r="C35" s="31">
        <f>SUM(C9:C34)</f>
        <v>63997131.900000006</v>
      </c>
      <c r="D35" s="31">
        <f>SUM(D9:D34)</f>
        <v>9243153.7412999999</v>
      </c>
      <c r="E35" s="26">
        <f>SUM(E9:E34)</f>
        <v>73240285.641300008</v>
      </c>
      <c r="F35" s="56"/>
    </row>
    <row r="36" spans="1:9" ht="15" customHeight="1" x14ac:dyDescent="0.25">
      <c r="A36" s="32"/>
      <c r="B36" s="82"/>
      <c r="C36" s="177"/>
      <c r="D36" s="177"/>
      <c r="E36" s="177"/>
      <c r="H36" s="52"/>
      <c r="I36" s="52"/>
    </row>
    <row r="37" spans="1:9" ht="12.75" customHeight="1" x14ac:dyDescent="0.2">
      <c r="A37" s="358" t="str">
        <f>DFIE!B70</f>
        <v>Bemessungsjahr 2017</v>
      </c>
      <c r="B37" s="48" t="str">
        <f>DFIE!$B28</f>
        <v>Zürich</v>
      </c>
      <c r="C37" s="49">
        <v>17196904.800000001</v>
      </c>
      <c r="D37" s="49">
        <v>1271975.5374</v>
      </c>
      <c r="E37" s="50">
        <f>C37+D37</f>
        <v>18468880.337400001</v>
      </c>
      <c r="F37" s="57"/>
      <c r="H37" s="184" t="str">
        <f>$H$9</f>
        <v>Holdinggesellschaften</v>
      </c>
      <c r="I37" s="185">
        <f>$I$9</f>
        <v>2.8000000000000001E-2</v>
      </c>
    </row>
    <row r="38" spans="1:9" x14ac:dyDescent="0.2">
      <c r="A38" s="358"/>
      <c r="B38" s="47" t="str">
        <f>DFIE!$B29</f>
        <v>Bern</v>
      </c>
      <c r="C38" s="43">
        <v>8165642.4000000004</v>
      </c>
      <c r="D38" s="43">
        <v>1737578.7738999999</v>
      </c>
      <c r="E38" s="22">
        <f t="shared" ref="E38:E62" si="1">C38+D38</f>
        <v>9903221.1739000008</v>
      </c>
      <c r="F38" s="57"/>
      <c r="H38" s="186" t="str">
        <f>$H$10</f>
        <v>Domizilgesellschaften</v>
      </c>
      <c r="I38" s="187">
        <f>$I$10</f>
        <v>0.124</v>
      </c>
    </row>
    <row r="39" spans="1:9" x14ac:dyDescent="0.2">
      <c r="A39" s="358"/>
      <c r="B39" s="46" t="str">
        <f>DFIE!$B30</f>
        <v>Luzern</v>
      </c>
      <c r="C39" s="61">
        <v>3606005.4</v>
      </c>
      <c r="D39" s="61">
        <v>222506.57</v>
      </c>
      <c r="E39" s="18">
        <f t="shared" si="1"/>
        <v>3828511.9699999997</v>
      </c>
      <c r="F39" s="57"/>
      <c r="H39" s="188" t="str">
        <f>$H$11</f>
        <v>Gemischte Gesellschaften</v>
      </c>
      <c r="I39" s="189">
        <f>$I$11</f>
        <v>0.125</v>
      </c>
    </row>
    <row r="40" spans="1:9" x14ac:dyDescent="0.2">
      <c r="A40" s="358"/>
      <c r="B40" s="47" t="str">
        <f>DFIE!$B31</f>
        <v>Uri</v>
      </c>
      <c r="C40" s="43">
        <v>215309.6</v>
      </c>
      <c r="D40" s="43">
        <v>560.25400000000002</v>
      </c>
      <c r="E40" s="22">
        <f t="shared" si="1"/>
        <v>215869.85399999999</v>
      </c>
      <c r="F40" s="57"/>
    </row>
    <row r="41" spans="1:9" x14ac:dyDescent="0.2">
      <c r="A41" s="358"/>
      <c r="B41" s="46" t="str">
        <f>DFIE!$B32</f>
        <v>Schwyz</v>
      </c>
      <c r="C41" s="61">
        <v>1583524.5</v>
      </c>
      <c r="D41" s="61">
        <v>191878.9026</v>
      </c>
      <c r="E41" s="18">
        <f t="shared" si="1"/>
        <v>1775403.4025999999</v>
      </c>
      <c r="F41" s="57"/>
    </row>
    <row r="42" spans="1:9" x14ac:dyDescent="0.2">
      <c r="A42" s="358"/>
      <c r="B42" s="47" t="str">
        <f>DFIE!$B33</f>
        <v>Obwalden</v>
      </c>
      <c r="C42" s="43">
        <v>298293.40000000002</v>
      </c>
      <c r="D42" s="43">
        <v>16867.402699999999</v>
      </c>
      <c r="E42" s="22">
        <f t="shared" si="1"/>
        <v>315160.8027</v>
      </c>
      <c r="F42" s="57"/>
    </row>
    <row r="43" spans="1:9" x14ac:dyDescent="0.2">
      <c r="A43" s="358"/>
      <c r="B43" s="46" t="str">
        <f>DFIE!$B34</f>
        <v>Nidwalden</v>
      </c>
      <c r="C43" s="61">
        <v>494068.1</v>
      </c>
      <c r="D43" s="61">
        <v>66975.980299999996</v>
      </c>
      <c r="E43" s="18">
        <f t="shared" si="1"/>
        <v>561044.08030000003</v>
      </c>
      <c r="F43" s="57"/>
    </row>
    <row r="44" spans="1:9" x14ac:dyDescent="0.2">
      <c r="A44" s="358"/>
      <c r="B44" s="47" t="str">
        <f>DFIE!$B35</f>
        <v>Glarus</v>
      </c>
      <c r="C44" s="43">
        <v>251715.20000000001</v>
      </c>
      <c r="D44" s="43">
        <v>38086.537799999998</v>
      </c>
      <c r="E44" s="22">
        <f t="shared" si="1"/>
        <v>289801.7378</v>
      </c>
      <c r="F44" s="57"/>
    </row>
    <row r="45" spans="1:9" x14ac:dyDescent="0.2">
      <c r="A45" s="358"/>
      <c r="B45" s="46" t="str">
        <f>DFIE!$B36</f>
        <v>Zug</v>
      </c>
      <c r="C45" s="61">
        <v>3451293.4</v>
      </c>
      <c r="D45" s="61">
        <v>1412780.9069000001</v>
      </c>
      <c r="E45" s="18">
        <f t="shared" si="1"/>
        <v>4864074.3069000002</v>
      </c>
      <c r="F45" s="57"/>
    </row>
    <row r="46" spans="1:9" x14ac:dyDescent="0.2">
      <c r="A46" s="358"/>
      <c r="B46" s="47" t="str">
        <f>DFIE!$B37</f>
        <v>Freiburg</v>
      </c>
      <c r="C46" s="43">
        <v>1559746.3</v>
      </c>
      <c r="D46" s="43">
        <v>407654.89260000002</v>
      </c>
      <c r="E46" s="22">
        <f t="shared" si="1"/>
        <v>1967401.1926000002</v>
      </c>
      <c r="F46" s="57"/>
    </row>
    <row r="47" spans="1:9" x14ac:dyDescent="0.2">
      <c r="A47" s="358"/>
      <c r="B47" s="46" t="str">
        <f>DFIE!$B38</f>
        <v>Solothurn</v>
      </c>
      <c r="C47" s="61">
        <v>1050387.3999999999</v>
      </c>
      <c r="D47" s="61">
        <v>20969.755799999999</v>
      </c>
      <c r="E47" s="18">
        <f t="shared" si="1"/>
        <v>1071357.1557999998</v>
      </c>
      <c r="F47" s="57"/>
    </row>
    <row r="48" spans="1:9" x14ac:dyDescent="0.2">
      <c r="A48" s="358"/>
      <c r="B48" s="47" t="str">
        <f>DFIE!$B39</f>
        <v>Basel-Stadt</v>
      </c>
      <c r="C48" s="43">
        <v>2840080.3</v>
      </c>
      <c r="D48" s="43">
        <v>554667.49509999994</v>
      </c>
      <c r="E48" s="22">
        <f t="shared" si="1"/>
        <v>3394747.7950999998</v>
      </c>
      <c r="F48" s="57"/>
    </row>
    <row r="49" spans="1:9" x14ac:dyDescent="0.2">
      <c r="A49" s="358"/>
      <c r="B49" s="46" t="str">
        <f>DFIE!$B40</f>
        <v>Basel-Landschaft</v>
      </c>
      <c r="C49" s="61">
        <v>1354929.4</v>
      </c>
      <c r="D49" s="61">
        <v>279380.90049999999</v>
      </c>
      <c r="E49" s="18">
        <f t="shared" si="1"/>
        <v>1634310.3004999999</v>
      </c>
      <c r="F49" s="57"/>
    </row>
    <row r="50" spans="1:9" x14ac:dyDescent="0.2">
      <c r="A50" s="358"/>
      <c r="B50" s="47" t="str">
        <f>DFIE!$B41</f>
        <v>Schaffhausen</v>
      </c>
      <c r="C50" s="43">
        <v>427052.5</v>
      </c>
      <c r="D50" s="43">
        <v>659308.9388</v>
      </c>
      <c r="E50" s="22">
        <f t="shared" si="1"/>
        <v>1086361.4388000001</v>
      </c>
      <c r="F50" s="57"/>
    </row>
    <row r="51" spans="1:9" x14ac:dyDescent="0.2">
      <c r="A51" s="358"/>
      <c r="B51" s="46" t="str">
        <f>DFIE!$B42</f>
        <v>Appenzell A.Rh.</v>
      </c>
      <c r="C51" s="61">
        <v>377779.5</v>
      </c>
      <c r="D51" s="61">
        <v>21216.772700000001</v>
      </c>
      <c r="E51" s="18">
        <f t="shared" si="1"/>
        <v>398996.27269999997</v>
      </c>
      <c r="F51" s="57"/>
    </row>
    <row r="52" spans="1:9" x14ac:dyDescent="0.2">
      <c r="A52" s="358"/>
      <c r="B52" s="47" t="str">
        <f>DFIE!$B43</f>
        <v>Appenzell I.Rh.</v>
      </c>
      <c r="C52" s="43">
        <v>120191.5</v>
      </c>
      <c r="D52" s="43">
        <v>1163.694</v>
      </c>
      <c r="E52" s="22">
        <f t="shared" si="1"/>
        <v>121355.194</v>
      </c>
      <c r="F52" s="57"/>
    </row>
    <row r="53" spans="1:9" x14ac:dyDescent="0.2">
      <c r="A53" s="358"/>
      <c r="B53" s="46" t="str">
        <f>DFIE!$B44</f>
        <v>St. Gallen</v>
      </c>
      <c r="C53" s="61">
        <v>4227147.8</v>
      </c>
      <c r="D53" s="61">
        <v>309278.61930000002</v>
      </c>
      <c r="E53" s="18">
        <f t="shared" si="1"/>
        <v>4536426.4193000002</v>
      </c>
      <c r="F53" s="57"/>
    </row>
    <row r="54" spans="1:9" x14ac:dyDescent="0.2">
      <c r="A54" s="358"/>
      <c r="B54" s="47" t="str">
        <f>DFIE!$B45</f>
        <v>Graubünden</v>
      </c>
      <c r="C54" s="43">
        <v>886668.6</v>
      </c>
      <c r="D54" s="43">
        <v>130736.496</v>
      </c>
      <c r="E54" s="22">
        <f t="shared" si="1"/>
        <v>1017405.096</v>
      </c>
      <c r="F54" s="57"/>
    </row>
    <row r="55" spans="1:9" x14ac:dyDescent="0.2">
      <c r="A55" s="358"/>
      <c r="B55" s="46" t="str">
        <f>DFIE!$B46</f>
        <v>Aargau</v>
      </c>
      <c r="C55" s="61">
        <v>3457872.1</v>
      </c>
      <c r="D55" s="61">
        <v>34380.152300000002</v>
      </c>
      <c r="E55" s="18">
        <f t="shared" si="1"/>
        <v>3492252.2523000003</v>
      </c>
      <c r="F55" s="57"/>
    </row>
    <row r="56" spans="1:9" x14ac:dyDescent="0.2">
      <c r="A56" s="358"/>
      <c r="B56" s="47" t="str">
        <f>DFIE!$B47</f>
        <v>Thurgau</v>
      </c>
      <c r="C56" s="43">
        <v>1521459.2</v>
      </c>
      <c r="D56" s="43">
        <v>14380.2983</v>
      </c>
      <c r="E56" s="22">
        <f t="shared" si="1"/>
        <v>1535839.4982999999</v>
      </c>
      <c r="F56" s="57"/>
    </row>
    <row r="57" spans="1:9" x14ac:dyDescent="0.2">
      <c r="A57" s="358"/>
      <c r="B57" s="46" t="str">
        <f>DFIE!$B48</f>
        <v>Tessin</v>
      </c>
      <c r="C57" s="61">
        <v>2886463.3</v>
      </c>
      <c r="D57" s="61">
        <v>174378.731</v>
      </c>
      <c r="E57" s="18">
        <f t="shared" si="1"/>
        <v>3060842.031</v>
      </c>
      <c r="F57" s="57"/>
    </row>
    <row r="58" spans="1:9" x14ac:dyDescent="0.2">
      <c r="A58" s="358"/>
      <c r="B58" s="47" t="str">
        <f>DFIE!$B49</f>
        <v>Waadt</v>
      </c>
      <c r="C58" s="43">
        <v>4049368.1</v>
      </c>
      <c r="D58" s="43">
        <v>2632067.2270999998</v>
      </c>
      <c r="E58" s="22">
        <f t="shared" si="1"/>
        <v>6681435.3270999994</v>
      </c>
      <c r="F58" s="57"/>
    </row>
    <row r="59" spans="1:9" x14ac:dyDescent="0.2">
      <c r="A59" s="358"/>
      <c r="B59" s="46" t="str">
        <f>DFIE!$B50</f>
        <v>Wallis</v>
      </c>
      <c r="C59" s="61">
        <v>1244536.6000000001</v>
      </c>
      <c r="D59" s="61">
        <v>6777.5455000000002</v>
      </c>
      <c r="E59" s="18">
        <f t="shared" si="1"/>
        <v>1251314.1455000001</v>
      </c>
      <c r="F59" s="57"/>
    </row>
    <row r="60" spans="1:9" x14ac:dyDescent="0.2">
      <c r="A60" s="358"/>
      <c r="B60" s="47" t="str">
        <f>DFIE!$B51</f>
        <v>Neuenburg</v>
      </c>
      <c r="C60" s="43">
        <v>981385.8</v>
      </c>
      <c r="D60" s="43">
        <v>548001.26329999999</v>
      </c>
      <c r="E60" s="22">
        <f t="shared" si="1"/>
        <v>1529387.0633</v>
      </c>
      <c r="F60" s="57"/>
    </row>
    <row r="61" spans="1:9" x14ac:dyDescent="0.2">
      <c r="A61" s="358"/>
      <c r="B61" s="46" t="str">
        <f>DFIE!$B52</f>
        <v>Genf</v>
      </c>
      <c r="C61" s="61">
        <v>4773687.9000000004</v>
      </c>
      <c r="D61" s="61">
        <v>1616152.8751000001</v>
      </c>
      <c r="E61" s="18">
        <f t="shared" si="1"/>
        <v>6389840.7751000002</v>
      </c>
      <c r="F61" s="57"/>
    </row>
    <row r="62" spans="1:9" x14ac:dyDescent="0.2">
      <c r="A62" s="358"/>
      <c r="B62" s="47" t="str">
        <f>DFIE!$B53</f>
        <v>Jura</v>
      </c>
      <c r="C62" s="43">
        <v>459379.1</v>
      </c>
      <c r="D62" s="43">
        <v>27781.8946</v>
      </c>
      <c r="E62" s="22">
        <f t="shared" si="1"/>
        <v>487160.99459999998</v>
      </c>
      <c r="F62" s="57"/>
      <c r="H62" s="41"/>
      <c r="I62" s="41"/>
    </row>
    <row r="63" spans="1:9" x14ac:dyDescent="0.2">
      <c r="A63" s="358"/>
      <c r="B63" s="24" t="str">
        <f>DFIE!$B54</f>
        <v>Schweiz</v>
      </c>
      <c r="C63" s="31">
        <f>SUM(C37:C62)</f>
        <v>67480892.199999988</v>
      </c>
      <c r="D63" s="31">
        <f>SUM(D37:D62)</f>
        <v>12397508.417599998</v>
      </c>
      <c r="E63" s="26">
        <f>SUM(E37:E62)</f>
        <v>79878400.617599994</v>
      </c>
      <c r="F63" s="58"/>
      <c r="H63" s="52"/>
      <c r="I63" s="52"/>
    </row>
    <row r="64" spans="1:9" ht="14.25" customHeight="1" x14ac:dyDescent="0.2">
      <c r="A64" s="33"/>
      <c r="B64" s="83"/>
      <c r="C64" s="83"/>
      <c r="D64" s="83"/>
      <c r="E64" s="83"/>
    </row>
    <row r="65" spans="1:9" x14ac:dyDescent="0.2">
      <c r="A65" s="359" t="str">
        <f>DFIE!B71</f>
        <v>Bemessungsjahr 2018</v>
      </c>
      <c r="B65" s="48" t="str">
        <f>DFIE!$B28</f>
        <v>Zürich</v>
      </c>
      <c r="C65" s="49">
        <v>17853572.699999999</v>
      </c>
      <c r="D65" s="49">
        <v>822324.66059999994</v>
      </c>
      <c r="E65" s="50">
        <f>C65+D65</f>
        <v>18675897.360599998</v>
      </c>
      <c r="F65" s="59"/>
      <c r="H65" s="184" t="str">
        <f>$H$9</f>
        <v>Holdinggesellschaften</v>
      </c>
      <c r="I65" s="185">
        <f>$I$9</f>
        <v>2.8000000000000001E-2</v>
      </c>
    </row>
    <row r="66" spans="1:9" x14ac:dyDescent="0.2">
      <c r="A66" s="359"/>
      <c r="B66" s="47" t="str">
        <f>DFIE!$B29</f>
        <v>Bern</v>
      </c>
      <c r="C66" s="43">
        <v>7025131</v>
      </c>
      <c r="D66" s="43">
        <v>226844.05110000001</v>
      </c>
      <c r="E66" s="22">
        <f t="shared" ref="E66:E90" si="2">C66+D66</f>
        <v>7251975.0510999998</v>
      </c>
      <c r="F66" s="59"/>
      <c r="H66" s="186" t="str">
        <f>$H$10</f>
        <v>Domizilgesellschaften</v>
      </c>
      <c r="I66" s="187">
        <f>$I$10</f>
        <v>0.124</v>
      </c>
    </row>
    <row r="67" spans="1:9" x14ac:dyDescent="0.2">
      <c r="A67" s="359"/>
      <c r="B67" s="46" t="str">
        <f>DFIE!$B30</f>
        <v>Luzern</v>
      </c>
      <c r="C67" s="61">
        <v>3528199.1</v>
      </c>
      <c r="D67" s="61">
        <v>345081.68070000003</v>
      </c>
      <c r="E67" s="18">
        <f t="shared" si="2"/>
        <v>3873280.7807</v>
      </c>
      <c r="F67" s="59"/>
      <c r="H67" s="188" t="str">
        <f>$H$11</f>
        <v>Gemischte Gesellschaften</v>
      </c>
      <c r="I67" s="189">
        <f>$I$11</f>
        <v>0.125</v>
      </c>
    </row>
    <row r="68" spans="1:9" x14ac:dyDescent="0.2">
      <c r="A68" s="359"/>
      <c r="B68" s="47" t="str">
        <f>DFIE!$B31</f>
        <v>Uri</v>
      </c>
      <c r="C68" s="43">
        <v>210594.3</v>
      </c>
      <c r="D68" s="43">
        <v>1056.5612000000001</v>
      </c>
      <c r="E68" s="22">
        <f t="shared" si="2"/>
        <v>211650.86119999998</v>
      </c>
      <c r="F68" s="59"/>
    </row>
    <row r="69" spans="1:9" x14ac:dyDescent="0.2">
      <c r="A69" s="359"/>
      <c r="B69" s="46" t="str">
        <f>DFIE!$B32</f>
        <v>Schwyz</v>
      </c>
      <c r="C69" s="61">
        <v>1553410.2</v>
      </c>
      <c r="D69" s="61">
        <v>180658.83249999999</v>
      </c>
      <c r="E69" s="18">
        <f t="shared" si="2"/>
        <v>1734069.0325</v>
      </c>
      <c r="F69" s="59"/>
    </row>
    <row r="70" spans="1:9" x14ac:dyDescent="0.2">
      <c r="A70" s="359"/>
      <c r="B70" s="47" t="str">
        <f>DFIE!$B33</f>
        <v>Obwalden</v>
      </c>
      <c r="C70" s="43">
        <v>277941.59999999998</v>
      </c>
      <c r="D70" s="43">
        <v>15579.806</v>
      </c>
      <c r="E70" s="22">
        <f t="shared" si="2"/>
        <v>293521.40599999996</v>
      </c>
      <c r="F70" s="59"/>
    </row>
    <row r="71" spans="1:9" x14ac:dyDescent="0.2">
      <c r="A71" s="359"/>
      <c r="B71" s="46" t="str">
        <f>DFIE!$B34</f>
        <v>Nidwalden</v>
      </c>
      <c r="C71" s="61">
        <v>549725.4</v>
      </c>
      <c r="D71" s="61">
        <v>31057.365300000001</v>
      </c>
      <c r="E71" s="18">
        <f t="shared" si="2"/>
        <v>580782.76529999997</v>
      </c>
      <c r="F71" s="59"/>
    </row>
    <row r="72" spans="1:9" x14ac:dyDescent="0.2">
      <c r="A72" s="359"/>
      <c r="B72" s="47" t="str">
        <f>DFIE!$B35</f>
        <v>Glarus</v>
      </c>
      <c r="C72" s="43">
        <v>200328.5</v>
      </c>
      <c r="D72" s="43">
        <v>37752.090300000003</v>
      </c>
      <c r="E72" s="22">
        <f t="shared" si="2"/>
        <v>238080.59030000001</v>
      </c>
      <c r="F72" s="59"/>
    </row>
    <row r="73" spans="1:9" x14ac:dyDescent="0.2">
      <c r="A73" s="359"/>
      <c r="B73" s="46" t="str">
        <f>DFIE!$B36</f>
        <v>Zug</v>
      </c>
      <c r="C73" s="61">
        <v>3376924.6</v>
      </c>
      <c r="D73" s="61">
        <v>1755699.2342999999</v>
      </c>
      <c r="E73" s="18">
        <f t="shared" si="2"/>
        <v>5132623.8343000002</v>
      </c>
      <c r="F73" s="59"/>
    </row>
    <row r="74" spans="1:9" x14ac:dyDescent="0.2">
      <c r="A74" s="359"/>
      <c r="B74" s="47" t="str">
        <f>DFIE!$B37</f>
        <v>Freiburg</v>
      </c>
      <c r="C74" s="43">
        <v>1446486.2</v>
      </c>
      <c r="D74" s="43">
        <v>384056.08789999998</v>
      </c>
      <c r="E74" s="22">
        <f t="shared" si="2"/>
        <v>1830542.2878999999</v>
      </c>
      <c r="F74" s="59"/>
    </row>
    <row r="75" spans="1:9" x14ac:dyDescent="0.2">
      <c r="A75" s="359"/>
      <c r="B75" s="46" t="str">
        <f>DFIE!$B38</f>
        <v>Solothurn</v>
      </c>
      <c r="C75" s="61">
        <v>1253999.3</v>
      </c>
      <c r="D75" s="61">
        <v>27856.8825</v>
      </c>
      <c r="E75" s="18">
        <f t="shared" si="2"/>
        <v>1281856.1825000001</v>
      </c>
      <c r="F75" s="59"/>
    </row>
    <row r="76" spans="1:9" x14ac:dyDescent="0.2">
      <c r="A76" s="359"/>
      <c r="B76" s="47" t="str">
        <f>DFIE!$B39</f>
        <v>Basel-Stadt</v>
      </c>
      <c r="C76" s="43">
        <v>2811920.6</v>
      </c>
      <c r="D76" s="43">
        <v>527459.66980000003</v>
      </c>
      <c r="E76" s="22">
        <f t="shared" si="2"/>
        <v>3339380.2697999999</v>
      </c>
      <c r="F76" s="59"/>
    </row>
    <row r="77" spans="1:9" x14ac:dyDescent="0.2">
      <c r="A77" s="359"/>
      <c r="B77" s="46" t="str">
        <f>DFIE!$B40</f>
        <v>Basel-Landschaft</v>
      </c>
      <c r="C77" s="61">
        <v>1322942.6000000001</v>
      </c>
      <c r="D77" s="61">
        <v>368216.19919999997</v>
      </c>
      <c r="E77" s="18">
        <f t="shared" si="2"/>
        <v>1691158.7992</v>
      </c>
      <c r="F77" s="59"/>
    </row>
    <row r="78" spans="1:9" x14ac:dyDescent="0.2">
      <c r="A78" s="359"/>
      <c r="B78" s="47" t="str">
        <f>DFIE!$B41</f>
        <v>Schaffhausen</v>
      </c>
      <c r="C78" s="43">
        <v>425183</v>
      </c>
      <c r="D78" s="43">
        <v>580303.40509999997</v>
      </c>
      <c r="E78" s="22">
        <f t="shared" si="2"/>
        <v>1005486.4051</v>
      </c>
      <c r="F78" s="59"/>
    </row>
    <row r="79" spans="1:9" x14ac:dyDescent="0.2">
      <c r="A79" s="359"/>
      <c r="B79" s="46" t="str">
        <f>DFIE!$B42</f>
        <v>Appenzell A.Rh.</v>
      </c>
      <c r="C79" s="61">
        <v>380824.9</v>
      </c>
      <c r="D79" s="61">
        <v>25041.797699999999</v>
      </c>
      <c r="E79" s="18">
        <f t="shared" si="2"/>
        <v>405866.69770000002</v>
      </c>
      <c r="F79" s="59"/>
    </row>
    <row r="80" spans="1:9" x14ac:dyDescent="0.2">
      <c r="A80" s="359"/>
      <c r="B80" s="47" t="str">
        <f>DFIE!$B43</f>
        <v>Appenzell I.Rh.</v>
      </c>
      <c r="C80" s="43">
        <v>135905.9</v>
      </c>
      <c r="D80" s="43">
        <v>637.99009999999998</v>
      </c>
      <c r="E80" s="22">
        <f t="shared" si="2"/>
        <v>136543.89009999999</v>
      </c>
      <c r="F80" s="59"/>
    </row>
    <row r="81" spans="1:9" x14ac:dyDescent="0.2">
      <c r="A81" s="359"/>
      <c r="B81" s="46" t="str">
        <f>DFIE!$B44</f>
        <v>St. Gallen</v>
      </c>
      <c r="C81" s="61">
        <v>4182776.1</v>
      </c>
      <c r="D81" s="61">
        <v>345626.39980000001</v>
      </c>
      <c r="E81" s="18">
        <f t="shared" si="2"/>
        <v>4528402.4998000003</v>
      </c>
      <c r="F81" s="59"/>
    </row>
    <row r="82" spans="1:9" x14ac:dyDescent="0.2">
      <c r="A82" s="359"/>
      <c r="B82" s="47" t="str">
        <f>DFIE!$B45</f>
        <v>Graubünden</v>
      </c>
      <c r="C82" s="43">
        <v>920816.1</v>
      </c>
      <c r="D82" s="43">
        <v>106289.68769999999</v>
      </c>
      <c r="E82" s="22">
        <f t="shared" si="2"/>
        <v>1027105.7877</v>
      </c>
      <c r="F82" s="59"/>
    </row>
    <row r="83" spans="1:9" x14ac:dyDescent="0.2">
      <c r="A83" s="359"/>
      <c r="B83" s="46" t="str">
        <f>DFIE!$B46</f>
        <v>Aargau</v>
      </c>
      <c r="C83" s="61">
        <v>3322450.7</v>
      </c>
      <c r="D83" s="61">
        <v>115605.2939</v>
      </c>
      <c r="E83" s="18">
        <f t="shared" si="2"/>
        <v>3438055.9939000001</v>
      </c>
      <c r="F83" s="59"/>
    </row>
    <row r="84" spans="1:9" x14ac:dyDescent="0.2">
      <c r="A84" s="359"/>
      <c r="B84" s="47" t="str">
        <f>DFIE!$B47</f>
        <v>Thurgau</v>
      </c>
      <c r="C84" s="43">
        <v>1495354.9</v>
      </c>
      <c r="D84" s="43">
        <v>10781.5481</v>
      </c>
      <c r="E84" s="22">
        <f t="shared" si="2"/>
        <v>1506136.4480999999</v>
      </c>
      <c r="F84" s="59"/>
    </row>
    <row r="85" spans="1:9" x14ac:dyDescent="0.2">
      <c r="A85" s="359"/>
      <c r="B85" s="46" t="str">
        <f>DFIE!$B48</f>
        <v>Tessin</v>
      </c>
      <c r="C85" s="61">
        <v>2599792.1</v>
      </c>
      <c r="D85" s="61">
        <v>99947.661200000002</v>
      </c>
      <c r="E85" s="18">
        <f t="shared" si="2"/>
        <v>2699739.7612000001</v>
      </c>
      <c r="F85" s="59"/>
    </row>
    <row r="86" spans="1:9" x14ac:dyDescent="0.2">
      <c r="A86" s="359"/>
      <c r="B86" s="47" t="str">
        <f>DFIE!$B49</f>
        <v>Waadt</v>
      </c>
      <c r="C86" s="43">
        <v>4162809.9</v>
      </c>
      <c r="D86" s="43">
        <v>2798601.1934000002</v>
      </c>
      <c r="E86" s="22">
        <f t="shared" si="2"/>
        <v>6961411.0933999997</v>
      </c>
      <c r="F86" s="59"/>
    </row>
    <row r="87" spans="1:9" x14ac:dyDescent="0.2">
      <c r="A87" s="359"/>
      <c r="B87" s="46" t="str">
        <f>DFIE!$B50</f>
        <v>Wallis</v>
      </c>
      <c r="C87" s="61">
        <v>1221588.5</v>
      </c>
      <c r="D87" s="61">
        <v>7920.6428999999998</v>
      </c>
      <c r="E87" s="18">
        <f t="shared" si="2"/>
        <v>1229509.1429000001</v>
      </c>
      <c r="F87" s="59"/>
    </row>
    <row r="88" spans="1:9" x14ac:dyDescent="0.2">
      <c r="A88" s="359"/>
      <c r="B88" s="47" t="str">
        <f>DFIE!$B51</f>
        <v>Neuenburg</v>
      </c>
      <c r="C88" s="43">
        <v>1055233.8</v>
      </c>
      <c r="D88" s="43">
        <v>443247.85320000001</v>
      </c>
      <c r="E88" s="22">
        <f t="shared" si="2"/>
        <v>1498481.6532000001</v>
      </c>
      <c r="F88" s="59"/>
    </row>
    <row r="89" spans="1:9" x14ac:dyDescent="0.2">
      <c r="A89" s="359"/>
      <c r="B89" s="46" t="str">
        <f>DFIE!$B52</f>
        <v>Genf</v>
      </c>
      <c r="C89" s="61">
        <v>5184688.9000000004</v>
      </c>
      <c r="D89" s="61">
        <v>1851933.9645</v>
      </c>
      <c r="E89" s="18">
        <f t="shared" si="2"/>
        <v>7036622.8645000001</v>
      </c>
      <c r="F89" s="59"/>
    </row>
    <row r="90" spans="1:9" x14ac:dyDescent="0.2">
      <c r="A90" s="359"/>
      <c r="B90" s="47" t="str">
        <f>DFIE!$B53</f>
        <v>Jura</v>
      </c>
      <c r="C90" s="43">
        <v>487031.9</v>
      </c>
      <c r="D90" s="43">
        <v>6104.2852000000003</v>
      </c>
      <c r="E90" s="22">
        <f t="shared" si="2"/>
        <v>493136.18520000001</v>
      </c>
      <c r="F90" s="59"/>
      <c r="H90" s="41"/>
      <c r="I90" s="41"/>
    </row>
    <row r="91" spans="1:9" x14ac:dyDescent="0.2">
      <c r="A91" s="359"/>
      <c r="B91" s="24" t="str">
        <f>DFIE!$B54</f>
        <v>Schweiz</v>
      </c>
      <c r="C91" s="31">
        <f>SUM(C65:C90)</f>
        <v>66985632.799999997</v>
      </c>
      <c r="D91" s="31">
        <f>SUM(D65:D90)</f>
        <v>11115684.8442</v>
      </c>
      <c r="E91" s="26">
        <f>SUM(E65:E90)</f>
        <v>78101317.644200012</v>
      </c>
      <c r="F91" s="60"/>
      <c r="H91" s="52"/>
      <c r="I91" s="52"/>
    </row>
  </sheetData>
  <mergeCells count="4">
    <mergeCell ref="A9:A35"/>
    <mergeCell ref="A37:A63"/>
    <mergeCell ref="A65:A91"/>
    <mergeCell ref="H7:I8"/>
  </mergeCells>
  <conditionalFormatting sqref="C9:D34">
    <cfRule type="expression" dxfId="37" priority="8" stopIfTrue="1">
      <formula>ISBLANK(C9)</formula>
    </cfRule>
  </conditionalFormatting>
  <conditionalFormatting sqref="C37:D37">
    <cfRule type="expression" dxfId="36" priority="7" stopIfTrue="1">
      <formula>ISBLANK(C37)</formula>
    </cfRule>
  </conditionalFormatting>
  <conditionalFormatting sqref="C65:D65">
    <cfRule type="expression" dxfId="35" priority="6" stopIfTrue="1">
      <formula>ISBLANK(C65)</formula>
    </cfRule>
  </conditionalFormatting>
  <conditionalFormatting sqref="I9:I11">
    <cfRule type="expression" dxfId="34" priority="5" stopIfTrue="1">
      <formula>ISBLANK(I9)</formula>
    </cfRule>
  </conditionalFormatting>
  <conditionalFormatting sqref="I37:I39">
    <cfRule type="expression" dxfId="33" priority="4" stopIfTrue="1">
      <formula>ISBLANK(I37)</formula>
    </cfRule>
  </conditionalFormatting>
  <conditionalFormatting sqref="I65:I67">
    <cfRule type="expression" dxfId="32" priority="3" stopIfTrue="1">
      <formula>ISBLANK(I65)</formula>
    </cfRule>
  </conditionalFormatting>
  <conditionalFormatting sqref="C38:D62">
    <cfRule type="expression" dxfId="31" priority="2" stopIfTrue="1">
      <formula>ISBLANK(C38)</formula>
    </cfRule>
  </conditionalFormatting>
  <conditionalFormatting sqref="C66:D90">
    <cfRule type="expression" dxfId="30" priority="1" stopIfTrue="1">
      <formula>ISBLANK(C66)</formula>
    </cfRule>
  </conditionalFormatting>
  <pageMargins left="0.78740157480314965" right="0.59055118110236227" top="0.98425196850393704" bottom="0.78740157480314965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showGridLines="0" zoomScaleNormal="100" workbookViewId="0">
      <pane ySplit="8" topLeftCell="A9" activePane="bottomLeft" state="frozen"/>
      <selection activeCell="A75" sqref="A75"/>
      <selection pane="bottomLeft" activeCell="A75" sqref="A75"/>
    </sheetView>
  </sheetViews>
  <sheetFormatPr baseColWidth="10" defaultRowHeight="12.75" x14ac:dyDescent="0.2"/>
  <cols>
    <col min="1" max="1" width="4.42578125" customWidth="1"/>
    <col min="2" max="2" width="17.140625" customWidth="1"/>
    <col min="3" max="5" width="15.7109375" customWidth="1"/>
    <col min="6" max="7" width="18.28515625" customWidth="1"/>
    <col min="8" max="8" width="13.5703125" customWidth="1"/>
    <col min="9" max="9" width="18.7109375" customWidth="1"/>
    <col min="10" max="10" width="1.5703125" customWidth="1"/>
  </cols>
  <sheetData>
    <row r="1" spans="1:10" ht="18" customHeight="1" x14ac:dyDescent="0.25">
      <c r="B1" s="6" t="str">
        <f>DFIE!B152</f>
        <v>Steuerrepartitionen 2022</v>
      </c>
    </row>
    <row r="3" spans="1:10" ht="0.75" customHeight="1" x14ac:dyDescent="0.2"/>
    <row r="4" spans="1:10" ht="0.75" customHeight="1" x14ac:dyDescent="0.2"/>
    <row r="5" spans="1:10" ht="12" customHeight="1" x14ac:dyDescent="0.2">
      <c r="A5" s="13"/>
      <c r="B5" s="34" t="str">
        <f>DFIE!B55</f>
        <v>Spalte</v>
      </c>
      <c r="C5" s="35" t="s">
        <v>30</v>
      </c>
      <c r="D5" s="35" t="s">
        <v>31</v>
      </c>
      <c r="E5" s="36" t="s">
        <v>32</v>
      </c>
      <c r="F5" s="35" t="s">
        <v>43</v>
      </c>
      <c r="G5" s="35" t="s">
        <v>42</v>
      </c>
      <c r="H5" s="35" t="s">
        <v>33</v>
      </c>
      <c r="I5" s="36" t="s">
        <v>34</v>
      </c>
      <c r="J5" s="13"/>
    </row>
    <row r="6" spans="1:10" ht="12" customHeight="1" x14ac:dyDescent="0.2">
      <c r="A6" s="13"/>
      <c r="B6" s="34" t="str">
        <f>DFIE!B56</f>
        <v>Formel</v>
      </c>
      <c r="C6" s="183"/>
      <c r="D6" s="183"/>
      <c r="E6" s="39" t="s">
        <v>88</v>
      </c>
      <c r="F6" s="183"/>
      <c r="G6" s="183"/>
      <c r="H6" s="183" t="s">
        <v>89</v>
      </c>
      <c r="I6" s="39" t="s">
        <v>90</v>
      </c>
      <c r="J6" s="13"/>
    </row>
    <row r="7" spans="1:10" ht="45" customHeight="1" x14ac:dyDescent="0.2">
      <c r="A7" s="52"/>
      <c r="B7" s="195"/>
      <c r="C7" s="180" t="str">
        <f>DFIE!B153</f>
        <v>Zu Gunsten
anderer
Kantone</v>
      </c>
      <c r="D7" s="180" t="str">
        <f>DFIE!B154</f>
        <v>Erhalten von
anderen
Kantonen</v>
      </c>
      <c r="E7" s="190" t="str">
        <f>DFIE!B155</f>
        <v>Saldo</v>
      </c>
      <c r="F7" s="180" t="str">
        <f>DFIE!B156</f>
        <v>Ablieferungen DBSt
an die ESTV</v>
      </c>
      <c r="G7" s="180" t="str">
        <f>DFIE!B157</f>
        <v>Massgebende Steuerbemessungs-grundlage DBSt</v>
      </c>
      <c r="H7" s="180" t="str">
        <f>DFIE!B158</f>
        <v>Gewichtungs-
faktor</v>
      </c>
      <c r="I7" s="190" t="str">
        <f>DFIE!B159</f>
        <v>Massgebende
Steuerrepartitionen</v>
      </c>
      <c r="J7" s="52"/>
    </row>
    <row r="8" spans="1:10" ht="12.75" customHeight="1" x14ac:dyDescent="0.2">
      <c r="B8" s="78" t="str">
        <f>DFIE!B58</f>
        <v>Einheit</v>
      </c>
      <c r="C8" s="40" t="str">
        <f>DFIE!$B$60</f>
        <v>CHF 1'000</v>
      </c>
      <c r="D8" s="40" t="str">
        <f>DFIE!$B$60</f>
        <v>CHF 1'000</v>
      </c>
      <c r="E8" s="42" t="str">
        <f>DFIE!$B$60</f>
        <v>CHF 1'000</v>
      </c>
      <c r="F8" s="40" t="str">
        <f>DFIE!$B$60</f>
        <v>CHF 1'000</v>
      </c>
      <c r="G8" s="40" t="str">
        <f>DFIE!$B$60</f>
        <v>CHF 1'000</v>
      </c>
      <c r="H8" s="40"/>
      <c r="I8" s="42" t="str">
        <f>DFIE!$B$60</f>
        <v>CHF 1'000</v>
      </c>
    </row>
    <row r="9" spans="1:10" x14ac:dyDescent="0.2">
      <c r="A9" s="357" t="str">
        <f>DFIE!B69</f>
        <v>Bemessungsjahr 2016</v>
      </c>
      <c r="B9" s="46" t="str">
        <f>DFIE!$B28</f>
        <v>Zürich</v>
      </c>
      <c r="C9" s="61">
        <v>30124.001</v>
      </c>
      <c r="D9" s="61">
        <v>22344.6558</v>
      </c>
      <c r="E9" s="18">
        <f t="shared" ref="E9:E34" si="0">D9-C9</f>
        <v>-7779.3451999999997</v>
      </c>
      <c r="F9" s="61">
        <v>4023476.5010000002</v>
      </c>
      <c r="G9" s="86">
        <f>IF(DFIE!$G$2=2008,"",NP!E9+QS!AA9+JP!E9)</f>
        <v>57822375.47037071</v>
      </c>
      <c r="H9" s="192">
        <f>IF(DFIE!$G$2=2008,"",G9/F9)</f>
        <v>14.371247217673437</v>
      </c>
      <c r="I9" s="18">
        <f>IF(DFIE!$G$2=2008,0,E9*H9)</f>
        <v>-111798.89306082121</v>
      </c>
      <c r="J9" s="54"/>
    </row>
    <row r="10" spans="1:10" x14ac:dyDescent="0.2">
      <c r="A10" s="357"/>
      <c r="B10" s="47" t="str">
        <f>DFIE!$B29</f>
        <v>Bern</v>
      </c>
      <c r="C10" s="43">
        <v>11663.958000000001</v>
      </c>
      <c r="D10" s="43">
        <v>8414.3295999999991</v>
      </c>
      <c r="E10" s="22">
        <f t="shared" si="0"/>
        <v>-3249.6284000000014</v>
      </c>
      <c r="F10" s="43">
        <v>1469682.34126506</v>
      </c>
      <c r="G10" s="95">
        <f>IF(DFIE!$G$2=2008,"",NP!E10+QS!AA10+JP!E10)</f>
        <v>26162577.600431852</v>
      </c>
      <c r="H10" s="193">
        <f>IF(DFIE!$G$2=2008,"",G10/F10)</f>
        <v>17.801518645118826</v>
      </c>
      <c r="I10" s="22">
        <f>IF(DFIE!$G$2=2008,0,E10*H10)</f>
        <v>-57848.320552307683</v>
      </c>
      <c r="J10" s="54"/>
    </row>
    <row r="11" spans="1:10" x14ac:dyDescent="0.2">
      <c r="A11" s="357"/>
      <c r="B11" s="46" t="str">
        <f>DFIE!$B30</f>
        <v>Luzern</v>
      </c>
      <c r="C11" s="61">
        <v>8571.7209999999995</v>
      </c>
      <c r="D11" s="61">
        <v>5285.0420999999997</v>
      </c>
      <c r="E11" s="18">
        <f t="shared" si="0"/>
        <v>-3286.6788999999999</v>
      </c>
      <c r="F11" s="61">
        <v>770033.65771084302</v>
      </c>
      <c r="G11" s="86">
        <f>IF(DFIE!$G$2=2008,"",NP!E11+QS!AA11+JP!E11)</f>
        <v>11627397.532216668</v>
      </c>
      <c r="H11" s="192">
        <f>IF(DFIE!$G$2=2008,"",G11/F11)</f>
        <v>15.099856241066929</v>
      </c>
      <c r="I11" s="18">
        <f>IF(DFIE!$G$2=2008,0,E11*H11)</f>
        <v>-49628.378900547985</v>
      </c>
      <c r="J11" s="54"/>
    </row>
    <row r="12" spans="1:10" x14ac:dyDescent="0.2">
      <c r="A12" s="357"/>
      <c r="B12" s="47" t="str">
        <f>DFIE!$B31</f>
        <v>Uri</v>
      </c>
      <c r="C12" s="43">
        <v>237.04560000000001</v>
      </c>
      <c r="D12" s="43">
        <v>815.29079999999999</v>
      </c>
      <c r="E12" s="22">
        <f t="shared" si="0"/>
        <v>578.24519999999995</v>
      </c>
      <c r="F12" s="43">
        <v>47896.269457831302</v>
      </c>
      <c r="G12" s="95">
        <f>IF(DFIE!$G$2=2008,"",NP!E12+QS!AA12+JP!E12)</f>
        <v>822509.12147244823</v>
      </c>
      <c r="H12" s="193">
        <f>IF(DFIE!$G$2=2008,"",G12/F12)</f>
        <v>17.172717850115642</v>
      </c>
      <c r="I12" s="22">
        <f>IF(DFIE!$G$2=2008,0,E12*H12)</f>
        <v>9930.0416677836893</v>
      </c>
      <c r="J12" s="54"/>
    </row>
    <row r="13" spans="1:10" x14ac:dyDescent="0.2">
      <c r="A13" s="357"/>
      <c r="B13" s="46" t="str">
        <f>DFIE!$B32</f>
        <v>Schwyz</v>
      </c>
      <c r="C13" s="61">
        <v>3059.7145</v>
      </c>
      <c r="D13" s="61">
        <v>3086.3006</v>
      </c>
      <c r="E13" s="18">
        <f t="shared" si="0"/>
        <v>26.586099999999988</v>
      </c>
      <c r="F13" s="61">
        <v>717253.82373494003</v>
      </c>
      <c r="G13" s="86">
        <f>IF(DFIE!$G$2=2008,"",NP!E13+QS!AA13+JP!E13)</f>
        <v>8929182.6014305912</v>
      </c>
      <c r="H13" s="192">
        <f>IF(DFIE!$G$2=2008,"",G13/F13)</f>
        <v>12.449125129697958</v>
      </c>
      <c r="I13" s="18">
        <f>IF(DFIE!$G$2=2008,0,E13*H13)</f>
        <v>330.9736856106627</v>
      </c>
      <c r="J13" s="54"/>
    </row>
    <row r="14" spans="1:10" x14ac:dyDescent="0.2">
      <c r="A14" s="357"/>
      <c r="B14" s="47" t="str">
        <f>DFIE!$B33</f>
        <v>Obwalden</v>
      </c>
      <c r="C14" s="43">
        <v>573.02260000000001</v>
      </c>
      <c r="D14" s="43">
        <v>698.13</v>
      </c>
      <c r="E14" s="22">
        <f t="shared" si="0"/>
        <v>125.10739999999998</v>
      </c>
      <c r="F14" s="43">
        <v>145653.63656626499</v>
      </c>
      <c r="G14" s="95">
        <f>IF(DFIE!$G$2=2008,"",NP!E14+QS!AA14+JP!E14)</f>
        <v>1144270.6149842213</v>
      </c>
      <c r="H14" s="193">
        <f>IF(DFIE!$G$2=2008,"",G14/F14)</f>
        <v>7.8561074200412184</v>
      </c>
      <c r="I14" s="22">
        <f>IF(DFIE!$G$2=2008,0,E14*H14)</f>
        <v>982.85717344206455</v>
      </c>
      <c r="J14" s="54"/>
    </row>
    <row r="15" spans="1:10" x14ac:dyDescent="0.2">
      <c r="A15" s="357"/>
      <c r="B15" s="46" t="str">
        <f>DFIE!$B34</f>
        <v>Nidwalden</v>
      </c>
      <c r="C15" s="61">
        <v>1585.146</v>
      </c>
      <c r="D15" s="61">
        <v>719.11109999999996</v>
      </c>
      <c r="E15" s="18">
        <f t="shared" si="0"/>
        <v>-866.03489999999999</v>
      </c>
      <c r="F15" s="61">
        <v>151327.92212048199</v>
      </c>
      <c r="G15" s="86">
        <f>IF(DFIE!$G$2=2008,"",NP!E15+QS!AA15+JP!E15)</f>
        <v>1852587.0892918489</v>
      </c>
      <c r="H15" s="192">
        <f>IF(DFIE!$G$2=2008,"",G15/F15)</f>
        <v>12.24220265059137</v>
      </c>
      <c r="I15" s="18">
        <f>IF(DFIE!$G$2=2008,0,E15*H15)</f>
        <v>-10602.174748284631</v>
      </c>
      <c r="J15" s="54"/>
    </row>
    <row r="16" spans="1:10" x14ac:dyDescent="0.2">
      <c r="A16" s="357"/>
      <c r="B16" s="47" t="str">
        <f>DFIE!$B35</f>
        <v>Glarus</v>
      </c>
      <c r="C16" s="43">
        <v>260.98099999999999</v>
      </c>
      <c r="D16" s="43">
        <v>822.52695000000006</v>
      </c>
      <c r="E16" s="22">
        <f t="shared" si="0"/>
        <v>561.54595000000006</v>
      </c>
      <c r="F16" s="43">
        <v>46068.429759036102</v>
      </c>
      <c r="G16" s="95">
        <f>IF(DFIE!$G$2=2008,"",NP!E16+QS!AA16+JP!E16)</f>
        <v>898773.44980918278</v>
      </c>
      <c r="H16" s="193">
        <f>IF(DFIE!$G$2=2008,"",G16/F16)</f>
        <v>19.509530811236139</v>
      </c>
      <c r="I16" s="22">
        <f>IF(DFIE!$G$2=2008,0,E16*H16)</f>
        <v>10955.498013449869</v>
      </c>
      <c r="J16" s="54"/>
    </row>
    <row r="17" spans="1:10" x14ac:dyDescent="0.2">
      <c r="A17" s="357"/>
      <c r="B17" s="46" t="str">
        <f>DFIE!$B36</f>
        <v>Zug</v>
      </c>
      <c r="C17" s="61">
        <v>4595.6693999999998</v>
      </c>
      <c r="D17" s="61">
        <v>3276.9829500000001</v>
      </c>
      <c r="E17" s="18">
        <f t="shared" si="0"/>
        <v>-1318.6864499999997</v>
      </c>
      <c r="F17" s="61">
        <v>1397141.4346747</v>
      </c>
      <c r="G17" s="86">
        <f>IF(DFIE!$G$2=2008,"",NP!E17+QS!AA17+JP!E17)</f>
        <v>9867633.1151564699</v>
      </c>
      <c r="H17" s="192">
        <f>IF(DFIE!$G$2=2008,"",G17/F17)</f>
        <v>7.0627302793106095</v>
      </c>
      <c r="I17" s="18">
        <f>IF(DFIE!$G$2=2008,0,E17*H17)</f>
        <v>-9313.526719331614</v>
      </c>
      <c r="J17" s="54"/>
    </row>
    <row r="18" spans="1:10" x14ac:dyDescent="0.2">
      <c r="A18" s="357"/>
      <c r="B18" s="47" t="str">
        <f>DFIE!$B37</f>
        <v>Freiburg</v>
      </c>
      <c r="C18" s="43">
        <v>12921.575000000001</v>
      </c>
      <c r="D18" s="43">
        <v>3657.2153499999999</v>
      </c>
      <c r="E18" s="22">
        <f t="shared" si="0"/>
        <v>-9264.3596500000003</v>
      </c>
      <c r="F18" s="43">
        <v>546218.08092771098</v>
      </c>
      <c r="G18" s="95">
        <f>IF(DFIE!$G$2=2008,"",NP!E18+QS!AA18+JP!E18)</f>
        <v>8032556.5470082257</v>
      </c>
      <c r="H18" s="193">
        <f>IF(DFIE!$G$2=2008,"",G18/F18)</f>
        <v>14.705768313940693</v>
      </c>
      <c r="I18" s="22">
        <f>IF(DFIE!$G$2=2008,0,E18*H18)</f>
        <v>-136239.52658992069</v>
      </c>
      <c r="J18" s="54"/>
    </row>
    <row r="19" spans="1:10" x14ac:dyDescent="0.2">
      <c r="A19" s="357"/>
      <c r="B19" s="46" t="str">
        <f>DFIE!$B38</f>
        <v>Solothurn</v>
      </c>
      <c r="C19" s="61">
        <v>2744.2846</v>
      </c>
      <c r="D19" s="61">
        <v>4327.0495499999997</v>
      </c>
      <c r="E19" s="18">
        <f t="shared" si="0"/>
        <v>1582.7649499999998</v>
      </c>
      <c r="F19" s="61">
        <v>323197.01250602398</v>
      </c>
      <c r="G19" s="86">
        <f>IF(DFIE!$G$2=2008,"",NP!E19+QS!AA19+JP!E19)</f>
        <v>6280154.9926696299</v>
      </c>
      <c r="H19" s="192">
        <f>IF(DFIE!$G$2=2008,"",G19/F19)</f>
        <v>19.431352239224598</v>
      </c>
      <c r="I19" s="18">
        <f>IF(DFIE!$G$2=2008,0,E19*H19)</f>
        <v>30755.263255348706</v>
      </c>
      <c r="J19" s="54"/>
    </row>
    <row r="20" spans="1:10" x14ac:dyDescent="0.2">
      <c r="A20" s="357"/>
      <c r="B20" s="47" t="str">
        <f>DFIE!$B39</f>
        <v>Basel-Stadt</v>
      </c>
      <c r="C20" s="43">
        <v>9636.7898999999998</v>
      </c>
      <c r="D20" s="43">
        <v>4789.6296000000002</v>
      </c>
      <c r="E20" s="22">
        <f t="shared" si="0"/>
        <v>-4847.1602999999996</v>
      </c>
      <c r="F20" s="43">
        <v>1578030.2333253</v>
      </c>
      <c r="G20" s="95">
        <f>IF(DFIE!$G$2=2008,"",NP!E20+QS!AA20+JP!E20)</f>
        <v>8775474.0775797348</v>
      </c>
      <c r="H20" s="193">
        <f>IF(DFIE!$G$2=2008,"",G20/F20)</f>
        <v>5.5610303860196897</v>
      </c>
      <c r="I20" s="22">
        <f>IF(DFIE!$G$2=2008,0,E20*H20)</f>
        <v>-26955.205714208314</v>
      </c>
      <c r="J20" s="54"/>
    </row>
    <row r="21" spans="1:10" x14ac:dyDescent="0.2">
      <c r="A21" s="357"/>
      <c r="B21" s="46" t="str">
        <f>DFIE!$B40</f>
        <v>Basel-Landschaft</v>
      </c>
      <c r="C21" s="61">
        <v>5254.8931000000002</v>
      </c>
      <c r="D21" s="61">
        <v>3122.4068000000002</v>
      </c>
      <c r="E21" s="18">
        <f t="shared" si="0"/>
        <v>-2132.4863</v>
      </c>
      <c r="F21" s="61">
        <v>725072.28915662703</v>
      </c>
      <c r="G21" s="86">
        <f>IF(DFIE!$G$2=2008,"",NP!E21+QS!AA21+JP!E21)</f>
        <v>9098225.0419522133</v>
      </c>
      <c r="H21" s="192">
        <f>IF(DFIE!$G$2=2008,"",G21/F21)</f>
        <v>12.548024766654478</v>
      </c>
      <c r="I21" s="18">
        <f>IF(DFIE!$G$2=2008,0,E21*H21)</f>
        <v>-26758.490906951374</v>
      </c>
      <c r="J21" s="54"/>
    </row>
    <row r="22" spans="1:10" x14ac:dyDescent="0.2">
      <c r="A22" s="357"/>
      <c r="B22" s="47" t="str">
        <f>DFIE!$B41</f>
        <v>Schaffhausen</v>
      </c>
      <c r="C22" s="43">
        <v>662.16395</v>
      </c>
      <c r="D22" s="43">
        <v>2029.9698000000001</v>
      </c>
      <c r="E22" s="22">
        <f t="shared" si="0"/>
        <v>1367.8058500000002</v>
      </c>
      <c r="F22" s="43">
        <v>314242.09734939801</v>
      </c>
      <c r="G22" s="95">
        <f>IF(DFIE!$G$2=2008,"",NP!E22+QS!AA22+JP!E22)</f>
        <v>2336213.043770276</v>
      </c>
      <c r="H22" s="193">
        <f>IF(DFIE!$G$2=2008,"",G22/F22)</f>
        <v>7.4344368990533392</v>
      </c>
      <c r="I22" s="22">
        <f>IF(DFIE!$G$2=2008,0,E22*H22)</f>
        <v>10168.866281981018</v>
      </c>
      <c r="J22" s="54"/>
    </row>
    <row r="23" spans="1:10" x14ac:dyDescent="0.2">
      <c r="A23" s="357"/>
      <c r="B23" s="46" t="str">
        <f>DFIE!$B42</f>
        <v>Appenzell A.Rh.</v>
      </c>
      <c r="C23" s="61">
        <v>910.3261</v>
      </c>
      <c r="D23" s="61">
        <v>720.73910000000001</v>
      </c>
      <c r="E23" s="18">
        <f t="shared" si="0"/>
        <v>-189.58699999999999</v>
      </c>
      <c r="F23" s="61">
        <v>90173.095253012099</v>
      </c>
      <c r="G23" s="86">
        <f>IF(DFIE!$G$2=2008,"",NP!E23+QS!AA23+JP!E23)</f>
        <v>1426215.2501190561</v>
      </c>
      <c r="H23" s="192">
        <f>IF(DFIE!$G$2=2008,"",G23/F23)</f>
        <v>15.816416705196946</v>
      </c>
      <c r="I23" s="18">
        <f>IF(DFIE!$G$2=2008,0,E23*H23)</f>
        <v>-2998.5869938881733</v>
      </c>
      <c r="J23" s="54"/>
    </row>
    <row r="24" spans="1:10" x14ac:dyDescent="0.2">
      <c r="A24" s="357"/>
      <c r="B24" s="47" t="str">
        <f>DFIE!$B43</f>
        <v>Appenzell I.Rh.</v>
      </c>
      <c r="C24" s="43">
        <v>141.60489999999999</v>
      </c>
      <c r="D24" s="43">
        <v>150.67185000000001</v>
      </c>
      <c r="E24" s="22">
        <f t="shared" si="0"/>
        <v>9.0669500000000198</v>
      </c>
      <c r="F24" s="43">
        <v>27061.575060241001</v>
      </c>
      <c r="G24" s="95">
        <f>IF(DFIE!$G$2=2008,"",NP!E24+QS!AA24+JP!E24)</f>
        <v>442116.69836443308</v>
      </c>
      <c r="H24" s="193">
        <f>IF(DFIE!$G$2=2008,"",G24/F24)</f>
        <v>16.337434069534005</v>
      </c>
      <c r="I24" s="22">
        <f>IF(DFIE!$G$2=2008,0,E24*H24)</f>
        <v>148.13069783676167</v>
      </c>
      <c r="J24" s="54"/>
    </row>
    <row r="25" spans="1:10" x14ac:dyDescent="0.2">
      <c r="A25" s="357"/>
      <c r="B25" s="46" t="str">
        <f>DFIE!$B44</f>
        <v>St. Gallen</v>
      </c>
      <c r="C25" s="61">
        <v>6826.8789999999999</v>
      </c>
      <c r="D25" s="61">
        <v>6044.6219000000001</v>
      </c>
      <c r="E25" s="18">
        <f t="shared" si="0"/>
        <v>-782.25709999999981</v>
      </c>
      <c r="F25" s="61">
        <v>715179.59931325295</v>
      </c>
      <c r="G25" s="86">
        <f>IF(DFIE!$G$2=2008,"",NP!E25+QS!AA25+JP!E25)</f>
        <v>12711263.719937289</v>
      </c>
      <c r="H25" s="192">
        <f>IF(DFIE!$G$2=2008,"",G25/F25)</f>
        <v>17.773526722718611</v>
      </c>
      <c r="I25" s="18">
        <f>IF(DFIE!$G$2=2008,0,E25*H25)</f>
        <v>-13903.46747088636</v>
      </c>
      <c r="J25" s="54"/>
    </row>
    <row r="26" spans="1:10" x14ac:dyDescent="0.2">
      <c r="A26" s="357"/>
      <c r="B26" s="47" t="str">
        <f>DFIE!$B45</f>
        <v>Graubünden</v>
      </c>
      <c r="C26" s="43">
        <v>753.98400000000004</v>
      </c>
      <c r="D26" s="43">
        <v>6045.7546000000002</v>
      </c>
      <c r="E26" s="22">
        <f t="shared" si="0"/>
        <v>5291.7705999999998</v>
      </c>
      <c r="F26" s="43">
        <v>297476.39302409597</v>
      </c>
      <c r="G26" s="95">
        <f>IF(DFIE!$G$2=2008,"",NP!E26+QS!AA26+JP!E26)</f>
        <v>4939289.5235799728</v>
      </c>
      <c r="H26" s="193">
        <f>IF(DFIE!$G$2=2008,"",G26/F26)</f>
        <v>16.603971405488583</v>
      </c>
      <c r="I26" s="22">
        <f>IF(DFIE!$G$2=2008,0,E26*H26)</f>
        <v>87864.407726805162</v>
      </c>
      <c r="J26" s="54"/>
    </row>
    <row r="27" spans="1:10" x14ac:dyDescent="0.2">
      <c r="A27" s="357"/>
      <c r="B27" s="46" t="str">
        <f>DFIE!$B46</f>
        <v>Aargau</v>
      </c>
      <c r="C27" s="61">
        <v>9800.5665499999996</v>
      </c>
      <c r="D27" s="61">
        <v>9304.7945</v>
      </c>
      <c r="E27" s="18">
        <f t="shared" si="0"/>
        <v>-495.77204999999958</v>
      </c>
      <c r="F27" s="61">
        <v>894464.43596385501</v>
      </c>
      <c r="G27" s="86">
        <f>IF(DFIE!$G$2=2008,"",NP!E27+QS!AA27+JP!E27)</f>
        <v>17203668.076399967</v>
      </c>
      <c r="H27" s="192">
        <f>IF(DFIE!$G$2=2008,"",G27/F27)</f>
        <v>19.233484736440836</v>
      </c>
      <c r="I27" s="18">
        <f>IF(DFIE!$G$2=2008,0,E27*H27)</f>
        <v>-9535.424156428975</v>
      </c>
      <c r="J27" s="54"/>
    </row>
    <row r="28" spans="1:10" x14ac:dyDescent="0.2">
      <c r="A28" s="357"/>
      <c r="B28" s="47" t="str">
        <f>DFIE!$B47</f>
        <v>Thurgau</v>
      </c>
      <c r="C28" s="43">
        <v>1933.3</v>
      </c>
      <c r="D28" s="43">
        <v>2821.38555</v>
      </c>
      <c r="E28" s="22">
        <f t="shared" si="0"/>
        <v>888.08555000000001</v>
      </c>
      <c r="F28" s="43">
        <v>344969.42078313301</v>
      </c>
      <c r="G28" s="95">
        <f>IF(DFIE!$G$2=2008,"",NP!E28+QS!AA28+JP!E28)</f>
        <v>6612979.1365633877</v>
      </c>
      <c r="H28" s="193">
        <f>IF(DFIE!$G$2=2008,"",G28/F28)</f>
        <v>19.169754587380297</v>
      </c>
      <c r="I28" s="22">
        <f>IF(DFIE!$G$2=2008,0,E28*H28)</f>
        <v>17024.382046098654</v>
      </c>
      <c r="J28" s="54"/>
    </row>
    <row r="29" spans="1:10" x14ac:dyDescent="0.2">
      <c r="A29" s="357"/>
      <c r="B29" s="46" t="str">
        <f>DFIE!$B48</f>
        <v>Tessin</v>
      </c>
      <c r="C29" s="61">
        <v>1191.5943500000001</v>
      </c>
      <c r="D29" s="61">
        <v>5685.18325</v>
      </c>
      <c r="E29" s="18">
        <f t="shared" si="0"/>
        <v>4493.5888999999997</v>
      </c>
      <c r="F29" s="61">
        <v>701961.26589156606</v>
      </c>
      <c r="G29" s="86">
        <f>IF(DFIE!$G$2=2008,"",NP!E29+QS!AA29+JP!E29)</f>
        <v>10959362.115405876</v>
      </c>
      <c r="H29" s="192">
        <f>IF(DFIE!$G$2=2008,"",G29/F29)</f>
        <v>15.612488392057234</v>
      </c>
      <c r="I29" s="18">
        <f>IF(DFIE!$G$2=2008,0,E29*H29)</f>
        <v>70156.104539927226</v>
      </c>
      <c r="J29" s="54"/>
    </row>
    <row r="30" spans="1:10" x14ac:dyDescent="0.2">
      <c r="A30" s="357"/>
      <c r="B30" s="47" t="str">
        <f>DFIE!$B49</f>
        <v>Waadt</v>
      </c>
      <c r="C30" s="43">
        <v>18758.43</v>
      </c>
      <c r="D30" s="43">
        <v>11332.11355</v>
      </c>
      <c r="E30" s="22">
        <f t="shared" si="0"/>
        <v>-7426.3164500000003</v>
      </c>
      <c r="F30" s="43">
        <v>2745198.92139157</v>
      </c>
      <c r="G30" s="95">
        <f>IF(DFIE!$G$2=2008,"",NP!E30+QS!AA30+JP!E30)</f>
        <v>25337706.194767237</v>
      </c>
      <c r="H30" s="193">
        <f>IF(DFIE!$G$2=2008,"",G30/F30)</f>
        <v>9.2298252040414219</v>
      </c>
      <c r="I30" s="22">
        <f>IF(DFIE!$G$2=2008,0,E30*H30)</f>
        <v>-68543.602743397423</v>
      </c>
      <c r="J30" s="54"/>
    </row>
    <row r="31" spans="1:10" x14ac:dyDescent="0.2">
      <c r="A31" s="357"/>
      <c r="B31" s="46" t="str">
        <f>DFIE!$B50</f>
        <v>Wallis</v>
      </c>
      <c r="C31" s="61">
        <v>1904.4767999999999</v>
      </c>
      <c r="D31" s="61">
        <v>5711.0987999999998</v>
      </c>
      <c r="E31" s="18">
        <f t="shared" si="0"/>
        <v>3806.6219999999998</v>
      </c>
      <c r="F31" s="61">
        <v>317755.01168674702</v>
      </c>
      <c r="G31" s="86">
        <f>IF(DFIE!$G$2=2008,"",NP!E31+QS!AA31+JP!E31)</f>
        <v>7097788.4507169584</v>
      </c>
      <c r="H31" s="192">
        <f>IF(DFIE!$G$2=2008,"",G31/F31)</f>
        <v>22.337298200395288</v>
      </c>
      <c r="I31" s="18">
        <f>IF(DFIE!$G$2=2008,0,E31*H31)</f>
        <v>85029.650750185116</v>
      </c>
      <c r="J31" s="54"/>
    </row>
    <row r="32" spans="1:10" x14ac:dyDescent="0.2">
      <c r="A32" s="357"/>
      <c r="B32" s="47" t="str">
        <f>DFIE!$B51</f>
        <v>Neuenburg</v>
      </c>
      <c r="C32" s="43">
        <v>1226.1913</v>
      </c>
      <c r="D32" s="43">
        <v>9240.3533499999994</v>
      </c>
      <c r="E32" s="22">
        <f t="shared" si="0"/>
        <v>8014.162049999999</v>
      </c>
      <c r="F32" s="43">
        <v>376767.93020481901</v>
      </c>
      <c r="G32" s="95">
        <f>IF(DFIE!$G$2=2008,"",NP!E32+QS!AA32+JP!E32)</f>
        <v>4745695.0476026209</v>
      </c>
      <c r="H32" s="193">
        <f>IF(DFIE!$G$2=2008,"",G32/F32)</f>
        <v>12.595804120119142</v>
      </c>
      <c r="I32" s="22">
        <f>IF(DFIE!$G$2=2008,0,E32*H32)</f>
        <v>100944.81536869246</v>
      </c>
      <c r="J32" s="54"/>
    </row>
    <row r="33" spans="1:10" x14ac:dyDescent="0.2">
      <c r="A33" s="357"/>
      <c r="B33" s="46" t="str">
        <f>DFIE!$B52</f>
        <v>Genf</v>
      </c>
      <c r="C33" s="61">
        <v>4132.69085</v>
      </c>
      <c r="D33" s="61">
        <v>17397.149399999998</v>
      </c>
      <c r="E33" s="18">
        <f t="shared" si="0"/>
        <v>13264.458549999999</v>
      </c>
      <c r="F33" s="61">
        <v>2428743.9630120499</v>
      </c>
      <c r="G33" s="86">
        <f>IF(DFIE!$G$2=2008,"",NP!E33+QS!AA33+JP!E33)</f>
        <v>21604965.847228855</v>
      </c>
      <c r="H33" s="192">
        <f>IF(DFIE!$G$2=2008,"",G33/F33)</f>
        <v>8.8955304372368147</v>
      </c>
      <c r="I33" s="18">
        <f>IF(DFIE!$G$2=2008,0,E33*H33)</f>
        <v>117994.3947649911</v>
      </c>
      <c r="J33" s="54"/>
    </row>
    <row r="34" spans="1:10" x14ac:dyDescent="0.2">
      <c r="A34" s="357"/>
      <c r="B34" s="47" t="str">
        <f>DFIE!$B53</f>
        <v>Jura</v>
      </c>
      <c r="C34" s="43">
        <v>485.87099999999998</v>
      </c>
      <c r="D34" s="43">
        <v>2114.37365</v>
      </c>
      <c r="E34" s="22">
        <f t="shared" si="0"/>
        <v>1628.5026499999999</v>
      </c>
      <c r="F34" s="43">
        <v>94140.662530120506</v>
      </c>
      <c r="G34" s="95">
        <f>IF(DFIE!$G$2=2008,"",NP!E34+QS!AA34+JP!E34)</f>
        <v>1514284.5046417241</v>
      </c>
      <c r="H34" s="193">
        <f>IF(DFIE!$G$2=2008,"",G34/F34)</f>
        <v>16.085339362862733</v>
      </c>
      <c r="I34" s="22">
        <f>IF(DFIE!$G$2=2008,0,E34*H34)</f>
        <v>26195.017778571269</v>
      </c>
      <c r="J34" s="54"/>
    </row>
    <row r="35" spans="1:10" x14ac:dyDescent="0.2">
      <c r="A35" s="357"/>
      <c r="B35" s="24" t="str">
        <f>DFIE!$B54</f>
        <v>Schweiz</v>
      </c>
      <c r="C35" s="31">
        <f>SUM(C9:C34)</f>
        <v>139956.88050000006</v>
      </c>
      <c r="D35" s="31">
        <f>SUM(D9:D34)</f>
        <v>139956.8805</v>
      </c>
      <c r="E35" s="26">
        <f>ROUND(SUM(E9:E34),5)</f>
        <v>0</v>
      </c>
      <c r="F35" s="31">
        <f>SUM(F9:F34)</f>
        <v>21289186.003668677</v>
      </c>
      <c r="G35" s="31">
        <f>SUM(G9:G34)</f>
        <v>268245264.86347151</v>
      </c>
      <c r="H35" s="191">
        <f>IF(DFIE!$G$2=2008,"",G35/F35)</f>
        <v>12.600071454927676</v>
      </c>
      <c r="I35" s="26">
        <f>SUM(I9:I34)</f>
        <v>44354.805193749286</v>
      </c>
      <c r="J35" s="56"/>
    </row>
    <row r="36" spans="1:10" ht="15" customHeight="1" x14ac:dyDescent="0.25">
      <c r="A36" s="32"/>
      <c r="B36" s="82"/>
      <c r="C36" s="177"/>
      <c r="D36" s="177"/>
      <c r="E36" s="177"/>
      <c r="F36" s="177"/>
      <c r="G36" s="177"/>
      <c r="H36" s="82"/>
      <c r="I36" s="177"/>
    </row>
    <row r="37" spans="1:10" x14ac:dyDescent="0.2">
      <c r="A37" s="358" t="str">
        <f>DFIE!B70</f>
        <v>Bemessungsjahr 2017</v>
      </c>
      <c r="B37" s="48" t="str">
        <f>DFIE!$B28</f>
        <v>Zürich</v>
      </c>
      <c r="C37" s="49">
        <v>31002.18</v>
      </c>
      <c r="D37" s="49">
        <v>27930.534250000001</v>
      </c>
      <c r="E37" s="50">
        <f t="shared" ref="E37:E62" si="1">D37-C37</f>
        <v>-3071.6457499999997</v>
      </c>
      <c r="F37" s="49">
        <v>4426535.6891084304</v>
      </c>
      <c r="G37" s="96">
        <f>NP!E37+QS!AA37+JP!E37</f>
        <v>61455194.770375296</v>
      </c>
      <c r="H37" s="194">
        <f t="shared" ref="H37:H63" si="2">G37/F37</f>
        <v>13.883361410953242</v>
      </c>
      <c r="I37" s="50">
        <f t="shared" ref="I37:I62" si="3">E37*H37</f>
        <v>-42644.768073668522</v>
      </c>
      <c r="J37" s="57"/>
    </row>
    <row r="38" spans="1:10" x14ac:dyDescent="0.2">
      <c r="A38" s="358"/>
      <c r="B38" s="47" t="str">
        <f>DFIE!$B29</f>
        <v>Bern</v>
      </c>
      <c r="C38" s="43">
        <v>39035.517999999996</v>
      </c>
      <c r="D38" s="43">
        <v>10748.193499999999</v>
      </c>
      <c r="E38" s="22">
        <f t="shared" si="1"/>
        <v>-28287.324499999995</v>
      </c>
      <c r="F38" s="43">
        <v>1459362.36885542</v>
      </c>
      <c r="G38" s="95">
        <f>NP!E38+QS!AA38+JP!E38</f>
        <v>28697370.248536024</v>
      </c>
      <c r="H38" s="193">
        <f t="shared" si="2"/>
        <v>19.664321117888914</v>
      </c>
      <c r="I38" s="22">
        <f t="shared" si="3"/>
        <v>-556251.03253392642</v>
      </c>
      <c r="J38" s="57"/>
    </row>
    <row r="39" spans="1:10" x14ac:dyDescent="0.2">
      <c r="A39" s="358"/>
      <c r="B39" s="46" t="str">
        <f>DFIE!$B30</f>
        <v>Luzern</v>
      </c>
      <c r="C39" s="61">
        <v>9923.8927000000003</v>
      </c>
      <c r="D39" s="61">
        <v>6295.9438499999997</v>
      </c>
      <c r="E39" s="18">
        <f t="shared" si="1"/>
        <v>-3627.9488500000007</v>
      </c>
      <c r="F39" s="61">
        <v>740034.10783132503</v>
      </c>
      <c r="G39" s="86">
        <f>NP!E39+QS!AA39+JP!E39</f>
        <v>12145950.307029415</v>
      </c>
      <c r="H39" s="192">
        <f t="shared" si="2"/>
        <v>16.412689872664391</v>
      </c>
      <c r="I39" s="18">
        <f t="shared" si="3"/>
        <v>-59544.399348939434</v>
      </c>
      <c r="J39" s="57"/>
    </row>
    <row r="40" spans="1:10" x14ac:dyDescent="0.2">
      <c r="A40" s="358"/>
      <c r="B40" s="47" t="str">
        <f>DFIE!$B31</f>
        <v>Uri</v>
      </c>
      <c r="C40" s="43">
        <v>303.73309999999998</v>
      </c>
      <c r="D40" s="43">
        <v>458.60334999999998</v>
      </c>
      <c r="E40" s="22">
        <f t="shared" si="1"/>
        <v>154.87025</v>
      </c>
      <c r="F40" s="43">
        <v>39682.887469879497</v>
      </c>
      <c r="G40" s="95">
        <f>NP!E40+QS!AA40+JP!E40</f>
        <v>833472.55113561219</v>
      </c>
      <c r="H40" s="193">
        <f t="shared" si="2"/>
        <v>21.003324210423017</v>
      </c>
      <c r="I40" s="22">
        <f t="shared" si="3"/>
        <v>3252.790071299265</v>
      </c>
      <c r="J40" s="57"/>
    </row>
    <row r="41" spans="1:10" x14ac:dyDescent="0.2">
      <c r="A41" s="358"/>
      <c r="B41" s="46" t="str">
        <f>DFIE!$B32</f>
        <v>Schwyz</v>
      </c>
      <c r="C41" s="61">
        <v>3451.4420500000001</v>
      </c>
      <c r="D41" s="61">
        <v>2354.2909</v>
      </c>
      <c r="E41" s="18">
        <f t="shared" si="1"/>
        <v>-1097.1511500000001</v>
      </c>
      <c r="F41" s="61">
        <v>672499.02542168705</v>
      </c>
      <c r="G41" s="86">
        <f>NP!E41+QS!AA41+JP!E41</f>
        <v>7915553.34389978</v>
      </c>
      <c r="H41" s="192">
        <f t="shared" si="2"/>
        <v>11.770356602281131</v>
      </c>
      <c r="I41" s="18">
        <f t="shared" si="3"/>
        <v>-12913.860282102838</v>
      </c>
      <c r="J41" s="57"/>
    </row>
    <row r="42" spans="1:10" x14ac:dyDescent="0.2">
      <c r="A42" s="358"/>
      <c r="B42" s="47" t="str">
        <f>DFIE!$B33</f>
        <v>Obwalden</v>
      </c>
      <c r="C42" s="43">
        <v>718.96050000000002</v>
      </c>
      <c r="D42" s="43">
        <v>714.84389999999996</v>
      </c>
      <c r="E42" s="22">
        <f t="shared" si="1"/>
        <v>-4.1166000000000622</v>
      </c>
      <c r="F42" s="43">
        <v>77301.891144578301</v>
      </c>
      <c r="G42" s="95">
        <f>NP!E42+QS!AA42+JP!E42</f>
        <v>1231530.9330269597</v>
      </c>
      <c r="H42" s="193">
        <f t="shared" si="2"/>
        <v>15.931446369450628</v>
      </c>
      <c r="I42" s="22">
        <f t="shared" si="3"/>
        <v>-65.583392124481449</v>
      </c>
      <c r="J42" s="57"/>
    </row>
    <row r="43" spans="1:10" x14ac:dyDescent="0.2">
      <c r="A43" s="358"/>
      <c r="B43" s="46" t="str">
        <f>DFIE!$B34</f>
        <v>Nidwalden</v>
      </c>
      <c r="C43" s="61">
        <v>80.599999999999994</v>
      </c>
      <c r="D43" s="61">
        <v>907.67894999999999</v>
      </c>
      <c r="E43" s="18">
        <f t="shared" si="1"/>
        <v>827.07894999999996</v>
      </c>
      <c r="F43" s="61">
        <v>147916.65274698799</v>
      </c>
      <c r="G43" s="86">
        <f>NP!E43+QS!AA43+JP!E43</f>
        <v>1918535.4787916574</v>
      </c>
      <c r="H43" s="192">
        <f t="shared" si="2"/>
        <v>12.970381922266181</v>
      </c>
      <c r="I43" s="18">
        <f t="shared" si="3"/>
        <v>10727.529861366895</v>
      </c>
      <c r="J43" s="57"/>
    </row>
    <row r="44" spans="1:10" x14ac:dyDescent="0.2">
      <c r="A44" s="358"/>
      <c r="B44" s="47" t="str">
        <f>DFIE!$B35</f>
        <v>Glarus</v>
      </c>
      <c r="C44" s="43">
        <v>214.05699999999999</v>
      </c>
      <c r="D44" s="43">
        <v>713.30494999999996</v>
      </c>
      <c r="E44" s="22">
        <f t="shared" si="1"/>
        <v>499.24794999999995</v>
      </c>
      <c r="F44" s="43">
        <v>58219.945963855404</v>
      </c>
      <c r="G44" s="95">
        <f>NP!E44+QS!AA44+JP!E44</f>
        <v>966092.31032142055</v>
      </c>
      <c r="H44" s="193">
        <f t="shared" si="2"/>
        <v>16.593837289392162</v>
      </c>
      <c r="I44" s="22">
        <f t="shared" si="3"/>
        <v>8284.4392493625928</v>
      </c>
      <c r="J44" s="57"/>
    </row>
    <row r="45" spans="1:10" x14ac:dyDescent="0.2">
      <c r="A45" s="358"/>
      <c r="B45" s="46" t="str">
        <f>DFIE!$B36</f>
        <v>Zug</v>
      </c>
      <c r="C45" s="61">
        <v>2251.4614499999998</v>
      </c>
      <c r="D45" s="61">
        <v>2884.8517000000002</v>
      </c>
      <c r="E45" s="18">
        <f t="shared" si="1"/>
        <v>633.39025000000038</v>
      </c>
      <c r="F45" s="61">
        <v>1569111.08285542</v>
      </c>
      <c r="G45" s="86">
        <f>NP!E45+QS!AA45+JP!E45</f>
        <v>10555162.476917449</v>
      </c>
      <c r="H45" s="192">
        <f t="shared" si="2"/>
        <v>6.7268420905609121</v>
      </c>
      <c r="I45" s="18">
        <f t="shared" si="3"/>
        <v>4260.7161934509013</v>
      </c>
      <c r="J45" s="57"/>
    </row>
    <row r="46" spans="1:10" x14ac:dyDescent="0.2">
      <c r="A46" s="358"/>
      <c r="B46" s="47" t="str">
        <f>DFIE!$B37</f>
        <v>Freiburg</v>
      </c>
      <c r="C46" s="43">
        <v>12849.94075</v>
      </c>
      <c r="D46" s="43">
        <v>3511.1396</v>
      </c>
      <c r="E46" s="22">
        <f t="shared" si="1"/>
        <v>-9338.8011499999993</v>
      </c>
      <c r="F46" s="43">
        <v>371922.88274698798</v>
      </c>
      <c r="G46" s="95">
        <f>NP!E46+QS!AA46+JP!E46</f>
        <v>7697124.0708602648</v>
      </c>
      <c r="H46" s="193">
        <f t="shared" si="2"/>
        <v>20.6954840046679</v>
      </c>
      <c r="I46" s="22">
        <f t="shared" si="3"/>
        <v>-193271.00982259918</v>
      </c>
      <c r="J46" s="57"/>
    </row>
    <row r="47" spans="1:10" x14ac:dyDescent="0.2">
      <c r="A47" s="358"/>
      <c r="B47" s="46" t="str">
        <f>DFIE!$B38</f>
        <v>Solothurn</v>
      </c>
      <c r="C47" s="61">
        <v>3458.0749000000001</v>
      </c>
      <c r="D47" s="61">
        <v>5588.8130000000001</v>
      </c>
      <c r="E47" s="18">
        <f t="shared" si="1"/>
        <v>2130.7381</v>
      </c>
      <c r="F47" s="61">
        <v>338742.03213253</v>
      </c>
      <c r="G47" s="86">
        <f>NP!E47+QS!AA47+JP!E47</f>
        <v>6490887.1347393813</v>
      </c>
      <c r="H47" s="192">
        <f t="shared" si="2"/>
        <v>19.161741145249657</v>
      </c>
      <c r="I47" s="18">
        <f t="shared" si="3"/>
        <v>40828.651920521079</v>
      </c>
      <c r="J47" s="57"/>
    </row>
    <row r="48" spans="1:10" x14ac:dyDescent="0.2">
      <c r="A48" s="358"/>
      <c r="B48" s="47" t="str">
        <f>DFIE!$B39</f>
        <v>Basel-Stadt</v>
      </c>
      <c r="C48" s="43">
        <v>16886.403600000001</v>
      </c>
      <c r="D48" s="43">
        <v>5746.049</v>
      </c>
      <c r="E48" s="22">
        <f t="shared" si="1"/>
        <v>-11140.354600000002</v>
      </c>
      <c r="F48" s="43">
        <v>847014.64669879503</v>
      </c>
      <c r="G48" s="95">
        <f>NP!E48+QS!AA48+JP!E48</f>
        <v>9417129.0785353463</v>
      </c>
      <c r="H48" s="193">
        <f t="shared" si="2"/>
        <v>11.118023891603555</v>
      </c>
      <c r="I48" s="22">
        <f t="shared" si="3"/>
        <v>-123858.72860373558</v>
      </c>
      <c r="J48" s="57"/>
    </row>
    <row r="49" spans="1:10" x14ac:dyDescent="0.2">
      <c r="A49" s="358"/>
      <c r="B49" s="46" t="str">
        <f>DFIE!$B40</f>
        <v>Basel-Landschaft</v>
      </c>
      <c r="C49" s="61">
        <v>4565.2110000000002</v>
      </c>
      <c r="D49" s="61">
        <v>4709.6766500000003</v>
      </c>
      <c r="E49" s="18">
        <f t="shared" si="1"/>
        <v>144.4656500000001</v>
      </c>
      <c r="F49" s="61">
        <v>652267.02915662702</v>
      </c>
      <c r="G49" s="86">
        <f>NP!E49+QS!AA49+JP!E49</f>
        <v>9576275.9938338473</v>
      </c>
      <c r="H49" s="192">
        <f t="shared" si="2"/>
        <v>14.681526990894895</v>
      </c>
      <c r="I49" s="18">
        <f t="shared" si="3"/>
        <v>2120.9763397321763</v>
      </c>
      <c r="J49" s="57"/>
    </row>
    <row r="50" spans="1:10" x14ac:dyDescent="0.2">
      <c r="A50" s="358"/>
      <c r="B50" s="47" t="str">
        <f>DFIE!$B41</f>
        <v>Schaffhausen</v>
      </c>
      <c r="C50" s="43">
        <v>901.43875000000003</v>
      </c>
      <c r="D50" s="43">
        <v>3735.3928500000002</v>
      </c>
      <c r="E50" s="22">
        <f t="shared" si="1"/>
        <v>2833.9540999999999</v>
      </c>
      <c r="F50" s="43">
        <v>481286.65221686702</v>
      </c>
      <c r="G50" s="95">
        <f>NP!E50+QS!AA50+JP!E50</f>
        <v>2705189.0375801702</v>
      </c>
      <c r="H50" s="193">
        <f t="shared" si="2"/>
        <v>5.6207439477486618</v>
      </c>
      <c r="I50" s="22">
        <f t="shared" si="3"/>
        <v>15928.930355772505</v>
      </c>
      <c r="J50" s="57"/>
    </row>
    <row r="51" spans="1:10" x14ac:dyDescent="0.2">
      <c r="A51" s="358"/>
      <c r="B51" s="46" t="str">
        <f>DFIE!$B42</f>
        <v>Appenzell A.Rh.</v>
      </c>
      <c r="C51" s="61">
        <v>1198.30315</v>
      </c>
      <c r="D51" s="61">
        <v>909.12654999999995</v>
      </c>
      <c r="E51" s="18">
        <f t="shared" si="1"/>
        <v>-289.17660000000001</v>
      </c>
      <c r="F51" s="61">
        <v>92022.564277108395</v>
      </c>
      <c r="G51" s="86">
        <f>NP!E51+QS!AA51+JP!E51</f>
        <v>1480017.0277368058</v>
      </c>
      <c r="H51" s="192">
        <f t="shared" si="2"/>
        <v>16.083196978515151</v>
      </c>
      <c r="I51" s="18">
        <f t="shared" si="3"/>
        <v>-4650.8842193772844</v>
      </c>
      <c r="J51" s="57"/>
    </row>
    <row r="52" spans="1:10" x14ac:dyDescent="0.2">
      <c r="A52" s="358"/>
      <c r="B52" s="47" t="str">
        <f>DFIE!$B43</f>
        <v>Appenzell I.Rh.</v>
      </c>
      <c r="C52" s="43">
        <v>34.203249999999997</v>
      </c>
      <c r="D52" s="43">
        <v>143.02985000000001</v>
      </c>
      <c r="E52" s="22">
        <f t="shared" si="1"/>
        <v>108.82660000000001</v>
      </c>
      <c r="F52" s="43">
        <v>29390.383734939802</v>
      </c>
      <c r="G52" s="95">
        <f>NP!E52+QS!AA52+JP!E52</f>
        <v>478823.43040525535</v>
      </c>
      <c r="H52" s="193">
        <f t="shared" si="2"/>
        <v>16.291840035964611</v>
      </c>
      <c r="I52" s="22">
        <f t="shared" si="3"/>
        <v>1772.9855588579067</v>
      </c>
      <c r="J52" s="57"/>
    </row>
    <row r="53" spans="1:10" x14ac:dyDescent="0.2">
      <c r="A53" s="358"/>
      <c r="B53" s="46" t="str">
        <f>DFIE!$B44</f>
        <v>St. Gallen</v>
      </c>
      <c r="C53" s="61">
        <v>7457.35</v>
      </c>
      <c r="D53" s="61">
        <v>7730.7020499999999</v>
      </c>
      <c r="E53" s="18">
        <f t="shared" si="1"/>
        <v>273.35204999999951</v>
      </c>
      <c r="F53" s="61">
        <v>798638.13497590402</v>
      </c>
      <c r="G53" s="86">
        <f>NP!E53+QS!AA53+JP!E53</f>
        <v>13638388.289699309</v>
      </c>
      <c r="H53" s="192">
        <f t="shared" si="2"/>
        <v>17.077056169013012</v>
      </c>
      <c r="I53" s="18">
        <f t="shared" si="3"/>
        <v>4668.0483117648446</v>
      </c>
      <c r="J53" s="57"/>
    </row>
    <row r="54" spans="1:10" x14ac:dyDescent="0.2">
      <c r="A54" s="358"/>
      <c r="B54" s="47" t="str">
        <f>DFIE!$B45</f>
        <v>Graubünden</v>
      </c>
      <c r="C54" s="43">
        <v>765.45100000000002</v>
      </c>
      <c r="D54" s="43">
        <v>6910.0419499999998</v>
      </c>
      <c r="E54" s="22">
        <f t="shared" si="1"/>
        <v>6144.5909499999998</v>
      </c>
      <c r="F54" s="43">
        <v>274983.83855421701</v>
      </c>
      <c r="G54" s="95">
        <f>NP!E54+QS!AA54+JP!E54</f>
        <v>5084188.8748581428</v>
      </c>
      <c r="H54" s="193">
        <f t="shared" si="2"/>
        <v>18.489046125726119</v>
      </c>
      <c r="I54" s="22">
        <f t="shared" si="3"/>
        <v>113607.62549826928</v>
      </c>
      <c r="J54" s="57"/>
    </row>
    <row r="55" spans="1:10" x14ac:dyDescent="0.2">
      <c r="A55" s="358"/>
      <c r="B55" s="46" t="str">
        <f>DFIE!$B46</f>
        <v>Aargau</v>
      </c>
      <c r="C55" s="61">
        <v>11679.809300000001</v>
      </c>
      <c r="D55" s="61">
        <v>17119.13535</v>
      </c>
      <c r="E55" s="18">
        <f t="shared" si="1"/>
        <v>5439.3260499999997</v>
      </c>
      <c r="F55" s="61">
        <v>946603.14914457803</v>
      </c>
      <c r="G55" s="86">
        <f>NP!E55+QS!AA55+JP!E55</f>
        <v>17770789.812081024</v>
      </c>
      <c r="H55" s="192">
        <f t="shared" si="2"/>
        <v>18.773220676626789</v>
      </c>
      <c r="I55" s="18">
        <f t="shared" si="3"/>
        <v>102113.66826877471</v>
      </c>
      <c r="J55" s="57"/>
    </row>
    <row r="56" spans="1:10" x14ac:dyDescent="0.2">
      <c r="A56" s="358"/>
      <c r="B56" s="47" t="str">
        <f>DFIE!$B47</f>
        <v>Thurgau</v>
      </c>
      <c r="C56" s="43">
        <v>2630.683</v>
      </c>
      <c r="D56" s="43">
        <v>3149.2303499999998</v>
      </c>
      <c r="E56" s="22">
        <f t="shared" si="1"/>
        <v>518.54734999999982</v>
      </c>
      <c r="F56" s="43">
        <v>344750.17969879502</v>
      </c>
      <c r="G56" s="95">
        <f>NP!E56+QS!AA56+JP!E56</f>
        <v>6971384.9969010148</v>
      </c>
      <c r="H56" s="193">
        <f t="shared" si="2"/>
        <v>20.221555803079923</v>
      </c>
      <c r="I56" s="22">
        <f t="shared" si="3"/>
        <v>10485.834174564212</v>
      </c>
      <c r="J56" s="57"/>
    </row>
    <row r="57" spans="1:10" x14ac:dyDescent="0.2">
      <c r="A57" s="358"/>
      <c r="B57" s="46" t="str">
        <f>DFIE!$B48</f>
        <v>Tessin</v>
      </c>
      <c r="C57" s="61">
        <v>1218.0333499999999</v>
      </c>
      <c r="D57" s="61">
        <v>7626.1268</v>
      </c>
      <c r="E57" s="18">
        <f t="shared" si="1"/>
        <v>6408.0934500000003</v>
      </c>
      <c r="F57" s="61">
        <v>746327.516144578</v>
      </c>
      <c r="G57" s="86">
        <f>NP!E57+QS!AA57+JP!E57</f>
        <v>11310397.095217861</v>
      </c>
      <c r="H57" s="192">
        <f t="shared" si="2"/>
        <v>15.154736828739434</v>
      </c>
      <c r="I57" s="18">
        <f t="shared" si="3"/>
        <v>97112.969808718946</v>
      </c>
      <c r="J57" s="57"/>
    </row>
    <row r="58" spans="1:10" x14ac:dyDescent="0.2">
      <c r="A58" s="358"/>
      <c r="B58" s="47" t="str">
        <f>DFIE!$B49</f>
        <v>Waadt</v>
      </c>
      <c r="C58" s="43">
        <v>1419.5</v>
      </c>
      <c r="D58" s="43">
        <v>16056.22385</v>
      </c>
      <c r="E58" s="22">
        <f t="shared" si="1"/>
        <v>14636.72385</v>
      </c>
      <c r="F58" s="43">
        <v>3015149.4716626499</v>
      </c>
      <c r="G58" s="95">
        <f>NP!E58+QS!AA58+JP!E58</f>
        <v>26409126.041745484</v>
      </c>
      <c r="H58" s="193">
        <f t="shared" si="2"/>
        <v>8.7588115580826074</v>
      </c>
      <c r="I58" s="22">
        <f t="shared" si="3"/>
        <v>128200.30602984336</v>
      </c>
      <c r="J58" s="57"/>
    </row>
    <row r="59" spans="1:10" x14ac:dyDescent="0.2">
      <c r="A59" s="358"/>
      <c r="B59" s="46" t="str">
        <f>DFIE!$B50</f>
        <v>Wallis</v>
      </c>
      <c r="C59" s="61">
        <v>1580.2049999999999</v>
      </c>
      <c r="D59" s="61">
        <v>5457.9379499999995</v>
      </c>
      <c r="E59" s="18">
        <f t="shared" si="1"/>
        <v>3877.7329499999996</v>
      </c>
      <c r="F59" s="61">
        <v>362960.43867469899</v>
      </c>
      <c r="G59" s="86">
        <f>NP!E59+QS!AA59+JP!E59</f>
        <v>7096997.3980812673</v>
      </c>
      <c r="H59" s="192">
        <f t="shared" si="2"/>
        <v>19.553088000430556</v>
      </c>
      <c r="I59" s="18">
        <f t="shared" si="3"/>
        <v>75821.653613519171</v>
      </c>
      <c r="J59" s="57"/>
    </row>
    <row r="60" spans="1:10" x14ac:dyDescent="0.2">
      <c r="A60" s="358"/>
      <c r="B60" s="47" t="str">
        <f>DFIE!$B51</f>
        <v>Neuenburg</v>
      </c>
      <c r="C60" s="43">
        <v>1126.4110000000001</v>
      </c>
      <c r="D60" s="43">
        <v>4383.1274000000003</v>
      </c>
      <c r="E60" s="22">
        <f t="shared" si="1"/>
        <v>3256.7164000000002</v>
      </c>
      <c r="F60" s="43">
        <v>419694.436963855</v>
      </c>
      <c r="G60" s="95">
        <f>NP!E60+QS!AA60+JP!E60</f>
        <v>4785143.4156039571</v>
      </c>
      <c r="H60" s="193">
        <f t="shared" si="2"/>
        <v>11.401493549022343</v>
      </c>
      <c r="I60" s="22">
        <f t="shared" si="3"/>
        <v>37131.431025595273</v>
      </c>
      <c r="J60" s="57"/>
    </row>
    <row r="61" spans="1:10" x14ac:dyDescent="0.2">
      <c r="A61" s="358"/>
      <c r="B61" s="46" t="str">
        <f>DFIE!$B52</f>
        <v>Genf</v>
      </c>
      <c r="C61" s="61">
        <v>7737.4288500000002</v>
      </c>
      <c r="D61" s="61">
        <v>15622.300499999999</v>
      </c>
      <c r="E61" s="18">
        <f t="shared" si="1"/>
        <v>7884.8716499999991</v>
      </c>
      <c r="F61" s="61">
        <v>2074178.1980361401</v>
      </c>
      <c r="G61" s="86">
        <f>NP!E61+QS!AA61+JP!E61</f>
        <v>22133195.917293914</v>
      </c>
      <c r="H61" s="192">
        <f t="shared" si="2"/>
        <v>10.670826613764392</v>
      </c>
      <c r="I61" s="18">
        <f t="shared" si="3"/>
        <v>84138.098248936352</v>
      </c>
      <c r="J61" s="57"/>
    </row>
    <row r="62" spans="1:10" x14ac:dyDescent="0.2">
      <c r="A62" s="358"/>
      <c r="B62" s="47" t="str">
        <f>DFIE!$B53</f>
        <v>Jura</v>
      </c>
      <c r="C62" s="43">
        <v>534.16144999999995</v>
      </c>
      <c r="D62" s="43">
        <v>1618.1541</v>
      </c>
      <c r="E62" s="22">
        <f t="shared" si="1"/>
        <v>1083.9926500000001</v>
      </c>
      <c r="F62" s="43">
        <v>87195.38</v>
      </c>
      <c r="G62" s="95">
        <f>NP!E62+QS!AA62+JP!E62</f>
        <v>1610304.8051918363</v>
      </c>
      <c r="H62" s="193">
        <f t="shared" si="2"/>
        <v>18.467776677982666</v>
      </c>
      <c r="I62" s="22">
        <f t="shared" si="3"/>
        <v>20018.934180774631</v>
      </c>
      <c r="J62" s="57"/>
    </row>
    <row r="63" spans="1:10" x14ac:dyDescent="0.2">
      <c r="A63" s="358"/>
      <c r="B63" s="24" t="str">
        <f>DFIE!$B54</f>
        <v>Schweiz</v>
      </c>
      <c r="C63" s="31">
        <f>SUM(C37:C62)</f>
        <v>163024.45315000002</v>
      </c>
      <c r="D63" s="31">
        <f>SUM(D37:D62)</f>
        <v>163024.45315000002</v>
      </c>
      <c r="E63" s="26">
        <f>ROUND(SUM(E37:E62),5)</f>
        <v>0</v>
      </c>
      <c r="F63" s="31">
        <f>SUM(F37:F62)</f>
        <v>21073790.58621686</v>
      </c>
      <c r="G63" s="31">
        <f>SUM(G37:G62)</f>
        <v>280374224.84039843</v>
      </c>
      <c r="H63" s="191">
        <f t="shared" si="2"/>
        <v>13.304404050772664</v>
      </c>
      <c r="I63" s="26">
        <f>SUM(I37:I62)</f>
        <v>-232724.67756534964</v>
      </c>
      <c r="J63" s="57"/>
    </row>
    <row r="64" spans="1:10" ht="14.25" customHeight="1" x14ac:dyDescent="0.2">
      <c r="A64" s="33"/>
      <c r="B64" s="82"/>
      <c r="C64" s="177"/>
      <c r="D64" s="177"/>
      <c r="E64" s="177"/>
      <c r="F64" s="177"/>
      <c r="G64" s="177"/>
      <c r="H64" s="82"/>
      <c r="I64" s="177"/>
    </row>
    <row r="65" spans="1:10" x14ac:dyDescent="0.2">
      <c r="A65" s="359" t="str">
        <f>DFIE!B71</f>
        <v>Bemessungsjahr 2018</v>
      </c>
      <c r="B65" s="48" t="str">
        <f>DFIE!$B28</f>
        <v>Zürich</v>
      </c>
      <c r="C65" s="49">
        <v>28696.241000000002</v>
      </c>
      <c r="D65" s="49">
        <v>22936.553199999998</v>
      </c>
      <c r="E65" s="50">
        <f t="shared" ref="E65:E90" si="4">D65-C65</f>
        <v>-5759.6878000000033</v>
      </c>
      <c r="F65" s="49">
        <v>4557936.8045903603</v>
      </c>
      <c r="G65" s="96">
        <f>NP!E65+QS!AA65+JP!E65</f>
        <v>62663901.306209251</v>
      </c>
      <c r="H65" s="194">
        <f t="shared" ref="H65:H91" si="5">G65/F65</f>
        <v>13.748304110557124</v>
      </c>
      <c r="I65" s="50">
        <f t="shared" ref="I65:I90" si="6">E65*H65</f>
        <v>-79185.939456265754</v>
      </c>
      <c r="J65" s="59"/>
    </row>
    <row r="66" spans="1:10" x14ac:dyDescent="0.2">
      <c r="A66" s="359"/>
      <c r="B66" s="47" t="str">
        <f>DFIE!$B29</f>
        <v>Bern</v>
      </c>
      <c r="C66" s="43">
        <v>15003.33325</v>
      </c>
      <c r="D66" s="43">
        <v>10553.606180000001</v>
      </c>
      <c r="E66" s="22">
        <f t="shared" si="4"/>
        <v>-4449.727069999999</v>
      </c>
      <c r="F66" s="43">
        <v>1616531.9568674699</v>
      </c>
      <c r="G66" s="95">
        <f>NP!E66+QS!AA66+JP!E66</f>
        <v>26630964.034860969</v>
      </c>
      <c r="H66" s="193">
        <f t="shared" si="5"/>
        <v>16.474133976581996</v>
      </c>
      <c r="I66" s="22">
        <f t="shared" si="6"/>
        <v>-73305.399910403634</v>
      </c>
      <c r="J66" s="59"/>
    </row>
    <row r="67" spans="1:10" x14ac:dyDescent="0.2">
      <c r="A67" s="359"/>
      <c r="B67" s="46" t="str">
        <f>DFIE!$B30</f>
        <v>Luzern</v>
      </c>
      <c r="C67" s="61">
        <v>11104.61505</v>
      </c>
      <c r="D67" s="61">
        <v>4610.6182500000004</v>
      </c>
      <c r="E67" s="18">
        <f t="shared" si="4"/>
        <v>-6493.9967999999999</v>
      </c>
      <c r="F67" s="61">
        <v>834735.84632530098</v>
      </c>
      <c r="G67" s="86">
        <f>NP!E67+QS!AA67+JP!E67</f>
        <v>12421507.119279739</v>
      </c>
      <c r="H67" s="192">
        <f t="shared" si="5"/>
        <v>14.880763985351853</v>
      </c>
      <c r="I67" s="18">
        <f t="shared" si="6"/>
        <v>-96635.633702430176</v>
      </c>
      <c r="J67" s="59"/>
    </row>
    <row r="68" spans="1:10" x14ac:dyDescent="0.2">
      <c r="A68" s="359"/>
      <c r="B68" s="47" t="str">
        <f>DFIE!$B31</f>
        <v>Uri</v>
      </c>
      <c r="C68" s="43">
        <v>116.8212</v>
      </c>
      <c r="D68" s="43">
        <v>565.46725000000004</v>
      </c>
      <c r="E68" s="22">
        <f t="shared" si="4"/>
        <v>448.64605000000006</v>
      </c>
      <c r="F68" s="43">
        <v>45839.406265060199</v>
      </c>
      <c r="G68" s="95">
        <f>NP!E68+QS!AA68+JP!E68</f>
        <v>842498.04503305769</v>
      </c>
      <c r="H68" s="193">
        <f t="shared" si="5"/>
        <v>18.379340259370423</v>
      </c>
      <c r="I68" s="22">
        <f t="shared" si="6"/>
        <v>8245.8184089725164</v>
      </c>
      <c r="J68" s="59"/>
    </row>
    <row r="69" spans="1:10" x14ac:dyDescent="0.2">
      <c r="A69" s="359"/>
      <c r="B69" s="46" t="str">
        <f>DFIE!$B32</f>
        <v>Schwyz</v>
      </c>
      <c r="C69" s="61">
        <v>2464.6794</v>
      </c>
      <c r="D69" s="61">
        <v>2499.3418000000001</v>
      </c>
      <c r="E69" s="18">
        <f t="shared" si="4"/>
        <v>34.662400000000162</v>
      </c>
      <c r="F69" s="61">
        <v>796832.22656626499</v>
      </c>
      <c r="G69" s="86">
        <f>NP!E69+QS!AA69+JP!E69</f>
        <v>8139281.7036662446</v>
      </c>
      <c r="H69" s="192">
        <f t="shared" si="5"/>
        <v>10.214548850189329</v>
      </c>
      <c r="I69" s="18">
        <f t="shared" si="6"/>
        <v>354.06077806480425</v>
      </c>
      <c r="J69" s="59"/>
    </row>
    <row r="70" spans="1:10" x14ac:dyDescent="0.2">
      <c r="A70" s="359"/>
      <c r="B70" s="47" t="str">
        <f>DFIE!$B33</f>
        <v>Obwalden</v>
      </c>
      <c r="C70" s="43">
        <v>588.23410000000001</v>
      </c>
      <c r="D70" s="43">
        <v>685.13220000000001</v>
      </c>
      <c r="E70" s="22">
        <f t="shared" si="4"/>
        <v>96.898099999999999</v>
      </c>
      <c r="F70" s="43">
        <v>85829.142036144607</v>
      </c>
      <c r="G70" s="95">
        <f>NP!E70+QS!AA70+JP!E70</f>
        <v>1194531.9054989568</v>
      </c>
      <c r="H70" s="193">
        <f t="shared" si="5"/>
        <v>13.917556172190469</v>
      </c>
      <c r="I70" s="22">
        <f t="shared" si="6"/>
        <v>1348.5847497285292</v>
      </c>
      <c r="J70" s="59"/>
    </row>
    <row r="71" spans="1:10" x14ac:dyDescent="0.2">
      <c r="A71" s="359"/>
      <c r="B71" s="46" t="str">
        <f>DFIE!$B34</f>
        <v>Nidwalden</v>
      </c>
      <c r="C71" s="61">
        <v>861.24755000000005</v>
      </c>
      <c r="D71" s="61">
        <v>904.13284999999996</v>
      </c>
      <c r="E71" s="18">
        <f t="shared" si="4"/>
        <v>42.885299999999916</v>
      </c>
      <c r="F71" s="61">
        <v>164829.03314457799</v>
      </c>
      <c r="G71" s="86">
        <f>NP!E71+QS!AA71+JP!E71</f>
        <v>1912665.1571265282</v>
      </c>
      <c r="H71" s="192">
        <f t="shared" si="5"/>
        <v>11.603933607065782</v>
      </c>
      <c r="I71" s="18">
        <f t="shared" si="6"/>
        <v>497.6381739190972</v>
      </c>
      <c r="J71" s="59"/>
    </row>
    <row r="72" spans="1:10" x14ac:dyDescent="0.2">
      <c r="A72" s="359"/>
      <c r="B72" s="47" t="str">
        <f>DFIE!$B35</f>
        <v>Glarus</v>
      </c>
      <c r="C72" s="43">
        <v>358.32664999999997</v>
      </c>
      <c r="D72" s="43">
        <v>613.94614999999999</v>
      </c>
      <c r="E72" s="22">
        <f t="shared" si="4"/>
        <v>255.61950000000002</v>
      </c>
      <c r="F72" s="43">
        <v>49957.135602409602</v>
      </c>
      <c r="G72" s="95">
        <f>NP!E72+QS!AA72+JP!E72</f>
        <v>936788.55828551343</v>
      </c>
      <c r="H72" s="193">
        <f t="shared" si="5"/>
        <v>18.751846898130182</v>
      </c>
      <c r="I72" s="22">
        <f t="shared" si="6"/>
        <v>4793.3377281765888</v>
      </c>
      <c r="J72" s="59"/>
    </row>
    <row r="73" spans="1:10" x14ac:dyDescent="0.2">
      <c r="A73" s="359"/>
      <c r="B73" s="46" t="str">
        <f>DFIE!$B36</f>
        <v>Zug</v>
      </c>
      <c r="C73" s="61">
        <v>16025.314850000001</v>
      </c>
      <c r="D73" s="61">
        <v>4058.1729999999998</v>
      </c>
      <c r="E73" s="18">
        <f t="shared" si="4"/>
        <v>-11967.14185</v>
      </c>
      <c r="F73" s="61">
        <v>1616492.61063855</v>
      </c>
      <c r="G73" s="86">
        <f>NP!E73+QS!AA73+JP!E73</f>
        <v>11258074.509634834</v>
      </c>
      <c r="H73" s="192">
        <f t="shared" si="5"/>
        <v>6.9645072520236564</v>
      </c>
      <c r="I73" s="18">
        <f t="shared" si="6"/>
        <v>-83345.246200320791</v>
      </c>
      <c r="J73" s="59"/>
    </row>
    <row r="74" spans="1:10" x14ac:dyDescent="0.2">
      <c r="A74" s="359"/>
      <c r="B74" s="47" t="str">
        <f>DFIE!$B37</f>
        <v>Freiburg</v>
      </c>
      <c r="C74" s="43">
        <v>11367.588</v>
      </c>
      <c r="D74" s="43">
        <v>4512.1656999999996</v>
      </c>
      <c r="E74" s="22">
        <f t="shared" si="4"/>
        <v>-6855.4223000000002</v>
      </c>
      <c r="F74" s="43">
        <v>506056.17233734898</v>
      </c>
      <c r="G74" s="95">
        <f>NP!E74+QS!AA74+JP!E74</f>
        <v>7740672.9875680422</v>
      </c>
      <c r="H74" s="193">
        <f t="shared" si="5"/>
        <v>15.296074646843605</v>
      </c>
      <c r="I74" s="22">
        <f t="shared" si="6"/>
        <v>-104861.05123643628</v>
      </c>
      <c r="J74" s="59"/>
    </row>
    <row r="75" spans="1:10" x14ac:dyDescent="0.2">
      <c r="A75" s="359"/>
      <c r="B75" s="46" t="str">
        <f>DFIE!$B38</f>
        <v>Solothurn</v>
      </c>
      <c r="C75" s="61">
        <v>1424.04125</v>
      </c>
      <c r="D75" s="61">
        <v>3954.9326500000002</v>
      </c>
      <c r="E75" s="18">
        <f t="shared" si="4"/>
        <v>2530.8914000000004</v>
      </c>
      <c r="F75" s="61">
        <v>335320.853240964</v>
      </c>
      <c r="G75" s="86">
        <f>NP!E75+QS!AA75+JP!E75</f>
        <v>6724346.6380166039</v>
      </c>
      <c r="H75" s="192">
        <f t="shared" si="5"/>
        <v>20.053469902107281</v>
      </c>
      <c r="I75" s="18">
        <f t="shared" si="6"/>
        <v>50753.154515402166</v>
      </c>
      <c r="J75" s="59"/>
    </row>
    <row r="76" spans="1:10" x14ac:dyDescent="0.2">
      <c r="A76" s="359"/>
      <c r="B76" s="47" t="str">
        <f>DFIE!$B39</f>
        <v>Basel-Stadt</v>
      </c>
      <c r="C76" s="43">
        <v>27018.653350000001</v>
      </c>
      <c r="D76" s="43">
        <v>6370.0838000000003</v>
      </c>
      <c r="E76" s="22">
        <f t="shared" si="4"/>
        <v>-20648.56955</v>
      </c>
      <c r="F76" s="43">
        <v>990964.71392771101</v>
      </c>
      <c r="G76" s="95">
        <f>NP!E76+QS!AA76+JP!E76</f>
        <v>9469212.422303535</v>
      </c>
      <c r="H76" s="193">
        <f t="shared" si="5"/>
        <v>9.5555495460298463</v>
      </c>
      <c r="I76" s="22">
        <f t="shared" si="6"/>
        <v>-197308.42938966822</v>
      </c>
      <c r="J76" s="59"/>
    </row>
    <row r="77" spans="1:10" x14ac:dyDescent="0.2">
      <c r="A77" s="359"/>
      <c r="B77" s="46" t="str">
        <f>DFIE!$B40</f>
        <v>Basel-Landschaft</v>
      </c>
      <c r="C77" s="61">
        <v>4668.9331499999998</v>
      </c>
      <c r="D77" s="61">
        <v>5123.7979500000001</v>
      </c>
      <c r="E77" s="18">
        <f t="shared" si="4"/>
        <v>454.86480000000029</v>
      </c>
      <c r="F77" s="61">
        <v>679457.83132530097</v>
      </c>
      <c r="G77" s="86">
        <f>NP!E77+QS!AA77+JP!E77</f>
        <v>9450153.3779827822</v>
      </c>
      <c r="H77" s="192">
        <f t="shared" si="5"/>
        <v>13.908373621288611</v>
      </c>
      <c r="I77" s="18">
        <f t="shared" si="6"/>
        <v>6326.4295855727241</v>
      </c>
      <c r="J77" s="59"/>
    </row>
    <row r="78" spans="1:10" x14ac:dyDescent="0.2">
      <c r="A78" s="359"/>
      <c r="B78" s="47" t="str">
        <f>DFIE!$B41</f>
        <v>Schaffhausen</v>
      </c>
      <c r="C78" s="43">
        <v>577.70425</v>
      </c>
      <c r="D78" s="43">
        <v>2631.6963500000002</v>
      </c>
      <c r="E78" s="22">
        <f t="shared" si="4"/>
        <v>2053.9921000000004</v>
      </c>
      <c r="F78" s="43">
        <v>372062.54433734901</v>
      </c>
      <c r="G78" s="95">
        <f>NP!E78+QS!AA78+JP!E78</f>
        <v>2674487.1677058549</v>
      </c>
      <c r="H78" s="193">
        <f t="shared" si="5"/>
        <v>7.1882730697043726</v>
      </c>
      <c r="I78" s="22">
        <f t="shared" si="6"/>
        <v>14764.656097815534</v>
      </c>
      <c r="J78" s="59"/>
    </row>
    <row r="79" spans="1:10" x14ac:dyDescent="0.2">
      <c r="A79" s="359"/>
      <c r="B79" s="46" t="str">
        <f>DFIE!$B42</f>
        <v>Appenzell A.Rh.</v>
      </c>
      <c r="C79" s="61">
        <v>1204.3617999999999</v>
      </c>
      <c r="D79" s="61">
        <v>858.29700000000003</v>
      </c>
      <c r="E79" s="18">
        <f t="shared" si="4"/>
        <v>-346.06479999999988</v>
      </c>
      <c r="F79" s="61">
        <v>99198.461638554203</v>
      </c>
      <c r="G79" s="86">
        <f>NP!E79+QS!AA79+JP!E79</f>
        <v>1512071.1098575722</v>
      </c>
      <c r="H79" s="192">
        <f t="shared" si="5"/>
        <v>15.242888698889811</v>
      </c>
      <c r="I79" s="18">
        <f t="shared" si="6"/>
        <v>-5275.0272290035609</v>
      </c>
      <c r="J79" s="59"/>
    </row>
    <row r="80" spans="1:10" x14ac:dyDescent="0.2">
      <c r="A80" s="359"/>
      <c r="B80" s="47" t="str">
        <f>DFIE!$B43</f>
        <v>Appenzell I.Rh.</v>
      </c>
      <c r="C80" s="43">
        <v>42.531550000000003</v>
      </c>
      <c r="D80" s="43">
        <v>211.2492</v>
      </c>
      <c r="E80" s="22">
        <f t="shared" si="4"/>
        <v>168.71764999999999</v>
      </c>
      <c r="F80" s="43">
        <v>30470.292048192801</v>
      </c>
      <c r="G80" s="95">
        <f>NP!E80+QS!AA80+JP!E80</f>
        <v>491638.10156227788</v>
      </c>
      <c r="H80" s="193">
        <f t="shared" si="5"/>
        <v>16.134998010018649</v>
      </c>
      <c r="I80" s="22">
        <f t="shared" si="6"/>
        <v>2722.2589470050225</v>
      </c>
      <c r="J80" s="59"/>
    </row>
    <row r="81" spans="1:10" x14ac:dyDescent="0.2">
      <c r="A81" s="359"/>
      <c r="B81" s="46" t="str">
        <f>DFIE!$B44</f>
        <v>St. Gallen</v>
      </c>
      <c r="C81" s="61">
        <v>6522.402</v>
      </c>
      <c r="D81" s="61">
        <v>7356.8122499999999</v>
      </c>
      <c r="E81" s="18">
        <f t="shared" si="4"/>
        <v>834.41024999999991</v>
      </c>
      <c r="F81" s="61">
        <v>848119.89519277099</v>
      </c>
      <c r="G81" s="86">
        <f>NP!E81+QS!AA81+JP!E81</f>
        <v>13949277.011209223</v>
      </c>
      <c r="H81" s="192">
        <f t="shared" si="5"/>
        <v>16.447293702547402</v>
      </c>
      <c r="I81" s="18">
        <f t="shared" si="6"/>
        <v>13723.790450166001</v>
      </c>
      <c r="J81" s="59"/>
    </row>
    <row r="82" spans="1:10" x14ac:dyDescent="0.2">
      <c r="A82" s="359"/>
      <c r="B82" s="47" t="str">
        <f>DFIE!$B45</f>
        <v>Graubünden</v>
      </c>
      <c r="C82" s="43">
        <v>983.15899999999999</v>
      </c>
      <c r="D82" s="43">
        <v>5526.6531500000001</v>
      </c>
      <c r="E82" s="22">
        <f t="shared" si="4"/>
        <v>4543.4941500000004</v>
      </c>
      <c r="F82" s="43">
        <v>311021.61072289199</v>
      </c>
      <c r="G82" s="95">
        <f>NP!E82+QS!AA82+JP!E82</f>
        <v>5187987.0141458744</v>
      </c>
      <c r="H82" s="193">
        <f t="shared" si="5"/>
        <v>16.680471180403494</v>
      </c>
      <c r="I82" s="22">
        <f t="shared" si="6"/>
        <v>75787.623227406875</v>
      </c>
      <c r="J82" s="59"/>
    </row>
    <row r="83" spans="1:10" x14ac:dyDescent="0.2">
      <c r="A83" s="359"/>
      <c r="B83" s="46" t="str">
        <f>DFIE!$B46</f>
        <v>Aargau</v>
      </c>
      <c r="C83" s="61">
        <v>9878.7508999999991</v>
      </c>
      <c r="D83" s="61">
        <v>25226.292600000001</v>
      </c>
      <c r="E83" s="18">
        <f t="shared" si="4"/>
        <v>15347.541700000002</v>
      </c>
      <c r="F83" s="61">
        <v>977318.65730120498</v>
      </c>
      <c r="G83" s="86">
        <f>NP!E83+QS!AA83+JP!E83</f>
        <v>18247601.953635529</v>
      </c>
      <c r="H83" s="192">
        <f t="shared" si="5"/>
        <v>18.671087282857126</v>
      </c>
      <c r="I83" s="18">
        <f t="shared" si="6"/>
        <v>286555.29065798945</v>
      </c>
      <c r="J83" s="59"/>
    </row>
    <row r="84" spans="1:10" x14ac:dyDescent="0.2">
      <c r="A84" s="359"/>
      <c r="B84" s="47" t="str">
        <f>DFIE!$B47</f>
        <v>Thurgau</v>
      </c>
      <c r="C84" s="43">
        <v>3023.585</v>
      </c>
      <c r="D84" s="43">
        <v>3132.99235</v>
      </c>
      <c r="E84" s="22">
        <f t="shared" si="4"/>
        <v>109.40734999999995</v>
      </c>
      <c r="F84" s="43">
        <v>393243.76108433702</v>
      </c>
      <c r="G84" s="95">
        <f>NP!E84+QS!AA84+JP!E84</f>
        <v>7154568.1484409245</v>
      </c>
      <c r="H84" s="193">
        <f t="shared" si="5"/>
        <v>18.193723223256733</v>
      </c>
      <c r="I84" s="22">
        <f t="shared" si="6"/>
        <v>1990.5270444899766</v>
      </c>
      <c r="J84" s="59"/>
    </row>
    <row r="85" spans="1:10" x14ac:dyDescent="0.2">
      <c r="A85" s="359"/>
      <c r="B85" s="46" t="str">
        <f>DFIE!$B48</f>
        <v>Tessin</v>
      </c>
      <c r="C85" s="61">
        <v>1281.1378999999999</v>
      </c>
      <c r="D85" s="61">
        <v>5322.46155</v>
      </c>
      <c r="E85" s="18">
        <f t="shared" si="4"/>
        <v>4041.3236500000003</v>
      </c>
      <c r="F85" s="61">
        <v>810168.92957831302</v>
      </c>
      <c r="G85" s="86">
        <f>NP!E85+QS!AA85+JP!E85</f>
        <v>11106749.818224782</v>
      </c>
      <c r="H85" s="192">
        <f t="shared" si="5"/>
        <v>13.709177694589897</v>
      </c>
      <c r="I85" s="18">
        <f t="shared" si="6"/>
        <v>55403.224039198634</v>
      </c>
      <c r="J85" s="59"/>
    </row>
    <row r="86" spans="1:10" x14ac:dyDescent="0.2">
      <c r="A86" s="359"/>
      <c r="B86" s="47" t="str">
        <f>DFIE!$B49</f>
        <v>Waadt</v>
      </c>
      <c r="C86" s="43">
        <v>18280.547999999999</v>
      </c>
      <c r="D86" s="43">
        <v>15171.493350000001</v>
      </c>
      <c r="E86" s="22">
        <f t="shared" si="4"/>
        <v>-3109.0546499999982</v>
      </c>
      <c r="F86" s="43">
        <v>3170535.0224578301</v>
      </c>
      <c r="G86" s="95">
        <f>NP!E86+QS!AA86+JP!E86</f>
        <v>26983860.761638008</v>
      </c>
      <c r="H86" s="193">
        <f t="shared" si="5"/>
        <v>8.51082248595376</v>
      </c>
      <c r="I86" s="22">
        <f t="shared" si="6"/>
        <v>-26460.612225279081</v>
      </c>
      <c r="J86" s="59"/>
    </row>
    <row r="87" spans="1:10" x14ac:dyDescent="0.2">
      <c r="A87" s="359"/>
      <c r="B87" s="46" t="str">
        <f>DFIE!$B50</f>
        <v>Wallis</v>
      </c>
      <c r="C87" s="61">
        <v>1394.3150000000001</v>
      </c>
      <c r="D87" s="61">
        <v>7757.5039500000003</v>
      </c>
      <c r="E87" s="18">
        <f t="shared" si="4"/>
        <v>6363.1889499999997</v>
      </c>
      <c r="F87" s="61">
        <v>375778.54442168702</v>
      </c>
      <c r="G87" s="86">
        <f>NP!E87+QS!AA87+JP!E87</f>
        <v>7281002.9704933874</v>
      </c>
      <c r="H87" s="192">
        <f t="shared" si="5"/>
        <v>19.375781503700946</v>
      </c>
      <c r="I87" s="18">
        <f t="shared" si="6"/>
        <v>123291.75876196424</v>
      </c>
      <c r="J87" s="59"/>
    </row>
    <row r="88" spans="1:10" x14ac:dyDescent="0.2">
      <c r="A88" s="359"/>
      <c r="B88" s="47" t="str">
        <f>DFIE!$B51</f>
        <v>Neuenburg</v>
      </c>
      <c r="C88" s="43">
        <v>1074.5085999999999</v>
      </c>
      <c r="D88" s="43">
        <v>13408.8604</v>
      </c>
      <c r="E88" s="22">
        <f t="shared" si="4"/>
        <v>12334.3518</v>
      </c>
      <c r="F88" s="43">
        <v>453380.84512048197</v>
      </c>
      <c r="G88" s="95">
        <f>NP!E88+QS!AA88+JP!E88</f>
        <v>4787997.4722059164</v>
      </c>
      <c r="H88" s="193">
        <f t="shared" si="5"/>
        <v>10.560652316340246</v>
      </c>
      <c r="I88" s="22">
        <f t="shared" si="6"/>
        <v>130258.80090722548</v>
      </c>
      <c r="J88" s="59"/>
    </row>
    <row r="89" spans="1:10" x14ac:dyDescent="0.2">
      <c r="A89" s="359"/>
      <c r="B89" s="46" t="str">
        <f>DFIE!$B52</f>
        <v>Genf</v>
      </c>
      <c r="C89" s="61">
        <v>8040.2590300000002</v>
      </c>
      <c r="D89" s="61">
        <v>17010.45335</v>
      </c>
      <c r="E89" s="18">
        <f t="shared" si="4"/>
        <v>8970.1943199999987</v>
      </c>
      <c r="F89" s="61">
        <v>2357603.2568433699</v>
      </c>
      <c r="G89" s="86">
        <f>NP!E89+QS!AA89+JP!E89</f>
        <v>23048638.826535095</v>
      </c>
      <c r="H89" s="192">
        <f t="shared" si="5"/>
        <v>9.7763008935588509</v>
      </c>
      <c r="I89" s="18">
        <f t="shared" si="6"/>
        <v>87695.318746012519</v>
      </c>
      <c r="J89" s="59"/>
    </row>
    <row r="90" spans="1:10" x14ac:dyDescent="0.2">
      <c r="A90" s="359"/>
      <c r="B90" s="47" t="str">
        <f>DFIE!$B53</f>
        <v>Jura</v>
      </c>
      <c r="C90" s="43">
        <v>438.99590000000001</v>
      </c>
      <c r="D90" s="43">
        <v>1437.57125</v>
      </c>
      <c r="E90" s="22">
        <f t="shared" si="4"/>
        <v>998.57534999999996</v>
      </c>
      <c r="F90" s="43">
        <v>106556.360180723</v>
      </c>
      <c r="G90" s="95">
        <f>NP!E90+QS!AA90+JP!E90</f>
        <v>1668413.4796273455</v>
      </c>
      <c r="H90" s="193">
        <f t="shared" si="5"/>
        <v>15.657568227721582</v>
      </c>
      <c r="I90" s="22">
        <f t="shared" si="6"/>
        <v>15635.261673145957</v>
      </c>
      <c r="J90" s="59"/>
    </row>
    <row r="91" spans="1:10" x14ac:dyDescent="0.2">
      <c r="A91" s="359"/>
      <c r="B91" s="24" t="str">
        <f>DFIE!$B54</f>
        <v>Schweiz</v>
      </c>
      <c r="C91" s="31">
        <f>SUM(C65:C90)</f>
        <v>172440.28772999998</v>
      </c>
      <c r="D91" s="31">
        <f>SUM(D65:D90)</f>
        <v>172440.28773000004</v>
      </c>
      <c r="E91" s="26">
        <f>ROUND(SUM(E65:E90),5)</f>
        <v>0</v>
      </c>
      <c r="F91" s="31">
        <f>SUM(F65:F90)</f>
        <v>22586241.913795173</v>
      </c>
      <c r="G91" s="31">
        <f>SUM(G65:G90)</f>
        <v>283478891.60074788</v>
      </c>
      <c r="H91" s="191">
        <f t="shared" si="5"/>
        <v>12.550954367827137</v>
      </c>
      <c r="I91" s="26">
        <f>SUM(I65:I90)</f>
        <v>213770.1951424485</v>
      </c>
      <c r="J91" s="59"/>
    </row>
  </sheetData>
  <mergeCells count="3">
    <mergeCell ref="A9:A35"/>
    <mergeCell ref="A37:A63"/>
    <mergeCell ref="A65:A91"/>
  </mergeCells>
  <conditionalFormatting sqref="E9:E34 G9:I34">
    <cfRule type="expression" dxfId="29" priority="15" stopIfTrue="1">
      <formula>ISBLANK(E9)</formula>
    </cfRule>
  </conditionalFormatting>
  <conditionalFormatting sqref="C9:D34 F9:F34">
    <cfRule type="expression" dxfId="28" priority="14" stopIfTrue="1">
      <formula>ISBLANK(C9)</formula>
    </cfRule>
  </conditionalFormatting>
  <conditionalFormatting sqref="E37 H37:I37">
    <cfRule type="expression" dxfId="27" priority="13" stopIfTrue="1">
      <formula>ISBLANK(E37)</formula>
    </cfRule>
  </conditionalFormatting>
  <conditionalFormatting sqref="F37 C37:D37">
    <cfRule type="expression" dxfId="26" priority="12" stopIfTrue="1">
      <formula>ISBLANK(C37)</formula>
    </cfRule>
  </conditionalFormatting>
  <conditionalFormatting sqref="E65 G65:I65">
    <cfRule type="expression" dxfId="25" priority="11" stopIfTrue="1">
      <formula>ISBLANK(E65)</formula>
    </cfRule>
  </conditionalFormatting>
  <conditionalFormatting sqref="F65 C65:D65">
    <cfRule type="expression" dxfId="24" priority="10" stopIfTrue="1">
      <formula>ISBLANK(C65)</formula>
    </cfRule>
  </conditionalFormatting>
  <conditionalFormatting sqref="C37:D37">
    <cfRule type="expression" dxfId="23" priority="9" stopIfTrue="1">
      <formula>ISBLANK(C37)</formula>
    </cfRule>
  </conditionalFormatting>
  <conditionalFormatting sqref="C65:D65">
    <cfRule type="expression" dxfId="22" priority="8" stopIfTrue="1">
      <formula>ISBLANK(C65)</formula>
    </cfRule>
  </conditionalFormatting>
  <conditionalFormatting sqref="F37">
    <cfRule type="expression" dxfId="21" priority="7" stopIfTrue="1">
      <formula>ISBLANK(F37)</formula>
    </cfRule>
  </conditionalFormatting>
  <conditionalFormatting sqref="F65">
    <cfRule type="expression" dxfId="20" priority="6" stopIfTrue="1">
      <formula>ISBLANK(F65)</formula>
    </cfRule>
  </conditionalFormatting>
  <conditionalFormatting sqref="G37">
    <cfRule type="expression" dxfId="19" priority="5" stopIfTrue="1">
      <formula>ISBLANK(G37)</formula>
    </cfRule>
  </conditionalFormatting>
  <conditionalFormatting sqref="E38:E62 G38:I62">
    <cfRule type="expression" dxfId="18" priority="4" stopIfTrue="1">
      <formula>ISBLANK(E38)</formula>
    </cfRule>
  </conditionalFormatting>
  <conditionalFormatting sqref="C38:D62 F38:F62">
    <cfRule type="expression" dxfId="17" priority="3" stopIfTrue="1">
      <formula>ISBLANK(C38)</formula>
    </cfRule>
  </conditionalFormatting>
  <conditionalFormatting sqref="E66:E90 G66:I90">
    <cfRule type="expression" dxfId="16" priority="2" stopIfTrue="1">
      <formula>ISBLANK(E66)</formula>
    </cfRule>
  </conditionalFormatting>
  <conditionalFormatting sqref="C66:D90 F66:F90">
    <cfRule type="expression" dxfId="15" priority="1" stopIfTrue="1">
      <formula>ISBLANK(C66)</formula>
    </cfRule>
  </conditionalFormatting>
  <pageMargins left="0.78740157480314965" right="0.59055118110236227" top="0.98425196850393704" bottom="0.78740157480314965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zoomScaleNormal="100" workbookViewId="0">
      <pane ySplit="8" topLeftCell="A9" activePane="bottomLeft" state="frozen"/>
      <selection activeCell="A75" sqref="A75"/>
      <selection pane="bottomLeft" activeCell="A75" sqref="A75"/>
    </sheetView>
  </sheetViews>
  <sheetFormatPr baseColWidth="10" defaultRowHeight="12.75" x14ac:dyDescent="0.2"/>
  <cols>
    <col min="1" max="1" width="4.42578125" customWidth="1"/>
    <col min="2" max="2" width="17.140625" customWidth="1"/>
    <col min="3" max="8" width="17.7109375" customWidth="1"/>
    <col min="9" max="9" width="1.5703125" customWidth="1"/>
  </cols>
  <sheetData>
    <row r="1" spans="1:9" ht="18" customHeight="1" x14ac:dyDescent="0.25">
      <c r="B1" s="6" t="str">
        <f>DFIE!B160</f>
        <v>Aggregierte Steuerbemessungsgrundlage (ASG) 2022</v>
      </c>
    </row>
    <row r="3" spans="1:9" ht="0.75" customHeight="1" x14ac:dyDescent="0.2"/>
    <row r="4" spans="1:9" ht="0.75" customHeight="1" x14ac:dyDescent="0.2"/>
    <row r="5" spans="1:9" ht="0.75" customHeight="1" x14ac:dyDescent="0.2"/>
    <row r="6" spans="1:9" ht="12" customHeight="1" x14ac:dyDescent="0.2">
      <c r="A6" s="13"/>
      <c r="B6" s="34" t="str">
        <f>DFIE!B55</f>
        <v>Spalte</v>
      </c>
      <c r="C6" s="35" t="s">
        <v>30</v>
      </c>
      <c r="D6" s="35" t="s">
        <v>31</v>
      </c>
      <c r="E6" s="35" t="s">
        <v>32</v>
      </c>
      <c r="F6" s="35" t="s">
        <v>43</v>
      </c>
      <c r="G6" s="35" t="s">
        <v>42</v>
      </c>
      <c r="H6" s="36" t="s">
        <v>33</v>
      </c>
      <c r="I6" s="13"/>
    </row>
    <row r="7" spans="1:9" ht="57" customHeight="1" x14ac:dyDescent="0.2">
      <c r="A7" s="52"/>
      <c r="B7" s="196"/>
      <c r="C7" s="63" t="str">
        <f>DFIE!B161</f>
        <v>Massgebendes
Einkommen der
natürlichen
Personen</v>
      </c>
      <c r="D7" s="63" t="str">
        <f>DFIE!B162</f>
        <v>Massgebendes
quellenbesteuertes
Einkommen</v>
      </c>
      <c r="E7" s="63" t="str">
        <f>DFIE!B163</f>
        <v>Massgebendes
Vermögen</v>
      </c>
      <c r="F7" s="63" t="str">
        <f>DFIE!B164</f>
        <v>Massgebender
Gewinn der
juristischen
Personen</v>
      </c>
      <c r="G7" s="63" t="str">
        <f>DFIE!B165</f>
        <v>Massgebende
Steuer-
repartitionen</v>
      </c>
      <c r="H7" s="62" t="str">
        <f>DFIE!B166</f>
        <v>ASG Total</v>
      </c>
      <c r="I7" s="52"/>
    </row>
    <row r="8" spans="1:9" ht="12.75" customHeight="1" x14ac:dyDescent="0.2">
      <c r="B8" s="78" t="str">
        <f>DFIE!B58</f>
        <v>Einheit</v>
      </c>
      <c r="C8" s="40" t="str">
        <f>DFIE!$B$60</f>
        <v>CHF 1'000</v>
      </c>
      <c r="D8" s="40" t="str">
        <f>DFIE!$B$60</f>
        <v>CHF 1'000</v>
      </c>
      <c r="E8" s="40" t="str">
        <f>DFIE!$B$60</f>
        <v>CHF 1'000</v>
      </c>
      <c r="F8" s="40" t="str">
        <f>DFIE!$B$60</f>
        <v>CHF 1'000</v>
      </c>
      <c r="G8" s="40" t="str">
        <f>DFIE!$B$60</f>
        <v>CHF 1'000</v>
      </c>
      <c r="H8" s="42" t="str">
        <f>DFIE!$B$60</f>
        <v>CHF 1'000</v>
      </c>
      <c r="I8" s="52"/>
    </row>
    <row r="9" spans="1:9" x14ac:dyDescent="0.2">
      <c r="A9" s="357" t="str">
        <f>DFIE!B69</f>
        <v>Bemessungsjahr 2016</v>
      </c>
      <c r="B9" s="46" t="str">
        <f>DFIE!$B28</f>
        <v>Zürich</v>
      </c>
      <c r="C9" s="86">
        <f>NP!E9</f>
        <v>39160811.599999994</v>
      </c>
      <c r="D9" s="86">
        <f>QS!AA9</f>
        <v>2326363.556370724</v>
      </c>
      <c r="E9" s="86">
        <f>VERM!D9</f>
        <v>5698011.4939999999</v>
      </c>
      <c r="F9" s="86">
        <f>JP!E9</f>
        <v>16335200.313999999</v>
      </c>
      <c r="G9" s="86">
        <f>REP!I9</f>
        <v>-111798.89306082121</v>
      </c>
      <c r="H9" s="18">
        <f>SUM(C9:G9)</f>
        <v>63408588.071309894</v>
      </c>
      <c r="I9" s="54"/>
    </row>
    <row r="10" spans="1:9" x14ac:dyDescent="0.2">
      <c r="A10" s="357"/>
      <c r="B10" s="47" t="str">
        <f>DFIE!$B29</f>
        <v>Bern</v>
      </c>
      <c r="C10" s="95">
        <f>NP!E10</f>
        <v>17955464.700000003</v>
      </c>
      <c r="D10" s="95">
        <f>QS!AA10</f>
        <v>599378.95773184916</v>
      </c>
      <c r="E10" s="95">
        <f>VERM!D10</f>
        <v>2401453.514432</v>
      </c>
      <c r="F10" s="95">
        <f>JP!E10</f>
        <v>7607733.9427000005</v>
      </c>
      <c r="G10" s="95">
        <f>REP!I10</f>
        <v>-57848.320552307683</v>
      </c>
      <c r="H10" s="22">
        <f t="shared" ref="H10:H34" si="0">SUM(C10:G10)</f>
        <v>28506182.794311542</v>
      </c>
      <c r="I10" s="54"/>
    </row>
    <row r="11" spans="1:9" x14ac:dyDescent="0.2">
      <c r="A11" s="357"/>
      <c r="B11" s="46" t="str">
        <f>DFIE!$B30</f>
        <v>Luzern</v>
      </c>
      <c r="C11" s="86">
        <f>NP!E11</f>
        <v>7592409.1000000006</v>
      </c>
      <c r="D11" s="86">
        <f>QS!AA11</f>
        <v>296167.19251666806</v>
      </c>
      <c r="E11" s="86">
        <f>VERM!D11</f>
        <v>1234869.889428</v>
      </c>
      <c r="F11" s="86">
        <f>JP!E11</f>
        <v>3738821.2397000003</v>
      </c>
      <c r="G11" s="86">
        <f>REP!I11</f>
        <v>-49628.378900547985</v>
      </c>
      <c r="H11" s="18">
        <f t="shared" si="0"/>
        <v>12812639.042744121</v>
      </c>
      <c r="I11" s="54"/>
    </row>
    <row r="12" spans="1:9" x14ac:dyDescent="0.2">
      <c r="A12" s="357"/>
      <c r="B12" s="47" t="str">
        <f>DFIE!$B31</f>
        <v>Uri</v>
      </c>
      <c r="C12" s="95">
        <f>NP!E12</f>
        <v>559595</v>
      </c>
      <c r="D12" s="95">
        <f>QS!AA12</f>
        <v>29620.681372448274</v>
      </c>
      <c r="E12" s="95">
        <f>VERM!D12</f>
        <v>92905.717435999992</v>
      </c>
      <c r="F12" s="95">
        <f>JP!E12</f>
        <v>233293.44010000001</v>
      </c>
      <c r="G12" s="95">
        <f>REP!I12</f>
        <v>9930.0416677836893</v>
      </c>
      <c r="H12" s="22">
        <f t="shared" si="0"/>
        <v>925344.88057623187</v>
      </c>
      <c r="I12" s="54"/>
    </row>
    <row r="13" spans="1:9" x14ac:dyDescent="0.2">
      <c r="A13" s="357"/>
      <c r="B13" s="46" t="str">
        <f>DFIE!$B32</f>
        <v>Schwyz</v>
      </c>
      <c r="C13" s="86">
        <f>NP!E13</f>
        <v>5810320.1000000006</v>
      </c>
      <c r="D13" s="86">
        <f>QS!AA13</f>
        <v>160678.9020305899</v>
      </c>
      <c r="E13" s="86">
        <f>VERM!D13</f>
        <v>1602324.137232</v>
      </c>
      <c r="F13" s="86">
        <f>JP!E13</f>
        <v>2958183.5994000002</v>
      </c>
      <c r="G13" s="86">
        <f>REP!I13</f>
        <v>330.9736856106627</v>
      </c>
      <c r="H13" s="18">
        <f t="shared" si="0"/>
        <v>10531837.712348202</v>
      </c>
      <c r="I13" s="54"/>
    </row>
    <row r="14" spans="1:9" x14ac:dyDescent="0.2">
      <c r="A14" s="357"/>
      <c r="B14" s="47" t="str">
        <f>DFIE!$B33</f>
        <v>Obwalden</v>
      </c>
      <c r="C14" s="95">
        <f>NP!E14</f>
        <v>796973.59999999986</v>
      </c>
      <c r="D14" s="95">
        <f>QS!AA14</f>
        <v>37619.549284221335</v>
      </c>
      <c r="E14" s="95">
        <f>VERM!D14</f>
        <v>171461.51673</v>
      </c>
      <c r="F14" s="95">
        <f>JP!E14</f>
        <v>309677.4657</v>
      </c>
      <c r="G14" s="95">
        <f>REP!I14</f>
        <v>982.85717344206455</v>
      </c>
      <c r="H14" s="22">
        <f t="shared" si="0"/>
        <v>1316714.9888876635</v>
      </c>
      <c r="I14" s="54"/>
    </row>
    <row r="15" spans="1:9" x14ac:dyDescent="0.2">
      <c r="A15" s="357"/>
      <c r="B15" s="46" t="str">
        <f>DFIE!$B34</f>
        <v>Nidwalden</v>
      </c>
      <c r="C15" s="86">
        <f>NP!E15</f>
        <v>1252348.8999999999</v>
      </c>
      <c r="D15" s="86">
        <f>QS!AA15</f>
        <v>39480.162691849138</v>
      </c>
      <c r="E15" s="86">
        <f>VERM!D15</f>
        <v>457503.74306000001</v>
      </c>
      <c r="F15" s="86">
        <f>JP!E15</f>
        <v>560758.02659999998</v>
      </c>
      <c r="G15" s="86">
        <f>REP!I15</f>
        <v>-10602.174748284631</v>
      </c>
      <c r="H15" s="18">
        <f t="shared" si="0"/>
        <v>2299488.6576035642</v>
      </c>
      <c r="I15" s="54"/>
    </row>
    <row r="16" spans="1:9" x14ac:dyDescent="0.2">
      <c r="A16" s="357"/>
      <c r="B16" s="47" t="str">
        <f>DFIE!$B35</f>
        <v>Glarus</v>
      </c>
      <c r="C16" s="95">
        <f>NP!E16</f>
        <v>620533.5</v>
      </c>
      <c r="D16" s="95">
        <f>QS!AA16</f>
        <v>44576.178209182763</v>
      </c>
      <c r="E16" s="95">
        <f>VERM!D16</f>
        <v>108220.714322</v>
      </c>
      <c r="F16" s="95">
        <f>JP!E16</f>
        <v>233663.77160000001</v>
      </c>
      <c r="G16" s="95">
        <f>REP!I16</f>
        <v>10955.498013449869</v>
      </c>
      <c r="H16" s="22">
        <f t="shared" si="0"/>
        <v>1017949.6621446327</v>
      </c>
      <c r="I16" s="54"/>
    </row>
    <row r="17" spans="1:9" x14ac:dyDescent="0.2">
      <c r="A17" s="357"/>
      <c r="B17" s="46" t="str">
        <f>DFIE!$B36</f>
        <v>Zug</v>
      </c>
      <c r="C17" s="86">
        <f>NP!E17</f>
        <v>5148929.9000000004</v>
      </c>
      <c r="D17" s="86">
        <f>QS!AA17</f>
        <v>246531.03845646983</v>
      </c>
      <c r="E17" s="86">
        <f>VERM!D17</f>
        <v>916648.75407000002</v>
      </c>
      <c r="F17" s="86">
        <f>JP!E17</f>
        <v>4472172.1766999997</v>
      </c>
      <c r="G17" s="86">
        <f>REP!I17</f>
        <v>-9313.526719331614</v>
      </c>
      <c r="H17" s="18">
        <f t="shared" si="0"/>
        <v>10774968.342507139</v>
      </c>
      <c r="I17" s="54"/>
    </row>
    <row r="18" spans="1:9" x14ac:dyDescent="0.2">
      <c r="A18" s="357"/>
      <c r="B18" s="47" t="str">
        <f>DFIE!$B37</f>
        <v>Freiburg</v>
      </c>
      <c r="C18" s="95">
        <f>NP!E18</f>
        <v>5333328.3000000007</v>
      </c>
      <c r="D18" s="95">
        <f>QS!AA18</f>
        <v>262273.91970822524</v>
      </c>
      <c r="E18" s="95">
        <f>VERM!D18</f>
        <v>423247.580686</v>
      </c>
      <c r="F18" s="95">
        <f>JP!E18</f>
        <v>2436954.3273</v>
      </c>
      <c r="G18" s="95">
        <f>REP!I18</f>
        <v>-136239.52658992069</v>
      </c>
      <c r="H18" s="22">
        <f t="shared" si="0"/>
        <v>8319564.6011043061</v>
      </c>
      <c r="I18" s="54"/>
    </row>
    <row r="19" spans="1:9" x14ac:dyDescent="0.2">
      <c r="A19" s="357"/>
      <c r="B19" s="46" t="str">
        <f>DFIE!$B38</f>
        <v>Solothurn</v>
      </c>
      <c r="C19" s="86">
        <f>NP!E19</f>
        <v>5015312.9000000004</v>
      </c>
      <c r="D19" s="86">
        <f>QS!AA19</f>
        <v>182729.96896962932</v>
      </c>
      <c r="E19" s="86">
        <f>VERM!D19</f>
        <v>397826.97777200001</v>
      </c>
      <c r="F19" s="86">
        <f>JP!E19</f>
        <v>1082112.1237000001</v>
      </c>
      <c r="G19" s="86">
        <f>REP!I19</f>
        <v>30755.263255348706</v>
      </c>
      <c r="H19" s="18">
        <f t="shared" si="0"/>
        <v>6708737.2336969785</v>
      </c>
      <c r="I19" s="54"/>
    </row>
    <row r="20" spans="1:9" x14ac:dyDescent="0.2">
      <c r="A20" s="357"/>
      <c r="B20" s="47" t="str">
        <f>DFIE!$B39</f>
        <v>Basel-Stadt</v>
      </c>
      <c r="C20" s="95">
        <f>NP!E20</f>
        <v>5101953.8</v>
      </c>
      <c r="D20" s="95">
        <f>QS!AA20</f>
        <v>771173.62477973511</v>
      </c>
      <c r="E20" s="95">
        <f>VERM!D20</f>
        <v>829141.68387399998</v>
      </c>
      <c r="F20" s="95">
        <f>JP!E20</f>
        <v>2902346.6528000003</v>
      </c>
      <c r="G20" s="95">
        <f>REP!I20</f>
        <v>-26955.205714208314</v>
      </c>
      <c r="H20" s="22">
        <f t="shared" si="0"/>
        <v>9577660.5557395257</v>
      </c>
      <c r="I20" s="54"/>
    </row>
    <row r="21" spans="1:9" x14ac:dyDescent="0.2">
      <c r="A21" s="357"/>
      <c r="B21" s="46" t="str">
        <f>DFIE!$B40</f>
        <v>Basel-Landschaft</v>
      </c>
      <c r="C21" s="86">
        <f>NP!E21</f>
        <v>7090119.2000000002</v>
      </c>
      <c r="D21" s="86">
        <f>QS!AA21</f>
        <v>416434.49725221377</v>
      </c>
      <c r="E21" s="86">
        <f>VERM!D21</f>
        <v>613539.58413999993</v>
      </c>
      <c r="F21" s="86">
        <f>JP!E21</f>
        <v>1591671.3447</v>
      </c>
      <c r="G21" s="86">
        <f>REP!I21</f>
        <v>-26758.490906951374</v>
      </c>
      <c r="H21" s="18">
        <f t="shared" si="0"/>
        <v>9685006.1351852622</v>
      </c>
      <c r="I21" s="54"/>
    </row>
    <row r="22" spans="1:9" x14ac:dyDescent="0.2">
      <c r="A22" s="357"/>
      <c r="B22" s="47" t="str">
        <f>DFIE!$B41</f>
        <v>Schaffhausen</v>
      </c>
      <c r="C22" s="95">
        <f>NP!E22</f>
        <v>1414173.4000000001</v>
      </c>
      <c r="D22" s="95">
        <f>QS!AA22</f>
        <v>157978.09487027585</v>
      </c>
      <c r="E22" s="95">
        <f>VERM!D22</f>
        <v>192537.74897000002</v>
      </c>
      <c r="F22" s="95">
        <f>JP!E22</f>
        <v>764061.54890000005</v>
      </c>
      <c r="G22" s="95">
        <f>REP!I22</f>
        <v>10168.866281981018</v>
      </c>
      <c r="H22" s="22">
        <f t="shared" si="0"/>
        <v>2538919.6590222572</v>
      </c>
      <c r="I22" s="54"/>
    </row>
    <row r="23" spans="1:9" x14ac:dyDescent="0.2">
      <c r="A23" s="357"/>
      <c r="B23" s="46" t="str">
        <f>DFIE!$B42</f>
        <v>Appenzell A.Rh.</v>
      </c>
      <c r="C23" s="86">
        <f>NP!E23</f>
        <v>1044040.8999999999</v>
      </c>
      <c r="D23" s="86">
        <f>QS!AA23</f>
        <v>16176.789719056032</v>
      </c>
      <c r="E23" s="86">
        <f>VERM!D23</f>
        <v>205964.52494800001</v>
      </c>
      <c r="F23" s="86">
        <f>JP!E23</f>
        <v>365997.56040000002</v>
      </c>
      <c r="G23" s="86">
        <f>REP!I23</f>
        <v>-2998.5869938881733</v>
      </c>
      <c r="H23" s="18">
        <f t="shared" si="0"/>
        <v>1629181.1880731678</v>
      </c>
      <c r="I23" s="54"/>
    </row>
    <row r="24" spans="1:9" x14ac:dyDescent="0.2">
      <c r="A24" s="357"/>
      <c r="B24" s="47" t="str">
        <f>DFIE!$B43</f>
        <v>Appenzell I.Rh.</v>
      </c>
      <c r="C24" s="95">
        <f>NP!E24</f>
        <v>313380.19999999995</v>
      </c>
      <c r="D24" s="95">
        <f>QS!AA24</f>
        <v>10199.356564433147</v>
      </c>
      <c r="E24" s="95">
        <f>VERM!D24</f>
        <v>73454.065482000005</v>
      </c>
      <c r="F24" s="95">
        <f>JP!E24</f>
        <v>118537.1418</v>
      </c>
      <c r="G24" s="95">
        <f>REP!I24</f>
        <v>148.13069783676167</v>
      </c>
      <c r="H24" s="22">
        <f t="shared" si="0"/>
        <v>515718.89454426983</v>
      </c>
      <c r="I24" s="54"/>
    </row>
    <row r="25" spans="1:9" x14ac:dyDescent="0.2">
      <c r="A25" s="357"/>
      <c r="B25" s="46" t="str">
        <f>DFIE!$B44</f>
        <v>St. Gallen</v>
      </c>
      <c r="C25" s="86">
        <f>NP!E25</f>
        <v>8485116.1999999993</v>
      </c>
      <c r="D25" s="86">
        <f>QS!AA25</f>
        <v>459375.59573729045</v>
      </c>
      <c r="E25" s="86">
        <f>VERM!D25</f>
        <v>1513112.7762799999</v>
      </c>
      <c r="F25" s="86">
        <f>JP!E25</f>
        <v>3766771.9241999998</v>
      </c>
      <c r="G25" s="86">
        <f>REP!I25</f>
        <v>-13903.46747088636</v>
      </c>
      <c r="H25" s="18">
        <f t="shared" si="0"/>
        <v>14210473.028746404</v>
      </c>
      <c r="I25" s="54"/>
    </row>
    <row r="26" spans="1:9" x14ac:dyDescent="0.2">
      <c r="A26" s="357"/>
      <c r="B26" s="47" t="str">
        <f>DFIE!$B45</f>
        <v>Graubünden</v>
      </c>
      <c r="C26" s="95">
        <f>NP!E26</f>
        <v>3580407.8</v>
      </c>
      <c r="D26" s="95">
        <f>QS!AA26</f>
        <v>403082.54997997265</v>
      </c>
      <c r="E26" s="95">
        <f>VERM!D26</f>
        <v>871421.63810800004</v>
      </c>
      <c r="F26" s="95">
        <f>JP!E26</f>
        <v>955799.17359999998</v>
      </c>
      <c r="G26" s="95">
        <f>REP!I26</f>
        <v>87864.407726805162</v>
      </c>
      <c r="H26" s="22">
        <f t="shared" si="0"/>
        <v>5898575.5694147777</v>
      </c>
      <c r="I26" s="54"/>
    </row>
    <row r="27" spans="1:9" x14ac:dyDescent="0.2">
      <c r="A27" s="357"/>
      <c r="B27" s="46" t="str">
        <f>DFIE!$B46</f>
        <v>Aargau</v>
      </c>
      <c r="C27" s="86">
        <f>NP!E27</f>
        <v>13265351.6</v>
      </c>
      <c r="D27" s="86">
        <f>QS!AA27</f>
        <v>713224.99249996548</v>
      </c>
      <c r="E27" s="86">
        <f>VERM!D27</f>
        <v>1655454.832626</v>
      </c>
      <c r="F27" s="86">
        <f>JP!E27</f>
        <v>3225091.4839000003</v>
      </c>
      <c r="G27" s="86">
        <f>REP!I27</f>
        <v>-9535.424156428975</v>
      </c>
      <c r="H27" s="18">
        <f t="shared" si="0"/>
        <v>18849587.48486954</v>
      </c>
      <c r="I27" s="54"/>
    </row>
    <row r="28" spans="1:9" x14ac:dyDescent="0.2">
      <c r="A28" s="357"/>
      <c r="B28" s="47" t="str">
        <f>DFIE!$B47</f>
        <v>Thurgau</v>
      </c>
      <c r="C28" s="95">
        <f>NP!E28</f>
        <v>4980964.2999999989</v>
      </c>
      <c r="D28" s="95">
        <f>QS!AA28</f>
        <v>307418.75376338843</v>
      </c>
      <c r="E28" s="95">
        <f>VERM!D28</f>
        <v>806275.01359999995</v>
      </c>
      <c r="F28" s="95">
        <f>JP!E28</f>
        <v>1324596.0828000002</v>
      </c>
      <c r="G28" s="95">
        <f>REP!I28</f>
        <v>17024.382046098654</v>
      </c>
      <c r="H28" s="22">
        <f t="shared" si="0"/>
        <v>7436278.5322094867</v>
      </c>
      <c r="I28" s="54"/>
    </row>
    <row r="29" spans="1:9" x14ac:dyDescent="0.2">
      <c r="A29" s="357"/>
      <c r="B29" s="46" t="str">
        <f>DFIE!$B48</f>
        <v>Tessin</v>
      </c>
      <c r="C29" s="86">
        <f>NP!E29</f>
        <v>6962228.5999999996</v>
      </c>
      <c r="D29" s="86">
        <f>QS!AA29</f>
        <v>1131278.174605875</v>
      </c>
      <c r="E29" s="86">
        <f>VERM!D29</f>
        <v>930024.03271399997</v>
      </c>
      <c r="F29" s="86">
        <f>JP!E29</f>
        <v>2865855.3408000004</v>
      </c>
      <c r="G29" s="86">
        <f>REP!I29</f>
        <v>70156.104539927226</v>
      </c>
      <c r="H29" s="18">
        <f t="shared" si="0"/>
        <v>11959542.252659803</v>
      </c>
      <c r="I29" s="54"/>
    </row>
    <row r="30" spans="1:9" x14ac:dyDescent="0.2">
      <c r="A30" s="357"/>
      <c r="B30" s="47" t="str">
        <f>DFIE!$B49</f>
        <v>Waadt</v>
      </c>
      <c r="C30" s="95">
        <f>NP!E30</f>
        <v>17777305.099999998</v>
      </c>
      <c r="D30" s="95">
        <f>QS!AA30</f>
        <v>1370200.6311672414</v>
      </c>
      <c r="E30" s="95">
        <f>VERM!D30</f>
        <v>2075067.657936</v>
      </c>
      <c r="F30" s="95">
        <f>JP!E30</f>
        <v>6190200.4636000004</v>
      </c>
      <c r="G30" s="95">
        <f>REP!I30</f>
        <v>-68543.602743397423</v>
      </c>
      <c r="H30" s="22">
        <f t="shared" si="0"/>
        <v>27344230.249959838</v>
      </c>
      <c r="I30" s="54"/>
    </row>
    <row r="31" spans="1:9" x14ac:dyDescent="0.2">
      <c r="A31" s="357"/>
      <c r="B31" s="46" t="str">
        <f>DFIE!$B50</f>
        <v>Wallis</v>
      </c>
      <c r="C31" s="86">
        <f>NP!E31</f>
        <v>5343786.8000000007</v>
      </c>
      <c r="D31" s="86">
        <f>QS!AA31</f>
        <v>482582.1661169572</v>
      </c>
      <c r="E31" s="86">
        <f>VERM!D31</f>
        <v>757755.848948</v>
      </c>
      <c r="F31" s="86">
        <f>JP!E31</f>
        <v>1271419.4846000001</v>
      </c>
      <c r="G31" s="86">
        <f>REP!I31</f>
        <v>85029.650750185116</v>
      </c>
      <c r="H31" s="18">
        <f t="shared" si="0"/>
        <v>7940573.9504151437</v>
      </c>
      <c r="I31" s="54"/>
    </row>
    <row r="32" spans="1:9" x14ac:dyDescent="0.2">
      <c r="A32" s="357"/>
      <c r="B32" s="47" t="str">
        <f>DFIE!$B51</f>
        <v>Neuenburg</v>
      </c>
      <c r="C32" s="95">
        <f>NP!E32</f>
        <v>2927109.3000000003</v>
      </c>
      <c r="D32" s="95">
        <f>QS!AA32</f>
        <v>287734.53790262068</v>
      </c>
      <c r="E32" s="95">
        <f>VERM!D32</f>
        <v>270944.75821</v>
      </c>
      <c r="F32" s="95">
        <f>JP!E32</f>
        <v>1530851.2097</v>
      </c>
      <c r="G32" s="95">
        <f>REP!I32</f>
        <v>100944.81536869246</v>
      </c>
      <c r="H32" s="22">
        <f t="shared" si="0"/>
        <v>5117584.6211813139</v>
      </c>
      <c r="I32" s="54"/>
    </row>
    <row r="33" spans="1:9" x14ac:dyDescent="0.2">
      <c r="A33" s="357"/>
      <c r="B33" s="46" t="str">
        <f>DFIE!$B52</f>
        <v>Genf</v>
      </c>
      <c r="C33" s="86">
        <f>NP!E33</f>
        <v>13158126.5</v>
      </c>
      <c r="D33" s="86">
        <f>QS!AA33</f>
        <v>2454917.811528855</v>
      </c>
      <c r="E33" s="86">
        <f>VERM!D33</f>
        <v>1761715.7003599999</v>
      </c>
      <c r="F33" s="86">
        <f>JP!E33</f>
        <v>5991921.5356999999</v>
      </c>
      <c r="G33" s="86">
        <f>REP!I33</f>
        <v>117994.3947649911</v>
      </c>
      <c r="H33" s="18">
        <f t="shared" si="0"/>
        <v>23484675.942353845</v>
      </c>
      <c r="I33" s="54"/>
    </row>
    <row r="34" spans="1:9" x14ac:dyDescent="0.2">
      <c r="A34" s="357"/>
      <c r="B34" s="47" t="str">
        <f>DFIE!$B53</f>
        <v>Jura</v>
      </c>
      <c r="C34" s="95">
        <f>NP!E34</f>
        <v>1001204.7</v>
      </c>
      <c r="D34" s="95">
        <f>QS!AA34</f>
        <v>106485.53834172411</v>
      </c>
      <c r="E34" s="95">
        <f>VERM!D34</f>
        <v>104442.04400000001</v>
      </c>
      <c r="F34" s="95">
        <f>JP!E34</f>
        <v>406594.26630000002</v>
      </c>
      <c r="G34" s="95">
        <f>REP!I34</f>
        <v>26195.017778571269</v>
      </c>
      <c r="H34" s="22">
        <f t="shared" si="0"/>
        <v>1644921.5664202953</v>
      </c>
      <c r="I34" s="54"/>
    </row>
    <row r="35" spans="1:9" x14ac:dyDescent="0.2">
      <c r="A35" s="357"/>
      <c r="B35" s="24" t="str">
        <f>DFIE!$B54</f>
        <v>Schweiz</v>
      </c>
      <c r="C35" s="31">
        <f t="shared" ref="C35:H35" si="1">SUM(C9:C34)</f>
        <v>181691296.00000003</v>
      </c>
      <c r="D35" s="31">
        <f t="shared" si="1"/>
        <v>13313683.222171463</v>
      </c>
      <c r="E35" s="31">
        <f t="shared" si="1"/>
        <v>26165325.949364003</v>
      </c>
      <c r="F35" s="31">
        <f t="shared" si="1"/>
        <v>73240285.641300008</v>
      </c>
      <c r="G35" s="31">
        <f t="shared" si="1"/>
        <v>44354.805193749286</v>
      </c>
      <c r="H35" s="26">
        <f t="shared" si="1"/>
        <v>294454945.61802918</v>
      </c>
      <c r="I35" s="56"/>
    </row>
    <row r="36" spans="1:9" ht="15" customHeight="1" x14ac:dyDescent="0.25">
      <c r="A36" s="32"/>
      <c r="B36" s="82"/>
      <c r="C36" s="177"/>
      <c r="D36" s="177"/>
      <c r="E36" s="177"/>
      <c r="F36" s="177"/>
      <c r="G36" s="177"/>
      <c r="H36" s="177"/>
    </row>
    <row r="37" spans="1:9" x14ac:dyDescent="0.2">
      <c r="A37" s="358" t="str">
        <f>DFIE!B70</f>
        <v>Bemessungsjahr 2017</v>
      </c>
      <c r="B37" s="48" t="str">
        <f>DFIE!$B28</f>
        <v>Zürich</v>
      </c>
      <c r="C37" s="96">
        <f>NP!E37</f>
        <v>40640215.799999997</v>
      </c>
      <c r="D37" s="96">
        <f>QS!AA37</f>
        <v>2346098.6329752933</v>
      </c>
      <c r="E37" s="96">
        <f>VERM!G9</f>
        <v>6120335.6059999997</v>
      </c>
      <c r="F37" s="96">
        <f>JP!E37</f>
        <v>18468880.337400001</v>
      </c>
      <c r="G37" s="96">
        <f>REP!I37</f>
        <v>-42644.768073668522</v>
      </c>
      <c r="H37" s="50">
        <f t="shared" ref="H37:H62" si="2">SUM(C37:G37)</f>
        <v>67532885.608301625</v>
      </c>
      <c r="I37" s="57"/>
    </row>
    <row r="38" spans="1:9" x14ac:dyDescent="0.2">
      <c r="A38" s="358"/>
      <c r="B38" s="47" t="str">
        <f>DFIE!$B29</f>
        <v>Bern</v>
      </c>
      <c r="C38" s="95">
        <f>NP!E38</f>
        <v>18181833.099999998</v>
      </c>
      <c r="D38" s="95">
        <f>QS!AA38</f>
        <v>612315.97463602445</v>
      </c>
      <c r="E38" s="95">
        <f>VERM!G10</f>
        <v>2505442.327416</v>
      </c>
      <c r="F38" s="95">
        <f>JP!E38</f>
        <v>9903221.1739000008</v>
      </c>
      <c r="G38" s="95">
        <f>REP!I38</f>
        <v>-556251.03253392642</v>
      </c>
      <c r="H38" s="22">
        <f t="shared" si="2"/>
        <v>30646561.543418098</v>
      </c>
      <c r="I38" s="57"/>
    </row>
    <row r="39" spans="1:9" x14ac:dyDescent="0.2">
      <c r="A39" s="358"/>
      <c r="B39" s="46" t="str">
        <f>DFIE!$B30</f>
        <v>Luzern</v>
      </c>
      <c r="C39" s="86">
        <f>NP!E39</f>
        <v>8003688.3999999994</v>
      </c>
      <c r="D39" s="86">
        <f>QS!AA39</f>
        <v>313749.93702941487</v>
      </c>
      <c r="E39" s="86">
        <f>VERM!G11</f>
        <v>1327132.031652</v>
      </c>
      <c r="F39" s="86">
        <f>JP!E39</f>
        <v>3828511.9699999997</v>
      </c>
      <c r="G39" s="86">
        <f>REP!I39</f>
        <v>-59544.399348939434</v>
      </c>
      <c r="H39" s="18">
        <f t="shared" si="2"/>
        <v>13413537.939332476</v>
      </c>
      <c r="I39" s="57"/>
    </row>
    <row r="40" spans="1:9" x14ac:dyDescent="0.2">
      <c r="A40" s="358"/>
      <c r="B40" s="47" t="str">
        <f>DFIE!$B31</f>
        <v>Uri</v>
      </c>
      <c r="C40" s="95">
        <f>NP!E40</f>
        <v>587163.80000000005</v>
      </c>
      <c r="D40" s="95">
        <f>QS!AA40</f>
        <v>30438.897135612067</v>
      </c>
      <c r="E40" s="95">
        <f>VERM!G12</f>
        <v>101459.20239000001</v>
      </c>
      <c r="F40" s="95">
        <f>JP!E40</f>
        <v>215869.85399999999</v>
      </c>
      <c r="G40" s="95">
        <f>REP!I40</f>
        <v>3252.790071299265</v>
      </c>
      <c r="H40" s="22">
        <f t="shared" si="2"/>
        <v>938184.54359691148</v>
      </c>
      <c r="I40" s="57"/>
    </row>
    <row r="41" spans="1:9" x14ac:dyDescent="0.2">
      <c r="A41" s="358"/>
      <c r="B41" s="46" t="str">
        <f>DFIE!$B32</f>
        <v>Schwyz</v>
      </c>
      <c r="C41" s="86">
        <f>NP!E41</f>
        <v>5980239.2999999989</v>
      </c>
      <c r="D41" s="86">
        <f>QS!AA41</f>
        <v>159910.64129978148</v>
      </c>
      <c r="E41" s="86">
        <f>VERM!G13</f>
        <v>1738721.343814</v>
      </c>
      <c r="F41" s="86">
        <f>JP!E41</f>
        <v>1775403.4025999999</v>
      </c>
      <c r="G41" s="86">
        <f>REP!I41</f>
        <v>-12913.860282102838</v>
      </c>
      <c r="H41" s="18">
        <f t="shared" si="2"/>
        <v>9641360.8274316769</v>
      </c>
      <c r="I41" s="57"/>
    </row>
    <row r="42" spans="1:9" x14ac:dyDescent="0.2">
      <c r="A42" s="358"/>
      <c r="B42" s="47" t="str">
        <f>DFIE!$B33</f>
        <v>Obwalden</v>
      </c>
      <c r="C42" s="95">
        <f>NP!E42</f>
        <v>877024</v>
      </c>
      <c r="D42" s="95">
        <f>QS!AA42</f>
        <v>39346.130326959668</v>
      </c>
      <c r="E42" s="95">
        <f>VERM!G14</f>
        <v>192402.609952</v>
      </c>
      <c r="F42" s="95">
        <f>JP!E42</f>
        <v>315160.8027</v>
      </c>
      <c r="G42" s="95">
        <f>REP!I42</f>
        <v>-65.583392124481449</v>
      </c>
      <c r="H42" s="22">
        <f t="shared" si="2"/>
        <v>1423867.9595868352</v>
      </c>
      <c r="I42" s="57"/>
    </row>
    <row r="43" spans="1:9" x14ac:dyDescent="0.2">
      <c r="A43" s="358"/>
      <c r="B43" s="46" t="str">
        <f>DFIE!$B34</f>
        <v>Nidwalden</v>
      </c>
      <c r="C43" s="86">
        <f>NP!E43</f>
        <v>1314997.6000000001</v>
      </c>
      <c r="D43" s="86">
        <f>QS!AA43</f>
        <v>42493.798491657326</v>
      </c>
      <c r="E43" s="86">
        <f>VERM!G15</f>
        <v>502232.76637800003</v>
      </c>
      <c r="F43" s="86">
        <f>JP!E43</f>
        <v>561044.08030000003</v>
      </c>
      <c r="G43" s="86">
        <f>REP!I43</f>
        <v>10727.529861366895</v>
      </c>
      <c r="H43" s="18">
        <f t="shared" si="2"/>
        <v>2431495.7750310241</v>
      </c>
      <c r="I43" s="57"/>
    </row>
    <row r="44" spans="1:9" x14ac:dyDescent="0.2">
      <c r="A44" s="358"/>
      <c r="B44" s="47" t="str">
        <f>DFIE!$B35</f>
        <v>Glarus</v>
      </c>
      <c r="C44" s="95">
        <f>NP!E44</f>
        <v>630573.29999999981</v>
      </c>
      <c r="D44" s="95">
        <f>QS!AA44</f>
        <v>45717.272521420688</v>
      </c>
      <c r="E44" s="95">
        <f>VERM!G16</f>
        <v>114641.81869</v>
      </c>
      <c r="F44" s="95">
        <f>JP!E44</f>
        <v>289801.7378</v>
      </c>
      <c r="G44" s="95">
        <f>REP!I44</f>
        <v>8284.4392493625928</v>
      </c>
      <c r="H44" s="22">
        <f t="shared" si="2"/>
        <v>1089018.5682607831</v>
      </c>
      <c r="I44" s="57"/>
    </row>
    <row r="45" spans="1:9" x14ac:dyDescent="0.2">
      <c r="A45" s="358"/>
      <c r="B45" s="46" t="str">
        <f>DFIE!$B36</f>
        <v>Zug</v>
      </c>
      <c r="C45" s="86">
        <f>NP!E45</f>
        <v>5428179.4000000004</v>
      </c>
      <c r="D45" s="86">
        <f>QS!AA45</f>
        <v>262908.77001744939</v>
      </c>
      <c r="E45" s="86">
        <f>VERM!G17</f>
        <v>1008404.106556</v>
      </c>
      <c r="F45" s="86">
        <f>JP!E45</f>
        <v>4864074.3069000002</v>
      </c>
      <c r="G45" s="86">
        <f>REP!I45</f>
        <v>4260.7161934509013</v>
      </c>
      <c r="H45" s="18">
        <f t="shared" si="2"/>
        <v>11567827.299666902</v>
      </c>
      <c r="I45" s="57"/>
    </row>
    <row r="46" spans="1:9" x14ac:dyDescent="0.2">
      <c r="A46" s="358"/>
      <c r="B46" s="47" t="str">
        <f>DFIE!$B37</f>
        <v>Freiburg</v>
      </c>
      <c r="C46" s="95">
        <f>NP!E46</f>
        <v>5467173.1999999993</v>
      </c>
      <c r="D46" s="95">
        <f>QS!AA46</f>
        <v>262549.67826026445</v>
      </c>
      <c r="E46" s="95">
        <f>VERM!G18</f>
        <v>445541.97345000005</v>
      </c>
      <c r="F46" s="95">
        <f>JP!E46</f>
        <v>1967401.1926000002</v>
      </c>
      <c r="G46" s="95">
        <f>REP!I46</f>
        <v>-193271.00982259918</v>
      </c>
      <c r="H46" s="22">
        <f t="shared" si="2"/>
        <v>7949395.0344876647</v>
      </c>
      <c r="I46" s="57"/>
    </row>
    <row r="47" spans="1:9" x14ac:dyDescent="0.2">
      <c r="A47" s="358"/>
      <c r="B47" s="46" t="str">
        <f>DFIE!$B38</f>
        <v>Solothurn</v>
      </c>
      <c r="C47" s="86">
        <f>NP!E47</f>
        <v>5172541.5</v>
      </c>
      <c r="D47" s="86">
        <f>QS!AA47</f>
        <v>246988.47893938154</v>
      </c>
      <c r="E47" s="86">
        <f>VERM!G19</f>
        <v>404347.41253199999</v>
      </c>
      <c r="F47" s="86">
        <f>JP!E47</f>
        <v>1071357.1557999998</v>
      </c>
      <c r="G47" s="86">
        <f>REP!I47</f>
        <v>40828.651920521079</v>
      </c>
      <c r="H47" s="18">
        <f t="shared" si="2"/>
        <v>6936063.1991919018</v>
      </c>
      <c r="I47" s="57"/>
    </row>
    <row r="48" spans="1:9" x14ac:dyDescent="0.2">
      <c r="A48" s="358"/>
      <c r="B48" s="47" t="str">
        <f>DFIE!$B39</f>
        <v>Basel-Stadt</v>
      </c>
      <c r="C48" s="95">
        <f>NP!E48</f>
        <v>5227968.5999999996</v>
      </c>
      <c r="D48" s="95">
        <f>QS!AA48</f>
        <v>794412.68343534716</v>
      </c>
      <c r="E48" s="95">
        <f>VERM!G20</f>
        <v>882287.91480200004</v>
      </c>
      <c r="F48" s="95">
        <f>JP!E48</f>
        <v>3394747.7950999998</v>
      </c>
      <c r="G48" s="95">
        <f>REP!I48</f>
        <v>-123858.72860373558</v>
      </c>
      <c r="H48" s="22">
        <f t="shared" si="2"/>
        <v>10175558.264733611</v>
      </c>
      <c r="I48" s="57"/>
    </row>
    <row r="49" spans="1:9" x14ac:dyDescent="0.2">
      <c r="A49" s="358"/>
      <c r="B49" s="46" t="str">
        <f>DFIE!$B40</f>
        <v>Basel-Landschaft</v>
      </c>
      <c r="C49" s="86">
        <f>NP!E49</f>
        <v>7513561.0999999996</v>
      </c>
      <c r="D49" s="86">
        <f>QS!AA49</f>
        <v>428404.59333384794</v>
      </c>
      <c r="E49" s="86">
        <f>VERM!G21</f>
        <v>677455.02178200008</v>
      </c>
      <c r="F49" s="86">
        <f>JP!E49</f>
        <v>1634310.3004999999</v>
      </c>
      <c r="G49" s="86">
        <f>REP!I49</f>
        <v>2120.9763397321763</v>
      </c>
      <c r="H49" s="18">
        <f t="shared" si="2"/>
        <v>10255851.991955578</v>
      </c>
      <c r="I49" s="57"/>
    </row>
    <row r="50" spans="1:9" x14ac:dyDescent="0.2">
      <c r="A50" s="358"/>
      <c r="B50" s="47" t="str">
        <f>DFIE!$B41</f>
        <v>Schaffhausen</v>
      </c>
      <c r="C50" s="95">
        <f>NP!E50</f>
        <v>1460139.7</v>
      </c>
      <c r="D50" s="95">
        <f>QS!AA50</f>
        <v>158687.89878017025</v>
      </c>
      <c r="E50" s="95">
        <f>VERM!G22</f>
        <v>209961.69293399999</v>
      </c>
      <c r="F50" s="95">
        <f>JP!E50</f>
        <v>1086361.4388000001</v>
      </c>
      <c r="G50" s="95">
        <f>REP!I50</f>
        <v>15928.930355772505</v>
      </c>
      <c r="H50" s="22">
        <f t="shared" si="2"/>
        <v>2931079.6608699425</v>
      </c>
      <c r="I50" s="57"/>
    </row>
    <row r="51" spans="1:9" x14ac:dyDescent="0.2">
      <c r="A51" s="358"/>
      <c r="B51" s="46" t="str">
        <f>DFIE!$B42</f>
        <v>Appenzell A.Rh.</v>
      </c>
      <c r="C51" s="86">
        <f>NP!E51</f>
        <v>1064654</v>
      </c>
      <c r="D51" s="86">
        <f>QS!AA51</f>
        <v>16366.755036806033</v>
      </c>
      <c r="E51" s="86">
        <f>VERM!G23</f>
        <v>221346.95832199999</v>
      </c>
      <c r="F51" s="86">
        <f>JP!E51</f>
        <v>398996.27269999997</v>
      </c>
      <c r="G51" s="86">
        <f>REP!I51</f>
        <v>-4650.8842193772844</v>
      </c>
      <c r="H51" s="18">
        <f t="shared" si="2"/>
        <v>1696713.1018394288</v>
      </c>
      <c r="I51" s="57"/>
    </row>
    <row r="52" spans="1:9" x14ac:dyDescent="0.2">
      <c r="A52" s="358"/>
      <c r="B52" s="47" t="str">
        <f>DFIE!$B43</f>
        <v>Appenzell I.Rh.</v>
      </c>
      <c r="C52" s="95">
        <f>NP!E52</f>
        <v>347798.5</v>
      </c>
      <c r="D52" s="95">
        <f>QS!AA52</f>
        <v>9669.7364052553348</v>
      </c>
      <c r="E52" s="95">
        <f>VERM!G24</f>
        <v>81583.158020000003</v>
      </c>
      <c r="F52" s="95">
        <f>JP!E52</f>
        <v>121355.194</v>
      </c>
      <c r="G52" s="95">
        <f>REP!I52</f>
        <v>1772.9855588579067</v>
      </c>
      <c r="H52" s="22">
        <f t="shared" si="2"/>
        <v>562179.57398411329</v>
      </c>
      <c r="I52" s="57"/>
    </row>
    <row r="53" spans="1:9" x14ac:dyDescent="0.2">
      <c r="A53" s="358"/>
      <c r="B53" s="46" t="str">
        <f>DFIE!$B44</f>
        <v>St. Gallen</v>
      </c>
      <c r="C53" s="86">
        <f>NP!E53</f>
        <v>8619057.1999999993</v>
      </c>
      <c r="D53" s="86">
        <f>QS!AA53</f>
        <v>482904.67039930902</v>
      </c>
      <c r="E53" s="86">
        <f>VERM!G25</f>
        <v>1606127.8546180001</v>
      </c>
      <c r="F53" s="86">
        <f>JP!E53</f>
        <v>4536426.4193000002</v>
      </c>
      <c r="G53" s="86">
        <f>REP!I53</f>
        <v>4668.0483117648446</v>
      </c>
      <c r="H53" s="18">
        <f t="shared" si="2"/>
        <v>15249184.192629071</v>
      </c>
      <c r="I53" s="57"/>
    </row>
    <row r="54" spans="1:9" x14ac:dyDescent="0.2">
      <c r="A54" s="358"/>
      <c r="B54" s="47" t="str">
        <f>DFIE!$B45</f>
        <v>Graubünden</v>
      </c>
      <c r="C54" s="95">
        <f>NP!E54</f>
        <v>3648255.1</v>
      </c>
      <c r="D54" s="95">
        <f>QS!AA54</f>
        <v>418528.67885814281</v>
      </c>
      <c r="E54" s="95">
        <f>VERM!G26</f>
        <v>918440.69973600004</v>
      </c>
      <c r="F54" s="95">
        <f>JP!E54</f>
        <v>1017405.096</v>
      </c>
      <c r="G54" s="95">
        <f>REP!I54</f>
        <v>113607.62549826928</v>
      </c>
      <c r="H54" s="22">
        <f t="shared" si="2"/>
        <v>6116237.2000924125</v>
      </c>
      <c r="I54" s="57"/>
    </row>
    <row r="55" spans="1:9" x14ac:dyDescent="0.2">
      <c r="A55" s="358"/>
      <c r="B55" s="46" t="str">
        <f>DFIE!$B46</f>
        <v>Aargau</v>
      </c>
      <c r="C55" s="86">
        <f>NP!E55</f>
        <v>13529745.1</v>
      </c>
      <c r="D55" s="86">
        <f>QS!AA55</f>
        <v>748792.45978102204</v>
      </c>
      <c r="E55" s="86">
        <f>VERM!G27</f>
        <v>1764039.14029</v>
      </c>
      <c r="F55" s="86">
        <f>JP!E55</f>
        <v>3492252.2523000003</v>
      </c>
      <c r="G55" s="86">
        <f>REP!I55</f>
        <v>102113.66826877471</v>
      </c>
      <c r="H55" s="18">
        <f t="shared" si="2"/>
        <v>19636942.620639797</v>
      </c>
      <c r="I55" s="57"/>
    </row>
    <row r="56" spans="1:9" x14ac:dyDescent="0.2">
      <c r="A56" s="358"/>
      <c r="B56" s="47" t="str">
        <f>DFIE!$B47</f>
        <v>Thurgau</v>
      </c>
      <c r="C56" s="95">
        <f>NP!E56</f>
        <v>5150463.6000000006</v>
      </c>
      <c r="D56" s="95">
        <f>QS!AA56</f>
        <v>285081.89860101393</v>
      </c>
      <c r="E56" s="95">
        <f>VERM!G28</f>
        <v>845614.33740000008</v>
      </c>
      <c r="F56" s="95">
        <f>JP!E56</f>
        <v>1535839.4982999999</v>
      </c>
      <c r="G56" s="95">
        <f>REP!I56</f>
        <v>10485.834174564212</v>
      </c>
      <c r="H56" s="22">
        <f t="shared" si="2"/>
        <v>7827485.1684755785</v>
      </c>
      <c r="I56" s="57"/>
    </row>
    <row r="57" spans="1:9" x14ac:dyDescent="0.2">
      <c r="A57" s="358"/>
      <c r="B57" s="46" t="str">
        <f>DFIE!$B48</f>
        <v>Tessin</v>
      </c>
      <c r="C57" s="86">
        <f>NP!E57</f>
        <v>7092936.2999999998</v>
      </c>
      <c r="D57" s="86">
        <f>QS!AA57</f>
        <v>1156618.7642178624</v>
      </c>
      <c r="E57" s="86">
        <f>VERM!G29</f>
        <v>1063501.0247539999</v>
      </c>
      <c r="F57" s="86">
        <f>JP!E57</f>
        <v>3060842.031</v>
      </c>
      <c r="G57" s="86">
        <f>REP!I57</f>
        <v>97112.969808718946</v>
      </c>
      <c r="H57" s="18">
        <f t="shared" si="2"/>
        <v>12471011.089780578</v>
      </c>
      <c r="I57" s="57"/>
    </row>
    <row r="58" spans="1:9" x14ac:dyDescent="0.2">
      <c r="A58" s="358"/>
      <c r="B58" s="47" t="str">
        <f>DFIE!$B49</f>
        <v>Waadt</v>
      </c>
      <c r="C58" s="95">
        <f>NP!E58</f>
        <v>18339222</v>
      </c>
      <c r="D58" s="95">
        <f>QS!AA58</f>
        <v>1388468.7146454826</v>
      </c>
      <c r="E58" s="95">
        <f>VERM!G30</f>
        <v>2191582.732332</v>
      </c>
      <c r="F58" s="95">
        <f>JP!E58</f>
        <v>6681435.3270999994</v>
      </c>
      <c r="G58" s="95">
        <f>REP!I58</f>
        <v>128200.30602984336</v>
      </c>
      <c r="H58" s="22">
        <f t="shared" si="2"/>
        <v>28728909.080107328</v>
      </c>
      <c r="I58" s="57"/>
    </row>
    <row r="59" spans="1:9" x14ac:dyDescent="0.2">
      <c r="A59" s="358"/>
      <c r="B59" s="46" t="str">
        <f>DFIE!$B50</f>
        <v>Wallis</v>
      </c>
      <c r="C59" s="86">
        <f>NP!E59</f>
        <v>5424417.6999999993</v>
      </c>
      <c r="D59" s="86">
        <f>QS!AA59</f>
        <v>421265.5525812672</v>
      </c>
      <c r="E59" s="86">
        <f>VERM!G31</f>
        <v>799482.74211400002</v>
      </c>
      <c r="F59" s="86">
        <f>JP!E59</f>
        <v>1251314.1455000001</v>
      </c>
      <c r="G59" s="86">
        <f>REP!I59</f>
        <v>75821.653613519171</v>
      </c>
      <c r="H59" s="18">
        <f t="shared" si="2"/>
        <v>7972301.7938087862</v>
      </c>
      <c r="I59" s="57"/>
    </row>
    <row r="60" spans="1:9" x14ac:dyDescent="0.2">
      <c r="A60" s="358"/>
      <c r="B60" s="47" t="str">
        <f>DFIE!$B51</f>
        <v>Neuenburg</v>
      </c>
      <c r="C60" s="95">
        <f>NP!E60</f>
        <v>2976447.9000000004</v>
      </c>
      <c r="D60" s="95">
        <f>QS!AA60</f>
        <v>279308.45230395684</v>
      </c>
      <c r="E60" s="95">
        <f>VERM!G32</f>
        <v>279008.73714000004</v>
      </c>
      <c r="F60" s="95">
        <f>JP!E60</f>
        <v>1529387.0633</v>
      </c>
      <c r="G60" s="95">
        <f>REP!I60</f>
        <v>37131.431025595273</v>
      </c>
      <c r="H60" s="22">
        <f t="shared" si="2"/>
        <v>5101283.5837695524</v>
      </c>
      <c r="I60" s="57"/>
    </row>
    <row r="61" spans="1:9" x14ac:dyDescent="0.2">
      <c r="A61" s="358"/>
      <c r="B61" s="46" t="str">
        <f>DFIE!$B52</f>
        <v>Genf</v>
      </c>
      <c r="C61" s="86">
        <f>NP!E61</f>
        <v>13162240.099999998</v>
      </c>
      <c r="D61" s="86">
        <f>QS!AA61</f>
        <v>2581115.0421939162</v>
      </c>
      <c r="E61" s="86">
        <f>VERM!G33</f>
        <v>1899774.9346380003</v>
      </c>
      <c r="F61" s="86">
        <f>JP!E61</f>
        <v>6389840.7751000002</v>
      </c>
      <c r="G61" s="86">
        <f>REP!I61</f>
        <v>84138.098248936352</v>
      </c>
      <c r="H61" s="18">
        <f t="shared" si="2"/>
        <v>24117108.950180851</v>
      </c>
      <c r="I61" s="57"/>
    </row>
    <row r="62" spans="1:9" x14ac:dyDescent="0.2">
      <c r="A62" s="358"/>
      <c r="B62" s="47" t="str">
        <f>DFIE!$B53</f>
        <v>Jura</v>
      </c>
      <c r="C62" s="95">
        <f>NP!E62</f>
        <v>1015050.4</v>
      </c>
      <c r="D62" s="95">
        <f>QS!AA62</f>
        <v>108093.4105918362</v>
      </c>
      <c r="E62" s="95">
        <f>VERM!G34</f>
        <v>105947.198</v>
      </c>
      <c r="F62" s="95">
        <f>JP!E62</f>
        <v>487160.99459999998</v>
      </c>
      <c r="G62" s="95">
        <f>REP!I62</f>
        <v>20018.934180774631</v>
      </c>
      <c r="H62" s="22">
        <f t="shared" si="2"/>
        <v>1736270.9373726109</v>
      </c>
      <c r="I62" s="57"/>
    </row>
    <row r="63" spans="1:9" x14ac:dyDescent="0.2">
      <c r="A63" s="358"/>
      <c r="B63" s="24" t="str">
        <f>DFIE!$B54</f>
        <v>Schweiz</v>
      </c>
      <c r="C63" s="31">
        <f t="shared" ref="C63:H63" si="3">SUM(C37:C62)</f>
        <v>186855586.69999999</v>
      </c>
      <c r="D63" s="31">
        <f t="shared" si="3"/>
        <v>13640237.522798495</v>
      </c>
      <c r="E63" s="31">
        <f t="shared" si="3"/>
        <v>28006815.345711999</v>
      </c>
      <c r="F63" s="31">
        <f t="shared" si="3"/>
        <v>79878400.617599994</v>
      </c>
      <c r="G63" s="31">
        <f t="shared" si="3"/>
        <v>-232724.67756534964</v>
      </c>
      <c r="H63" s="26">
        <f t="shared" si="3"/>
        <v>308148315.5085451</v>
      </c>
      <c r="I63" s="57"/>
    </row>
    <row r="64" spans="1:9" ht="14.25" customHeight="1" x14ac:dyDescent="0.2">
      <c r="A64" s="33"/>
      <c r="B64" s="82"/>
      <c r="C64" s="177"/>
      <c r="D64" s="177"/>
      <c r="E64" s="177"/>
      <c r="F64" s="177"/>
      <c r="G64" s="177"/>
      <c r="H64" s="177"/>
    </row>
    <row r="65" spans="1:9" x14ac:dyDescent="0.2">
      <c r="A65" s="359" t="str">
        <f>DFIE!B71</f>
        <v>Bemessungsjahr 2018</v>
      </c>
      <c r="B65" s="48" t="str">
        <f>DFIE!$B28</f>
        <v>Zürich</v>
      </c>
      <c r="C65" s="96">
        <f>NP!E65</f>
        <v>41771925</v>
      </c>
      <c r="D65" s="96">
        <f>QS!AA65</f>
        <v>2216078.945609251</v>
      </c>
      <c r="E65" s="96">
        <f>VERM!J9</f>
        <v>6385015.5599999996</v>
      </c>
      <c r="F65" s="96">
        <f>JP!E65</f>
        <v>18675897.360599998</v>
      </c>
      <c r="G65" s="96">
        <f>REP!I65</f>
        <v>-79185.939456265754</v>
      </c>
      <c r="H65" s="50">
        <f t="shared" ref="H65:H90" si="4">SUM(C65:G65)</f>
        <v>68969730.926752985</v>
      </c>
      <c r="I65" s="59"/>
    </row>
    <row r="66" spans="1:9" x14ac:dyDescent="0.2">
      <c r="A66" s="359"/>
      <c r="B66" s="47" t="str">
        <f>DFIE!$B29</f>
        <v>Bern</v>
      </c>
      <c r="C66" s="95">
        <f>NP!E66</f>
        <v>18704752.699999996</v>
      </c>
      <c r="D66" s="95">
        <f>QS!AA66</f>
        <v>674236.28376097407</v>
      </c>
      <c r="E66" s="95">
        <f>VERM!J10</f>
        <v>2723236.799325</v>
      </c>
      <c r="F66" s="95">
        <f>JP!E66</f>
        <v>7251975.0510999998</v>
      </c>
      <c r="G66" s="95">
        <f>REP!I66</f>
        <v>-73305.399910403634</v>
      </c>
      <c r="H66" s="22">
        <f t="shared" si="4"/>
        <v>29280895.434275564</v>
      </c>
      <c r="I66" s="59"/>
    </row>
    <row r="67" spans="1:9" x14ac:dyDescent="0.2">
      <c r="A67" s="359"/>
      <c r="B67" s="46" t="str">
        <f>DFIE!$B30</f>
        <v>Luzern</v>
      </c>
      <c r="C67" s="86">
        <f>NP!E67</f>
        <v>8221671.9999999991</v>
      </c>
      <c r="D67" s="86">
        <f>QS!AA67</f>
        <v>326554.3385797395</v>
      </c>
      <c r="E67" s="86">
        <f>VERM!J11</f>
        <v>1472091.8902350001</v>
      </c>
      <c r="F67" s="86">
        <f>JP!E67</f>
        <v>3873280.7807</v>
      </c>
      <c r="G67" s="86">
        <f>REP!I67</f>
        <v>-96635.633702430176</v>
      </c>
      <c r="H67" s="18">
        <f t="shared" si="4"/>
        <v>13796963.375812307</v>
      </c>
      <c r="I67" s="59"/>
    </row>
    <row r="68" spans="1:9" x14ac:dyDescent="0.2">
      <c r="A68" s="359"/>
      <c r="B68" s="47" t="str">
        <f>DFIE!$B31</f>
        <v>Uri</v>
      </c>
      <c r="C68" s="95">
        <f>NP!E68</f>
        <v>597150.29999999981</v>
      </c>
      <c r="D68" s="95">
        <f>QS!AA68</f>
        <v>33696.883833057916</v>
      </c>
      <c r="E68" s="95">
        <f>VERM!J12</f>
        <v>111413.34083999999</v>
      </c>
      <c r="F68" s="95">
        <f>JP!E68</f>
        <v>211650.86119999998</v>
      </c>
      <c r="G68" s="95">
        <f>REP!I68</f>
        <v>8245.8184089725164</v>
      </c>
      <c r="H68" s="22">
        <f t="shared" si="4"/>
        <v>962157.20428203011</v>
      </c>
      <c r="I68" s="59"/>
    </row>
    <row r="69" spans="1:9" x14ac:dyDescent="0.2">
      <c r="A69" s="359"/>
      <c r="B69" s="46" t="str">
        <f>DFIE!$B32</f>
        <v>Schwyz</v>
      </c>
      <c r="C69" s="86">
        <f>NP!E69</f>
        <v>6236542</v>
      </c>
      <c r="D69" s="86">
        <f>QS!AA69</f>
        <v>168670.67116624519</v>
      </c>
      <c r="E69" s="86">
        <f>VERM!J13</f>
        <v>1839470.0386050001</v>
      </c>
      <c r="F69" s="86">
        <f>JP!E69</f>
        <v>1734069.0325</v>
      </c>
      <c r="G69" s="86">
        <f>REP!I69</f>
        <v>354.06077806480425</v>
      </c>
      <c r="H69" s="18">
        <f t="shared" si="4"/>
        <v>9979105.8030493092</v>
      </c>
      <c r="I69" s="59"/>
    </row>
    <row r="70" spans="1:9" x14ac:dyDescent="0.2">
      <c r="A70" s="359"/>
      <c r="B70" s="47" t="str">
        <f>DFIE!$B33</f>
        <v>Obwalden</v>
      </c>
      <c r="C70" s="95">
        <f>NP!E70</f>
        <v>859513.89999999991</v>
      </c>
      <c r="D70" s="95">
        <f>QS!AA70</f>
        <v>41496.59949895693</v>
      </c>
      <c r="E70" s="95">
        <f>VERM!J14</f>
        <v>224187.83821499997</v>
      </c>
      <c r="F70" s="95">
        <f>JP!E70</f>
        <v>293521.40599999996</v>
      </c>
      <c r="G70" s="95">
        <f>REP!I70</f>
        <v>1348.5847497285292</v>
      </c>
      <c r="H70" s="22">
        <f t="shared" si="4"/>
        <v>1420068.3284636852</v>
      </c>
      <c r="I70" s="59"/>
    </row>
    <row r="71" spans="1:9" x14ac:dyDescent="0.2">
      <c r="A71" s="359"/>
      <c r="B71" s="46" t="str">
        <f>DFIE!$B34</f>
        <v>Nidwalden</v>
      </c>
      <c r="C71" s="86">
        <f>NP!E71</f>
        <v>1284997.1000000001</v>
      </c>
      <c r="D71" s="86">
        <f>QS!AA71</f>
        <v>46885.291826528352</v>
      </c>
      <c r="E71" s="86">
        <f>VERM!J15</f>
        <v>557914.57685999991</v>
      </c>
      <c r="F71" s="86">
        <f>JP!E71</f>
        <v>580782.76529999997</v>
      </c>
      <c r="G71" s="86">
        <f>REP!I71</f>
        <v>497.6381739190972</v>
      </c>
      <c r="H71" s="18">
        <f t="shared" si="4"/>
        <v>2471077.3721604473</v>
      </c>
      <c r="I71" s="59"/>
    </row>
    <row r="72" spans="1:9" x14ac:dyDescent="0.2">
      <c r="A72" s="359"/>
      <c r="B72" s="47" t="str">
        <f>DFIE!$B35</f>
        <v>Glarus</v>
      </c>
      <c r="C72" s="95">
        <f>NP!E72</f>
        <v>651460.59999999986</v>
      </c>
      <c r="D72" s="95">
        <f>QS!AA72</f>
        <v>47247.367985513512</v>
      </c>
      <c r="E72" s="95">
        <f>VERM!J16</f>
        <v>124055.87492999999</v>
      </c>
      <c r="F72" s="95">
        <f>JP!E72</f>
        <v>238080.59030000001</v>
      </c>
      <c r="G72" s="95">
        <f>REP!I72</f>
        <v>4793.3377281765888</v>
      </c>
      <c r="H72" s="22">
        <f t="shared" si="4"/>
        <v>1065637.7709436899</v>
      </c>
      <c r="I72" s="59"/>
    </row>
    <row r="73" spans="1:9" x14ac:dyDescent="0.2">
      <c r="A73" s="359"/>
      <c r="B73" s="46" t="str">
        <f>DFIE!$B36</f>
        <v>Zug</v>
      </c>
      <c r="C73" s="86">
        <f>NP!E73</f>
        <v>5878108.2999999998</v>
      </c>
      <c r="D73" s="86">
        <f>QS!AA73</f>
        <v>247342.37533483346</v>
      </c>
      <c r="E73" s="86">
        <f>VERM!J17</f>
        <v>1168335.661905</v>
      </c>
      <c r="F73" s="86">
        <f>JP!E73</f>
        <v>5132623.8343000002</v>
      </c>
      <c r="G73" s="86">
        <f>REP!I73</f>
        <v>-83345.246200320791</v>
      </c>
      <c r="H73" s="18">
        <f t="shared" si="4"/>
        <v>12343064.925339513</v>
      </c>
      <c r="I73" s="59"/>
    </row>
    <row r="74" spans="1:9" x14ac:dyDescent="0.2">
      <c r="A74" s="359"/>
      <c r="B74" s="47" t="str">
        <f>DFIE!$B37</f>
        <v>Freiburg</v>
      </c>
      <c r="C74" s="95">
        <f>NP!E74</f>
        <v>5646446.9000000004</v>
      </c>
      <c r="D74" s="95">
        <f>QS!AA74</f>
        <v>263683.79966804176</v>
      </c>
      <c r="E74" s="95">
        <f>VERM!J18</f>
        <v>484556.19974999997</v>
      </c>
      <c r="F74" s="95">
        <f>JP!E74</f>
        <v>1830542.2878999999</v>
      </c>
      <c r="G74" s="95">
        <f>REP!I74</f>
        <v>-104861.05123643628</v>
      </c>
      <c r="H74" s="22">
        <f t="shared" si="4"/>
        <v>8120368.1360816052</v>
      </c>
      <c r="I74" s="59"/>
    </row>
    <row r="75" spans="1:9" x14ac:dyDescent="0.2">
      <c r="A75" s="359"/>
      <c r="B75" s="46" t="str">
        <f>DFIE!$B38</f>
        <v>Solothurn</v>
      </c>
      <c r="C75" s="86">
        <f>NP!E75</f>
        <v>5221449.0999999996</v>
      </c>
      <c r="D75" s="86">
        <f>QS!AA75</f>
        <v>221041.35551660438</v>
      </c>
      <c r="E75" s="86">
        <f>VERM!J19</f>
        <v>411467.58684</v>
      </c>
      <c r="F75" s="86">
        <f>JP!E75</f>
        <v>1281856.1825000001</v>
      </c>
      <c r="G75" s="86">
        <f>REP!I75</f>
        <v>50753.154515402166</v>
      </c>
      <c r="H75" s="18">
        <f t="shared" si="4"/>
        <v>7186567.3793720063</v>
      </c>
      <c r="I75" s="59"/>
    </row>
    <row r="76" spans="1:9" x14ac:dyDescent="0.2">
      <c r="A76" s="359"/>
      <c r="B76" s="47" t="str">
        <f>DFIE!$B39</f>
        <v>Basel-Stadt</v>
      </c>
      <c r="C76" s="95">
        <f>NP!E76</f>
        <v>5331032.5999999996</v>
      </c>
      <c r="D76" s="95">
        <f>QS!AA76</f>
        <v>798799.5525035368</v>
      </c>
      <c r="E76" s="95">
        <f>VERM!J20</f>
        <v>937475.28079500003</v>
      </c>
      <c r="F76" s="95">
        <f>JP!E76</f>
        <v>3339380.2697999999</v>
      </c>
      <c r="G76" s="95">
        <f>REP!I76</f>
        <v>-197308.42938966822</v>
      </c>
      <c r="H76" s="22">
        <f t="shared" si="4"/>
        <v>10209379.273708867</v>
      </c>
      <c r="I76" s="59"/>
    </row>
    <row r="77" spans="1:9" x14ac:dyDescent="0.2">
      <c r="A77" s="359"/>
      <c r="B77" s="46" t="str">
        <f>DFIE!$B40</f>
        <v>Basel-Landschaft</v>
      </c>
      <c r="C77" s="86">
        <f>NP!E77</f>
        <v>7326616.5999999996</v>
      </c>
      <c r="D77" s="86">
        <f>QS!AA77</f>
        <v>432377.97878278198</v>
      </c>
      <c r="E77" s="86">
        <f>VERM!J21</f>
        <v>681915.08545499993</v>
      </c>
      <c r="F77" s="86">
        <f>JP!E77</f>
        <v>1691158.7992</v>
      </c>
      <c r="G77" s="86">
        <f>REP!I77</f>
        <v>6326.4295855727241</v>
      </c>
      <c r="H77" s="18">
        <f t="shared" si="4"/>
        <v>10138394.893023355</v>
      </c>
      <c r="I77" s="59"/>
    </row>
    <row r="78" spans="1:9" x14ac:dyDescent="0.2">
      <c r="A78" s="359"/>
      <c r="B78" s="47" t="str">
        <f>DFIE!$B41</f>
        <v>Schaffhausen</v>
      </c>
      <c r="C78" s="95">
        <f>NP!E78</f>
        <v>1497536</v>
      </c>
      <c r="D78" s="95">
        <f>QS!AA78</f>
        <v>171464.76260585472</v>
      </c>
      <c r="E78" s="95">
        <f>VERM!J22</f>
        <v>225783.19528499999</v>
      </c>
      <c r="F78" s="95">
        <f>JP!E78</f>
        <v>1005486.4051</v>
      </c>
      <c r="G78" s="95">
        <f>REP!I78</f>
        <v>14764.656097815534</v>
      </c>
      <c r="H78" s="22">
        <f t="shared" si="4"/>
        <v>2915035.0190886701</v>
      </c>
      <c r="I78" s="59"/>
    </row>
    <row r="79" spans="1:9" x14ac:dyDescent="0.2">
      <c r="A79" s="359"/>
      <c r="B79" s="46" t="str">
        <f>DFIE!$B42</f>
        <v>Appenzell A.Rh.</v>
      </c>
      <c r="C79" s="86">
        <f>NP!E79</f>
        <v>1087838.2999999998</v>
      </c>
      <c r="D79" s="86">
        <f>QS!AA79</f>
        <v>18366.112157572512</v>
      </c>
      <c r="E79" s="86">
        <f>VERM!J23</f>
        <v>225821.424405</v>
      </c>
      <c r="F79" s="86">
        <f>JP!E79</f>
        <v>405866.69770000002</v>
      </c>
      <c r="G79" s="86">
        <f>REP!I79</f>
        <v>-5275.0272290035609</v>
      </c>
      <c r="H79" s="18">
        <f t="shared" si="4"/>
        <v>1732617.5070335688</v>
      </c>
      <c r="I79" s="59"/>
    </row>
    <row r="80" spans="1:9" x14ac:dyDescent="0.2">
      <c r="A80" s="359"/>
      <c r="B80" s="47" t="str">
        <f>DFIE!$B43</f>
        <v>Appenzell I.Rh.</v>
      </c>
      <c r="C80" s="95">
        <f>NP!E80</f>
        <v>345257.69999999995</v>
      </c>
      <c r="D80" s="95">
        <f>QS!AA80</f>
        <v>9836.5114622779911</v>
      </c>
      <c r="E80" s="95">
        <f>VERM!J24</f>
        <v>97933.924244999987</v>
      </c>
      <c r="F80" s="95">
        <f>JP!E80</f>
        <v>136543.89009999999</v>
      </c>
      <c r="G80" s="95">
        <f>REP!I80</f>
        <v>2722.2589470050225</v>
      </c>
      <c r="H80" s="22">
        <f t="shared" si="4"/>
        <v>592294.28475428291</v>
      </c>
      <c r="I80" s="59"/>
    </row>
    <row r="81" spans="1:9" x14ac:dyDescent="0.2">
      <c r="A81" s="359"/>
      <c r="B81" s="46" t="str">
        <f>DFIE!$B44</f>
        <v>St. Gallen</v>
      </c>
      <c r="C81" s="86">
        <f>NP!E81</f>
        <v>8919001.6999999993</v>
      </c>
      <c r="D81" s="86">
        <f>QS!AA81</f>
        <v>501872.81140922348</v>
      </c>
      <c r="E81" s="86">
        <f>VERM!J25</f>
        <v>1756192.8845549999</v>
      </c>
      <c r="F81" s="86">
        <f>JP!E81</f>
        <v>4528402.4998000003</v>
      </c>
      <c r="G81" s="86">
        <f>REP!I81</f>
        <v>13723.790450166001</v>
      </c>
      <c r="H81" s="18">
        <f t="shared" si="4"/>
        <v>15719193.686214391</v>
      </c>
      <c r="I81" s="59"/>
    </row>
    <row r="82" spans="1:9" x14ac:dyDescent="0.2">
      <c r="A82" s="359"/>
      <c r="B82" s="47" t="str">
        <f>DFIE!$B45</f>
        <v>Graubünden</v>
      </c>
      <c r="C82" s="95">
        <f>NP!E82</f>
        <v>3729965.4000000004</v>
      </c>
      <c r="D82" s="95">
        <f>QS!AA82</f>
        <v>430915.82644587365</v>
      </c>
      <c r="E82" s="95">
        <f>VERM!J26</f>
        <v>1001333.954175</v>
      </c>
      <c r="F82" s="95">
        <f>JP!E82</f>
        <v>1027105.7877</v>
      </c>
      <c r="G82" s="95">
        <f>REP!I82</f>
        <v>75787.623227406875</v>
      </c>
      <c r="H82" s="22">
        <f t="shared" si="4"/>
        <v>6265108.5915482817</v>
      </c>
      <c r="I82" s="59"/>
    </row>
    <row r="83" spans="1:9" x14ac:dyDescent="0.2">
      <c r="A83" s="359"/>
      <c r="B83" s="46" t="str">
        <f>DFIE!$B46</f>
        <v>Aargau</v>
      </c>
      <c r="C83" s="86">
        <f>NP!E83</f>
        <v>14051013.799999999</v>
      </c>
      <c r="D83" s="86">
        <f>QS!AA83</f>
        <v>758532.15973553027</v>
      </c>
      <c r="E83" s="86">
        <f>VERM!J27</f>
        <v>1897861.5056849997</v>
      </c>
      <c r="F83" s="86">
        <f>JP!E83</f>
        <v>3438055.9939000001</v>
      </c>
      <c r="G83" s="86">
        <f>REP!I83</f>
        <v>286555.29065798945</v>
      </c>
      <c r="H83" s="18">
        <f t="shared" si="4"/>
        <v>20432018.74997852</v>
      </c>
      <c r="I83" s="59"/>
    </row>
    <row r="84" spans="1:9" x14ac:dyDescent="0.2">
      <c r="A84" s="359"/>
      <c r="B84" s="47" t="str">
        <f>DFIE!$B47</f>
        <v>Thurgau</v>
      </c>
      <c r="C84" s="95">
        <f>NP!E84</f>
        <v>5315956.6999999993</v>
      </c>
      <c r="D84" s="95">
        <f>QS!AA84</f>
        <v>332475.0003409253</v>
      </c>
      <c r="E84" s="95">
        <f>VERM!J28</f>
        <v>931693.39800000004</v>
      </c>
      <c r="F84" s="95">
        <f>JP!E84</f>
        <v>1506136.4480999999</v>
      </c>
      <c r="G84" s="95">
        <f>REP!I84</f>
        <v>1990.5270444899766</v>
      </c>
      <c r="H84" s="22">
        <f t="shared" si="4"/>
        <v>8088252.0734854145</v>
      </c>
      <c r="I84" s="59"/>
    </row>
    <row r="85" spans="1:9" x14ac:dyDescent="0.2">
      <c r="A85" s="359"/>
      <c r="B85" s="46" t="str">
        <f>DFIE!$B48</f>
        <v>Tessin</v>
      </c>
      <c r="C85" s="86">
        <f>NP!E85</f>
        <v>7217972.2000000011</v>
      </c>
      <c r="D85" s="86">
        <f>QS!AA85</f>
        <v>1189037.8570247814</v>
      </c>
      <c r="E85" s="86">
        <f>VERM!J29</f>
        <v>1167198.186915</v>
      </c>
      <c r="F85" s="86">
        <f>JP!E85</f>
        <v>2699739.7612000001</v>
      </c>
      <c r="G85" s="86">
        <f>REP!I85</f>
        <v>55403.224039198634</v>
      </c>
      <c r="H85" s="18">
        <f t="shared" si="4"/>
        <v>12329351.229178982</v>
      </c>
      <c r="I85" s="59"/>
    </row>
    <row r="86" spans="1:9" x14ac:dyDescent="0.2">
      <c r="A86" s="359"/>
      <c r="B86" s="47" t="str">
        <f>DFIE!$B49</f>
        <v>Waadt</v>
      </c>
      <c r="C86" s="95">
        <f>NP!E86</f>
        <v>18672509.899999999</v>
      </c>
      <c r="D86" s="95">
        <f>QS!AA86</f>
        <v>1349939.7682380115</v>
      </c>
      <c r="E86" s="95">
        <f>VERM!J30</f>
        <v>2305215.857595</v>
      </c>
      <c r="F86" s="95">
        <f>JP!E86</f>
        <v>6961411.0933999997</v>
      </c>
      <c r="G86" s="95">
        <f>REP!I86</f>
        <v>-26460.612225279081</v>
      </c>
      <c r="H86" s="22">
        <f t="shared" si="4"/>
        <v>29262616.007007733</v>
      </c>
      <c r="I86" s="59"/>
    </row>
    <row r="87" spans="1:9" x14ac:dyDescent="0.2">
      <c r="A87" s="359"/>
      <c r="B87" s="46" t="str">
        <f>DFIE!$B50</f>
        <v>Wallis</v>
      </c>
      <c r="C87" s="86">
        <f>NP!E87</f>
        <v>5620545.7000000002</v>
      </c>
      <c r="D87" s="86">
        <f>QS!AA87</f>
        <v>430948.12759338709</v>
      </c>
      <c r="E87" s="86">
        <f>VERM!J31</f>
        <v>861115.08697499998</v>
      </c>
      <c r="F87" s="86">
        <f>JP!E87</f>
        <v>1229509.1429000001</v>
      </c>
      <c r="G87" s="86">
        <f>REP!I87</f>
        <v>123291.75876196424</v>
      </c>
      <c r="H87" s="18">
        <f t="shared" si="4"/>
        <v>8265409.8162303511</v>
      </c>
      <c r="I87" s="59"/>
    </row>
    <row r="88" spans="1:9" x14ac:dyDescent="0.2">
      <c r="A88" s="359"/>
      <c r="B88" s="47" t="str">
        <f>DFIE!$B51</f>
        <v>Neuenburg</v>
      </c>
      <c r="C88" s="95">
        <f>NP!E88</f>
        <v>3009932.7</v>
      </c>
      <c r="D88" s="95">
        <f>QS!AA88</f>
        <v>279583.119005916</v>
      </c>
      <c r="E88" s="95">
        <f>VERM!J32</f>
        <v>296795.62087500002</v>
      </c>
      <c r="F88" s="95">
        <f>JP!E88</f>
        <v>1498481.6532000001</v>
      </c>
      <c r="G88" s="95">
        <f>REP!I88</f>
        <v>130258.80090722548</v>
      </c>
      <c r="H88" s="22">
        <f t="shared" si="4"/>
        <v>5215051.8939881418</v>
      </c>
      <c r="I88" s="59"/>
    </row>
    <row r="89" spans="1:9" x14ac:dyDescent="0.2">
      <c r="A89" s="359"/>
      <c r="B89" s="46" t="str">
        <f>DFIE!$B52</f>
        <v>Genf</v>
      </c>
      <c r="C89" s="86">
        <f>NP!E89</f>
        <v>13359650.999999998</v>
      </c>
      <c r="D89" s="86">
        <f>QS!AA89</f>
        <v>2652364.9620350953</v>
      </c>
      <c r="E89" s="86">
        <f>VERM!J33</f>
        <v>2079247.1731800002</v>
      </c>
      <c r="F89" s="86">
        <f>JP!E89</f>
        <v>7036622.8645000001</v>
      </c>
      <c r="G89" s="86">
        <f>REP!I89</f>
        <v>87695.318746012519</v>
      </c>
      <c r="H89" s="18">
        <f t="shared" si="4"/>
        <v>25215581.318461105</v>
      </c>
      <c r="I89" s="59"/>
    </row>
    <row r="90" spans="1:9" x14ac:dyDescent="0.2">
      <c r="A90" s="359"/>
      <c r="B90" s="47" t="str">
        <f>DFIE!$B53</f>
        <v>Jura</v>
      </c>
      <c r="C90" s="95">
        <f>NP!E90</f>
        <v>1063137.5</v>
      </c>
      <c r="D90" s="95">
        <f>QS!AA90</f>
        <v>112139.79442734557</v>
      </c>
      <c r="E90" s="95">
        <f>VERM!J34</f>
        <v>113242.56</v>
      </c>
      <c r="F90" s="95">
        <f>JP!E90</f>
        <v>493136.18520000001</v>
      </c>
      <c r="G90" s="95">
        <f>REP!I90</f>
        <v>15635.261673145957</v>
      </c>
      <c r="H90" s="22">
        <f t="shared" si="4"/>
        <v>1797291.3013004914</v>
      </c>
      <c r="I90" s="59"/>
    </row>
    <row r="91" spans="1:9" x14ac:dyDescent="0.2">
      <c r="A91" s="359"/>
      <c r="B91" s="24" t="str">
        <f>DFIE!$B54</f>
        <v>Schweiz</v>
      </c>
      <c r="C91" s="31">
        <f t="shared" ref="C91:H91" si="5">SUM(C65:C90)</f>
        <v>191621985.69999993</v>
      </c>
      <c r="D91" s="31">
        <f t="shared" si="5"/>
        <v>13755588.256547861</v>
      </c>
      <c r="E91" s="31">
        <f t="shared" si="5"/>
        <v>30080570.505645003</v>
      </c>
      <c r="F91" s="31">
        <f t="shared" si="5"/>
        <v>78101317.644200012</v>
      </c>
      <c r="G91" s="31">
        <f t="shared" si="5"/>
        <v>213770.1951424485</v>
      </c>
      <c r="H91" s="26">
        <f t="shared" si="5"/>
        <v>313773232.30153525</v>
      </c>
      <c r="I91" s="59"/>
    </row>
  </sheetData>
  <mergeCells count="3">
    <mergeCell ref="A9:A35"/>
    <mergeCell ref="A37:A63"/>
    <mergeCell ref="A65:A91"/>
  </mergeCells>
  <conditionalFormatting sqref="C9:H34">
    <cfRule type="expression" dxfId="14" priority="8" stopIfTrue="1">
      <formula>ISBLANK(C9)</formula>
    </cfRule>
  </conditionalFormatting>
  <conditionalFormatting sqref="C37:H37">
    <cfRule type="expression" dxfId="13" priority="7" stopIfTrue="1">
      <formula>ISBLANK(C37)</formula>
    </cfRule>
  </conditionalFormatting>
  <conditionalFormatting sqref="C65:H65">
    <cfRule type="expression" dxfId="12" priority="6" stopIfTrue="1">
      <formula>ISBLANK(C65)</formula>
    </cfRule>
  </conditionalFormatting>
  <conditionalFormatting sqref="C38:H62">
    <cfRule type="expression" dxfId="11" priority="2" stopIfTrue="1">
      <formula>ISBLANK(C38)</formula>
    </cfRule>
  </conditionalFormatting>
  <conditionalFormatting sqref="C66:H90">
    <cfRule type="expression" dxfId="10" priority="1" stopIfTrue="1">
      <formula>ISBLANK(C66)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rowBreaks count="2" manualBreakCount="2">
    <brk id="36" max="16383" man="1"/>
    <brk id="64" max="16383" man="1"/>
  </rowBreaks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showGridLines="0" zoomScaleNormal="100" workbookViewId="0">
      <selection activeCell="A75" sqref="A75"/>
    </sheetView>
  </sheetViews>
  <sheetFormatPr baseColWidth="10" defaultRowHeight="12.75" x14ac:dyDescent="0.2"/>
  <cols>
    <col min="1" max="1" width="1.42578125" customWidth="1"/>
    <col min="2" max="6" width="18.7109375" customWidth="1"/>
  </cols>
  <sheetData>
    <row r="1" spans="1:6" ht="18" customHeight="1" x14ac:dyDescent="0.2">
      <c r="B1" s="116" t="str">
        <f>DFIE!B167</f>
        <v>Massgebende Wohnbevölkerung 2022</v>
      </c>
      <c r="C1" s="202"/>
      <c r="D1" s="202"/>
      <c r="E1" s="209"/>
      <c r="F1" s="125"/>
    </row>
    <row r="2" spans="1:6" ht="12.75" customHeight="1" x14ac:dyDescent="0.2">
      <c r="A2" s="199"/>
      <c r="B2" s="52"/>
      <c r="C2" s="199"/>
      <c r="D2" s="199"/>
      <c r="E2" s="200"/>
      <c r="F2" s="201"/>
    </row>
    <row r="3" spans="1:6" ht="0.75" customHeight="1" x14ac:dyDescent="0.2">
      <c r="A3" s="116"/>
      <c r="C3" s="202"/>
      <c r="D3" s="202"/>
      <c r="E3" s="209"/>
      <c r="F3" s="125"/>
    </row>
    <row r="4" spans="1:6" ht="12" customHeight="1" x14ac:dyDescent="0.2">
      <c r="A4" s="197"/>
      <c r="B4" s="34" t="str">
        <f>DFIE!B55</f>
        <v>Spalte</v>
      </c>
      <c r="C4" s="35" t="s">
        <v>30</v>
      </c>
      <c r="D4" s="35" t="s">
        <v>31</v>
      </c>
      <c r="E4" s="35" t="s">
        <v>32</v>
      </c>
      <c r="F4" s="36" t="s">
        <v>43</v>
      </c>
    </row>
    <row r="5" spans="1:6" ht="12" customHeight="1" x14ac:dyDescent="0.2">
      <c r="A5" s="205"/>
      <c r="B5" s="34" t="str">
        <f>DFIE!B56</f>
        <v>Formel</v>
      </c>
      <c r="C5" s="203"/>
      <c r="D5" s="203"/>
      <c r="E5" s="203"/>
      <c r="F5" s="73" t="s">
        <v>63</v>
      </c>
    </row>
    <row r="6" spans="1:6" ht="42" customHeight="1" x14ac:dyDescent="0.2">
      <c r="B6" s="206"/>
      <c r="C6" s="377" t="str">
        <f>DFIE!B168</f>
        <v>Mittlere ständige und nichtständige Wohnbevölkerung</v>
      </c>
      <c r="D6" s="377"/>
      <c r="E6" s="377"/>
      <c r="F6" s="28" t="str">
        <f>DFIE!B169</f>
        <v>Massgebende
Wohnbevölkerung</v>
      </c>
    </row>
    <row r="7" spans="1:6" ht="16.5" customHeight="1" x14ac:dyDescent="0.2">
      <c r="B7" s="207"/>
      <c r="C7" s="198">
        <f>DFIE!$G$2-6</f>
        <v>2016</v>
      </c>
      <c r="D7" s="198">
        <f>DFIE!$G$2-5</f>
        <v>2017</v>
      </c>
      <c r="E7" s="198">
        <f>DFIE!$G$2-4</f>
        <v>2018</v>
      </c>
      <c r="F7" s="208">
        <f>DFIE!$G$2</f>
        <v>2022</v>
      </c>
    </row>
    <row r="8" spans="1:6" ht="12.75" customHeight="1" x14ac:dyDescent="0.2">
      <c r="A8" s="205"/>
      <c r="B8" s="34" t="str">
        <f>DFIE!B58</f>
        <v>Einheit</v>
      </c>
      <c r="C8" s="40" t="str">
        <f>DFIE!$B$61</f>
        <v>Anzahl</v>
      </c>
      <c r="D8" s="40" t="str">
        <f>DFIE!$B$61</f>
        <v>Anzahl</v>
      </c>
      <c r="E8" s="40" t="str">
        <f>DFIE!$B$61</f>
        <v>Anzahl</v>
      </c>
      <c r="F8" s="204" t="str">
        <f>DFIE!$B$61</f>
        <v>Anzahl</v>
      </c>
    </row>
    <row r="9" spans="1:6" x14ac:dyDescent="0.2">
      <c r="B9" s="46" t="str">
        <f>DFIE!$B28</f>
        <v>Zürich</v>
      </c>
      <c r="C9" s="61">
        <v>1491463.5</v>
      </c>
      <c r="D9" s="61">
        <v>1508888</v>
      </c>
      <c r="E9" s="61">
        <v>1524740</v>
      </c>
      <c r="F9" s="18">
        <f>AVERAGE(C9:E9)</f>
        <v>1508363.8333333333</v>
      </c>
    </row>
    <row r="10" spans="1:6" x14ac:dyDescent="0.2">
      <c r="B10" s="47" t="str">
        <f>DFIE!$B29</f>
        <v>Bern</v>
      </c>
      <c r="C10" s="43">
        <v>1029624.5</v>
      </c>
      <c r="D10" s="43">
        <v>1034918</v>
      </c>
      <c r="E10" s="43">
        <v>1039177</v>
      </c>
      <c r="F10" s="22">
        <f t="shared" ref="F10:F34" si="0">AVERAGE(C10:E10)</f>
        <v>1034573.1666666666</v>
      </c>
    </row>
    <row r="11" spans="1:6" x14ac:dyDescent="0.2">
      <c r="B11" s="46" t="str">
        <f>DFIE!$B30</f>
        <v>Luzern</v>
      </c>
      <c r="C11" s="61">
        <v>404639</v>
      </c>
      <c r="D11" s="61">
        <v>407903</v>
      </c>
      <c r="E11" s="61">
        <v>410949</v>
      </c>
      <c r="F11" s="18">
        <f t="shared" si="0"/>
        <v>407830.33333333331</v>
      </c>
    </row>
    <row r="12" spans="1:6" x14ac:dyDescent="0.2">
      <c r="B12" s="47" t="str">
        <f>DFIE!$B31</f>
        <v>Uri</v>
      </c>
      <c r="C12" s="43">
        <v>36543.5</v>
      </c>
      <c r="D12" s="43">
        <v>36573.5</v>
      </c>
      <c r="E12" s="43">
        <v>36764</v>
      </c>
      <c r="F12" s="22">
        <f t="shared" si="0"/>
        <v>36627</v>
      </c>
    </row>
    <row r="13" spans="1:6" x14ac:dyDescent="0.2">
      <c r="B13" s="46" t="str">
        <f>DFIE!$B32</f>
        <v>Schwyz</v>
      </c>
      <c r="C13" s="61">
        <v>156445.5</v>
      </c>
      <c r="D13" s="61">
        <v>157675</v>
      </c>
      <c r="E13" s="61">
        <v>159068.5</v>
      </c>
      <c r="F13" s="18">
        <f t="shared" si="0"/>
        <v>157729.66666666666</v>
      </c>
    </row>
    <row r="14" spans="1:6" x14ac:dyDescent="0.2">
      <c r="B14" s="47" t="str">
        <f>DFIE!$B33</f>
        <v>Obwalden</v>
      </c>
      <c r="C14" s="43">
        <v>37577</v>
      </c>
      <c r="D14" s="43">
        <v>37773.5</v>
      </c>
      <c r="E14" s="43">
        <v>38024.5</v>
      </c>
      <c r="F14" s="22">
        <f t="shared" si="0"/>
        <v>37791.666666666664</v>
      </c>
    </row>
    <row r="15" spans="1:6" x14ac:dyDescent="0.2">
      <c r="B15" s="46" t="str">
        <f>DFIE!$B34</f>
        <v>Nidwalden</v>
      </c>
      <c r="C15" s="61">
        <v>42818.5</v>
      </c>
      <c r="D15" s="61">
        <v>43062</v>
      </c>
      <c r="E15" s="61">
        <v>43369</v>
      </c>
      <c r="F15" s="18">
        <f t="shared" si="0"/>
        <v>43083.166666666664</v>
      </c>
    </row>
    <row r="16" spans="1:6" x14ac:dyDescent="0.2">
      <c r="B16" s="47" t="str">
        <f>DFIE!$B35</f>
        <v>Glarus</v>
      </c>
      <c r="C16" s="43">
        <v>40518.5</v>
      </c>
      <c r="D16" s="43">
        <v>40582.5</v>
      </c>
      <c r="E16" s="43">
        <v>40697</v>
      </c>
      <c r="F16" s="22">
        <f t="shared" si="0"/>
        <v>40599.333333333336</v>
      </c>
    </row>
    <row r="17" spans="2:6" x14ac:dyDescent="0.2">
      <c r="B17" s="46" t="str">
        <f>DFIE!$B36</f>
        <v>Zug</v>
      </c>
      <c r="C17" s="61">
        <v>124782</v>
      </c>
      <c r="D17" s="61">
        <v>126402.5</v>
      </c>
      <c r="E17" s="61">
        <v>127901.5</v>
      </c>
      <c r="F17" s="18">
        <f t="shared" si="0"/>
        <v>126362</v>
      </c>
    </row>
    <row r="18" spans="2:6" x14ac:dyDescent="0.2">
      <c r="B18" s="47" t="str">
        <f>DFIE!$B37</f>
        <v>Freiburg</v>
      </c>
      <c r="C18" s="43">
        <v>311769.5</v>
      </c>
      <c r="D18" s="43">
        <v>315282.5</v>
      </c>
      <c r="E18" s="43">
        <v>318670.5</v>
      </c>
      <c r="F18" s="22">
        <f t="shared" si="0"/>
        <v>315240.83333333331</v>
      </c>
    </row>
    <row r="19" spans="2:6" x14ac:dyDescent="0.2">
      <c r="B19" s="46" t="str">
        <f>DFIE!$B38</f>
        <v>Solothurn</v>
      </c>
      <c r="C19" s="61">
        <v>270230</v>
      </c>
      <c r="D19" s="61">
        <v>272646.5</v>
      </c>
      <c r="E19" s="61">
        <v>274760.5</v>
      </c>
      <c r="F19" s="18">
        <f t="shared" si="0"/>
        <v>272545.66666666669</v>
      </c>
    </row>
    <row r="20" spans="2:6" x14ac:dyDescent="0.2">
      <c r="B20" s="47" t="str">
        <f>DFIE!$B39</f>
        <v>Basel-Stadt</v>
      </c>
      <c r="C20" s="43">
        <v>195576.5</v>
      </c>
      <c r="D20" s="43">
        <v>196377</v>
      </c>
      <c r="E20" s="43">
        <v>197383</v>
      </c>
      <c r="F20" s="22">
        <f t="shared" si="0"/>
        <v>196445.5</v>
      </c>
    </row>
    <row r="21" spans="2:6" x14ac:dyDescent="0.2">
      <c r="B21" s="46" t="str">
        <f>DFIE!$B40</f>
        <v>Basel-Landschaft</v>
      </c>
      <c r="C21" s="61">
        <v>286034</v>
      </c>
      <c r="D21" s="61">
        <v>287824.5</v>
      </c>
      <c r="E21" s="61">
        <v>289143</v>
      </c>
      <c r="F21" s="18">
        <f t="shared" si="0"/>
        <v>287667.16666666669</v>
      </c>
    </row>
    <row r="22" spans="2:6" x14ac:dyDescent="0.2">
      <c r="B22" s="47" t="str">
        <f>DFIE!$B41</f>
        <v>Schaffhausen</v>
      </c>
      <c r="C22" s="43">
        <v>81312</v>
      </c>
      <c r="D22" s="43">
        <v>81876</v>
      </c>
      <c r="E22" s="43">
        <v>82448</v>
      </c>
      <c r="F22" s="22">
        <f t="shared" si="0"/>
        <v>81878.666666666672</v>
      </c>
    </row>
    <row r="23" spans="2:6" x14ac:dyDescent="0.2">
      <c r="B23" s="46" t="str">
        <f>DFIE!$B42</f>
        <v>Appenzell A.Rh.</v>
      </c>
      <c r="C23" s="61">
        <v>54999.5</v>
      </c>
      <c r="D23" s="61">
        <v>55227</v>
      </c>
      <c r="E23" s="61">
        <v>55337.5</v>
      </c>
      <c r="F23" s="18">
        <f t="shared" si="0"/>
        <v>55188</v>
      </c>
    </row>
    <row r="24" spans="2:6" x14ac:dyDescent="0.2">
      <c r="B24" s="47" t="str">
        <f>DFIE!$B43</f>
        <v>Appenzell I.Rh.</v>
      </c>
      <c r="C24" s="43">
        <v>16095.5</v>
      </c>
      <c r="D24" s="43">
        <v>16136</v>
      </c>
      <c r="E24" s="43">
        <v>16204</v>
      </c>
      <c r="F24" s="22">
        <f t="shared" si="0"/>
        <v>16145.166666666666</v>
      </c>
    </row>
    <row r="25" spans="2:6" x14ac:dyDescent="0.2">
      <c r="B25" s="46" t="str">
        <f>DFIE!$B44</f>
        <v>St. Gallen</v>
      </c>
      <c r="C25" s="61">
        <v>504443.5</v>
      </c>
      <c r="D25" s="61">
        <v>506554.5</v>
      </c>
      <c r="E25" s="61">
        <v>509212.5</v>
      </c>
      <c r="F25" s="18">
        <f t="shared" si="0"/>
        <v>506736.83333333331</v>
      </c>
    </row>
    <row r="26" spans="2:6" x14ac:dyDescent="0.2">
      <c r="B26" s="47" t="str">
        <f>DFIE!$B45</f>
        <v>Graubünden</v>
      </c>
      <c r="C26" s="43">
        <v>205098.5</v>
      </c>
      <c r="D26" s="43">
        <v>205156</v>
      </c>
      <c r="E26" s="43">
        <v>205417</v>
      </c>
      <c r="F26" s="22">
        <f t="shared" si="0"/>
        <v>205223.83333333334</v>
      </c>
    </row>
    <row r="27" spans="2:6" x14ac:dyDescent="0.2">
      <c r="B27" s="46" t="str">
        <f>DFIE!$B46</f>
        <v>Aargau</v>
      </c>
      <c r="C27" s="61">
        <v>664791</v>
      </c>
      <c r="D27" s="61">
        <v>672029.5</v>
      </c>
      <c r="E27" s="61">
        <v>679311</v>
      </c>
      <c r="F27" s="18">
        <f t="shared" si="0"/>
        <v>672043.83333333337</v>
      </c>
    </row>
    <row r="28" spans="2:6" x14ac:dyDescent="0.2">
      <c r="B28" s="47" t="str">
        <f>DFIE!$B47</f>
        <v>Thurgau</v>
      </c>
      <c r="C28" s="43">
        <v>271090.5</v>
      </c>
      <c r="D28" s="43">
        <v>274022</v>
      </c>
      <c r="E28" s="43">
        <v>276908</v>
      </c>
      <c r="F28" s="22">
        <f t="shared" si="0"/>
        <v>274006.83333333331</v>
      </c>
    </row>
    <row r="29" spans="2:6" x14ac:dyDescent="0.2">
      <c r="B29" s="46" t="str">
        <f>DFIE!$B48</f>
        <v>Tessin</v>
      </c>
      <c r="C29" s="61">
        <v>355903</v>
      </c>
      <c r="D29" s="61">
        <v>356816</v>
      </c>
      <c r="E29" s="61">
        <v>356290</v>
      </c>
      <c r="F29" s="18">
        <f t="shared" si="0"/>
        <v>356336.33333333331</v>
      </c>
    </row>
    <row r="30" spans="2:6" x14ac:dyDescent="0.2">
      <c r="B30" s="47" t="str">
        <f>DFIE!$B49</f>
        <v>Waadt</v>
      </c>
      <c r="C30" s="43">
        <v>789061</v>
      </c>
      <c r="D30" s="43">
        <v>798340.5</v>
      </c>
      <c r="E30" s="43">
        <v>805015.5</v>
      </c>
      <c r="F30" s="22">
        <f t="shared" si="0"/>
        <v>797472.33333333337</v>
      </c>
    </row>
    <row r="31" spans="2:6" x14ac:dyDescent="0.2">
      <c r="B31" s="46" t="str">
        <f>DFIE!$B50</f>
        <v>Wallis</v>
      </c>
      <c r="C31" s="61">
        <v>345348.5</v>
      </c>
      <c r="D31" s="61">
        <v>347803.5</v>
      </c>
      <c r="E31" s="61">
        <v>350458.5</v>
      </c>
      <c r="F31" s="18">
        <f t="shared" si="0"/>
        <v>347870.16666666669</v>
      </c>
    </row>
    <row r="32" spans="2:6" x14ac:dyDescent="0.2">
      <c r="B32" s="47" t="str">
        <f>DFIE!$B51</f>
        <v>Neuenburg</v>
      </c>
      <c r="C32" s="43">
        <v>179768.5</v>
      </c>
      <c r="D32" s="43">
        <v>179442</v>
      </c>
      <c r="E32" s="43">
        <v>178554.5</v>
      </c>
      <c r="F32" s="22">
        <f t="shared" si="0"/>
        <v>179255</v>
      </c>
    </row>
    <row r="33" spans="1:6" x14ac:dyDescent="0.2">
      <c r="B33" s="46" t="str">
        <f>DFIE!$B52</f>
        <v>Genf</v>
      </c>
      <c r="C33" s="61">
        <v>491218</v>
      </c>
      <c r="D33" s="61">
        <v>495957</v>
      </c>
      <c r="E33" s="61">
        <v>501035.5</v>
      </c>
      <c r="F33" s="18">
        <f t="shared" si="0"/>
        <v>496070.16666666669</v>
      </c>
    </row>
    <row r="34" spans="1:6" x14ac:dyDescent="0.2">
      <c r="B34" s="47" t="str">
        <f>DFIE!$B53</f>
        <v>Jura</v>
      </c>
      <c r="C34" s="43">
        <v>73311</v>
      </c>
      <c r="D34" s="43">
        <v>73463.5</v>
      </c>
      <c r="E34" s="43">
        <v>73582.5</v>
      </c>
      <c r="F34" s="22">
        <f t="shared" si="0"/>
        <v>73452.333333333328</v>
      </c>
    </row>
    <row r="35" spans="1:6" x14ac:dyDescent="0.2">
      <c r="A35" s="41"/>
      <c r="B35" s="24" t="str">
        <f>DFIE!$B54</f>
        <v>Schweiz</v>
      </c>
      <c r="C35" s="31">
        <f>IF(DFIE!$G$2=2008,"",SUM(C9:C34))</f>
        <v>8460462.5</v>
      </c>
      <c r="D35" s="31">
        <f>SUM(D9:D34)</f>
        <v>8528732</v>
      </c>
      <c r="E35" s="31">
        <f>SUM(E9:E34)</f>
        <v>8590422</v>
      </c>
      <c r="F35" s="26">
        <f>SUM(F9:F34)</f>
        <v>8526538.8333333321</v>
      </c>
    </row>
  </sheetData>
  <mergeCells count="1">
    <mergeCell ref="C6:E6"/>
  </mergeCells>
  <conditionalFormatting sqref="C9:E34 C7:F7">
    <cfRule type="expression" dxfId="9" priority="1" stopIfTrue="1">
      <formula>ISBLANK(C7)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 r:id="rId1"/>
  <headerFooter scaleWithDoc="0" alignWithMargins="0">
    <oddHeader>&amp;L&amp;F&amp;R&amp;A</oddHeader>
    <oddFooter>&amp;C&amp;P / &amp;N</oddFooter>
  </headerFooter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19</vt:i4>
      </vt:variant>
    </vt:vector>
  </HeadingPairs>
  <TitlesOfParts>
    <vt:vector size="34" baseType="lpstr">
      <vt:lpstr>INTRO</vt:lpstr>
      <vt:lpstr>TOTAL</vt:lpstr>
      <vt:lpstr>NP</vt:lpstr>
      <vt:lpstr>QS</vt:lpstr>
      <vt:lpstr>VERM</vt:lpstr>
      <vt:lpstr>JP</vt:lpstr>
      <vt:lpstr>REP</vt:lpstr>
      <vt:lpstr>ASG</vt:lpstr>
      <vt:lpstr>BEV</vt:lpstr>
      <vt:lpstr>RP</vt:lpstr>
      <vt:lpstr>SST</vt:lpstr>
      <vt:lpstr>AUSZ</vt:lpstr>
      <vt:lpstr>DOT</vt:lpstr>
      <vt:lpstr>EINZ</vt:lpstr>
      <vt:lpstr>SSE</vt:lpstr>
      <vt:lpstr>ASG!Druckbereich</vt:lpstr>
      <vt:lpstr>AUSZ!Druckbereich</vt:lpstr>
      <vt:lpstr>BEV!Druckbereich</vt:lpstr>
      <vt:lpstr>DOT!Druckbereich</vt:lpstr>
      <vt:lpstr>EINZ!Druckbereich</vt:lpstr>
      <vt:lpstr>JP!Druckbereich</vt:lpstr>
      <vt:lpstr>NP!Druckbereich</vt:lpstr>
      <vt:lpstr>QS!Druckbereich</vt:lpstr>
      <vt:lpstr>REP!Druckbereich</vt:lpstr>
      <vt:lpstr>RP!Druckbereich</vt:lpstr>
      <vt:lpstr>SSE!Druckbereich</vt:lpstr>
      <vt:lpstr>SST!Druckbereich</vt:lpstr>
      <vt:lpstr>TOTAL!Druckbereich</vt:lpstr>
      <vt:lpstr>VERM!Druckbereich</vt:lpstr>
      <vt:lpstr>ASG!Drucktitel</vt:lpstr>
      <vt:lpstr>JP!Drucktitel</vt:lpstr>
      <vt:lpstr>NP!Drucktitel</vt:lpstr>
      <vt:lpstr>QS!Drucktitel</vt:lpstr>
      <vt:lpstr>REP!Drucktitel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Utz Pascal EFV</dc:creator>
  <cp:lastModifiedBy>Witschard Jean-Pierre EFV</cp:lastModifiedBy>
  <cp:lastPrinted>2021-06-07T07:18:53Z</cp:lastPrinted>
  <dcterms:created xsi:type="dcterms:W3CDTF">2010-11-03T16:06:04Z</dcterms:created>
  <dcterms:modified xsi:type="dcterms:W3CDTF">2021-06-07T07:19:09Z</dcterms:modified>
</cp:coreProperties>
</file>