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-15" yWindow="-120" windowWidth="20730" windowHeight="6060"/>
  </bookViews>
  <sheets>
    <sheet name="Info" sheetId="1" r:id="rId1"/>
    <sheet name="Bruttoeink" sheetId="2" r:id="rId2"/>
    <sheet name="Gamma" sheetId="3" r:id="rId3"/>
    <sheet name="Berechnung_QS" sheetId="4" r:id="rId4"/>
  </sheets>
  <definedNames>
    <definedName name="gamma">Gamma!$C$7</definedName>
    <definedName name="sst">Berechnung_QS!$V$14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J37" i="4"/>
  <c r="J36" i="4"/>
  <c r="G36" i="4"/>
  <c r="J35" i="4"/>
  <c r="J34" i="4"/>
  <c r="J33" i="4"/>
  <c r="J32" i="4"/>
  <c r="G32" i="4"/>
  <c r="J31" i="4"/>
  <c r="J30" i="4"/>
  <c r="J29" i="4"/>
  <c r="J28" i="4"/>
  <c r="G28" i="4"/>
  <c r="J27" i="4"/>
  <c r="J26" i="4"/>
  <c r="J25" i="4"/>
  <c r="J24" i="4"/>
  <c r="G24" i="4"/>
  <c r="J23" i="4"/>
  <c r="J22" i="4"/>
  <c r="J21" i="4"/>
  <c r="J20" i="4"/>
  <c r="G20" i="4"/>
  <c r="J19" i="4"/>
  <c r="J18" i="4"/>
  <c r="J17" i="4"/>
  <c r="J16" i="4"/>
  <c r="G16" i="4"/>
  <c r="J15" i="4"/>
  <c r="V14" i="4"/>
  <c r="J14" i="4"/>
  <c r="G14" i="4"/>
  <c r="J13" i="4"/>
  <c r="U11" i="4"/>
  <c r="O11" i="4"/>
  <c r="G11" i="4"/>
  <c r="E11" i="4"/>
  <c r="D11" i="4"/>
  <c r="U10" i="4"/>
  <c r="V9" i="4"/>
  <c r="O8" i="4"/>
  <c r="D7" i="4"/>
  <c r="A4" i="4"/>
  <c r="L3" i="4"/>
  <c r="A2" i="4"/>
  <c r="A1" i="4"/>
  <c r="C6" i="3"/>
  <c r="C7" i="3" s="1"/>
  <c r="B6" i="3"/>
  <c r="C3" i="3"/>
  <c r="A2" i="3"/>
  <c r="A1" i="3"/>
  <c r="H36" i="2"/>
  <c r="G36" i="2"/>
  <c r="F36" i="2"/>
  <c r="E36" i="2"/>
  <c r="J36" i="2" s="1"/>
  <c r="D36" i="2"/>
  <c r="C36" i="2"/>
  <c r="B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I36" i="2" s="1"/>
  <c r="J2" i="2"/>
  <c r="A2" i="2"/>
  <c r="A1" i="2"/>
  <c r="A5" i="1"/>
  <c r="A4" i="1"/>
  <c r="D37" i="4" l="1"/>
  <c r="D33" i="4"/>
  <c r="D29" i="4"/>
  <c r="D25" i="4"/>
  <c r="D21" i="4"/>
  <c r="D17" i="4"/>
  <c r="D14" i="4"/>
  <c r="D36" i="4"/>
  <c r="D32" i="4"/>
  <c r="D28" i="4"/>
  <c r="D24" i="4"/>
  <c r="D20" i="4"/>
  <c r="D16" i="4"/>
  <c r="D38" i="4"/>
  <c r="D34" i="4"/>
  <c r="D30" i="4"/>
  <c r="D26" i="4"/>
  <c r="D22" i="4"/>
  <c r="D18" i="4"/>
  <c r="D27" i="4"/>
  <c r="E36" i="4"/>
  <c r="E32" i="4"/>
  <c r="E28" i="4"/>
  <c r="E24" i="4"/>
  <c r="E20" i="4"/>
  <c r="E16" i="4"/>
  <c r="E13" i="4"/>
  <c r="E38" i="4"/>
  <c r="E34" i="4"/>
  <c r="E30" i="4"/>
  <c r="E26" i="4"/>
  <c r="E22" i="4"/>
  <c r="E18" i="4"/>
  <c r="E14" i="4"/>
  <c r="E37" i="4"/>
  <c r="E35" i="4"/>
  <c r="E33" i="4"/>
  <c r="E31" i="4"/>
  <c r="E29" i="4"/>
  <c r="E27" i="4"/>
  <c r="E25" i="4"/>
  <c r="E23" i="4"/>
  <c r="E21" i="4"/>
  <c r="E19" i="4"/>
  <c r="E17" i="4"/>
  <c r="E15" i="4"/>
  <c r="D13" i="4"/>
  <c r="D23" i="4"/>
  <c r="D19" i="4"/>
  <c r="D35" i="4"/>
  <c r="F11" i="4"/>
  <c r="B11" i="4"/>
  <c r="H11" i="4"/>
  <c r="C11" i="4"/>
  <c r="D15" i="4"/>
  <c r="D31" i="4"/>
  <c r="G38" i="4"/>
  <c r="G34" i="4"/>
  <c r="G30" i="4"/>
  <c r="G26" i="4"/>
  <c r="G22" i="4"/>
  <c r="G18" i="4"/>
  <c r="G13" i="4"/>
  <c r="G15" i="4"/>
  <c r="G19" i="4"/>
  <c r="G23" i="4"/>
  <c r="G27" i="4"/>
  <c r="G31" i="4"/>
  <c r="G35" i="4"/>
  <c r="G17" i="4"/>
  <c r="G21" i="4"/>
  <c r="G25" i="4"/>
  <c r="G29" i="4"/>
  <c r="G33" i="4"/>
  <c r="G37" i="4"/>
  <c r="B35" i="4" l="1"/>
  <c r="B31" i="4"/>
  <c r="B27" i="4"/>
  <c r="B23" i="4"/>
  <c r="B19" i="4"/>
  <c r="B15" i="4"/>
  <c r="B37" i="4"/>
  <c r="B33" i="4"/>
  <c r="B29" i="4"/>
  <c r="B25" i="4"/>
  <c r="B21" i="4"/>
  <c r="B17" i="4"/>
  <c r="B13" i="4"/>
  <c r="B38" i="4"/>
  <c r="B36" i="4"/>
  <c r="B34" i="4"/>
  <c r="B32" i="4"/>
  <c r="B30" i="4"/>
  <c r="B28" i="4"/>
  <c r="B26" i="4"/>
  <c r="B24" i="4"/>
  <c r="B22" i="4"/>
  <c r="B20" i="4"/>
  <c r="B18" i="4"/>
  <c r="B16" i="4"/>
  <c r="B14" i="4"/>
  <c r="G39" i="4"/>
  <c r="F35" i="4"/>
  <c r="F31" i="4"/>
  <c r="F27" i="4"/>
  <c r="F23" i="4"/>
  <c r="F19" i="4"/>
  <c r="F15" i="4"/>
  <c r="F14" i="4"/>
  <c r="F37" i="4"/>
  <c r="F33" i="4"/>
  <c r="F29" i="4"/>
  <c r="F25" i="4"/>
  <c r="F21" i="4"/>
  <c r="F17" i="4"/>
  <c r="F34" i="4"/>
  <c r="F32" i="4"/>
  <c r="F18" i="4"/>
  <c r="F16" i="4"/>
  <c r="F38" i="4"/>
  <c r="F36" i="4"/>
  <c r="F22" i="4"/>
  <c r="F20" i="4"/>
  <c r="F13" i="4"/>
  <c r="F26" i="4"/>
  <c r="F24" i="4"/>
  <c r="F30" i="4"/>
  <c r="F28" i="4"/>
  <c r="D39" i="4"/>
  <c r="E39" i="4"/>
  <c r="C38" i="4"/>
  <c r="I38" i="4" s="1"/>
  <c r="K38" i="4" s="1"/>
  <c r="L38" i="4" s="1"/>
  <c r="C34" i="4"/>
  <c r="C30" i="4"/>
  <c r="C26" i="4"/>
  <c r="I26" i="4" s="1"/>
  <c r="K26" i="4" s="1"/>
  <c r="C22" i="4"/>
  <c r="I22" i="4" s="1"/>
  <c r="K22" i="4" s="1"/>
  <c r="L22" i="4" s="1"/>
  <c r="C18" i="4"/>
  <c r="C35" i="4"/>
  <c r="C31" i="4"/>
  <c r="I31" i="4" s="1"/>
  <c r="K31" i="4" s="1"/>
  <c r="L31" i="4" s="1"/>
  <c r="C27" i="4"/>
  <c r="I27" i="4" s="1"/>
  <c r="K27" i="4" s="1"/>
  <c r="L27" i="4" s="1"/>
  <c r="C23" i="4"/>
  <c r="C19" i="4"/>
  <c r="C15" i="4"/>
  <c r="I15" i="4" s="1"/>
  <c r="K15" i="4" s="1"/>
  <c r="L15" i="4" s="1"/>
  <c r="C13" i="4"/>
  <c r="C36" i="4"/>
  <c r="C32" i="4"/>
  <c r="I32" i="4" s="1"/>
  <c r="K32" i="4" s="1"/>
  <c r="L32" i="4" s="1"/>
  <c r="C28" i="4"/>
  <c r="I28" i="4" s="1"/>
  <c r="K28" i="4" s="1"/>
  <c r="L28" i="4" s="1"/>
  <c r="C24" i="4"/>
  <c r="I24" i="4" s="1"/>
  <c r="K24" i="4" s="1"/>
  <c r="L24" i="4" s="1"/>
  <c r="C20" i="4"/>
  <c r="C16" i="4"/>
  <c r="C33" i="4"/>
  <c r="C17" i="4"/>
  <c r="I17" i="4" s="1"/>
  <c r="K17" i="4" s="1"/>
  <c r="L17" i="4" s="1"/>
  <c r="C37" i="4"/>
  <c r="C21" i="4"/>
  <c r="C14" i="4"/>
  <c r="C25" i="4"/>
  <c r="I25" i="4" s="1"/>
  <c r="K25" i="4" s="1"/>
  <c r="L25" i="4" s="1"/>
  <c r="C29" i="4"/>
  <c r="H37" i="4"/>
  <c r="H33" i="4"/>
  <c r="H29" i="4"/>
  <c r="H25" i="4"/>
  <c r="H21" i="4"/>
  <c r="H17" i="4"/>
  <c r="H14" i="4"/>
  <c r="H35" i="4"/>
  <c r="H31" i="4"/>
  <c r="H27" i="4"/>
  <c r="H23" i="4"/>
  <c r="H19" i="4"/>
  <c r="H15" i="4"/>
  <c r="H13" i="4"/>
  <c r="H36" i="4"/>
  <c r="H32" i="4"/>
  <c r="H28" i="4"/>
  <c r="H24" i="4"/>
  <c r="H20" i="4"/>
  <c r="H16" i="4"/>
  <c r="H38" i="4"/>
  <c r="H34" i="4"/>
  <c r="H30" i="4"/>
  <c r="H26" i="4"/>
  <c r="H22" i="4"/>
  <c r="H18" i="4"/>
  <c r="Q25" i="4" l="1"/>
  <c r="S25" i="4"/>
  <c r="Q17" i="4"/>
  <c r="S17" i="4"/>
  <c r="Q24" i="4"/>
  <c r="S24" i="4"/>
  <c r="I13" i="4"/>
  <c r="C39" i="4"/>
  <c r="Q27" i="4"/>
  <c r="S27" i="4" s="1"/>
  <c r="Q22" i="4"/>
  <c r="S22" i="4" s="1"/>
  <c r="Q38" i="4"/>
  <c r="S38" i="4" s="1"/>
  <c r="H39" i="4"/>
  <c r="I14" i="4"/>
  <c r="K14" i="4" s="1"/>
  <c r="L14" i="4" s="1"/>
  <c r="I33" i="4"/>
  <c r="K33" i="4" s="1"/>
  <c r="L33" i="4" s="1"/>
  <c r="Q28" i="4"/>
  <c r="S28" i="4"/>
  <c r="S15" i="4"/>
  <c r="Q15" i="4"/>
  <c r="Q31" i="4"/>
  <c r="S31" i="4" s="1"/>
  <c r="L26" i="4"/>
  <c r="I21" i="4"/>
  <c r="K21" i="4" s="1"/>
  <c r="L21" i="4" s="1"/>
  <c r="I16" i="4"/>
  <c r="K16" i="4" s="1"/>
  <c r="L16" i="4" s="1"/>
  <c r="Q32" i="4"/>
  <c r="S32" i="4"/>
  <c r="I19" i="4"/>
  <c r="K19" i="4" s="1"/>
  <c r="L19" i="4" s="1"/>
  <c r="I35" i="4"/>
  <c r="K35" i="4" s="1"/>
  <c r="L35" i="4" s="1"/>
  <c r="I30" i="4"/>
  <c r="K30" i="4" s="1"/>
  <c r="L30" i="4" s="1"/>
  <c r="I29" i="4"/>
  <c r="K29" i="4" s="1"/>
  <c r="L29" i="4" s="1"/>
  <c r="I37" i="4"/>
  <c r="K37" i="4" s="1"/>
  <c r="L37" i="4" s="1"/>
  <c r="I20" i="4"/>
  <c r="K20" i="4" s="1"/>
  <c r="L20" i="4" s="1"/>
  <c r="I36" i="4"/>
  <c r="K36" i="4" s="1"/>
  <c r="L36" i="4" s="1"/>
  <c r="I23" i="4"/>
  <c r="K23" i="4" s="1"/>
  <c r="L23" i="4" s="1"/>
  <c r="I18" i="4"/>
  <c r="K18" i="4" s="1"/>
  <c r="L18" i="4" s="1"/>
  <c r="I34" i="4"/>
  <c r="K34" i="4" s="1"/>
  <c r="L34" i="4" s="1"/>
  <c r="F39" i="4"/>
  <c r="B39" i="4"/>
  <c r="Q23" i="4" l="1"/>
  <c r="S23" i="4" s="1"/>
  <c r="Q29" i="4"/>
  <c r="S29" i="4"/>
  <c r="Q26" i="4"/>
  <c r="S26" i="4" s="1"/>
  <c r="Q14" i="4"/>
  <c r="S14" i="4" s="1"/>
  <c r="Q36" i="4"/>
  <c r="S36" i="4"/>
  <c r="Q30" i="4"/>
  <c r="S30" i="4" s="1"/>
  <c r="I39" i="4"/>
  <c r="K39" i="4" s="1"/>
  <c r="L39" i="4" s="1"/>
  <c r="K13" i="4"/>
  <c r="L13" i="4" s="1"/>
  <c r="Q34" i="4"/>
  <c r="S34" i="4" s="1"/>
  <c r="Q20" i="4"/>
  <c r="S20" i="4"/>
  <c r="Q35" i="4"/>
  <c r="S35" i="4" s="1"/>
  <c r="Q16" i="4"/>
  <c r="S16" i="4"/>
  <c r="Q18" i="4"/>
  <c r="S18" i="4" s="1"/>
  <c r="Q37" i="4"/>
  <c r="S37" i="4"/>
  <c r="Q19" i="4"/>
  <c r="S19" i="4" s="1"/>
  <c r="Q21" i="4"/>
  <c r="S21" i="4"/>
  <c r="Q33" i="4"/>
  <c r="S33" i="4"/>
  <c r="Q13" i="4" l="1"/>
  <c r="Q39" i="4" s="1"/>
  <c r="S13" i="4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<sst xmlns="http://schemas.openxmlformats.org/spreadsheetml/2006/main" count="217" uniqueCount="105">
  <si>
    <t>Massgebendes quellenbesteuertes</t>
  </si>
  <si>
    <t>Einkommen (QS)</t>
  </si>
  <si>
    <t>Produktion</t>
  </si>
  <si>
    <t>Umgebung</t>
  </si>
  <si>
    <t>Typ</t>
  </si>
  <si>
    <t>Berechnung</t>
  </si>
  <si>
    <t>WS</t>
  </si>
  <si>
    <t>FA_2017_20160519</t>
  </si>
  <si>
    <t>SWS</t>
  </si>
  <si>
    <t>RA_2017_20160519</t>
  </si>
  <si>
    <t>RefJahr</t>
  </si>
  <si>
    <t>BemJahr</t>
  </si>
  <si>
    <t>Spalte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</si>
  <si>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</si>
  <si>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</si>
  <si>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</si>
  <si>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</si>
  <si>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</si>
  <si>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</si>
  <si>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</si>
  <si>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</si>
  <si>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</si>
  <si>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</si>
  <si>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C + D + E + F + G + H</t>
  </si>
  <si>
    <t>B + I</t>
  </si>
  <si>
    <t>Kategorie</t>
  </si>
  <si>
    <t>A2</t>
  </si>
  <si>
    <t>D2</t>
  </si>
  <si>
    <t>F2</t>
  </si>
  <si>
    <t>F3</t>
  </si>
  <si>
    <t>I2</t>
  </si>
  <si>
    <t>Gebietsansässige Ausländer und ausländische Verwaltungsräte</t>
  </si>
  <si>
    <t>Vollständig besteuerte Grenzgänger</t>
  </si>
  <si>
    <t>Begrenzt besteuerte Grenzgänger</t>
  </si>
  <si>
    <t>Brutto-
einkommen
Grenzgänger</t>
  </si>
  <si>
    <t>Brutto-
einkommen
Total</t>
  </si>
  <si>
    <t>aus Österreich</t>
  </si>
  <si>
    <t>aus Deutschland</t>
  </si>
  <si>
    <t>aus Frankreich mit Besteuerung durch den Kanton Genf</t>
  </si>
  <si>
    <t>aus Frankreich mit Besteuerung durch Frankreich</t>
  </si>
  <si>
    <t>aus Italien</t>
  </si>
  <si>
    <t>Datenquelle</t>
  </si>
  <si>
    <t>ESTV</t>
  </si>
  <si>
    <t>Einheit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</si>
  <si>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</si>
  <si>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</si>
  <si>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</si>
  <si>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</si>
  <si>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</si>
  <si>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</si>
  <si>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</si>
  <si>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</si>
  <si>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</si>
  <si>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</si>
  <si>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</si>
  <si>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</si>
  <si>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</si>
  <si>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</si>
  <si>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</si>
  <si>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</si>
  <si>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</si>
  <si>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</si>
  <si>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</si>
  <si>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</si>
  <si>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</si>
  <si>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</si>
  <si>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</si>
  <si>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</si>
  <si>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</si>
  <si>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</si>
  <si>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</si>
  <si>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Schweiz</t>
  </si>
  <si>
    <t>Quelle</t>
  </si>
  <si>
    <t>CHF 1'000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</si>
  <si>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Primäreinkommen der privaten Haushalte</t>
    </r>
  </si>
  <si>
    <t>BFS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</si>
  <si>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Massgebendes Einkommen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</si>
  <si>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</si>
  <si>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Schätzung von QS bei fehlenden Werten</t>
  </si>
  <si>
    <t>I</t>
  </si>
  <si>
    <t>K</t>
  </si>
  <si>
    <t>L</t>
  </si>
  <si>
    <t>O</t>
  </si>
  <si>
    <t>P</t>
  </si>
  <si>
    <t>Q</t>
  </si>
  <si>
    <t>S</t>
  </si>
  <si>
    <t>g</t>
  </si>
  <si>
    <t>0.045 / SST</t>
  </si>
  <si>
    <r>
      <rPr>
        <sz val="8"/>
        <rFont val="Symbol"/>
        <family val="1"/>
        <charset val="2"/>
      </rPr>
      <t xml:space="preserve">g </t>
    </r>
    <r>
      <rPr>
        <sz val="8"/>
        <rFont val="Arial"/>
        <family val="2"/>
      </rPr>
      <t>- 0.035 / SST</t>
    </r>
  </si>
  <si>
    <r>
      <rPr>
        <sz val="12"/>
        <rFont val="Arial"/>
        <family val="2"/>
      </rPr>
      <t xml:space="preserve">(1 - 0.4)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</si>
  <si>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</si>
  <si>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</si>
  <si>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</si>
  <si>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wenn L=0</t>
  </si>
  <si>
    <t>L + Q</t>
  </si>
  <si>
    <t>Geschätztes Verhältnis zwischen massgebenden quellenbesteuerten Einkommen und massgebenden Einkommen =&gt; obere Grenze 95%-Vertrauensintervall</t>
  </si>
  <si>
    <t>Ergebnis auf der Basis der geschätzten Daten</t>
  </si>
  <si>
    <t>Massgebende quellenbesteuerte Einkommen</t>
  </si>
  <si>
    <t>Grenzgänger Total</t>
  </si>
  <si>
    <t>Faktor Delta
(gemäss FiLaV)</t>
  </si>
  <si>
    <t>Ergebnis auf der Basis der Bruttolöhne (Grenzgänger)</t>
  </si>
  <si>
    <t>Ergebnis auf der Basis der Bruttolöhne (Total)</t>
  </si>
  <si>
    <t>Wert</t>
  </si>
  <si>
    <t>ungerundet</t>
  </si>
  <si>
    <t>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</si>
</sst>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7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8"/>
      <name val="Symbol"/>
      <family val="1"/>
      <charset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8" fillId="0" borderId="3" xfId="0" applyFont="1" applyFill="1" applyBorder="1"/>
    <xf numFmtId="1" fontId="9" fillId="0" borderId="4" xfId="0" applyNumberFormat="1" applyFont="1" applyFill="1" applyBorder="1" applyAlignment="1" applyProtection="1">
      <alignment horizontal="left" vertical="top"/>
      <protection locked="0"/>
    </xf>
    <xf numFmtId="1" fontId="9" fillId="0" borderId="5" xfId="0" applyNumberFormat="1" applyFont="1" applyFill="1" applyBorder="1" applyAlignment="1" applyProtection="1">
      <alignment horizontal="left" vertical="top"/>
      <protection locked="0"/>
    </xf>
    <xf numFmtId="0" fontId="8" fillId="0" borderId="6" xfId="0" applyFont="1" applyFill="1" applyBorder="1"/>
    <xf numFmtId="1" fontId="9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1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3" fillId="0" borderId="0" xfId="0" applyFont="1" applyFill="1"/>
    <xf numFmtId="0" fontId="14" fillId="0" borderId="1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17" fillId="0" borderId="15" xfId="0" applyNumberFormat="1" applyFont="1" applyFill="1" applyBorder="1" applyAlignment="1" applyProtection="1">
      <alignment horizontal="right"/>
      <protection locked="0"/>
    </xf>
    <xf numFmtId="164" fontId="17" fillId="0" borderId="16" xfId="0" applyNumberFormat="1" applyFont="1" applyFill="1" applyBorder="1" applyAlignment="1" applyProtection="1">
      <alignment horizontal="right"/>
      <protection locked="0"/>
    </xf>
    <xf numFmtId="164" fontId="17" fillId="0" borderId="13" xfId="0" applyNumberFormat="1" applyFont="1" applyFill="1" applyBorder="1" applyAlignment="1" applyProtection="1">
      <alignment horizontal="right"/>
      <protection locked="0"/>
    </xf>
    <xf numFmtId="164" fontId="17" fillId="0" borderId="0" xfId="0" applyNumberFormat="1" applyFont="1" applyFill="1" applyBorder="1" applyAlignment="1" applyProtection="1">
      <alignment horizontal="right"/>
      <protection locked="0"/>
    </xf>
    <xf numFmtId="164" fontId="17" fillId="0" borderId="14" xfId="0" applyNumberFormat="1" applyFont="1" applyFill="1" applyBorder="1" applyAlignment="1" applyProtection="1">
      <alignment horizontal="right"/>
      <protection locked="0"/>
    </xf>
    <xf numFmtId="3" fontId="4" fillId="0" borderId="17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17" fillId="2" borderId="0" xfId="0" applyNumberFormat="1" applyFont="1" applyFill="1" applyBorder="1" applyAlignment="1" applyProtection="1">
      <alignment horizontal="right"/>
      <protection locked="0"/>
    </xf>
    <xf numFmtId="164" fontId="17" fillId="2" borderId="14" xfId="0" applyNumberFormat="1" applyFont="1" applyFill="1" applyBorder="1" applyAlignment="1" applyProtection="1">
      <alignment horizontal="right"/>
      <protection locked="0"/>
    </xf>
    <xf numFmtId="164" fontId="17" fillId="2" borderId="13" xfId="0" applyNumberFormat="1" applyFont="1" applyFill="1" applyBorder="1" applyAlignment="1" applyProtection="1">
      <alignment horizontal="right"/>
      <protection locked="0"/>
    </xf>
    <xf numFmtId="3" fontId="4" fillId="2" borderId="13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3" fontId="4" fillId="0" borderId="13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17" fillId="2" borderId="8" xfId="0" applyNumberFormat="1" applyFont="1" applyFill="1" applyBorder="1" applyAlignment="1" applyProtection="1">
      <alignment horizontal="right"/>
      <protection locked="0"/>
    </xf>
    <xf numFmtId="164" fontId="17" fillId="2" borderId="21" xfId="0" applyNumberFormat="1" applyFont="1" applyFill="1" applyBorder="1" applyAlignment="1" applyProtection="1">
      <alignment horizontal="right"/>
      <protection locked="0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/>
    <xf numFmtId="165" fontId="2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1" fillId="0" borderId="15" xfId="0" applyFont="1" applyFill="1" applyBorder="1" applyAlignment="1">
      <alignment vertical="center"/>
    </xf>
    <xf numFmtId="3" fontId="1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1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Protection="1">
      <protection locked="0"/>
    </xf>
    <xf numFmtId="0" fontId="10" fillId="0" borderId="26" xfId="0" applyFont="1" applyFill="1" applyBorder="1"/>
    <xf numFmtId="166" fontId="10" fillId="0" borderId="26" xfId="0" applyNumberFormat="1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left"/>
    </xf>
    <xf numFmtId="1" fontId="19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165" fontId="20" fillId="0" borderId="9" xfId="0" applyNumberFormat="1" applyFont="1" applyFill="1" applyBorder="1"/>
    <xf numFmtId="0" fontId="0" fillId="0" borderId="9" xfId="0" applyFont="1" applyFill="1" applyBorder="1"/>
    <xf numFmtId="165" fontId="20" fillId="0" borderId="0" xfId="0" applyNumberFormat="1" applyFont="1" applyFill="1"/>
    <xf numFmtId="0" fontId="21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 applyProtection="1">
      <alignment horizontal="right" vertical="center" wrapText="1"/>
      <protection locked="0"/>
    </xf>
    <xf numFmtId="0" fontId="16" fillId="0" borderId="9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7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7" xfId="0" applyNumberFormat="1" applyFont="1" applyFill="1" applyBorder="1"/>
    <xf numFmtId="3" fontId="0" fillId="0" borderId="16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164" fontId="18" fillId="0" borderId="15" xfId="0" applyNumberFormat="1" applyFont="1" applyFill="1" applyBorder="1" applyProtection="1">
      <protection locked="0"/>
    </xf>
    <xf numFmtId="165" fontId="18" fillId="0" borderId="15" xfId="0" applyNumberFormat="1" applyFont="1" applyFill="1" applyBorder="1" applyProtection="1">
      <protection locked="0"/>
    </xf>
    <xf numFmtId="3" fontId="10" fillId="0" borderId="18" xfId="0" applyNumberFormat="1" applyFont="1" applyFill="1" applyBorder="1"/>
    <xf numFmtId="3" fontId="10" fillId="0" borderId="28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23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18" fillId="2" borderId="0" xfId="0" applyNumberFormat="1" applyFont="1" applyFill="1" applyBorder="1" applyProtection="1">
      <protection locked="0"/>
    </xf>
    <xf numFmtId="165" fontId="18" fillId="2" borderId="0" xfId="0" applyNumberFormat="1" applyFont="1" applyFill="1" applyBorder="1" applyProtection="1">
      <protection locked="0"/>
    </xf>
    <xf numFmtId="3" fontId="10" fillId="2" borderId="29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24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18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3" fontId="10" fillId="0" borderId="29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2" xfId="0" applyNumberFormat="1" applyFont="1" applyFill="1" applyBorder="1"/>
    <xf numFmtId="3" fontId="0" fillId="2" borderId="21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30" xfId="0" applyNumberFormat="1" applyFont="1" applyFill="1" applyBorder="1"/>
    <xf numFmtId="164" fontId="18" fillId="2" borderId="8" xfId="0" applyNumberFormat="1" applyFont="1" applyFill="1" applyBorder="1" applyProtection="1">
      <protection locked="0"/>
    </xf>
    <xf numFmtId="165" fontId="18" fillId="2" borderId="8" xfId="0" applyNumberFormat="1" applyFont="1" applyFill="1" applyBorder="1" applyProtection="1">
      <protection locked="0"/>
    </xf>
    <xf numFmtId="3" fontId="10" fillId="2" borderId="31" xfId="0" applyNumberFormat="1" applyFont="1" applyFill="1" applyBorder="1"/>
    <xf numFmtId="0" fontId="10" fillId="0" borderId="1" xfId="0" applyFont="1" applyFill="1" applyBorder="1"/>
    <xf numFmtId="3" fontId="10" fillId="0" borderId="9" xfId="0" applyNumberFormat="1" applyFont="1" applyFill="1" applyBorder="1"/>
    <xf numFmtId="3" fontId="10" fillId="0" borderId="11" xfId="0" applyNumberFormat="1" applyFont="1" applyFill="1" applyBorder="1"/>
    <xf numFmtId="3" fontId="10" fillId="0" borderId="10" xfId="0" applyNumberFormat="1" applyFont="1" applyFill="1" applyBorder="1"/>
    <xf numFmtId="4" fontId="23" fillId="0" borderId="9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10" fillId="0" borderId="27" xfId="0" applyNumberFormat="1" applyFont="1" applyFill="1" applyBorder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5" sqref="A5:D5"/>
    </sheetView>
  </sheetViews>
  <sheetFormatPr baseColWidth="10" defaultColWidth="11.5546875" defaultRowHeight="12.75" x14ac:dyDescent="0.2"/>
  <cols>
    <col min="1" max="1" width="15.109375" style="1" customWidth="1"/>
    <col min="2" max="2" width="9" style="1" customWidth="1"/>
    <col min="3" max="3" width="20" style="1" customWidth="1"/>
    <col min="4" max="4" width="14.77734375" style="1" customWidth="1"/>
    <col min="5" max="5" width="10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0" t="s">
        <v>0</v>
      </c>
      <c r="B1" s="190"/>
      <c r="C1" s="190"/>
      <c r="D1" s="190"/>
      <c r="E1" s="2"/>
    </row>
    <row r="2" spans="1:5" ht="27.75" customHeight="1" x14ac:dyDescent="0.4">
      <c r="A2" s="190" t="s">
        <v>1</v>
      </c>
      <c r="B2" s="190"/>
      <c r="C2" s="190"/>
      <c r="D2" s="190"/>
      <c r="E2" s="2"/>
    </row>
    <row r="3" spans="1:5" ht="24.75" customHeight="1" x14ac:dyDescent="0.35">
      <c r="A3" s="3"/>
      <c r="B3" s="3"/>
      <c r="C3" s="3"/>
      <c r="D3" s="3"/>
      <c r="E3" s="3"/>
    </row>
    <row r="4" spans="1:5" ht="18" customHeight="1" x14ac:dyDescent="0.25">
      <c r="A4" s="191" t="str">
        <f>"Bemessungsjahr "&amp;C31</f>
        <v>Bemessungsjahr 2011</v>
      </c>
      <c r="B4" s="191"/>
      <c r="C4" s="191"/>
      <c r="D4" s="191"/>
      <c r="E4" s="4"/>
    </row>
    <row r="5" spans="1:5" ht="18" customHeight="1" x14ac:dyDescent="0.25">
      <c r="A5" s="191" t="str">
        <f>"Referenzjahr "&amp;C30</f>
        <v>Referenzjahr 2017</v>
      </c>
      <c r="B5" s="191"/>
      <c r="C5" s="191"/>
      <c r="D5" s="191"/>
      <c r="E5" s="4"/>
    </row>
    <row r="25" spans="2:3" x14ac:dyDescent="0.2">
      <c r="B25" s="5" t="s">
        <v>2</v>
      </c>
      <c r="C25" s="6"/>
    </row>
    <row r="26" spans="2:3" x14ac:dyDescent="0.2">
      <c r="B26" s="7" t="s">
        <v>3</v>
      </c>
      <c r="C26" s="8" t="s">
        <v>2</v>
      </c>
    </row>
    <row r="27" spans="2:3" x14ac:dyDescent="0.2">
      <c r="B27" s="7" t="s">
        <v>4</v>
      </c>
      <c r="C27" s="9" t="s">
        <v>5</v>
      </c>
    </row>
    <row r="28" spans="2:3" x14ac:dyDescent="0.2">
      <c r="B28" s="7" t="s">
        <v>6</v>
      </c>
      <c r="C28" s="9" t="s">
        <v>7</v>
      </c>
    </row>
    <row r="29" spans="2:3" x14ac:dyDescent="0.2">
      <c r="B29" s="7" t="s">
        <v>8</v>
      </c>
      <c r="C29" s="9" t="s">
        <v>9</v>
      </c>
    </row>
    <row r="30" spans="2:3" x14ac:dyDescent="0.2">
      <c r="B30" s="7" t="s">
        <v>10</v>
      </c>
      <c r="C30" s="9">
        <v>2017</v>
      </c>
    </row>
    <row r="31" spans="2:3" x14ac:dyDescent="0.2">
      <c r="B31" s="10" t="s">
        <v>11</v>
      </c>
      <c r="C31" s="11">
        <v>2011</v>
      </c>
    </row>
  </sheetData>
  <mergeCells count="4">
    <mergeCell ref="A1:D1"/>
    <mergeCell ref="A2:D2"/>
    <mergeCell ref="A4:D4"/>
    <mergeCell ref="A5:D5"/>
  </mergeCells>
  <conditionalFormatting sqref="C26:C31">
    <cfRule type="expression" dxfId="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7"/>
  <sheetViews>
    <sheetView showGridLines="0" zoomScale="90" workbookViewId="0"/>
  </sheetViews>
  <sheetFormatPr baseColWidth="10" defaultColWidth="11.5546875" defaultRowHeight="15" x14ac:dyDescent="0.2"/>
  <cols>
    <col min="1" max="1" width="12.77734375" style="12" customWidth="1"/>
    <col min="2" max="2" width="17.6640625" style="12" customWidth="1"/>
    <col min="3" max="3" width="13.5546875" style="12" customWidth="1"/>
    <col min="4" max="5" width="13.33203125" style="12" customWidth="1"/>
    <col min="6" max="6" width="15.33203125" style="12" customWidth="1"/>
    <col min="7" max="7" width="16.5546875" style="12" customWidth="1"/>
    <col min="8" max="10" width="13.33203125" style="12" customWidth="1"/>
  </cols>
  <sheetData>
    <row r="1" spans="1:10" ht="26.25" customHeight="1" x14ac:dyDescent="0.2">
      <c r="A1" s="13" t="str">
        <f>"Bruttoeinkommen "&amp;Info!C31</f>
        <v>Bruttoeinkommen 2011</v>
      </c>
      <c r="B1" s="13"/>
      <c r="C1" s="13"/>
      <c r="J1" s="14"/>
    </row>
    <row r="2" spans="1:10" ht="31.5" customHeight="1" x14ac:dyDescent="0.2">
      <c r="A2" s="15" t="str">
        <f>"Referenzjahr "&amp;Info!C30</f>
        <v>Referenzjahr 2017</v>
      </c>
      <c r="B2" s="16"/>
      <c r="C2" s="16"/>
      <c r="D2" s="17"/>
      <c r="J2" s="18" t="str">
        <f>Info!C28</f>
        <v>FA_2017_20160519</v>
      </c>
    </row>
    <row r="3" spans="1:10" s="19" customFormat="1" ht="12.75" x14ac:dyDescent="0.2">
      <c r="A3" s="20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1" t="s">
        <v>17</v>
      </c>
      <c r="G3" s="21" t="s">
        <v>18</v>
      </c>
      <c r="H3" s="21" t="s">
        <v>19</v>
      </c>
      <c r="I3" s="21" t="s">
        <v>20</v>
      </c>
      <c r="J3" s="22" t="s">
        <v>21</v>
      </c>
    </row>
    <row r="4" spans="1:10" s="23" customFormat="1" ht="11.25" customHeight="1" x14ac:dyDescent="0.2">
      <c r="A4" s="24" t="s">
        <v>22</v>
      </c>
      <c r="B4" s="25"/>
      <c r="C4" s="25"/>
      <c r="D4" s="25"/>
      <c r="E4" s="25"/>
      <c r="F4" s="26"/>
      <c r="G4" s="26"/>
      <c r="H4" s="26"/>
      <c r="I4" s="25" t="s">
        <v>23</v>
      </c>
      <c r="J4" s="27" t="s">
        <v>24</v>
      </c>
    </row>
    <row r="5" spans="1:10" ht="15.75" customHeight="1" x14ac:dyDescent="0.2">
      <c r="A5" s="28" t="s">
        <v>25</v>
      </c>
      <c r="B5" s="29">
        <v>0</v>
      </c>
      <c r="C5" s="30">
        <v>1</v>
      </c>
      <c r="D5" s="31" t="s">
        <v>26</v>
      </c>
      <c r="E5" s="29" t="s">
        <v>27</v>
      </c>
      <c r="F5" s="29" t="s">
        <v>28</v>
      </c>
      <c r="G5" s="29" t="s">
        <v>29</v>
      </c>
      <c r="H5" s="30" t="s">
        <v>30</v>
      </c>
      <c r="I5" s="29"/>
      <c r="J5" s="32"/>
    </row>
    <row r="6" spans="1:10" ht="18.75" customHeight="1" x14ac:dyDescent="0.2">
      <c r="A6" s="194"/>
      <c r="B6" s="199" t="s">
        <v>31</v>
      </c>
      <c r="C6" s="201" t="s">
        <v>32</v>
      </c>
      <c r="D6" s="196" t="s">
        <v>33</v>
      </c>
      <c r="E6" s="197"/>
      <c r="F6" s="197"/>
      <c r="G6" s="197"/>
      <c r="H6" s="198"/>
      <c r="I6" s="203" t="s">
        <v>34</v>
      </c>
      <c r="J6" s="192" t="s">
        <v>35</v>
      </c>
    </row>
    <row r="7" spans="1:10" ht="45.75" customHeight="1" x14ac:dyDescent="0.2">
      <c r="A7" s="195"/>
      <c r="B7" s="200"/>
      <c r="C7" s="202"/>
      <c r="D7" s="35" t="s">
        <v>36</v>
      </c>
      <c r="E7" s="36" t="s">
        <v>37</v>
      </c>
      <c r="F7" s="36" t="s">
        <v>38</v>
      </c>
      <c r="G7" s="36" t="s">
        <v>39</v>
      </c>
      <c r="H7" s="37" t="s">
        <v>40</v>
      </c>
      <c r="I7" s="204"/>
      <c r="J7" s="193"/>
    </row>
    <row r="8" spans="1:10" s="38" customFormat="1" ht="14.25" customHeight="1" x14ac:dyDescent="0.2">
      <c r="A8" s="39" t="s">
        <v>41</v>
      </c>
      <c r="B8" s="40" t="s">
        <v>42</v>
      </c>
      <c r="C8" s="41" t="s">
        <v>42</v>
      </c>
      <c r="D8" s="42" t="s">
        <v>42</v>
      </c>
      <c r="E8" s="40" t="s">
        <v>42</v>
      </c>
      <c r="F8" s="40" t="s">
        <v>42</v>
      </c>
      <c r="G8" s="40" t="s">
        <v>42</v>
      </c>
      <c r="H8" s="41" t="s">
        <v>42</v>
      </c>
      <c r="I8" s="40"/>
      <c r="J8" s="43"/>
    </row>
    <row r="9" spans="1:10" s="44" customFormat="1" ht="14.25" customHeight="1" x14ac:dyDescent="0.2">
      <c r="A9" s="45" t="s">
        <v>43</v>
      </c>
      <c r="B9" s="46" t="s">
        <v>44</v>
      </c>
      <c r="C9" s="47" t="s">
        <v>44</v>
      </c>
      <c r="D9" s="48" t="s">
        <v>44</v>
      </c>
      <c r="E9" s="46" t="s">
        <v>44</v>
      </c>
      <c r="F9" s="46" t="s">
        <v>44</v>
      </c>
      <c r="G9" s="46" t="s">
        <v>44</v>
      </c>
      <c r="H9" s="47" t="s">
        <v>44</v>
      </c>
      <c r="I9" s="46" t="s">
        <v>44</v>
      </c>
      <c r="J9" s="49" t="s">
        <v>44</v>
      </c>
    </row>
    <row r="10" spans="1:10" x14ac:dyDescent="0.2">
      <c r="A10" s="50" t="s">
        <v>45</v>
      </c>
      <c r="B10" s="51">
        <v>4964990717</v>
      </c>
      <c r="C10" s="52">
        <v>62862707</v>
      </c>
      <c r="D10" s="53">
        <v>0</v>
      </c>
      <c r="E10" s="54">
        <v>489096507</v>
      </c>
      <c r="F10" s="54">
        <v>0</v>
      </c>
      <c r="G10" s="54">
        <v>0</v>
      </c>
      <c r="H10" s="55">
        <v>0</v>
      </c>
      <c r="I10" s="56">
        <f t="shared" ref="I10:I35" si="0">SUM(C10:H10)</f>
        <v>551959214</v>
      </c>
      <c r="J10" s="57">
        <f t="shared" ref="J10:J36" si="1">SUM(B10:H10)</f>
        <v>5516949931</v>
      </c>
    </row>
    <row r="11" spans="1:10" x14ac:dyDescent="0.2">
      <c r="A11" s="58" t="s">
        <v>46</v>
      </c>
      <c r="B11" s="59">
        <v>1534247081.6099999</v>
      </c>
      <c r="C11" s="60">
        <v>108259426.72</v>
      </c>
      <c r="D11" s="61">
        <v>82142.05</v>
      </c>
      <c r="E11" s="59">
        <v>15048557.380000001</v>
      </c>
      <c r="F11" s="59">
        <v>0</v>
      </c>
      <c r="G11" s="59">
        <v>119460990.55</v>
      </c>
      <c r="H11" s="60">
        <v>0</v>
      </c>
      <c r="I11" s="62">
        <f t="shared" si="0"/>
        <v>242851116.69999999</v>
      </c>
      <c r="J11" s="63">
        <f t="shared" si="1"/>
        <v>1777098198.3099999</v>
      </c>
    </row>
    <row r="12" spans="1:10" x14ac:dyDescent="0.2">
      <c r="A12" s="64" t="s">
        <v>47</v>
      </c>
      <c r="B12" s="54">
        <v>684400917.90999997</v>
      </c>
      <c r="C12" s="55">
        <v>33992620.100000001</v>
      </c>
      <c r="D12" s="53">
        <v>565337.59999999998</v>
      </c>
      <c r="E12" s="54">
        <v>5777183.3200000003</v>
      </c>
      <c r="F12" s="54">
        <v>0</v>
      </c>
      <c r="G12" s="54">
        <v>0</v>
      </c>
      <c r="H12" s="55">
        <v>0</v>
      </c>
      <c r="I12" s="65">
        <f t="shared" si="0"/>
        <v>40335141.020000003</v>
      </c>
      <c r="J12" s="66">
        <f t="shared" si="1"/>
        <v>724736058.93000007</v>
      </c>
    </row>
    <row r="13" spans="1:10" x14ac:dyDescent="0.2">
      <c r="A13" s="58" t="s">
        <v>48</v>
      </c>
      <c r="B13" s="59">
        <v>75093964</v>
      </c>
      <c r="C13" s="60">
        <v>0</v>
      </c>
      <c r="D13" s="61">
        <v>2754008</v>
      </c>
      <c r="E13" s="59">
        <v>0</v>
      </c>
      <c r="F13" s="59">
        <v>0</v>
      </c>
      <c r="G13" s="59">
        <v>0</v>
      </c>
      <c r="H13" s="60">
        <v>0</v>
      </c>
      <c r="I13" s="62">
        <f t="shared" si="0"/>
        <v>2754008</v>
      </c>
      <c r="J13" s="63">
        <f t="shared" si="1"/>
        <v>77847972</v>
      </c>
    </row>
    <row r="14" spans="1:10" x14ac:dyDescent="0.2">
      <c r="A14" s="64" t="s">
        <v>49</v>
      </c>
      <c r="B14" s="54">
        <v>307712334</v>
      </c>
      <c r="C14" s="55">
        <v>53968115</v>
      </c>
      <c r="D14" s="53">
        <v>1300958</v>
      </c>
      <c r="E14" s="54">
        <v>2106932</v>
      </c>
      <c r="F14" s="54">
        <v>0</v>
      </c>
      <c r="G14" s="54">
        <v>0</v>
      </c>
      <c r="H14" s="55">
        <v>0</v>
      </c>
      <c r="I14" s="65">
        <f t="shared" si="0"/>
        <v>57376005</v>
      </c>
      <c r="J14" s="66">
        <f t="shared" si="1"/>
        <v>365088339</v>
      </c>
    </row>
    <row r="15" spans="1:10" x14ac:dyDescent="0.2">
      <c r="A15" s="58" t="s">
        <v>50</v>
      </c>
      <c r="B15" s="59">
        <v>79485411.609999999</v>
      </c>
      <c r="C15" s="60">
        <v>4659719.1100000003</v>
      </c>
      <c r="D15" s="61">
        <v>177150</v>
      </c>
      <c r="E15" s="59">
        <v>267872.23</v>
      </c>
      <c r="F15" s="59">
        <v>0</v>
      </c>
      <c r="G15" s="59">
        <v>0</v>
      </c>
      <c r="H15" s="60">
        <v>0</v>
      </c>
      <c r="I15" s="62">
        <f t="shared" si="0"/>
        <v>5104741.34</v>
      </c>
      <c r="J15" s="63">
        <f t="shared" si="1"/>
        <v>84590152.950000003</v>
      </c>
    </row>
    <row r="16" spans="1:10" x14ac:dyDescent="0.2">
      <c r="A16" s="64" t="s">
        <v>51</v>
      </c>
      <c r="B16" s="54">
        <v>74363685.879999995</v>
      </c>
      <c r="C16" s="55">
        <v>1355923.5</v>
      </c>
      <c r="D16" s="53">
        <v>2593398</v>
      </c>
      <c r="E16" s="54">
        <v>539570.65</v>
      </c>
      <c r="F16" s="54">
        <v>0</v>
      </c>
      <c r="G16" s="54">
        <v>0</v>
      </c>
      <c r="H16" s="55">
        <v>0</v>
      </c>
      <c r="I16" s="65">
        <f t="shared" si="0"/>
        <v>4488892.1500000004</v>
      </c>
      <c r="J16" s="66">
        <f t="shared" si="1"/>
        <v>78852578.030000001</v>
      </c>
    </row>
    <row r="17" spans="1:10" x14ac:dyDescent="0.2">
      <c r="A17" s="58" t="s">
        <v>52</v>
      </c>
      <c r="B17" s="59">
        <v>112560578.55</v>
      </c>
      <c r="C17" s="60">
        <v>560423.85</v>
      </c>
      <c r="D17" s="61">
        <v>9863782.9800000004</v>
      </c>
      <c r="E17" s="59">
        <v>274696.75</v>
      </c>
      <c r="F17" s="59">
        <v>0</v>
      </c>
      <c r="G17" s="59">
        <v>0</v>
      </c>
      <c r="H17" s="60">
        <v>0</v>
      </c>
      <c r="I17" s="62">
        <f t="shared" si="0"/>
        <v>10698903.58</v>
      </c>
      <c r="J17" s="63">
        <f t="shared" si="1"/>
        <v>123259482.13</v>
      </c>
    </row>
    <row r="18" spans="1:10" x14ac:dyDescent="0.2">
      <c r="A18" s="64" t="s">
        <v>53</v>
      </c>
      <c r="B18" s="54">
        <v>655359219</v>
      </c>
      <c r="C18" s="55">
        <v>37784843.509999998</v>
      </c>
      <c r="D18" s="53">
        <v>2677197</v>
      </c>
      <c r="E18" s="54">
        <v>4391134</v>
      </c>
      <c r="F18" s="54">
        <v>0</v>
      </c>
      <c r="G18" s="54">
        <v>0</v>
      </c>
      <c r="H18" s="55">
        <v>0</v>
      </c>
      <c r="I18" s="65">
        <f t="shared" si="0"/>
        <v>44853174.509999998</v>
      </c>
      <c r="J18" s="66">
        <f t="shared" si="1"/>
        <v>700212393.50999999</v>
      </c>
    </row>
    <row r="19" spans="1:10" x14ac:dyDescent="0.2">
      <c r="A19" s="58" t="s">
        <v>54</v>
      </c>
      <c r="B19" s="59">
        <v>598084455</v>
      </c>
      <c r="C19" s="60">
        <v>0</v>
      </c>
      <c r="D19" s="61">
        <v>3342900</v>
      </c>
      <c r="E19" s="59">
        <v>310325</v>
      </c>
      <c r="F19" s="59">
        <v>0</v>
      </c>
      <c r="G19" s="59">
        <v>0</v>
      </c>
      <c r="H19" s="60">
        <v>0</v>
      </c>
      <c r="I19" s="62">
        <f t="shared" si="0"/>
        <v>3653225</v>
      </c>
      <c r="J19" s="63">
        <f t="shared" si="1"/>
        <v>601737680</v>
      </c>
    </row>
    <row r="20" spans="1:10" x14ac:dyDescent="0.2">
      <c r="A20" s="64" t="s">
        <v>55</v>
      </c>
      <c r="B20" s="54">
        <v>376954483.63999999</v>
      </c>
      <c r="C20" s="55">
        <v>15458520.35</v>
      </c>
      <c r="D20" s="53">
        <v>724377.5</v>
      </c>
      <c r="E20" s="54">
        <v>36218528</v>
      </c>
      <c r="F20" s="54">
        <v>0</v>
      </c>
      <c r="G20" s="54">
        <v>82243763.25</v>
      </c>
      <c r="H20" s="55">
        <v>0</v>
      </c>
      <c r="I20" s="65">
        <f t="shared" si="0"/>
        <v>134645189.09999999</v>
      </c>
      <c r="J20" s="66">
        <f t="shared" si="1"/>
        <v>511599672.74000001</v>
      </c>
    </row>
    <row r="21" spans="1:10" x14ac:dyDescent="0.2">
      <c r="A21" s="58" t="s">
        <v>56</v>
      </c>
      <c r="B21" s="59">
        <v>746021652.07000005</v>
      </c>
      <c r="C21" s="60">
        <v>150527506.47</v>
      </c>
      <c r="D21" s="61">
        <v>1335429.75</v>
      </c>
      <c r="E21" s="59">
        <v>1303166699.4000001</v>
      </c>
      <c r="F21" s="59">
        <v>0</v>
      </c>
      <c r="G21" s="59">
        <v>1527656298.1500001</v>
      </c>
      <c r="H21" s="60">
        <v>0</v>
      </c>
      <c r="I21" s="62">
        <f t="shared" si="0"/>
        <v>2982685933.7700005</v>
      </c>
      <c r="J21" s="63">
        <f t="shared" si="1"/>
        <v>3728707585.8400002</v>
      </c>
    </row>
    <row r="22" spans="1:10" x14ac:dyDescent="0.2">
      <c r="A22" s="64" t="s">
        <v>57</v>
      </c>
      <c r="B22" s="54">
        <v>389214719.74000001</v>
      </c>
      <c r="C22" s="55">
        <v>86920277.180000007</v>
      </c>
      <c r="D22" s="53">
        <v>1340941.1000000001</v>
      </c>
      <c r="E22" s="54">
        <v>635103116.95000005</v>
      </c>
      <c r="F22" s="54">
        <v>0</v>
      </c>
      <c r="G22" s="54">
        <v>952496409</v>
      </c>
      <c r="H22" s="55">
        <v>0</v>
      </c>
      <c r="I22" s="65">
        <f t="shared" si="0"/>
        <v>1675860744.23</v>
      </c>
      <c r="J22" s="66">
        <f t="shared" si="1"/>
        <v>2065075463.97</v>
      </c>
    </row>
    <row r="23" spans="1:10" x14ac:dyDescent="0.2">
      <c r="A23" s="58" t="s">
        <v>58</v>
      </c>
      <c r="B23" s="59">
        <v>300731719.89999998</v>
      </c>
      <c r="C23" s="60">
        <v>21980352</v>
      </c>
      <c r="D23" s="61">
        <v>547544.65</v>
      </c>
      <c r="E23" s="59">
        <v>337216070.19999999</v>
      </c>
      <c r="F23" s="59">
        <v>0</v>
      </c>
      <c r="G23" s="59">
        <v>0</v>
      </c>
      <c r="H23" s="60">
        <v>0</v>
      </c>
      <c r="I23" s="62">
        <f t="shared" si="0"/>
        <v>359743966.84999996</v>
      </c>
      <c r="J23" s="63">
        <f t="shared" si="1"/>
        <v>660475686.75</v>
      </c>
    </row>
    <row r="24" spans="1:10" x14ac:dyDescent="0.2">
      <c r="A24" s="64" t="s">
        <v>59</v>
      </c>
      <c r="B24" s="54">
        <v>97771896</v>
      </c>
      <c r="C24" s="55">
        <v>5160053</v>
      </c>
      <c r="D24" s="53">
        <v>12838485</v>
      </c>
      <c r="E24" s="54">
        <v>3966479</v>
      </c>
      <c r="F24" s="54">
        <v>0</v>
      </c>
      <c r="G24" s="54">
        <v>0</v>
      </c>
      <c r="H24" s="55">
        <v>0</v>
      </c>
      <c r="I24" s="65">
        <f t="shared" si="0"/>
        <v>21965017</v>
      </c>
      <c r="J24" s="66">
        <f t="shared" si="1"/>
        <v>119736913</v>
      </c>
    </row>
    <row r="25" spans="1:10" x14ac:dyDescent="0.2">
      <c r="A25" s="58" t="s">
        <v>60</v>
      </c>
      <c r="B25" s="59">
        <v>17972244.210000001</v>
      </c>
      <c r="C25" s="60">
        <v>1707151.39</v>
      </c>
      <c r="D25" s="61">
        <v>3753892.98</v>
      </c>
      <c r="E25" s="59">
        <v>637680.12</v>
      </c>
      <c r="F25" s="59">
        <v>0</v>
      </c>
      <c r="G25" s="59">
        <v>0</v>
      </c>
      <c r="H25" s="60">
        <v>0</v>
      </c>
      <c r="I25" s="62">
        <f t="shared" si="0"/>
        <v>6098724.4900000002</v>
      </c>
      <c r="J25" s="63">
        <f t="shared" si="1"/>
        <v>24070968.700000003</v>
      </c>
    </row>
    <row r="26" spans="1:10" x14ac:dyDescent="0.2">
      <c r="A26" s="64" t="s">
        <v>61</v>
      </c>
      <c r="B26" s="54">
        <v>922874888</v>
      </c>
      <c r="C26" s="55">
        <v>64822618</v>
      </c>
      <c r="D26" s="53">
        <v>462382371</v>
      </c>
      <c r="E26" s="54">
        <v>70388137</v>
      </c>
      <c r="F26" s="54">
        <v>0</v>
      </c>
      <c r="G26" s="54">
        <v>0</v>
      </c>
      <c r="H26" s="55">
        <v>0</v>
      </c>
      <c r="I26" s="65">
        <f t="shared" si="0"/>
        <v>597593126</v>
      </c>
      <c r="J26" s="66">
        <f t="shared" si="1"/>
        <v>1520468014</v>
      </c>
    </row>
    <row r="27" spans="1:10" x14ac:dyDescent="0.2">
      <c r="A27" s="58" t="s">
        <v>62</v>
      </c>
      <c r="B27" s="59">
        <v>811476133</v>
      </c>
      <c r="C27" s="60">
        <v>201433665</v>
      </c>
      <c r="D27" s="61">
        <v>16513572</v>
      </c>
      <c r="E27" s="59">
        <v>0</v>
      </c>
      <c r="F27" s="59">
        <v>0</v>
      </c>
      <c r="G27" s="59">
        <v>0</v>
      </c>
      <c r="H27" s="60">
        <v>57772513</v>
      </c>
      <c r="I27" s="62">
        <f t="shared" si="0"/>
        <v>275719750</v>
      </c>
      <c r="J27" s="63">
        <f t="shared" si="1"/>
        <v>1087195883</v>
      </c>
    </row>
    <row r="28" spans="1:10" x14ac:dyDescent="0.2">
      <c r="A28" s="64" t="s">
        <v>63</v>
      </c>
      <c r="B28" s="54">
        <v>1070752355</v>
      </c>
      <c r="C28" s="55">
        <v>242532262.44999999</v>
      </c>
      <c r="D28" s="53">
        <v>2298654</v>
      </c>
      <c r="E28" s="54">
        <v>796528415.79999995</v>
      </c>
      <c r="F28" s="54">
        <v>0</v>
      </c>
      <c r="G28" s="54">
        <v>0</v>
      </c>
      <c r="H28" s="55">
        <v>0</v>
      </c>
      <c r="I28" s="65">
        <f t="shared" si="0"/>
        <v>1041359332.25</v>
      </c>
      <c r="J28" s="66">
        <f t="shared" si="1"/>
        <v>2112111687.25</v>
      </c>
    </row>
    <row r="29" spans="1:10" x14ac:dyDescent="0.2">
      <c r="A29" s="58" t="s">
        <v>64</v>
      </c>
      <c r="B29" s="59">
        <v>592818775.34000003</v>
      </c>
      <c r="C29" s="60">
        <v>45919372.390000001</v>
      </c>
      <c r="D29" s="61">
        <v>15351178.91</v>
      </c>
      <c r="E29" s="59">
        <v>257932455.68000001</v>
      </c>
      <c r="F29" s="59">
        <v>0</v>
      </c>
      <c r="G29" s="59">
        <v>0</v>
      </c>
      <c r="H29" s="60">
        <v>0</v>
      </c>
      <c r="I29" s="62">
        <f t="shared" si="0"/>
        <v>319203006.98000002</v>
      </c>
      <c r="J29" s="63">
        <f t="shared" si="1"/>
        <v>912021782.31999993</v>
      </c>
    </row>
    <row r="30" spans="1:10" x14ac:dyDescent="0.2">
      <c r="A30" s="64" t="s">
        <v>65</v>
      </c>
      <c r="B30" s="54">
        <v>836742194</v>
      </c>
      <c r="C30" s="55">
        <v>446988002</v>
      </c>
      <c r="D30" s="53">
        <v>13517735</v>
      </c>
      <c r="E30" s="54">
        <v>0</v>
      </c>
      <c r="F30" s="54">
        <v>0</v>
      </c>
      <c r="G30" s="54">
        <v>0</v>
      </c>
      <c r="H30" s="55">
        <v>2564454749</v>
      </c>
      <c r="I30" s="65">
        <f t="shared" si="0"/>
        <v>3024960486</v>
      </c>
      <c r="J30" s="66">
        <f t="shared" si="1"/>
        <v>3861702680</v>
      </c>
    </row>
    <row r="31" spans="1:10" x14ac:dyDescent="0.2">
      <c r="A31" s="58" t="s">
        <v>66</v>
      </c>
      <c r="B31" s="59">
        <v>2727881427</v>
      </c>
      <c r="C31" s="60">
        <v>0</v>
      </c>
      <c r="D31" s="61">
        <v>0</v>
      </c>
      <c r="E31" s="59">
        <v>0</v>
      </c>
      <c r="F31" s="59">
        <v>0</v>
      </c>
      <c r="G31" s="59">
        <v>1750640052</v>
      </c>
      <c r="H31" s="60">
        <v>0</v>
      </c>
      <c r="I31" s="62">
        <f t="shared" si="0"/>
        <v>1750640052</v>
      </c>
      <c r="J31" s="63">
        <f t="shared" si="1"/>
        <v>4478521479</v>
      </c>
    </row>
    <row r="32" spans="1:10" x14ac:dyDescent="0.2">
      <c r="A32" s="64" t="s">
        <v>67</v>
      </c>
      <c r="B32" s="54">
        <v>1013960467</v>
      </c>
      <c r="C32" s="55">
        <v>8901658</v>
      </c>
      <c r="D32" s="53">
        <v>0</v>
      </c>
      <c r="E32" s="54">
        <v>271559</v>
      </c>
      <c r="F32" s="54">
        <v>0</v>
      </c>
      <c r="G32" s="54">
        <v>83246829</v>
      </c>
      <c r="H32" s="55">
        <v>54556329</v>
      </c>
      <c r="I32" s="65">
        <f t="shared" si="0"/>
        <v>146976375</v>
      </c>
      <c r="J32" s="66">
        <f t="shared" si="1"/>
        <v>1160936842</v>
      </c>
    </row>
    <row r="33" spans="1:10" x14ac:dyDescent="0.2">
      <c r="A33" s="58" t="s">
        <v>68</v>
      </c>
      <c r="B33" s="59">
        <v>338001722</v>
      </c>
      <c r="C33" s="60">
        <v>16369532</v>
      </c>
      <c r="D33" s="61">
        <v>37230</v>
      </c>
      <c r="E33" s="59">
        <v>71509</v>
      </c>
      <c r="F33" s="59">
        <v>0</v>
      </c>
      <c r="G33" s="59">
        <v>820450462</v>
      </c>
      <c r="H33" s="60">
        <v>0</v>
      </c>
      <c r="I33" s="62">
        <f t="shared" si="0"/>
        <v>836928733</v>
      </c>
      <c r="J33" s="63">
        <f t="shared" si="1"/>
        <v>1174930455</v>
      </c>
    </row>
    <row r="34" spans="1:10" x14ac:dyDescent="0.2">
      <c r="A34" s="64" t="s">
        <v>69</v>
      </c>
      <c r="B34" s="54">
        <v>2665501985</v>
      </c>
      <c r="C34" s="55">
        <v>342324696</v>
      </c>
      <c r="D34" s="53">
        <v>1348863</v>
      </c>
      <c r="E34" s="54">
        <v>0</v>
      </c>
      <c r="F34" s="54">
        <v>7319068553</v>
      </c>
      <c r="G34" s="54">
        <v>0</v>
      </c>
      <c r="H34" s="55">
        <v>0</v>
      </c>
      <c r="I34" s="65">
        <f t="shared" si="0"/>
        <v>7662742112</v>
      </c>
      <c r="J34" s="66">
        <f t="shared" si="1"/>
        <v>10328244097</v>
      </c>
    </row>
    <row r="35" spans="1:10" x14ac:dyDescent="0.2">
      <c r="A35" s="67" t="s">
        <v>70</v>
      </c>
      <c r="B35" s="68">
        <v>74162967</v>
      </c>
      <c r="C35" s="69">
        <v>6326213.21</v>
      </c>
      <c r="D35" s="61">
        <v>0</v>
      </c>
      <c r="E35" s="59">
        <v>461457</v>
      </c>
      <c r="F35" s="59">
        <v>0</v>
      </c>
      <c r="G35" s="59">
        <v>423190469</v>
      </c>
      <c r="H35" s="60">
        <v>0</v>
      </c>
      <c r="I35" s="62">
        <f t="shared" si="0"/>
        <v>429978139.20999998</v>
      </c>
      <c r="J35" s="63">
        <f t="shared" si="1"/>
        <v>504141106.20999998</v>
      </c>
    </row>
    <row r="36" spans="1:10" x14ac:dyDescent="0.2">
      <c r="A36" s="5" t="s">
        <v>71</v>
      </c>
      <c r="B36" s="70">
        <f t="shared" ref="B36:I36" si="2">SUM(B10:B35)</f>
        <v>22069137993.459999</v>
      </c>
      <c r="C36" s="71">
        <f t="shared" si="2"/>
        <v>1960815658.23</v>
      </c>
      <c r="D36" s="72">
        <f t="shared" si="2"/>
        <v>555347148.51999998</v>
      </c>
      <c r="E36" s="70">
        <f t="shared" si="2"/>
        <v>3959774885.48</v>
      </c>
      <c r="F36" s="70">
        <f t="shared" si="2"/>
        <v>7319068553</v>
      </c>
      <c r="G36" s="70">
        <f t="shared" si="2"/>
        <v>5759385272.9499998</v>
      </c>
      <c r="H36" s="71">
        <f t="shared" si="2"/>
        <v>2676783591</v>
      </c>
      <c r="I36" s="72">
        <f t="shared" si="2"/>
        <v>22231175109.18</v>
      </c>
      <c r="J36" s="73">
        <f t="shared" si="1"/>
        <v>44300313102.639999</v>
      </c>
    </row>
    <row r="37" spans="1:10" x14ac:dyDescent="0.2">
      <c r="A37" s="74"/>
      <c r="B37" s="74"/>
    </row>
  </sheetData>
  <mergeCells count="6">
    <mergeCell ref="J6:J7"/>
    <mergeCell ref="A6:A7"/>
    <mergeCell ref="D6:H6"/>
    <mergeCell ref="B6:B7"/>
    <mergeCell ref="C6:C7"/>
    <mergeCell ref="I6:I7"/>
  </mergeCells>
  <conditionalFormatting sqref="B10:H35">
    <cfRule type="expression" dxfId="4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>
    <oddHeader>&amp;L&amp;10&amp;F&amp;R&amp;10&amp;A</oddHeader>
    <oddFooter>&amp;C&amp;10Seite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88671875" style="12" customWidth="1"/>
    <col min="2" max="2" width="13.109375" style="12" customWidth="1"/>
    <col min="3" max="3" width="15.88671875" style="12" customWidth="1"/>
    <col min="4" max="4" width="10" style="12" customWidth="1"/>
  </cols>
  <sheetData>
    <row r="1" spans="1:4" ht="18" customHeight="1" x14ac:dyDescent="0.25">
      <c r="A1" s="4" t="str">
        <f>"Berechnung Gamma "&amp;Info!C31</f>
        <v>Berechnung Gamma 2011</v>
      </c>
    </row>
    <row r="2" spans="1:4" ht="15.75" customHeight="1" x14ac:dyDescent="0.2">
      <c r="A2" s="75" t="str">
        <f>Bruttoeink!A2</f>
        <v>Referenzjahr 2017</v>
      </c>
    </row>
    <row r="3" spans="1:4" ht="33" customHeight="1" x14ac:dyDescent="0.2">
      <c r="C3" s="76" t="str">
        <f>Info!$C$28</f>
        <v>FA_2017_20160519</v>
      </c>
    </row>
    <row r="4" spans="1:4" ht="15.75" customHeight="1" x14ac:dyDescent="0.25">
      <c r="B4" s="77" t="s">
        <v>72</v>
      </c>
      <c r="C4" s="78" t="s">
        <v>73</v>
      </c>
      <c r="D4" s="79"/>
    </row>
    <row r="5" spans="1:4" x14ac:dyDescent="0.2">
      <c r="A5" s="74" t="s">
        <v>74</v>
      </c>
      <c r="B5" s="80" t="s">
        <v>75</v>
      </c>
      <c r="C5" s="81">
        <v>450004450.66710699</v>
      </c>
      <c r="D5" s="82"/>
    </row>
    <row r="6" spans="1:4" x14ac:dyDescent="0.2">
      <c r="A6" s="83" t="s">
        <v>76</v>
      </c>
      <c r="B6" s="84" t="str">
        <f>"ASG_"&amp;Info!C30&amp;"_"&amp;Info!C31&amp;".xlsx"</f>
        <v>ASG_2017_2011.xlsx</v>
      </c>
      <c r="C6" s="85">
        <f>Berechnung_QS!O39</f>
        <v>164431392.30000001</v>
      </c>
      <c r="D6" s="82"/>
    </row>
    <row r="7" spans="1:4" ht="24.75" customHeight="1" x14ac:dyDescent="0.25">
      <c r="A7" s="86" t="s">
        <v>77</v>
      </c>
      <c r="B7" s="86"/>
      <c r="C7" s="87">
        <f>ROUND(C6/C5,3)</f>
        <v>0.36499999999999999</v>
      </c>
    </row>
    <row r="8" spans="1:4" ht="15.75" customHeight="1" x14ac:dyDescent="0.2"/>
  </sheetData>
  <conditionalFormatting sqref="C5:C6">
    <cfRule type="expression" dxfId="3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>
      <selection activeCell="A6" sqref="A6"/>
    </sheetView>
  </sheetViews>
  <sheetFormatPr baseColWidth="10" defaultColWidth="11.5546875" defaultRowHeight="15" x14ac:dyDescent="0.2"/>
  <cols>
    <col min="1" max="1" width="17.44140625" style="12" customWidth="1"/>
    <col min="2" max="2" width="20.88671875" style="12" customWidth="1"/>
    <col min="3" max="3" width="13.33203125" style="12" customWidth="1"/>
    <col min="4" max="5" width="13.44140625" style="12" customWidth="1"/>
    <col min="6" max="7" width="15.109375" style="12" customWidth="1"/>
    <col min="8" max="9" width="13.33203125" style="12" customWidth="1"/>
    <col min="10" max="10" width="8.88671875" style="12" customWidth="1"/>
    <col min="11" max="12" width="13.77734375" style="12" customWidth="1"/>
    <col min="13" max="13" width="2" style="12" customWidth="1"/>
    <col min="14" max="14" width="15.44140625" style="12" customWidth="1"/>
    <col min="15" max="15" width="15.21875" style="12" customWidth="1"/>
    <col min="16" max="16" width="21.6640625" style="12" customWidth="1"/>
    <col min="17" max="17" width="16.21875" style="12" customWidth="1"/>
    <col min="18" max="18" width="3.6640625" style="88" customWidth="1"/>
    <col min="19" max="19" width="18.77734375" style="12" customWidth="1"/>
    <col min="20" max="20" width="3.6640625" style="12" customWidth="1"/>
    <col min="21" max="21" width="10.88671875" style="12" customWidth="1"/>
    <col min="22" max="22" width="17.5546875" style="12" customWidth="1"/>
    <col min="23" max="23" width="11.5546875" style="12" customWidth="1"/>
    <col min="24" max="16384" width="11.5546875" style="12"/>
  </cols>
  <sheetData>
    <row r="1" spans="1:22" ht="26.25" customHeight="1" x14ac:dyDescent="0.2">
      <c r="A1" s="13" t="str">
        <f>"Massgebende quellenbesteuerte Einkommen (QS) "&amp;Info!C31</f>
        <v>Massgebende quellenbesteuerte Einkommen (QS) 2011</v>
      </c>
      <c r="B1" s="13"/>
      <c r="C1" s="13"/>
      <c r="D1" s="13"/>
      <c r="E1" s="13"/>
      <c r="F1" s="13"/>
      <c r="H1" s="14"/>
      <c r="R1" s="12"/>
    </row>
    <row r="2" spans="1:22" ht="18.75" customHeight="1" x14ac:dyDescent="0.25">
      <c r="A2" s="89" t="str">
        <f>Info!A5</f>
        <v>Referenzjahr 2017</v>
      </c>
      <c r="B2" s="90"/>
      <c r="H2" s="88"/>
      <c r="R2" s="12"/>
    </row>
    <row r="3" spans="1:22" ht="18.75" customHeight="1" x14ac:dyDescent="0.25">
      <c r="A3" s="91"/>
      <c r="B3" s="90"/>
      <c r="H3" s="88"/>
      <c r="L3" s="92" t="str">
        <f>Info!C28</f>
        <v>FA_2017_20160519</v>
      </c>
      <c r="R3" s="12"/>
    </row>
    <row r="4" spans="1:22" ht="37.5" customHeight="1" x14ac:dyDescent="0.2">
      <c r="A4" s="205" t="str">
        <f>"Berechnung von QS auf der Basis der Bruttolöhne "&amp;Info!C31</f>
        <v>Berechnung von QS auf der Basis der Bruttolöhne 2011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  <c r="N4" s="208" t="s">
        <v>78</v>
      </c>
      <c r="O4" s="209"/>
      <c r="P4" s="209"/>
      <c r="Q4" s="210"/>
      <c r="S4" s="93"/>
    </row>
    <row r="5" spans="1:22" ht="16.5" customHeight="1" x14ac:dyDescent="0.2">
      <c r="A5" s="94"/>
      <c r="B5" s="95"/>
      <c r="C5" s="95"/>
      <c r="D5" s="95"/>
      <c r="E5" s="95"/>
      <c r="F5" s="95"/>
      <c r="G5" s="95"/>
      <c r="H5" s="95"/>
      <c r="I5" s="94"/>
      <c r="J5" s="95"/>
      <c r="K5" s="95"/>
      <c r="N5" s="96"/>
    </row>
    <row r="6" spans="1:22" ht="16.5" customHeight="1" x14ac:dyDescent="0.2">
      <c r="A6" s="97" t="s">
        <v>12</v>
      </c>
      <c r="B6" s="98" t="s">
        <v>13</v>
      </c>
      <c r="C6" s="98" t="s">
        <v>14</v>
      </c>
      <c r="D6" s="98" t="s">
        <v>15</v>
      </c>
      <c r="E6" s="98" t="s">
        <v>16</v>
      </c>
      <c r="F6" s="98" t="s">
        <v>17</v>
      </c>
      <c r="G6" s="98" t="s">
        <v>18</v>
      </c>
      <c r="H6" s="98" t="s">
        <v>19</v>
      </c>
      <c r="I6" s="98" t="s">
        <v>79</v>
      </c>
      <c r="J6" s="98" t="s">
        <v>21</v>
      </c>
      <c r="K6" s="98" t="s">
        <v>80</v>
      </c>
      <c r="L6" s="99" t="s">
        <v>81</v>
      </c>
      <c r="M6" s="100"/>
      <c r="N6" s="101"/>
      <c r="O6" s="102" t="s">
        <v>82</v>
      </c>
      <c r="P6" s="102" t="s">
        <v>83</v>
      </c>
      <c r="Q6" s="103" t="s">
        <v>84</v>
      </c>
      <c r="R6" s="104"/>
      <c r="S6" s="105" t="s">
        <v>85</v>
      </c>
    </row>
    <row r="7" spans="1:22" ht="16.5" customHeight="1" x14ac:dyDescent="0.2">
      <c r="A7" s="106" t="s">
        <v>22</v>
      </c>
      <c r="B7" s="107" t="s">
        <v>86</v>
      </c>
      <c r="C7" s="107" t="s">
        <v>86</v>
      </c>
      <c r="D7" s="108" t="str">
        <f>IF(Info!C31&lt;2006,"0.03/SST","(1-0.125)*gamma")</f>
        <v>(1-0.125)*gamma</v>
      </c>
      <c r="E7" s="109" t="s">
        <v>87</v>
      </c>
      <c r="F7" s="109" t="s">
        <v>88</v>
      </c>
      <c r="G7" s="109" t="s">
        <v>87</v>
      </c>
      <c r="H7" s="110" t="s">
        <v>89</v>
      </c>
      <c r="I7" s="109" t="s">
        <v>90</v>
      </c>
      <c r="J7" s="109"/>
      <c r="K7" s="109" t="s">
        <v>91</v>
      </c>
      <c r="L7" s="111" t="s">
        <v>92</v>
      </c>
      <c r="M7" s="100"/>
      <c r="N7" s="112" t="s">
        <v>22</v>
      </c>
      <c r="O7" s="113"/>
      <c r="P7" s="113"/>
      <c r="Q7" s="114" t="s">
        <v>93</v>
      </c>
      <c r="R7" s="104"/>
      <c r="S7" s="115" t="s">
        <v>94</v>
      </c>
    </row>
    <row r="8" spans="1:22" s="116" customFormat="1" ht="15.75" customHeight="1" x14ac:dyDescent="0.2">
      <c r="A8" s="28" t="s">
        <v>25</v>
      </c>
      <c r="B8" s="29">
        <v>0</v>
      </c>
      <c r="C8" s="29">
        <v>1</v>
      </c>
      <c r="D8" s="31" t="s">
        <v>26</v>
      </c>
      <c r="E8" s="29" t="s">
        <v>27</v>
      </c>
      <c r="F8" s="29" t="s">
        <v>28</v>
      </c>
      <c r="G8" s="29" t="s">
        <v>29</v>
      </c>
      <c r="H8" s="30" t="s">
        <v>30</v>
      </c>
      <c r="I8" s="29"/>
      <c r="J8" s="29"/>
      <c r="K8" s="117"/>
      <c r="L8" s="32"/>
      <c r="M8" s="118"/>
      <c r="N8" s="33"/>
      <c r="O8" s="215" t="str">
        <f>"Massgebende Einkommen "&amp;Info!C31</f>
        <v>Massgebende Einkommen 2011</v>
      </c>
      <c r="P8" s="199" t="s">
        <v>95</v>
      </c>
      <c r="Q8" s="192" t="s">
        <v>96</v>
      </c>
      <c r="R8" s="119"/>
      <c r="S8" s="222" t="s">
        <v>97</v>
      </c>
    </row>
    <row r="9" spans="1:22" s="120" customFormat="1" ht="24" customHeight="1" x14ac:dyDescent="0.2">
      <c r="A9" s="33"/>
      <c r="B9" s="199" t="s">
        <v>31</v>
      </c>
      <c r="C9" s="199" t="s">
        <v>32</v>
      </c>
      <c r="D9" s="196" t="s">
        <v>33</v>
      </c>
      <c r="E9" s="197"/>
      <c r="F9" s="197"/>
      <c r="G9" s="197"/>
      <c r="H9" s="198"/>
      <c r="I9" s="199" t="s">
        <v>98</v>
      </c>
      <c r="J9" s="199" t="s">
        <v>99</v>
      </c>
      <c r="K9" s="199" t="s">
        <v>100</v>
      </c>
      <c r="L9" s="192" t="s">
        <v>101</v>
      </c>
      <c r="M9" s="118"/>
      <c r="N9" s="121"/>
      <c r="O9" s="216"/>
      <c r="P9" s="211"/>
      <c r="Q9" s="212"/>
      <c r="R9" s="119"/>
      <c r="S9" s="223"/>
      <c r="V9" s="122" t="str">
        <f>Info!C28</f>
        <v>FA_2017_20160519</v>
      </c>
    </row>
    <row r="10" spans="1:22" s="120" customFormat="1" ht="69" customHeight="1" x14ac:dyDescent="0.2">
      <c r="A10" s="34"/>
      <c r="B10" s="211"/>
      <c r="C10" s="211"/>
      <c r="D10" s="35" t="s">
        <v>36</v>
      </c>
      <c r="E10" s="36" t="s">
        <v>37</v>
      </c>
      <c r="F10" s="36" t="s">
        <v>38</v>
      </c>
      <c r="G10" s="36" t="s">
        <v>39</v>
      </c>
      <c r="H10" s="37" t="s">
        <v>40</v>
      </c>
      <c r="I10" s="211"/>
      <c r="J10" s="211"/>
      <c r="K10" s="211"/>
      <c r="L10" s="212"/>
      <c r="M10" s="118"/>
      <c r="N10" s="123"/>
      <c r="O10" s="217"/>
      <c r="P10" s="220"/>
      <c r="Q10" s="221"/>
      <c r="R10" s="119"/>
      <c r="S10" s="223"/>
      <c r="U10" s="218" t="str">
        <f>" Standardisierter Steuersatz (SST) "&amp;Info!C30-1</f>
        <v xml:space="preserve"> Standardisierter Steuersatz (SST) 2016</v>
      </c>
      <c r="V10" s="219"/>
    </row>
    <row r="11" spans="1:22" s="124" customFormat="1" ht="14.25" customHeight="1" x14ac:dyDescent="0.2">
      <c r="A11" s="125" t="s">
        <v>102</v>
      </c>
      <c r="B11" s="126">
        <f>gamma</f>
        <v>0.36499999999999999</v>
      </c>
      <c r="C11" s="126">
        <f>gamma</f>
        <v>0.36499999999999999</v>
      </c>
      <c r="D11" s="127">
        <f>IF(Info!C31&lt;2006,0.03/sst,0.875*gamma)</f>
        <v>0.31937499999999996</v>
      </c>
      <c r="E11" s="126">
        <f>0.045/sst</f>
        <v>0.16853932584269662</v>
      </c>
      <c r="F11" s="126">
        <f>gamma-0.035/sst</f>
        <v>0.2339138576779026</v>
      </c>
      <c r="G11" s="126">
        <f>0.045/sst</f>
        <v>0.16853932584269662</v>
      </c>
      <c r="H11" s="128">
        <f>0.6*gamma</f>
        <v>0.219</v>
      </c>
      <c r="I11" s="126"/>
      <c r="J11" s="126"/>
      <c r="K11" s="126"/>
      <c r="L11" s="129"/>
      <c r="M11" s="130"/>
      <c r="N11" s="131" t="s">
        <v>72</v>
      </c>
      <c r="O11" s="124" t="str">
        <f>"ASG_"&amp;Info!C30&amp;"_"&amp;Info!C31&amp;".xlsx"</f>
        <v>ASG_2017_2011.xlsx</v>
      </c>
      <c r="R11" s="132"/>
      <c r="S11" s="133"/>
      <c r="U11" s="213" t="str">
        <f>"Quelle: RA_"&amp;Info!C30-1&amp;".xlsx"</f>
        <v>Quelle: RA_2016.xlsx</v>
      </c>
      <c r="V11" s="214"/>
    </row>
    <row r="12" spans="1:22" s="124" customFormat="1" ht="14.25" customHeight="1" x14ac:dyDescent="0.2">
      <c r="A12" s="125" t="s">
        <v>43</v>
      </c>
      <c r="B12" s="126" t="s">
        <v>73</v>
      </c>
      <c r="C12" s="126" t="s">
        <v>73</v>
      </c>
      <c r="D12" s="127" t="s">
        <v>73</v>
      </c>
      <c r="E12" s="126" t="s">
        <v>73</v>
      </c>
      <c r="F12" s="126" t="s">
        <v>73</v>
      </c>
      <c r="G12" s="126" t="s">
        <v>73</v>
      </c>
      <c r="H12" s="128" t="s">
        <v>73</v>
      </c>
      <c r="I12" s="126" t="s">
        <v>73</v>
      </c>
      <c r="J12" s="126"/>
      <c r="K12" s="126" t="s">
        <v>73</v>
      </c>
      <c r="L12" s="134" t="s">
        <v>73</v>
      </c>
      <c r="M12" s="130"/>
      <c r="N12" s="125" t="s">
        <v>43</v>
      </c>
      <c r="O12" s="126" t="s">
        <v>73</v>
      </c>
      <c r="P12" s="135"/>
      <c r="Q12" s="134" t="s">
        <v>73</v>
      </c>
      <c r="R12" s="132"/>
      <c r="S12" s="136" t="s">
        <v>73</v>
      </c>
      <c r="U12" s="137"/>
      <c r="V12" s="138"/>
    </row>
    <row r="13" spans="1:22" ht="15.75" customHeight="1" x14ac:dyDescent="0.25">
      <c r="A13" s="139" t="s">
        <v>45</v>
      </c>
      <c r="B13" s="140">
        <f>(Bruttoeink!B10*B$11)/1000</f>
        <v>1812221.6117049998</v>
      </c>
      <c r="C13" s="140">
        <f>(Bruttoeink!C10*C$11)/1000</f>
        <v>22944.888054999999</v>
      </c>
      <c r="D13" s="141">
        <f>(Bruttoeink!D10*D$11)/1000</f>
        <v>0</v>
      </c>
      <c r="E13" s="140">
        <f>(Bruttoeink!E10*E$11)/1000</f>
        <v>82431.995561797754</v>
      </c>
      <c r="F13" s="140">
        <f>(Bruttoeink!F10*F$11)/1000</f>
        <v>0</v>
      </c>
      <c r="G13" s="140">
        <f>(Bruttoeink!G10*G$11)/1000</f>
        <v>0</v>
      </c>
      <c r="H13" s="142">
        <f>(Bruttoeink!H10*H$11)/1000</f>
        <v>0</v>
      </c>
      <c r="I13" s="140">
        <f t="shared" ref="I13:I38" si="0">SUM(C13:H13)</f>
        <v>105376.88361679776</v>
      </c>
      <c r="J13" s="143">
        <f t="shared" ref="J13:J38" si="1">$J$39</f>
        <v>0.75</v>
      </c>
      <c r="K13" s="140">
        <f t="shared" ref="K13:K39" si="2">I13*J13</f>
        <v>79032.662712598321</v>
      </c>
      <c r="L13" s="144">
        <f t="shared" ref="L13:L39" si="3">K13+B13</f>
        <v>1891254.274417598</v>
      </c>
      <c r="M13" s="145"/>
      <c r="N13" s="139" t="s">
        <v>45</v>
      </c>
      <c r="O13" s="146">
        <v>36444289.200000003</v>
      </c>
      <c r="P13" s="147">
        <v>0</v>
      </c>
      <c r="Q13" s="144">
        <f>IF(Berechnung_QS!L13=0,O13*P13,0)</f>
        <v>0</v>
      </c>
      <c r="R13" s="148"/>
      <c r="S13" s="149">
        <f>Berechnung_QS!L13+Q13</f>
        <v>1891254.274417598</v>
      </c>
      <c r="U13" s="150" t="s">
        <v>103</v>
      </c>
      <c r="V13" s="151">
        <v>0.26674108014242298</v>
      </c>
    </row>
    <row r="14" spans="1:22" ht="15.75" customHeight="1" x14ac:dyDescent="0.25">
      <c r="A14" s="152" t="s">
        <v>46</v>
      </c>
      <c r="B14" s="153">
        <f>(Bruttoeink!B11*B$11)/1000</f>
        <v>560000.18478765001</v>
      </c>
      <c r="C14" s="153">
        <f>(Bruttoeink!C11*C$11)/1000</f>
        <v>39514.690752799994</v>
      </c>
      <c r="D14" s="154">
        <f>(Bruttoeink!D11*D$11)/1000</f>
        <v>26.234117218749997</v>
      </c>
      <c r="E14" s="153">
        <f>(Bruttoeink!E11*E$11)/1000</f>
        <v>2536.2737157303368</v>
      </c>
      <c r="F14" s="153">
        <f>(Bruttoeink!F11*F$11)/1000</f>
        <v>0</v>
      </c>
      <c r="G14" s="153">
        <f>(Bruttoeink!G11*G$11)/1000</f>
        <v>20133.874811797752</v>
      </c>
      <c r="H14" s="155">
        <f>(Bruttoeink!H11*H$11)/1000</f>
        <v>0</v>
      </c>
      <c r="I14" s="153">
        <f t="shared" si="0"/>
        <v>62211.073397546832</v>
      </c>
      <c r="J14" s="156">
        <f t="shared" si="1"/>
        <v>0.75</v>
      </c>
      <c r="K14" s="153">
        <f t="shared" si="2"/>
        <v>46658.305048160124</v>
      </c>
      <c r="L14" s="157">
        <f t="shared" si="3"/>
        <v>606658.48983581015</v>
      </c>
      <c r="M14" s="145"/>
      <c r="N14" s="152" t="s">
        <v>46</v>
      </c>
      <c r="O14" s="158">
        <v>15571543.9</v>
      </c>
      <c r="P14" s="159">
        <v>0</v>
      </c>
      <c r="Q14" s="157">
        <f>IF(Berechnung_QS!L14=0,O14*P14,0)</f>
        <v>0</v>
      </c>
      <c r="R14" s="148"/>
      <c r="S14" s="160">
        <f>Berechnung_QS!L14+Q14</f>
        <v>606658.48983581015</v>
      </c>
      <c r="U14" s="161" t="s">
        <v>104</v>
      </c>
      <c r="V14" s="162">
        <f>ROUND(V13,3)</f>
        <v>0.26700000000000002</v>
      </c>
    </row>
    <row r="15" spans="1:22" ht="15.75" customHeight="1" x14ac:dyDescent="0.25">
      <c r="A15" s="163" t="s">
        <v>47</v>
      </c>
      <c r="B15" s="164">
        <f>(Bruttoeink!B12*B$11)/1000</f>
        <v>249806.33503714998</v>
      </c>
      <c r="C15" s="164">
        <f>(Bruttoeink!C12*C$11)/1000</f>
        <v>12407.3063365</v>
      </c>
      <c r="D15" s="165">
        <f>(Bruttoeink!D12*D$11)/1000</f>
        <v>180.55469599999998</v>
      </c>
      <c r="E15" s="164">
        <f>(Bruttoeink!E12*E$11)/1000</f>
        <v>973.68258202247193</v>
      </c>
      <c r="F15" s="164">
        <f>(Bruttoeink!F12*F$11)/1000</f>
        <v>0</v>
      </c>
      <c r="G15" s="164">
        <f>(Bruttoeink!G12*G$11)/1000</f>
        <v>0</v>
      </c>
      <c r="H15" s="166">
        <f>(Bruttoeink!H12*H$11)/1000</f>
        <v>0</v>
      </c>
      <c r="I15" s="164">
        <f t="shared" si="0"/>
        <v>13561.54361452247</v>
      </c>
      <c r="J15" s="167">
        <f t="shared" si="1"/>
        <v>0.75</v>
      </c>
      <c r="K15" s="164">
        <f t="shared" si="2"/>
        <v>10171.157710891854</v>
      </c>
      <c r="L15" s="168">
        <f t="shared" si="3"/>
        <v>259977.49274804184</v>
      </c>
      <c r="M15" s="145"/>
      <c r="N15" s="163" t="s">
        <v>47</v>
      </c>
      <c r="O15" s="169">
        <v>6479996.7999999998</v>
      </c>
      <c r="P15" s="170">
        <v>0</v>
      </c>
      <c r="Q15" s="168">
        <f>IF(Berechnung_QS!L15=0,O15*P15,0)</f>
        <v>0</v>
      </c>
      <c r="R15" s="148"/>
      <c r="S15" s="171">
        <f>Berechnung_QS!L15+Q15</f>
        <v>259977.49274804184</v>
      </c>
    </row>
    <row r="16" spans="1:22" ht="15.75" customHeight="1" x14ac:dyDescent="0.25">
      <c r="A16" s="152" t="s">
        <v>48</v>
      </c>
      <c r="B16" s="153">
        <f>(Bruttoeink!B13*B$11)/1000</f>
        <v>27409.296859999999</v>
      </c>
      <c r="C16" s="153">
        <f>(Bruttoeink!C13*C$11)/1000</f>
        <v>0</v>
      </c>
      <c r="D16" s="154">
        <f>(Bruttoeink!D13*D$11)/1000</f>
        <v>879.56130499999995</v>
      </c>
      <c r="E16" s="153">
        <f>(Bruttoeink!E13*E$11)/1000</f>
        <v>0</v>
      </c>
      <c r="F16" s="153">
        <f>(Bruttoeink!F13*F$11)/1000</f>
        <v>0</v>
      </c>
      <c r="G16" s="153">
        <f>(Bruttoeink!G13*G$11)/1000</f>
        <v>0</v>
      </c>
      <c r="H16" s="155">
        <f>(Bruttoeink!H13*H$11)/1000</f>
        <v>0</v>
      </c>
      <c r="I16" s="153">
        <f t="shared" si="0"/>
        <v>879.56130499999995</v>
      </c>
      <c r="J16" s="156">
        <f t="shared" si="1"/>
        <v>0.75</v>
      </c>
      <c r="K16" s="153">
        <f t="shared" si="2"/>
        <v>659.6709787499999</v>
      </c>
      <c r="L16" s="157">
        <f t="shared" si="3"/>
        <v>28068.967838749999</v>
      </c>
      <c r="M16" s="145"/>
      <c r="N16" s="152" t="s">
        <v>48</v>
      </c>
      <c r="O16" s="158">
        <v>452188.4</v>
      </c>
      <c r="P16" s="159">
        <v>0</v>
      </c>
      <c r="Q16" s="157">
        <f>IF(Berechnung_QS!L16=0,O16*P16,0)</f>
        <v>0</v>
      </c>
      <c r="R16" s="148"/>
      <c r="S16" s="160">
        <f>Berechnung_QS!L16+Q16</f>
        <v>28068.967838749999</v>
      </c>
    </row>
    <row r="17" spans="1:19" ht="15.75" customHeight="1" x14ac:dyDescent="0.25">
      <c r="A17" s="163" t="s">
        <v>49</v>
      </c>
      <c r="B17" s="164">
        <f>(Bruttoeink!B14*B$11)/1000</f>
        <v>112315.00190999999</v>
      </c>
      <c r="C17" s="164">
        <f>(Bruttoeink!C14*C$11)/1000</f>
        <v>19698.361974999996</v>
      </c>
      <c r="D17" s="165">
        <f>(Bruttoeink!D14*D$11)/1000</f>
        <v>415.49346124999994</v>
      </c>
      <c r="E17" s="164">
        <f>(Bruttoeink!E14*E$11)/1000</f>
        <v>355.10089887640453</v>
      </c>
      <c r="F17" s="164">
        <f>(Bruttoeink!F14*F$11)/1000</f>
        <v>0</v>
      </c>
      <c r="G17" s="164">
        <f>(Bruttoeink!G14*G$11)/1000</f>
        <v>0</v>
      </c>
      <c r="H17" s="166">
        <f>(Bruttoeink!H14*H$11)/1000</f>
        <v>0</v>
      </c>
      <c r="I17" s="164">
        <f t="shared" si="0"/>
        <v>20468.956335126401</v>
      </c>
      <c r="J17" s="167">
        <f t="shared" si="1"/>
        <v>0.75</v>
      </c>
      <c r="K17" s="164">
        <f t="shared" si="2"/>
        <v>15351.7172513448</v>
      </c>
      <c r="L17" s="168">
        <f t="shared" si="3"/>
        <v>127666.71916134479</v>
      </c>
      <c r="M17" s="145"/>
      <c r="N17" s="163" t="s">
        <v>49</v>
      </c>
      <c r="O17" s="169">
        <v>6110860.7999999998</v>
      </c>
      <c r="P17" s="170">
        <v>0</v>
      </c>
      <c r="Q17" s="168">
        <f>IF(Berechnung_QS!L17=0,O17*P17,0)</f>
        <v>0</v>
      </c>
      <c r="R17" s="148"/>
      <c r="S17" s="171">
        <f>Berechnung_QS!L17+Q17</f>
        <v>127666.71916134479</v>
      </c>
    </row>
    <row r="18" spans="1:19" ht="15.75" customHeight="1" x14ac:dyDescent="0.25">
      <c r="A18" s="152" t="s">
        <v>50</v>
      </c>
      <c r="B18" s="153">
        <f>(Bruttoeink!B15*B$11)/1000</f>
        <v>29012.175237650001</v>
      </c>
      <c r="C18" s="153">
        <f>(Bruttoeink!C15*C$11)/1000</f>
        <v>1700.7974751500001</v>
      </c>
      <c r="D18" s="154">
        <f>(Bruttoeink!D15*D$11)/1000</f>
        <v>56.577281249999992</v>
      </c>
      <c r="E18" s="153">
        <f>(Bruttoeink!E15*E$11)/1000</f>
        <v>45.147005056179772</v>
      </c>
      <c r="F18" s="153">
        <f>(Bruttoeink!F15*F$11)/1000</f>
        <v>0</v>
      </c>
      <c r="G18" s="153">
        <f>(Bruttoeink!G15*G$11)/1000</f>
        <v>0</v>
      </c>
      <c r="H18" s="155">
        <f>(Bruttoeink!H15*H$11)/1000</f>
        <v>0</v>
      </c>
      <c r="I18" s="153">
        <f t="shared" si="0"/>
        <v>1802.5217614561798</v>
      </c>
      <c r="J18" s="156">
        <f t="shared" si="1"/>
        <v>0.75</v>
      </c>
      <c r="K18" s="153">
        <f t="shared" si="2"/>
        <v>1351.8913210921348</v>
      </c>
      <c r="L18" s="157">
        <f t="shared" si="3"/>
        <v>30364.066558742135</v>
      </c>
      <c r="M18" s="145"/>
      <c r="N18" s="152" t="s">
        <v>50</v>
      </c>
      <c r="O18" s="158">
        <v>641642.9</v>
      </c>
      <c r="P18" s="159">
        <v>0</v>
      </c>
      <c r="Q18" s="157">
        <f>IF(Berechnung_QS!L18=0,O18*P18,0)</f>
        <v>0</v>
      </c>
      <c r="R18" s="148"/>
      <c r="S18" s="160">
        <f>Berechnung_QS!L18+Q18</f>
        <v>30364.066558742135</v>
      </c>
    </row>
    <row r="19" spans="1:19" ht="15.75" customHeight="1" x14ac:dyDescent="0.25">
      <c r="A19" s="163" t="s">
        <v>51</v>
      </c>
      <c r="B19" s="164">
        <f>(Bruttoeink!B16*B$11)/1000</f>
        <v>27142.745346199998</v>
      </c>
      <c r="C19" s="164">
        <f>(Bruttoeink!C16*C$11)/1000</f>
        <v>494.91207750000001</v>
      </c>
      <c r="D19" s="165">
        <f>(Bruttoeink!D16*D$11)/1000</f>
        <v>828.26648624999996</v>
      </c>
      <c r="E19" s="164">
        <f>(Bruttoeink!E16*E$11)/1000</f>
        <v>90.938873595505612</v>
      </c>
      <c r="F19" s="164">
        <f>(Bruttoeink!F16*F$11)/1000</f>
        <v>0</v>
      </c>
      <c r="G19" s="164">
        <f>(Bruttoeink!G16*G$11)/1000</f>
        <v>0</v>
      </c>
      <c r="H19" s="166">
        <f>(Bruttoeink!H16*H$11)/1000</f>
        <v>0</v>
      </c>
      <c r="I19" s="164">
        <f t="shared" si="0"/>
        <v>1414.1174373455056</v>
      </c>
      <c r="J19" s="167">
        <f t="shared" si="1"/>
        <v>0.75</v>
      </c>
      <c r="K19" s="164">
        <f t="shared" si="2"/>
        <v>1060.5880780091293</v>
      </c>
      <c r="L19" s="168">
        <f t="shared" si="3"/>
        <v>28203.333424209126</v>
      </c>
      <c r="M19" s="145"/>
      <c r="N19" s="163" t="s">
        <v>51</v>
      </c>
      <c r="O19" s="169">
        <v>1196598.1000000001</v>
      </c>
      <c r="P19" s="170">
        <v>0</v>
      </c>
      <c r="Q19" s="168">
        <f>IF(Berechnung_QS!L19=0,O19*P19,0)</f>
        <v>0</v>
      </c>
      <c r="R19" s="148"/>
      <c r="S19" s="171">
        <f>Berechnung_QS!L19+Q19</f>
        <v>28203.333424209126</v>
      </c>
    </row>
    <row r="20" spans="1:19" ht="15.75" customHeight="1" x14ac:dyDescent="0.25">
      <c r="A20" s="152" t="s">
        <v>52</v>
      </c>
      <c r="B20" s="153">
        <f>(Bruttoeink!B17*B$11)/1000</f>
        <v>41084.611170750002</v>
      </c>
      <c r="C20" s="153">
        <f>(Bruttoeink!C17*C$11)/1000</f>
        <v>204.55470525000001</v>
      </c>
      <c r="D20" s="154">
        <f>(Bruttoeink!D17*D$11)/1000</f>
        <v>3150.2456892374994</v>
      </c>
      <c r="E20" s="153">
        <f>(Bruttoeink!E17*E$11)/1000</f>
        <v>46.29720505617977</v>
      </c>
      <c r="F20" s="153">
        <f>(Bruttoeink!F17*F$11)/1000</f>
        <v>0</v>
      </c>
      <c r="G20" s="153">
        <f>(Bruttoeink!G17*G$11)/1000</f>
        <v>0</v>
      </c>
      <c r="H20" s="155">
        <f>(Bruttoeink!H17*H$11)/1000</f>
        <v>0</v>
      </c>
      <c r="I20" s="153">
        <f t="shared" si="0"/>
        <v>3401.0975995436793</v>
      </c>
      <c r="J20" s="156">
        <f t="shared" si="1"/>
        <v>0.75</v>
      </c>
      <c r="K20" s="153">
        <f t="shared" si="2"/>
        <v>2550.8231996577597</v>
      </c>
      <c r="L20" s="157">
        <f t="shared" si="3"/>
        <v>43635.434370407762</v>
      </c>
      <c r="M20" s="145"/>
      <c r="N20" s="152" t="s">
        <v>52</v>
      </c>
      <c r="O20" s="158">
        <v>561553.80000000005</v>
      </c>
      <c r="P20" s="159">
        <v>0</v>
      </c>
      <c r="Q20" s="157">
        <f>IF(Berechnung_QS!L20=0,O20*P20,0)</f>
        <v>0</v>
      </c>
      <c r="R20" s="148"/>
      <c r="S20" s="160">
        <f>Berechnung_QS!L20+Q20</f>
        <v>43635.434370407762</v>
      </c>
    </row>
    <row r="21" spans="1:19" ht="15.75" customHeight="1" x14ac:dyDescent="0.25">
      <c r="A21" s="163" t="s">
        <v>53</v>
      </c>
      <c r="B21" s="164">
        <f>(Bruttoeink!B18*B$11)/1000</f>
        <v>239206.11493499999</v>
      </c>
      <c r="C21" s="164">
        <f>(Bruttoeink!C18*C$11)/1000</f>
        <v>13791.46788115</v>
      </c>
      <c r="D21" s="165">
        <f>(Bruttoeink!D18*D$11)/1000</f>
        <v>855.02979187499989</v>
      </c>
      <c r="E21" s="164">
        <f>(Bruttoeink!E18*E$11)/1000</f>
        <v>740.0787640449438</v>
      </c>
      <c r="F21" s="164">
        <f>(Bruttoeink!F18*F$11)/1000</f>
        <v>0</v>
      </c>
      <c r="G21" s="164">
        <f>(Bruttoeink!G18*G$11)/1000</f>
        <v>0</v>
      </c>
      <c r="H21" s="166">
        <f>(Bruttoeink!H18*H$11)/1000</f>
        <v>0</v>
      </c>
      <c r="I21" s="164">
        <f t="shared" si="0"/>
        <v>15386.576437069943</v>
      </c>
      <c r="J21" s="167">
        <f t="shared" si="1"/>
        <v>0.75</v>
      </c>
      <c r="K21" s="164">
        <f t="shared" si="2"/>
        <v>11539.932327802457</v>
      </c>
      <c r="L21" s="168">
        <f t="shared" si="3"/>
        <v>250746.04726280246</v>
      </c>
      <c r="M21" s="145"/>
      <c r="N21" s="163" t="s">
        <v>53</v>
      </c>
      <c r="O21" s="169">
        <v>6718838.2000000002</v>
      </c>
      <c r="P21" s="170">
        <v>0</v>
      </c>
      <c r="Q21" s="168">
        <f>IF(Berechnung_QS!L21=0,O21*P21,0)</f>
        <v>0</v>
      </c>
      <c r="R21" s="148"/>
      <c r="S21" s="171">
        <f>Berechnung_QS!L21+Q21</f>
        <v>250746.04726280246</v>
      </c>
    </row>
    <row r="22" spans="1:19" ht="15.75" customHeight="1" x14ac:dyDescent="0.25">
      <c r="A22" s="152" t="s">
        <v>54</v>
      </c>
      <c r="B22" s="153">
        <f>(Bruttoeink!B19*B$11)/1000</f>
        <v>218300.82607499999</v>
      </c>
      <c r="C22" s="153">
        <f>(Bruttoeink!C19*C$11)/1000</f>
        <v>0</v>
      </c>
      <c r="D22" s="154">
        <f>(Bruttoeink!D19*D$11)/1000</f>
        <v>1067.6386874999998</v>
      </c>
      <c r="E22" s="153">
        <f>(Bruttoeink!E19*E$11)/1000</f>
        <v>52.301966292134829</v>
      </c>
      <c r="F22" s="153">
        <f>(Bruttoeink!F19*F$11)/1000</f>
        <v>0</v>
      </c>
      <c r="G22" s="153">
        <f>(Bruttoeink!G19*G$11)/1000</f>
        <v>0</v>
      </c>
      <c r="H22" s="155">
        <f>(Bruttoeink!H19*H$11)/1000</f>
        <v>0</v>
      </c>
      <c r="I22" s="153">
        <f t="shared" si="0"/>
        <v>1119.9406537921348</v>
      </c>
      <c r="J22" s="156">
        <f t="shared" si="1"/>
        <v>0.75</v>
      </c>
      <c r="K22" s="153">
        <f t="shared" si="2"/>
        <v>839.95549034410101</v>
      </c>
      <c r="L22" s="157">
        <f t="shared" si="3"/>
        <v>219140.78156534408</v>
      </c>
      <c r="M22" s="145"/>
      <c r="N22" s="152" t="s">
        <v>54</v>
      </c>
      <c r="O22" s="158">
        <v>4570900.4000000004</v>
      </c>
      <c r="P22" s="159">
        <v>0</v>
      </c>
      <c r="Q22" s="157">
        <f>IF(Berechnung_QS!L22=0,O22*P22,0)</f>
        <v>0</v>
      </c>
      <c r="R22" s="148"/>
      <c r="S22" s="160">
        <f>Berechnung_QS!L22+Q22</f>
        <v>219140.78156534408</v>
      </c>
    </row>
    <row r="23" spans="1:19" ht="15.75" customHeight="1" x14ac:dyDescent="0.25">
      <c r="A23" s="163" t="s">
        <v>55</v>
      </c>
      <c r="B23" s="164">
        <f>(Bruttoeink!B20*B$11)/1000</f>
        <v>137588.38652859998</v>
      </c>
      <c r="C23" s="164">
        <f>(Bruttoeink!C20*C$11)/1000</f>
        <v>5642.3599277499998</v>
      </c>
      <c r="D23" s="165">
        <f>(Bruttoeink!D20*D$11)/1000</f>
        <v>231.34806406249996</v>
      </c>
      <c r="E23" s="164">
        <f>(Bruttoeink!E20*E$11)/1000</f>
        <v>6104.2462921348315</v>
      </c>
      <c r="F23" s="164">
        <f>(Bruttoeink!F20*F$11)/1000</f>
        <v>0</v>
      </c>
      <c r="G23" s="164">
        <f>(Bruttoeink!G20*G$11)/1000</f>
        <v>13861.308412921349</v>
      </c>
      <c r="H23" s="166">
        <f>(Bruttoeink!H20*H$11)/1000</f>
        <v>0</v>
      </c>
      <c r="I23" s="164">
        <f t="shared" si="0"/>
        <v>25839.262696868682</v>
      </c>
      <c r="J23" s="167">
        <f t="shared" si="1"/>
        <v>0.75</v>
      </c>
      <c r="K23" s="164">
        <f t="shared" si="2"/>
        <v>19379.447022651511</v>
      </c>
      <c r="L23" s="168">
        <f t="shared" si="3"/>
        <v>156967.8335512515</v>
      </c>
      <c r="M23" s="145"/>
      <c r="N23" s="163" t="s">
        <v>55</v>
      </c>
      <c r="O23" s="169">
        <v>4458564.3</v>
      </c>
      <c r="P23" s="170">
        <v>0</v>
      </c>
      <c r="Q23" s="168">
        <f>IF(Berechnung_QS!L23=0,O23*P23,0)</f>
        <v>0</v>
      </c>
      <c r="R23" s="148"/>
      <c r="S23" s="171">
        <f>Berechnung_QS!L23+Q23</f>
        <v>156967.8335512515</v>
      </c>
    </row>
    <row r="24" spans="1:19" ht="15.75" customHeight="1" x14ac:dyDescent="0.25">
      <c r="A24" s="152" t="s">
        <v>56</v>
      </c>
      <c r="B24" s="153">
        <f>(Bruttoeink!B21*B$11)/1000</f>
        <v>272297.90300555003</v>
      </c>
      <c r="C24" s="153">
        <f>(Bruttoeink!C21*C$11)/1000</f>
        <v>54942.539861549994</v>
      </c>
      <c r="D24" s="154">
        <f>(Bruttoeink!D21*D$11)/1000</f>
        <v>426.50287640624992</v>
      </c>
      <c r="E24" s="153">
        <f>(Bruttoeink!E21*E$11)/1000</f>
        <v>219634.83697752809</v>
      </c>
      <c r="F24" s="153">
        <f>(Bruttoeink!F21*F$11)/1000</f>
        <v>0</v>
      </c>
      <c r="G24" s="153">
        <f>(Bruttoeink!G21*G$11)/1000</f>
        <v>257470.16260955058</v>
      </c>
      <c r="H24" s="155">
        <f>(Bruttoeink!H21*H$11)/1000</f>
        <v>0</v>
      </c>
      <c r="I24" s="153">
        <f t="shared" si="0"/>
        <v>532474.04232503497</v>
      </c>
      <c r="J24" s="156">
        <f t="shared" si="1"/>
        <v>0.75</v>
      </c>
      <c r="K24" s="153">
        <f t="shared" si="2"/>
        <v>399355.53174377623</v>
      </c>
      <c r="L24" s="157">
        <f t="shared" si="3"/>
        <v>671653.4347493262</v>
      </c>
      <c r="M24" s="145"/>
      <c r="N24" s="152" t="s">
        <v>56</v>
      </c>
      <c r="O24" s="158">
        <v>4465168.3</v>
      </c>
      <c r="P24" s="159">
        <v>0</v>
      </c>
      <c r="Q24" s="157">
        <f>IF(Berechnung_QS!L24=0,O24*P24,0)</f>
        <v>0</v>
      </c>
      <c r="R24" s="148"/>
      <c r="S24" s="160">
        <f>Berechnung_QS!L24+Q24</f>
        <v>671653.4347493262</v>
      </c>
    </row>
    <row r="25" spans="1:19" ht="15.75" customHeight="1" x14ac:dyDescent="0.25">
      <c r="A25" s="163" t="s">
        <v>57</v>
      </c>
      <c r="B25" s="164">
        <f>(Bruttoeink!B22*B$11)/1000</f>
        <v>142063.37270509999</v>
      </c>
      <c r="C25" s="164">
        <f>(Bruttoeink!C22*C$11)/1000</f>
        <v>31725.901170700003</v>
      </c>
      <c r="D25" s="165">
        <f>(Bruttoeink!D22*D$11)/1000</f>
        <v>428.26306381249998</v>
      </c>
      <c r="E25" s="164">
        <f>(Bruttoeink!E22*E$11)/1000</f>
        <v>107039.85117134832</v>
      </c>
      <c r="F25" s="164">
        <f>(Bruttoeink!F22*F$11)/1000</f>
        <v>0</v>
      </c>
      <c r="G25" s="164">
        <f>(Bruttoeink!G22*G$11)/1000</f>
        <v>160533.10264044945</v>
      </c>
      <c r="H25" s="166">
        <f>(Bruttoeink!H22*H$11)/1000</f>
        <v>0</v>
      </c>
      <c r="I25" s="164">
        <f t="shared" si="0"/>
        <v>299727.11804631026</v>
      </c>
      <c r="J25" s="167">
        <f t="shared" si="1"/>
        <v>0.75</v>
      </c>
      <c r="K25" s="164">
        <f t="shared" si="2"/>
        <v>224795.3385347327</v>
      </c>
      <c r="L25" s="168">
        <f t="shared" si="3"/>
        <v>366858.71123983269</v>
      </c>
      <c r="M25" s="145"/>
      <c r="N25" s="163" t="s">
        <v>57</v>
      </c>
      <c r="O25" s="169">
        <v>6294538.7000000002</v>
      </c>
      <c r="P25" s="170">
        <v>0</v>
      </c>
      <c r="Q25" s="168">
        <f>IF(Berechnung_QS!L25=0,O25*P25,0)</f>
        <v>0</v>
      </c>
      <c r="R25" s="148"/>
      <c r="S25" s="171">
        <f>Berechnung_QS!L25+Q25</f>
        <v>366858.71123983269</v>
      </c>
    </row>
    <row r="26" spans="1:19" ht="15.75" customHeight="1" x14ac:dyDescent="0.25">
      <c r="A26" s="152" t="s">
        <v>58</v>
      </c>
      <c r="B26" s="153">
        <f>(Bruttoeink!B23*B$11)/1000</f>
        <v>109767.07776349998</v>
      </c>
      <c r="C26" s="153">
        <f>(Bruttoeink!C23*C$11)/1000</f>
        <v>8022.8284799999992</v>
      </c>
      <c r="D26" s="154">
        <f>(Bruttoeink!D23*D$11)/1000</f>
        <v>174.87207259375</v>
      </c>
      <c r="E26" s="153">
        <f>(Bruttoeink!E23*E$11)/1000</f>
        <v>56834.169134831456</v>
      </c>
      <c r="F26" s="153">
        <f>(Bruttoeink!F23*F$11)/1000</f>
        <v>0</v>
      </c>
      <c r="G26" s="153">
        <f>(Bruttoeink!G23*G$11)/1000</f>
        <v>0</v>
      </c>
      <c r="H26" s="155">
        <f>(Bruttoeink!H23*H$11)/1000</f>
        <v>0</v>
      </c>
      <c r="I26" s="153">
        <f t="shared" si="0"/>
        <v>65031.869687425205</v>
      </c>
      <c r="J26" s="156">
        <f t="shared" si="1"/>
        <v>0.75</v>
      </c>
      <c r="K26" s="153">
        <f t="shared" si="2"/>
        <v>48773.902265568904</v>
      </c>
      <c r="L26" s="157">
        <f t="shared" si="3"/>
        <v>158540.98002906889</v>
      </c>
      <c r="M26" s="145"/>
      <c r="N26" s="152" t="s">
        <v>58</v>
      </c>
      <c r="O26" s="158">
        <v>1237632.3</v>
      </c>
      <c r="P26" s="159">
        <v>0</v>
      </c>
      <c r="Q26" s="157">
        <f>IF(Berechnung_QS!L26=0,O26*P26,0)</f>
        <v>0</v>
      </c>
      <c r="R26" s="148"/>
      <c r="S26" s="160">
        <f>Berechnung_QS!L26+Q26</f>
        <v>158540.98002906889</v>
      </c>
    </row>
    <row r="27" spans="1:19" ht="15.75" customHeight="1" x14ac:dyDescent="0.25">
      <c r="A27" s="163" t="s">
        <v>59</v>
      </c>
      <c r="B27" s="164">
        <f>(Bruttoeink!B24*B$11)/1000</f>
        <v>35686.742039999997</v>
      </c>
      <c r="C27" s="164">
        <f>(Bruttoeink!C24*C$11)/1000</f>
        <v>1883.419345</v>
      </c>
      <c r="D27" s="165">
        <f>(Bruttoeink!D24*D$11)/1000</f>
        <v>4100.2911468749999</v>
      </c>
      <c r="E27" s="164">
        <f>(Bruttoeink!E24*E$11)/1000</f>
        <v>668.50769662921357</v>
      </c>
      <c r="F27" s="164">
        <f>(Bruttoeink!F24*F$11)/1000</f>
        <v>0</v>
      </c>
      <c r="G27" s="164">
        <f>(Bruttoeink!G24*G$11)/1000</f>
        <v>0</v>
      </c>
      <c r="H27" s="166">
        <f>(Bruttoeink!H24*H$11)/1000</f>
        <v>0</v>
      </c>
      <c r="I27" s="164">
        <f t="shared" si="0"/>
        <v>6652.2181885042137</v>
      </c>
      <c r="J27" s="167">
        <f t="shared" si="1"/>
        <v>0.75</v>
      </c>
      <c r="K27" s="164">
        <f t="shared" si="2"/>
        <v>4989.1636413781598</v>
      </c>
      <c r="L27" s="168">
        <f t="shared" si="3"/>
        <v>40675.905681378157</v>
      </c>
      <c r="M27" s="145"/>
      <c r="N27" s="163" t="s">
        <v>59</v>
      </c>
      <c r="O27" s="169">
        <v>910568.8</v>
      </c>
      <c r="P27" s="170">
        <v>0</v>
      </c>
      <c r="Q27" s="168">
        <f>IF(Berechnung_QS!L27=0,O27*P27,0)</f>
        <v>0</v>
      </c>
      <c r="R27" s="148"/>
      <c r="S27" s="171">
        <f>Berechnung_QS!L27+Q27</f>
        <v>40675.905681378157</v>
      </c>
    </row>
    <row r="28" spans="1:19" ht="15.75" customHeight="1" x14ac:dyDescent="0.25">
      <c r="A28" s="152" t="s">
        <v>60</v>
      </c>
      <c r="B28" s="153">
        <f>(Bruttoeink!B25*B$11)/1000</f>
        <v>6559.8691366499997</v>
      </c>
      <c r="C28" s="153">
        <f>(Bruttoeink!C25*C$11)/1000</f>
        <v>623.11025734999998</v>
      </c>
      <c r="D28" s="154">
        <f>(Bruttoeink!D25*D$11)/1000</f>
        <v>1198.8995704874999</v>
      </c>
      <c r="E28" s="153">
        <f>(Bruttoeink!E25*E$11)/1000</f>
        <v>107.47417752808988</v>
      </c>
      <c r="F28" s="153">
        <f>(Bruttoeink!F25*F$11)/1000</f>
        <v>0</v>
      </c>
      <c r="G28" s="153">
        <f>(Bruttoeink!G25*G$11)/1000</f>
        <v>0</v>
      </c>
      <c r="H28" s="155">
        <f>(Bruttoeink!H25*H$11)/1000</f>
        <v>0</v>
      </c>
      <c r="I28" s="153">
        <f t="shared" si="0"/>
        <v>1929.4840053655898</v>
      </c>
      <c r="J28" s="156">
        <f t="shared" si="1"/>
        <v>0.75</v>
      </c>
      <c r="K28" s="153">
        <f t="shared" si="2"/>
        <v>1447.1130040241924</v>
      </c>
      <c r="L28" s="157">
        <f t="shared" si="3"/>
        <v>8006.9821406741921</v>
      </c>
      <c r="M28" s="145"/>
      <c r="N28" s="152" t="s">
        <v>60</v>
      </c>
      <c r="O28" s="158">
        <v>277451.40000000002</v>
      </c>
      <c r="P28" s="159">
        <v>0</v>
      </c>
      <c r="Q28" s="157">
        <f>IF(Berechnung_QS!L28=0,O28*P28,0)</f>
        <v>0</v>
      </c>
      <c r="R28" s="148"/>
      <c r="S28" s="160">
        <f>Berechnung_QS!L28+Q28</f>
        <v>8006.9821406741921</v>
      </c>
    </row>
    <row r="29" spans="1:19" ht="15.75" customHeight="1" x14ac:dyDescent="0.25">
      <c r="A29" s="163" t="s">
        <v>61</v>
      </c>
      <c r="B29" s="164">
        <f>(Bruttoeink!B26*B$11)/1000</f>
        <v>336849.33412000001</v>
      </c>
      <c r="C29" s="164">
        <f>(Bruttoeink!C26*C$11)/1000</f>
        <v>23660.255570000001</v>
      </c>
      <c r="D29" s="165">
        <f>(Bruttoeink!D26*D$11)/1000</f>
        <v>147673.36973812501</v>
      </c>
      <c r="E29" s="164">
        <f>(Bruttoeink!E26*E$11)/1000</f>
        <v>11863.169157303371</v>
      </c>
      <c r="F29" s="164">
        <f>(Bruttoeink!F26*F$11)/1000</f>
        <v>0</v>
      </c>
      <c r="G29" s="164">
        <f>(Bruttoeink!G26*G$11)/1000</f>
        <v>0</v>
      </c>
      <c r="H29" s="166">
        <f>(Bruttoeink!H26*H$11)/1000</f>
        <v>0</v>
      </c>
      <c r="I29" s="164">
        <f t="shared" si="0"/>
        <v>183196.79446542839</v>
      </c>
      <c r="J29" s="167">
        <f t="shared" si="1"/>
        <v>0.75</v>
      </c>
      <c r="K29" s="164">
        <f t="shared" si="2"/>
        <v>137397.59584907128</v>
      </c>
      <c r="L29" s="168">
        <f t="shared" si="3"/>
        <v>474246.92996907129</v>
      </c>
      <c r="M29" s="145"/>
      <c r="N29" s="163" t="s">
        <v>61</v>
      </c>
      <c r="O29" s="169">
        <v>7470497.7000000002</v>
      </c>
      <c r="P29" s="170">
        <v>0</v>
      </c>
      <c r="Q29" s="168">
        <f>IF(Berechnung_QS!L29=0,O29*P29,0)</f>
        <v>0</v>
      </c>
      <c r="R29" s="148"/>
      <c r="S29" s="171">
        <f>Berechnung_QS!L29+Q29</f>
        <v>474246.92996907129</v>
      </c>
    </row>
    <row r="30" spans="1:19" ht="15.75" customHeight="1" x14ac:dyDescent="0.25">
      <c r="A30" s="152" t="s">
        <v>62</v>
      </c>
      <c r="B30" s="153">
        <f>(Bruttoeink!B27*B$11)/1000</f>
        <v>296188.78854500002</v>
      </c>
      <c r="C30" s="153">
        <f>(Bruttoeink!C27*C$11)/1000</f>
        <v>73523.287724999987</v>
      </c>
      <c r="D30" s="154">
        <f>(Bruttoeink!D27*D$11)/1000</f>
        <v>5274.0220574999994</v>
      </c>
      <c r="E30" s="153">
        <f>(Bruttoeink!E27*E$11)/1000</f>
        <v>0</v>
      </c>
      <c r="F30" s="153">
        <f>(Bruttoeink!F27*F$11)/1000</f>
        <v>0</v>
      </c>
      <c r="G30" s="153">
        <f>(Bruttoeink!G27*G$11)/1000</f>
        <v>0</v>
      </c>
      <c r="H30" s="155">
        <f>(Bruttoeink!H27*H$11)/1000</f>
        <v>12652.180347</v>
      </c>
      <c r="I30" s="153">
        <f t="shared" si="0"/>
        <v>91449.490129499987</v>
      </c>
      <c r="J30" s="156">
        <f t="shared" si="1"/>
        <v>0.75</v>
      </c>
      <c r="K30" s="153">
        <f t="shared" si="2"/>
        <v>68587.11759712499</v>
      </c>
      <c r="L30" s="157">
        <f t="shared" si="3"/>
        <v>364775.90614212502</v>
      </c>
      <c r="M30" s="145"/>
      <c r="N30" s="152" t="s">
        <v>62</v>
      </c>
      <c r="O30" s="158">
        <v>3268764.8</v>
      </c>
      <c r="P30" s="159">
        <v>0</v>
      </c>
      <c r="Q30" s="157">
        <f>IF(Berechnung_QS!L30=0,O30*P30,0)</f>
        <v>0</v>
      </c>
      <c r="R30" s="148"/>
      <c r="S30" s="160">
        <f>Berechnung_QS!L30+Q30</f>
        <v>364775.90614212502</v>
      </c>
    </row>
    <row r="31" spans="1:19" ht="15.75" customHeight="1" x14ac:dyDescent="0.25">
      <c r="A31" s="163" t="s">
        <v>63</v>
      </c>
      <c r="B31" s="164">
        <f>(Bruttoeink!B28*B$11)/1000</f>
        <v>390824.60957500001</v>
      </c>
      <c r="C31" s="164">
        <f>(Bruttoeink!C28*C$11)/1000</f>
        <v>88524.275794250003</v>
      </c>
      <c r="D31" s="165">
        <f>(Bruttoeink!D28*D$11)/1000</f>
        <v>734.13262124999994</v>
      </c>
      <c r="E31" s="164">
        <f>(Bruttoeink!E28*E$11)/1000</f>
        <v>134246.36221348314</v>
      </c>
      <c r="F31" s="164">
        <f>(Bruttoeink!F28*F$11)/1000</f>
        <v>0</v>
      </c>
      <c r="G31" s="164">
        <f>(Bruttoeink!G28*G$11)/1000</f>
        <v>0</v>
      </c>
      <c r="H31" s="166">
        <f>(Bruttoeink!H28*H$11)/1000</f>
        <v>0</v>
      </c>
      <c r="I31" s="164">
        <f t="shared" si="0"/>
        <v>223504.77062898315</v>
      </c>
      <c r="J31" s="167">
        <f t="shared" si="1"/>
        <v>0.75</v>
      </c>
      <c r="K31" s="164">
        <f t="shared" si="2"/>
        <v>167628.57797173737</v>
      </c>
      <c r="L31" s="168">
        <f t="shared" si="3"/>
        <v>558453.18754673738</v>
      </c>
      <c r="M31" s="145"/>
      <c r="N31" s="163" t="s">
        <v>63</v>
      </c>
      <c r="O31" s="169">
        <v>11600601</v>
      </c>
      <c r="P31" s="170">
        <v>0</v>
      </c>
      <c r="Q31" s="168">
        <f>IF(Berechnung_QS!L31=0,O31*P31,0)</f>
        <v>0</v>
      </c>
      <c r="R31" s="148"/>
      <c r="S31" s="171">
        <f>Berechnung_QS!L31+Q31</f>
        <v>558453.18754673738</v>
      </c>
    </row>
    <row r="32" spans="1:19" ht="15.75" customHeight="1" x14ac:dyDescent="0.25">
      <c r="A32" s="152" t="s">
        <v>64</v>
      </c>
      <c r="B32" s="153">
        <f>(Bruttoeink!B29*B$11)/1000</f>
        <v>216378.8529991</v>
      </c>
      <c r="C32" s="153">
        <f>(Bruttoeink!C29*C$11)/1000</f>
        <v>16760.570922350002</v>
      </c>
      <c r="D32" s="154">
        <f>(Bruttoeink!D29*D$11)/1000</f>
        <v>4902.7827643812498</v>
      </c>
      <c r="E32" s="153">
        <f>(Bruttoeink!E29*E$11)/1000</f>
        <v>43471.76219325843</v>
      </c>
      <c r="F32" s="153">
        <f>(Bruttoeink!F29*F$11)/1000</f>
        <v>0</v>
      </c>
      <c r="G32" s="153">
        <f>(Bruttoeink!G29*G$11)/1000</f>
        <v>0</v>
      </c>
      <c r="H32" s="155">
        <f>(Bruttoeink!H29*H$11)/1000</f>
        <v>0</v>
      </c>
      <c r="I32" s="153">
        <f t="shared" si="0"/>
        <v>65135.11587998968</v>
      </c>
      <c r="J32" s="156">
        <f t="shared" si="1"/>
        <v>0.75</v>
      </c>
      <c r="K32" s="153">
        <f t="shared" si="2"/>
        <v>48851.336909992257</v>
      </c>
      <c r="L32" s="157">
        <f t="shared" si="3"/>
        <v>265230.18990909227</v>
      </c>
      <c r="M32" s="145"/>
      <c r="N32" s="152" t="s">
        <v>64</v>
      </c>
      <c r="O32" s="158">
        <v>4138551.2</v>
      </c>
      <c r="P32" s="159">
        <v>0</v>
      </c>
      <c r="Q32" s="157">
        <f>IF(Berechnung_QS!L32=0,O32*P32,0)</f>
        <v>0</v>
      </c>
      <c r="R32" s="148"/>
      <c r="S32" s="160">
        <f>Berechnung_QS!L32+Q32</f>
        <v>265230.18990909227</v>
      </c>
    </row>
    <row r="33" spans="1:19" ht="15.75" customHeight="1" x14ac:dyDescent="0.25">
      <c r="A33" s="163" t="s">
        <v>65</v>
      </c>
      <c r="B33" s="164">
        <f>(Bruttoeink!B30*B$11)/1000</f>
        <v>305410.90081000002</v>
      </c>
      <c r="C33" s="164">
        <f>(Bruttoeink!C30*C$11)/1000</f>
        <v>163150.62073</v>
      </c>
      <c r="D33" s="165">
        <f>(Bruttoeink!D30*D$11)/1000</f>
        <v>4317.2266156249998</v>
      </c>
      <c r="E33" s="164">
        <f>(Bruttoeink!E30*E$11)/1000</f>
        <v>0</v>
      </c>
      <c r="F33" s="164">
        <f>(Bruttoeink!F30*F$11)/1000</f>
        <v>0</v>
      </c>
      <c r="G33" s="164">
        <f>(Bruttoeink!G30*G$11)/1000</f>
        <v>0</v>
      </c>
      <c r="H33" s="166">
        <f>(Bruttoeink!H30*H$11)/1000</f>
        <v>561615.59003099997</v>
      </c>
      <c r="I33" s="164">
        <f t="shared" si="0"/>
        <v>729083.4373766249</v>
      </c>
      <c r="J33" s="167">
        <f t="shared" si="1"/>
        <v>0.75</v>
      </c>
      <c r="K33" s="164">
        <f t="shared" si="2"/>
        <v>546812.57803246868</v>
      </c>
      <c r="L33" s="168">
        <f t="shared" si="3"/>
        <v>852223.4788424687</v>
      </c>
      <c r="M33" s="145"/>
      <c r="N33" s="163" t="s">
        <v>65</v>
      </c>
      <c r="O33" s="169">
        <v>6188314.0999999996</v>
      </c>
      <c r="P33" s="170">
        <v>0</v>
      </c>
      <c r="Q33" s="168">
        <f>IF(Berechnung_QS!L33=0,O33*P33,0)</f>
        <v>0</v>
      </c>
      <c r="R33" s="148"/>
      <c r="S33" s="171">
        <f>Berechnung_QS!L33+Q33</f>
        <v>852223.4788424687</v>
      </c>
    </row>
    <row r="34" spans="1:19" ht="15.75" customHeight="1" x14ac:dyDescent="0.25">
      <c r="A34" s="152" t="s">
        <v>66</v>
      </c>
      <c r="B34" s="153">
        <f>(Bruttoeink!B31*B$11)/1000</f>
        <v>995676.72085499996</v>
      </c>
      <c r="C34" s="153">
        <f>(Bruttoeink!C31*C$11)/1000</f>
        <v>0</v>
      </c>
      <c r="D34" s="154">
        <f>(Bruttoeink!D31*D$11)/1000</f>
        <v>0</v>
      </c>
      <c r="E34" s="153">
        <f>(Bruttoeink!E31*E$11)/1000</f>
        <v>0</v>
      </c>
      <c r="F34" s="153">
        <f>(Bruttoeink!F31*F$11)/1000</f>
        <v>0</v>
      </c>
      <c r="G34" s="153">
        <f>(Bruttoeink!G31*G$11)/1000</f>
        <v>295051.69415730331</v>
      </c>
      <c r="H34" s="155">
        <f>(Bruttoeink!H31*H$11)/1000</f>
        <v>0</v>
      </c>
      <c r="I34" s="153">
        <f t="shared" si="0"/>
        <v>295051.69415730331</v>
      </c>
      <c r="J34" s="156">
        <f t="shared" si="1"/>
        <v>0.75</v>
      </c>
      <c r="K34" s="153">
        <f t="shared" si="2"/>
        <v>221288.77061797748</v>
      </c>
      <c r="L34" s="157">
        <f t="shared" si="3"/>
        <v>1216965.4914729774</v>
      </c>
      <c r="M34" s="145"/>
      <c r="N34" s="152" t="s">
        <v>66</v>
      </c>
      <c r="O34" s="158">
        <v>15287259.9</v>
      </c>
      <c r="P34" s="159">
        <v>0</v>
      </c>
      <c r="Q34" s="157">
        <f>IF(Berechnung_QS!L34=0,O34*P34,0)</f>
        <v>0</v>
      </c>
      <c r="R34" s="148"/>
      <c r="S34" s="160">
        <f>Berechnung_QS!L34+Q34</f>
        <v>1216965.4914729774</v>
      </c>
    </row>
    <row r="35" spans="1:19" ht="15.75" customHeight="1" x14ac:dyDescent="0.25">
      <c r="A35" s="163" t="s">
        <v>67</v>
      </c>
      <c r="B35" s="164">
        <f>(Bruttoeink!B32*B$11)/1000</f>
        <v>370095.57045499998</v>
      </c>
      <c r="C35" s="164">
        <f>(Bruttoeink!C32*C$11)/1000</f>
        <v>3249.1051699999998</v>
      </c>
      <c r="D35" s="165">
        <f>(Bruttoeink!D32*D$11)/1000</f>
        <v>0</v>
      </c>
      <c r="E35" s="164">
        <f>(Bruttoeink!E32*E$11)/1000</f>
        <v>45.768370786516854</v>
      </c>
      <c r="F35" s="164">
        <f>(Bruttoeink!F32*F$11)/1000</f>
        <v>0</v>
      </c>
      <c r="G35" s="164">
        <f>(Bruttoeink!G32*G$11)/1000</f>
        <v>14030.364438202247</v>
      </c>
      <c r="H35" s="166">
        <f>(Bruttoeink!H32*H$11)/1000</f>
        <v>11947.836051</v>
      </c>
      <c r="I35" s="164">
        <f t="shared" si="0"/>
        <v>29273.074029988762</v>
      </c>
      <c r="J35" s="167">
        <f t="shared" si="1"/>
        <v>0.75</v>
      </c>
      <c r="K35" s="164">
        <f t="shared" si="2"/>
        <v>21954.805522491573</v>
      </c>
      <c r="L35" s="168">
        <f t="shared" si="3"/>
        <v>392050.37597749155</v>
      </c>
      <c r="M35" s="145"/>
      <c r="N35" s="163" t="s">
        <v>67</v>
      </c>
      <c r="O35" s="169">
        <v>4599922.8</v>
      </c>
      <c r="P35" s="170">
        <v>0</v>
      </c>
      <c r="Q35" s="168">
        <f>IF(Berechnung_QS!L35=0,O35*P35,0)</f>
        <v>0</v>
      </c>
      <c r="R35" s="148"/>
      <c r="S35" s="171">
        <f>Berechnung_QS!L35+Q35</f>
        <v>392050.37597749155</v>
      </c>
    </row>
    <row r="36" spans="1:19" ht="15.75" customHeight="1" x14ac:dyDescent="0.25">
      <c r="A36" s="152" t="s">
        <v>68</v>
      </c>
      <c r="B36" s="153">
        <f>(Bruttoeink!B33*B$11)/1000</f>
        <v>123370.62853</v>
      </c>
      <c r="C36" s="153">
        <f>(Bruttoeink!C33*C$11)/1000</f>
        <v>5974.8791799999999</v>
      </c>
      <c r="D36" s="154">
        <f>(Bruttoeink!D33*D$11)/1000</f>
        <v>11.890331249999999</v>
      </c>
      <c r="E36" s="153">
        <f>(Bruttoeink!E33*E$11)/1000</f>
        <v>12.052078651685393</v>
      </c>
      <c r="F36" s="153">
        <f>(Bruttoeink!F33*F$11)/1000</f>
        <v>0</v>
      </c>
      <c r="G36" s="153">
        <f>(Bruttoeink!G33*G$11)/1000</f>
        <v>138278.16775280898</v>
      </c>
      <c r="H36" s="155">
        <f>(Bruttoeink!H33*H$11)/1000</f>
        <v>0</v>
      </c>
      <c r="I36" s="153">
        <f t="shared" si="0"/>
        <v>144276.98934271067</v>
      </c>
      <c r="J36" s="156">
        <f t="shared" si="1"/>
        <v>0.75</v>
      </c>
      <c r="K36" s="153">
        <f t="shared" si="2"/>
        <v>108207.742007033</v>
      </c>
      <c r="L36" s="157">
        <f t="shared" si="3"/>
        <v>231578.37053703301</v>
      </c>
      <c r="M36" s="145"/>
      <c r="N36" s="152" t="s">
        <v>68</v>
      </c>
      <c r="O36" s="158">
        <v>2693122.2</v>
      </c>
      <c r="P36" s="159">
        <v>0</v>
      </c>
      <c r="Q36" s="157">
        <f>IF(Berechnung_QS!L36=0,O36*P36,0)</f>
        <v>0</v>
      </c>
      <c r="R36" s="148"/>
      <c r="S36" s="160">
        <f>Berechnung_QS!L36+Q36</f>
        <v>231578.37053703301</v>
      </c>
    </row>
    <row r="37" spans="1:19" ht="15.75" customHeight="1" x14ac:dyDescent="0.25">
      <c r="A37" s="163" t="s">
        <v>69</v>
      </c>
      <c r="B37" s="164">
        <f>(Bruttoeink!B34*B$11)/1000</f>
        <v>972908.22452499997</v>
      </c>
      <c r="C37" s="164">
        <f>(Bruttoeink!C34*C$11)/1000</f>
        <v>124948.51403999999</v>
      </c>
      <c r="D37" s="165">
        <f>(Bruttoeink!D34*D$11)/1000</f>
        <v>430.79312062499991</v>
      </c>
      <c r="E37" s="164">
        <f>(Bruttoeink!E34*E$11)/1000</f>
        <v>0</v>
      </c>
      <c r="F37" s="164">
        <f>(Bruttoeink!F34*F$11)/1000</f>
        <v>1712031.5598412545</v>
      </c>
      <c r="G37" s="164">
        <f>(Bruttoeink!G34*G$11)/1000</f>
        <v>0</v>
      </c>
      <c r="H37" s="166">
        <f>(Bruttoeink!H34*H$11)/1000</f>
        <v>0</v>
      </c>
      <c r="I37" s="164">
        <f t="shared" si="0"/>
        <v>1837410.8670018795</v>
      </c>
      <c r="J37" s="167">
        <f t="shared" si="1"/>
        <v>0.75</v>
      </c>
      <c r="K37" s="164">
        <f t="shared" si="2"/>
        <v>1378058.1502514095</v>
      </c>
      <c r="L37" s="168">
        <f t="shared" si="3"/>
        <v>2350966.3747764095</v>
      </c>
      <c r="M37" s="145"/>
      <c r="N37" s="163" t="s">
        <v>69</v>
      </c>
      <c r="O37" s="169">
        <v>11897753.5</v>
      </c>
      <c r="P37" s="170">
        <v>0</v>
      </c>
      <c r="Q37" s="168">
        <f>IF(Berechnung_QS!L37=0,O37*P37,0)</f>
        <v>0</v>
      </c>
      <c r="R37" s="148"/>
      <c r="S37" s="171">
        <f>Berechnung_QS!L37+Q37</f>
        <v>2350966.3747764095</v>
      </c>
    </row>
    <row r="38" spans="1:19" ht="15.75" customHeight="1" x14ac:dyDescent="0.25">
      <c r="A38" s="172" t="s">
        <v>70</v>
      </c>
      <c r="B38" s="173">
        <f>(Bruttoeink!B35*B$11)/1000</f>
        <v>27069.482954999999</v>
      </c>
      <c r="C38" s="173">
        <f>(Bruttoeink!C35*C$11)/1000</f>
        <v>2309.06782165</v>
      </c>
      <c r="D38" s="174">
        <f>(Bruttoeink!D35*D$11)/1000</f>
        <v>0</v>
      </c>
      <c r="E38" s="173">
        <f>(Bruttoeink!E35*E$11)/1000</f>
        <v>77.773651685393261</v>
      </c>
      <c r="F38" s="173">
        <f>(Bruttoeink!F35*F$11)/1000</f>
        <v>0</v>
      </c>
      <c r="G38" s="173">
        <f>(Bruttoeink!G35*G$11)/1000</f>
        <v>71324.236348314604</v>
      </c>
      <c r="H38" s="175">
        <f>(Bruttoeink!H35*H$11)/1000</f>
        <v>0</v>
      </c>
      <c r="I38" s="173">
        <f t="shared" si="0"/>
        <v>73711.077821650004</v>
      </c>
      <c r="J38" s="176">
        <f t="shared" si="1"/>
        <v>0.75</v>
      </c>
      <c r="K38" s="173">
        <f t="shared" si="2"/>
        <v>55283.308366237499</v>
      </c>
      <c r="L38" s="177">
        <f t="shared" si="3"/>
        <v>82352.791321237499</v>
      </c>
      <c r="M38" s="145"/>
      <c r="N38" s="172" t="s">
        <v>70</v>
      </c>
      <c r="O38" s="178">
        <v>894268.8</v>
      </c>
      <c r="P38" s="179">
        <v>0</v>
      </c>
      <c r="Q38" s="177">
        <f>IF(Berechnung_QS!L38=0,O38*P38,0)</f>
        <v>0</v>
      </c>
      <c r="R38" s="148"/>
      <c r="S38" s="180">
        <f>Berechnung_QS!L38+Q38</f>
        <v>82352.791321237499</v>
      </c>
    </row>
    <row r="39" spans="1:19" ht="15.75" customHeight="1" x14ac:dyDescent="0.25">
      <c r="A39" s="181" t="s">
        <v>71</v>
      </c>
      <c r="B39" s="182">
        <f t="shared" ref="B39:I39" si="4">SUM(B13:B38)</f>
        <v>8055235.3676128993</v>
      </c>
      <c r="C39" s="182">
        <f t="shared" si="4"/>
        <v>715697.71525394998</v>
      </c>
      <c r="D39" s="183">
        <f t="shared" si="4"/>
        <v>177363.995558575</v>
      </c>
      <c r="E39" s="182">
        <f t="shared" si="4"/>
        <v>667377.7896876405</v>
      </c>
      <c r="F39" s="182">
        <f t="shared" si="4"/>
        <v>1712031.5598412545</v>
      </c>
      <c r="G39" s="182">
        <f t="shared" si="4"/>
        <v>970682.91117134818</v>
      </c>
      <c r="H39" s="184">
        <f t="shared" si="4"/>
        <v>586215.60642900004</v>
      </c>
      <c r="I39" s="182">
        <f t="shared" si="4"/>
        <v>4829369.5779417679</v>
      </c>
      <c r="J39" s="185">
        <v>0.75</v>
      </c>
      <c r="K39" s="182">
        <f t="shared" si="2"/>
        <v>3622027.1834563259</v>
      </c>
      <c r="L39" s="186">
        <f t="shared" si="3"/>
        <v>11677262.551069226</v>
      </c>
      <c r="M39" s="145"/>
      <c r="N39" s="181" t="s">
        <v>71</v>
      </c>
      <c r="O39" s="187">
        <f>SUM(O13:O38)</f>
        <v>164431392.30000001</v>
      </c>
      <c r="P39" s="188"/>
      <c r="Q39" s="186">
        <f>SUM(Q13:Q38)</f>
        <v>0</v>
      </c>
      <c r="R39" s="148"/>
      <c r="S39" s="189">
        <f>SUM(S13:S38)</f>
        <v>11677262.551069226</v>
      </c>
    </row>
  </sheetData>
  <mergeCells count="15">
    <mergeCell ref="U11:V11"/>
    <mergeCell ref="D9:H9"/>
    <mergeCell ref="K9:K10"/>
    <mergeCell ref="O8:O10"/>
    <mergeCell ref="U10:V10"/>
    <mergeCell ref="P8:P10"/>
    <mergeCell ref="Q8:Q10"/>
    <mergeCell ref="S8:S10"/>
    <mergeCell ref="A4:L4"/>
    <mergeCell ref="N4:Q4"/>
    <mergeCell ref="B9:B10"/>
    <mergeCell ref="C9:C10"/>
    <mergeCell ref="I9:I10"/>
    <mergeCell ref="J9:J10"/>
    <mergeCell ref="L9:L10"/>
  </mergeCells>
  <conditionalFormatting sqref="V13 O13:P38 J39">
    <cfRule type="expression" dxfId="2" priority="1" stopIfTrue="1">
      <formula>ISBLANK(J13)</formula>
    </cfRule>
  </conditionalFormatting>
  <conditionalFormatting sqref="B11:H11">
    <cfRule type="cellIs" dxfId="1" priority="2" stopIfTrue="1" operator="equal">
      <formula>"Eingabe Formel gemäss obiger Zeile"</formula>
    </cfRule>
    <cfRule type="expression" dxfId="0" priority="3" stopIfTrue="1">
      <formula>ISBLANK(B11)</formula>
    </cfRule>
  </conditionalFormatting>
  <printOptions horizontalCentered="1"/>
  <pageMargins left="0.74803149606299213" right="0.74803149606299213" top="0.98425196850393704" bottom="0.74803149606299213" header="0.51181102362204722" footer="0.51181102362204722"/>
  <pageSetup paperSize="9" scale="63" fitToWidth="2" orientation="landscape" r:id="rId1"/>
  <headerFooter>
    <oddHeader>&amp;L&amp;10&amp;F&amp;R&amp;10&amp;A</oddHeader>
    <oddFooter>&amp;C&amp;10Seite &amp;P von &amp;N</oddFooter>
  </headerFooter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Bruttoeink</vt:lpstr>
      <vt:lpstr>Gamma</vt:lpstr>
      <vt:lpstr>Berechnung_QS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2016-06-10T12:07:26Z</cp:lastPrinted>
  <dcterms:created xsi:type="dcterms:W3CDTF">2006-06-26T16:01:42Z</dcterms:created>
  <dcterms:modified xsi:type="dcterms:W3CDTF">2016-06-10T12:09:56Z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1.4_QS_2017_2011.xlsx</vt:lpwstr>
  </property>
</Properties>
</file>