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1\Zahlen\Dateien\Tabellen\"/>
    </mc:Choice>
  </mc:AlternateContent>
  <bookViews>
    <workbookView xWindow="0" yWindow="0" windowWidth="13125" windowHeight="6105"/>
  </bookViews>
  <sheets>
    <sheet name="INTRO" sheetId="3" r:id="rId1"/>
    <sheet name="TOTAL_1" sheetId="1" r:id="rId2"/>
    <sheet name="TOTAL_2" sheetId="2" r:id="rId3"/>
    <sheet name="DFIE" sheetId="4" state="veryHidden" r:id="rId4"/>
  </sheets>
  <definedNames>
    <definedName name="_xlnm.Print_Area" localSheetId="1">TOTAL_1!$B$1:$S$33</definedName>
    <definedName name="_xlnm.Print_Area" localSheetId="2">TOTAL_2!$B$1:$L$31</definedName>
  </definedNames>
  <calcPr calcId="162913"/>
</workbook>
</file>

<file path=xl/calcChain.xml><?xml version="1.0" encoding="utf-8"?>
<calcChain xmlns="http://schemas.openxmlformats.org/spreadsheetml/2006/main">
  <c r="B83" i="4" l="1"/>
  <c r="K3" i="2" s="1"/>
  <c r="B82" i="4"/>
  <c r="B79" i="4"/>
  <c r="G4" i="2" s="1"/>
  <c r="B78" i="4"/>
  <c r="F4" i="2" s="1"/>
  <c r="B75" i="4"/>
  <c r="D3" i="2" s="1"/>
  <c r="B74" i="4"/>
  <c r="F72" i="4"/>
  <c r="E72" i="4"/>
  <c r="B71" i="4"/>
  <c r="B30" i="2" s="1"/>
  <c r="B70" i="4"/>
  <c r="B29" i="2" s="1"/>
  <c r="B67" i="4"/>
  <c r="B26" i="2" s="1"/>
  <c r="B66" i="4"/>
  <c r="B25" i="2" s="1"/>
  <c r="B63" i="4"/>
  <c r="B22" i="2" s="1"/>
  <c r="B62" i="4"/>
  <c r="B21" i="2" s="1"/>
  <c r="B59" i="4"/>
  <c r="B18" i="2" s="1"/>
  <c r="B58" i="4"/>
  <c r="B17" i="2" s="1"/>
  <c r="B55" i="4"/>
  <c r="B14" i="2" s="1"/>
  <c r="B54" i="4"/>
  <c r="B13" i="2" s="1"/>
  <c r="B51" i="4"/>
  <c r="B10" i="2" s="1"/>
  <c r="B50" i="4"/>
  <c r="B9" i="2" s="1"/>
  <c r="B47" i="4"/>
  <c r="B6" i="2" s="1"/>
  <c r="B46" i="4"/>
  <c r="B5" i="2" s="1"/>
  <c r="B43" i="4"/>
  <c r="S3" i="1" s="1"/>
  <c r="B42" i="4"/>
  <c r="R3" i="1" s="1"/>
  <c r="B39" i="4"/>
  <c r="O5" i="1" s="1"/>
  <c r="B38" i="4"/>
  <c r="B35" i="4"/>
  <c r="B34" i="4"/>
  <c r="B31" i="4"/>
  <c r="B30" i="4"/>
  <c r="H5" i="1" s="1"/>
  <c r="B27" i="4"/>
  <c r="E5" i="1" s="1"/>
  <c r="B26" i="4"/>
  <c r="D5" i="1" s="1"/>
  <c r="B23" i="4"/>
  <c r="G22" i="4"/>
  <c r="D22" i="4"/>
  <c r="B22" i="4"/>
  <c r="C3" i="1" s="1"/>
  <c r="F19" i="4"/>
  <c r="B18" i="4"/>
  <c r="C55" i="3" s="1"/>
  <c r="B15" i="4"/>
  <c r="B14" i="4"/>
  <c r="E13" i="4"/>
  <c r="D13" i="4"/>
  <c r="B11" i="4"/>
  <c r="B10" i="4"/>
  <c r="B9" i="4"/>
  <c r="B85" i="4" s="1"/>
  <c r="B31" i="2" s="1"/>
  <c r="B8" i="4"/>
  <c r="G2" i="4"/>
  <c r="K30" i="2"/>
  <c r="H30" i="2"/>
  <c r="G30" i="2"/>
  <c r="F30" i="2"/>
  <c r="I30" i="2" s="1"/>
  <c r="D30" i="2"/>
  <c r="K29" i="2"/>
  <c r="H29" i="2"/>
  <c r="G29" i="2"/>
  <c r="F29" i="2"/>
  <c r="I29" i="2" s="1"/>
  <c r="D29" i="2"/>
  <c r="K28" i="2"/>
  <c r="J28" i="2"/>
  <c r="I28" i="2"/>
  <c r="H28" i="2"/>
  <c r="G28" i="2"/>
  <c r="F28" i="2"/>
  <c r="E28" i="2"/>
  <c r="D28" i="2"/>
  <c r="K27" i="2"/>
  <c r="H27" i="2"/>
  <c r="G27" i="2"/>
  <c r="F27" i="2"/>
  <c r="D27" i="2"/>
  <c r="K26" i="2"/>
  <c r="I26" i="2"/>
  <c r="H26" i="2"/>
  <c r="G26" i="2"/>
  <c r="F26" i="2"/>
  <c r="D26" i="2"/>
  <c r="K25" i="2"/>
  <c r="H25" i="2"/>
  <c r="G25" i="2"/>
  <c r="F25" i="2"/>
  <c r="D25" i="2"/>
  <c r="K24" i="2"/>
  <c r="I24" i="2"/>
  <c r="H24" i="2"/>
  <c r="G24" i="2"/>
  <c r="F24" i="2"/>
  <c r="E24" i="2"/>
  <c r="D24" i="2"/>
  <c r="K23" i="2"/>
  <c r="H23" i="2"/>
  <c r="G23" i="2"/>
  <c r="F23" i="2"/>
  <c r="I23" i="2" s="1"/>
  <c r="D23" i="2"/>
  <c r="K22" i="2"/>
  <c r="H22" i="2"/>
  <c r="G22" i="2"/>
  <c r="F22" i="2"/>
  <c r="I22" i="2" s="1"/>
  <c r="D22" i="2"/>
  <c r="K21" i="2"/>
  <c r="H21" i="2"/>
  <c r="G21" i="2"/>
  <c r="F21" i="2"/>
  <c r="I21" i="2" s="1"/>
  <c r="D21" i="2"/>
  <c r="K20" i="2"/>
  <c r="J20" i="2"/>
  <c r="I20" i="2"/>
  <c r="H20" i="2"/>
  <c r="G20" i="2"/>
  <c r="F20" i="2"/>
  <c r="E20" i="2"/>
  <c r="D20" i="2"/>
  <c r="K19" i="2"/>
  <c r="H19" i="2"/>
  <c r="G19" i="2"/>
  <c r="F19" i="2"/>
  <c r="D19" i="2"/>
  <c r="K18" i="2"/>
  <c r="I18" i="2"/>
  <c r="H18" i="2"/>
  <c r="G18" i="2"/>
  <c r="F18" i="2"/>
  <c r="D18" i="2"/>
  <c r="K17" i="2"/>
  <c r="H17" i="2"/>
  <c r="G17" i="2"/>
  <c r="I17" i="2" s="1"/>
  <c r="F17" i="2"/>
  <c r="D17" i="2"/>
  <c r="K16" i="2"/>
  <c r="I16" i="2"/>
  <c r="H16" i="2"/>
  <c r="G16" i="2"/>
  <c r="F16" i="2"/>
  <c r="E16" i="2"/>
  <c r="D16" i="2"/>
  <c r="K15" i="2"/>
  <c r="H15" i="2"/>
  <c r="G15" i="2"/>
  <c r="I15" i="2" s="1"/>
  <c r="F15" i="2"/>
  <c r="D15" i="2"/>
  <c r="K14" i="2"/>
  <c r="H14" i="2"/>
  <c r="G14" i="2"/>
  <c r="F14" i="2"/>
  <c r="I14" i="2" s="1"/>
  <c r="D14" i="2"/>
  <c r="K13" i="2"/>
  <c r="H13" i="2"/>
  <c r="G13" i="2"/>
  <c r="I13" i="2" s="1"/>
  <c r="F13" i="2"/>
  <c r="D13" i="2"/>
  <c r="K12" i="2"/>
  <c r="J12" i="2"/>
  <c r="I12" i="2"/>
  <c r="H12" i="2"/>
  <c r="G12" i="2"/>
  <c r="F12" i="2"/>
  <c r="E12" i="2"/>
  <c r="D12" i="2"/>
  <c r="K11" i="2"/>
  <c r="H11" i="2"/>
  <c r="G11" i="2"/>
  <c r="F11" i="2"/>
  <c r="D11" i="2"/>
  <c r="K10" i="2"/>
  <c r="I10" i="2"/>
  <c r="H10" i="2"/>
  <c r="G10" i="2"/>
  <c r="F10" i="2"/>
  <c r="D10" i="2"/>
  <c r="K9" i="2"/>
  <c r="H9" i="2"/>
  <c r="G9" i="2"/>
  <c r="F9" i="2"/>
  <c r="D9" i="2"/>
  <c r="K8" i="2"/>
  <c r="I8" i="2"/>
  <c r="H8" i="2"/>
  <c r="G8" i="2"/>
  <c r="F8" i="2"/>
  <c r="E8" i="2"/>
  <c r="D8" i="2"/>
  <c r="K7" i="2"/>
  <c r="H7" i="2"/>
  <c r="G7" i="2"/>
  <c r="F7" i="2"/>
  <c r="I7" i="2" s="1"/>
  <c r="D7" i="2"/>
  <c r="K6" i="2"/>
  <c r="H6" i="2"/>
  <c r="G6" i="2"/>
  <c r="F6" i="2"/>
  <c r="I6" i="2" s="1"/>
  <c r="D6" i="2"/>
  <c r="K5" i="2"/>
  <c r="H5" i="2"/>
  <c r="G5" i="2"/>
  <c r="F5" i="2"/>
  <c r="I5" i="2" s="1"/>
  <c r="D5" i="2"/>
  <c r="J3" i="2"/>
  <c r="C3" i="2"/>
  <c r="R32" i="1"/>
  <c r="P32" i="1"/>
  <c r="O32" i="1"/>
  <c r="L32" i="1"/>
  <c r="K32" i="1"/>
  <c r="J32" i="1"/>
  <c r="F32" i="1"/>
  <c r="E32" i="1"/>
  <c r="D32" i="1"/>
  <c r="Q31" i="1"/>
  <c r="J30" i="2" s="1"/>
  <c r="M31" i="1"/>
  <c r="H31" i="1"/>
  <c r="G31" i="1"/>
  <c r="N31" i="1" s="1"/>
  <c r="S31" i="1" s="1"/>
  <c r="L30" i="2" s="1"/>
  <c r="Q30" i="1"/>
  <c r="J29" i="2" s="1"/>
  <c r="M30" i="1"/>
  <c r="N30" i="1" s="1"/>
  <c r="S30" i="1" s="1"/>
  <c r="L29" i="2" s="1"/>
  <c r="H30" i="1"/>
  <c r="G30" i="1"/>
  <c r="E29" i="2" s="1"/>
  <c r="Q29" i="1"/>
  <c r="M29" i="1"/>
  <c r="H29" i="1"/>
  <c r="G29" i="1"/>
  <c r="N29" i="1" s="1"/>
  <c r="S29" i="1" s="1"/>
  <c r="L28" i="2" s="1"/>
  <c r="Q28" i="1"/>
  <c r="J27" i="2" s="1"/>
  <c r="M28" i="1"/>
  <c r="N28" i="1" s="1"/>
  <c r="S28" i="1" s="1"/>
  <c r="L27" i="2" s="1"/>
  <c r="H28" i="1"/>
  <c r="G28" i="1"/>
  <c r="E27" i="2" s="1"/>
  <c r="Q27" i="1"/>
  <c r="J26" i="2" s="1"/>
  <c r="M27" i="1"/>
  <c r="H27" i="1"/>
  <c r="G27" i="1"/>
  <c r="N27" i="1" s="1"/>
  <c r="S27" i="1" s="1"/>
  <c r="L26" i="2" s="1"/>
  <c r="Q26" i="1"/>
  <c r="J25" i="2" s="1"/>
  <c r="M26" i="1"/>
  <c r="N26" i="1" s="1"/>
  <c r="S26" i="1" s="1"/>
  <c r="L25" i="2" s="1"/>
  <c r="H26" i="1"/>
  <c r="G26" i="1"/>
  <c r="E25" i="2" s="1"/>
  <c r="Q25" i="1"/>
  <c r="J24" i="2" s="1"/>
  <c r="M25" i="1"/>
  <c r="H25" i="1"/>
  <c r="G25" i="1"/>
  <c r="N25" i="1" s="1"/>
  <c r="S25" i="1" s="1"/>
  <c r="L24" i="2" s="1"/>
  <c r="Q24" i="1"/>
  <c r="J23" i="2" s="1"/>
  <c r="M24" i="1"/>
  <c r="N24" i="1" s="1"/>
  <c r="S24" i="1" s="1"/>
  <c r="L23" i="2" s="1"/>
  <c r="H24" i="1"/>
  <c r="G24" i="1"/>
  <c r="E23" i="2" s="1"/>
  <c r="Q23" i="1"/>
  <c r="J22" i="2" s="1"/>
  <c r="M23" i="1"/>
  <c r="H23" i="1"/>
  <c r="G23" i="1"/>
  <c r="N23" i="1" s="1"/>
  <c r="S23" i="1" s="1"/>
  <c r="L22" i="2" s="1"/>
  <c r="Q22" i="1"/>
  <c r="J21" i="2" s="1"/>
  <c r="M22" i="1"/>
  <c r="N22" i="1" s="1"/>
  <c r="S22" i="1" s="1"/>
  <c r="L21" i="2" s="1"/>
  <c r="H22" i="1"/>
  <c r="G22" i="1"/>
  <c r="E21" i="2" s="1"/>
  <c r="Q21" i="1"/>
  <c r="M21" i="1"/>
  <c r="H21" i="1"/>
  <c r="G21" i="1"/>
  <c r="N21" i="1" s="1"/>
  <c r="S21" i="1" s="1"/>
  <c r="L20" i="2" s="1"/>
  <c r="Q20" i="1"/>
  <c r="J19" i="2" s="1"/>
  <c r="M20" i="1"/>
  <c r="N20" i="1" s="1"/>
  <c r="S20" i="1" s="1"/>
  <c r="L19" i="2" s="1"/>
  <c r="H20" i="1"/>
  <c r="G20" i="1"/>
  <c r="E19" i="2" s="1"/>
  <c r="Q19" i="1"/>
  <c r="J18" i="2" s="1"/>
  <c r="M19" i="1"/>
  <c r="H19" i="1"/>
  <c r="G19" i="1"/>
  <c r="N19" i="1" s="1"/>
  <c r="S19" i="1" s="1"/>
  <c r="L18" i="2" s="1"/>
  <c r="Q18" i="1"/>
  <c r="J17" i="2" s="1"/>
  <c r="M18" i="1"/>
  <c r="N18" i="1" s="1"/>
  <c r="S18" i="1" s="1"/>
  <c r="L17" i="2" s="1"/>
  <c r="H18" i="1"/>
  <c r="G18" i="1"/>
  <c r="E17" i="2" s="1"/>
  <c r="Q17" i="1"/>
  <c r="J16" i="2" s="1"/>
  <c r="M17" i="1"/>
  <c r="H17" i="1"/>
  <c r="G17" i="1"/>
  <c r="N17" i="1" s="1"/>
  <c r="S17" i="1" s="1"/>
  <c r="L16" i="2" s="1"/>
  <c r="Q16" i="1"/>
  <c r="J15" i="2" s="1"/>
  <c r="M16" i="1"/>
  <c r="N16" i="1" s="1"/>
  <c r="S16" i="1" s="1"/>
  <c r="L15" i="2" s="1"/>
  <c r="H16" i="1"/>
  <c r="G16" i="1"/>
  <c r="E15" i="2" s="1"/>
  <c r="Q15" i="1"/>
  <c r="J14" i="2" s="1"/>
  <c r="M15" i="1"/>
  <c r="H15" i="1"/>
  <c r="G15" i="1"/>
  <c r="N15" i="1" s="1"/>
  <c r="S15" i="1" s="1"/>
  <c r="L14" i="2" s="1"/>
  <c r="Q14" i="1"/>
  <c r="J13" i="2" s="1"/>
  <c r="M14" i="1"/>
  <c r="N14" i="1" s="1"/>
  <c r="S14" i="1" s="1"/>
  <c r="L13" i="2" s="1"/>
  <c r="H14" i="1"/>
  <c r="G14" i="1"/>
  <c r="E13" i="2" s="1"/>
  <c r="Q13" i="1"/>
  <c r="M13" i="1"/>
  <c r="H13" i="1"/>
  <c r="G13" i="1"/>
  <c r="N13" i="1" s="1"/>
  <c r="S13" i="1" s="1"/>
  <c r="L12" i="2" s="1"/>
  <c r="Q12" i="1"/>
  <c r="J11" i="2" s="1"/>
  <c r="M12" i="1"/>
  <c r="N12" i="1" s="1"/>
  <c r="S12" i="1" s="1"/>
  <c r="L11" i="2" s="1"/>
  <c r="H12" i="1"/>
  <c r="G12" i="1"/>
  <c r="E11" i="2" s="1"/>
  <c r="Q11" i="1"/>
  <c r="J10" i="2" s="1"/>
  <c r="M11" i="1"/>
  <c r="H11" i="1"/>
  <c r="G11" i="1"/>
  <c r="N11" i="1" s="1"/>
  <c r="S11" i="1" s="1"/>
  <c r="L10" i="2" s="1"/>
  <c r="Q10" i="1"/>
  <c r="J9" i="2" s="1"/>
  <c r="M10" i="1"/>
  <c r="N10" i="1" s="1"/>
  <c r="S10" i="1" s="1"/>
  <c r="L9" i="2" s="1"/>
  <c r="H10" i="1"/>
  <c r="G10" i="1"/>
  <c r="E9" i="2" s="1"/>
  <c r="Q9" i="1"/>
  <c r="J8" i="2" s="1"/>
  <c r="M9" i="1"/>
  <c r="H9" i="1"/>
  <c r="G9" i="1"/>
  <c r="N9" i="1" s="1"/>
  <c r="S9" i="1" s="1"/>
  <c r="L8" i="2" s="1"/>
  <c r="Q8" i="1"/>
  <c r="J7" i="2" s="1"/>
  <c r="M8" i="1"/>
  <c r="N8" i="1" s="1"/>
  <c r="S8" i="1" s="1"/>
  <c r="L7" i="2" s="1"/>
  <c r="H8" i="1"/>
  <c r="G8" i="1"/>
  <c r="E7" i="2" s="1"/>
  <c r="Q7" i="1"/>
  <c r="J6" i="2" s="1"/>
  <c r="M7" i="1"/>
  <c r="H7" i="1"/>
  <c r="G7" i="1"/>
  <c r="N7" i="1" s="1"/>
  <c r="S7" i="1" s="1"/>
  <c r="L6" i="2" s="1"/>
  <c r="Q6" i="1"/>
  <c r="J5" i="2" s="1"/>
  <c r="M6" i="1"/>
  <c r="H6" i="1"/>
  <c r="G6" i="1"/>
  <c r="E5" i="2" s="1"/>
  <c r="L5" i="1"/>
  <c r="K5" i="1"/>
  <c r="D4" i="1"/>
  <c r="O3" i="1"/>
  <c r="I3" i="1"/>
  <c r="C19" i="3"/>
  <c r="C18" i="3"/>
  <c r="E2" i="3"/>
  <c r="E1" i="3"/>
  <c r="H32" i="1" l="1"/>
  <c r="E10" i="2"/>
  <c r="E18" i="2"/>
  <c r="E26" i="2"/>
  <c r="M32" i="1"/>
  <c r="I11" i="2"/>
  <c r="I19" i="2"/>
  <c r="I27" i="2"/>
  <c r="N6" i="1"/>
  <c r="E6" i="2"/>
  <c r="I9" i="2"/>
  <c r="E14" i="2"/>
  <c r="E22" i="2"/>
  <c r="I25" i="2"/>
  <c r="E30" i="2"/>
  <c r="D72" i="4"/>
  <c r="B72" i="4" s="1"/>
  <c r="B1" i="2" s="1"/>
  <c r="F22" i="4"/>
  <c r="E19" i="4"/>
  <c r="G13" i="4"/>
  <c r="G72" i="4"/>
  <c r="E22" i="4"/>
  <c r="D19" i="4"/>
  <c r="B19" i="4" s="1"/>
  <c r="B1" i="1" s="1"/>
  <c r="F13" i="4"/>
  <c r="G19" i="4"/>
  <c r="G32" i="1"/>
  <c r="B12" i="4"/>
  <c r="B13" i="3" s="1"/>
  <c r="B16" i="4"/>
  <c r="C53" i="3" s="1"/>
  <c r="B20" i="4"/>
  <c r="B2" i="1" s="1"/>
  <c r="B24" i="4"/>
  <c r="F4" i="1" s="1"/>
  <c r="B28" i="4"/>
  <c r="F5" i="1" s="1"/>
  <c r="B32" i="4"/>
  <c r="J3" i="1" s="1"/>
  <c r="B36" i="4"/>
  <c r="M5" i="1" s="1"/>
  <c r="B40" i="4"/>
  <c r="P5" i="1" s="1"/>
  <c r="B44" i="4"/>
  <c r="B32" i="1" s="1"/>
  <c r="B48" i="4"/>
  <c r="B7" i="2" s="1"/>
  <c r="B52" i="4"/>
  <c r="B11" i="2" s="1"/>
  <c r="B56" i="4"/>
  <c r="B15" i="2" s="1"/>
  <c r="B60" i="4"/>
  <c r="B19" i="2" s="1"/>
  <c r="B64" i="4"/>
  <c r="B23" i="2" s="1"/>
  <c r="B68" i="4"/>
  <c r="B27" i="2" s="1"/>
  <c r="B76" i="4"/>
  <c r="E3" i="2" s="1"/>
  <c r="B80" i="4"/>
  <c r="H4" i="2" s="1"/>
  <c r="B84" i="4"/>
  <c r="L3" i="2" s="1"/>
  <c r="Q32" i="1"/>
  <c r="B13" i="4"/>
  <c r="B14" i="3" s="1"/>
  <c r="B17" i="4"/>
  <c r="C54" i="3" s="1"/>
  <c r="B21" i="4"/>
  <c r="D3" i="1" s="1"/>
  <c r="B25" i="4"/>
  <c r="G4" i="1" s="1"/>
  <c r="B29" i="4"/>
  <c r="G5" i="1" s="1"/>
  <c r="B33" i="4"/>
  <c r="J5" i="1" s="1"/>
  <c r="B37" i="4"/>
  <c r="N3" i="1" s="1"/>
  <c r="B41" i="4"/>
  <c r="Q5" i="1" s="1"/>
  <c r="B45" i="4"/>
  <c r="B33" i="1" s="1"/>
  <c r="B49" i="4"/>
  <c r="B8" i="2" s="1"/>
  <c r="B53" i="4"/>
  <c r="B12" i="2" s="1"/>
  <c r="B57" i="4"/>
  <c r="B16" i="2" s="1"/>
  <c r="B61" i="4"/>
  <c r="B20" i="2" s="1"/>
  <c r="B65" i="4"/>
  <c r="B24" i="2" s="1"/>
  <c r="B69" i="4"/>
  <c r="B28" i="2" s="1"/>
  <c r="B73" i="4"/>
  <c r="B2" i="2" s="1"/>
  <c r="B77" i="4"/>
  <c r="F3" i="2" s="1"/>
  <c r="B81" i="4"/>
  <c r="I4" i="2" s="1"/>
  <c r="S6" i="1" l="1"/>
  <c r="N32" i="1"/>
  <c r="L5" i="2" l="1"/>
  <c r="S32" i="1"/>
</calcChain>
</file>

<file path=xl/sharedStrings.xml><?xml version="1.0" encoding="utf-8"?>
<sst xmlns="http://schemas.openxmlformats.org/spreadsheetml/2006/main" count="486" uniqueCount="246">
  <si>
    <t>in CHF 1'000; (+) Belastung Kanton; (-) Entlastung Kanton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</si>
  <si>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</si>
  <si>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</si>
  <si>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</si>
  <si>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</si>
  <si>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</si>
  <si>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</si>
  <si>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</si>
  <si>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</si>
  <si>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</si>
  <si>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</si>
  <si>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</si>
  <si>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</si>
  <si>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</si>
  <si>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</si>
  <si>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</si>
  <si>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</si>
  <si>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</si>
  <si>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</si>
  <si>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</si>
  <si>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</si>
  <si>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</si>
  <si>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</si>
  <si>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</si>
  <si>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</si>
  <si>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</si>
  <si>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</si>
  <si>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</si>
  <si>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</si>
  <si>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</si>
  <si>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</si>
  <si>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</si>
  <si>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</si>
  <si>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</si>
  <si>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</si>
  <si>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</si>
  <si>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</si>
  <si>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</si>
  <si>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</si>
  <si>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</si>
  <si>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</si>
  <si>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</si>
  <si>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</si>
  <si>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</si>
  <si>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</si>
  <si>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</si>
  <si>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</si>
  <si>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</si>
  <si>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</si>
  <si>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</si>
  <si>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</si>
  <si>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</si>
  <si>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</si>
  <si>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</si>
  <si>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</si>
  <si>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</si>
  <si>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</si>
  <si>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</si>
  <si>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</si>
  <si>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</si>
  <si>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</si>
  <si>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</si>
  <si>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</si>
  <si>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</si>
  <si>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</si>
  <si>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</si>
  <si>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t>
  </si>
  <si>
    <t>RI</t>
  </si>
  <si>
    <t>RI = Ressourcenindex; GLA = Geografisch-topografischer Lastenausgleich; 
SLA = Soziodemografischer Lastenausgleich; A-C = Bereiche Armut, Alter, Ausländerintegration; F = Kernstadtproblematik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</si>
  <si>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</si>
  <si>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</si>
  <si>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</si>
  <si>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</si>
  <si>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</si>
  <si>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</si>
  <si>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</si>
  <si>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</si>
  <si>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</si>
  <si>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</si>
  <si>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Total
PR + CC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</si>
  <si>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</si>
  <si>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</si>
  <si>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</si>
  <si>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</si>
  <si>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</si>
  <si>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</si>
  <si>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</si>
  <si>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</si>
  <si>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</si>
  <si>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</si>
  <si>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</si>
  <si>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</si>
  <si>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</si>
  <si>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</si>
  <si>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</si>
  <si>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</si>
  <si>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</si>
  <si>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</si>
  <si>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</si>
  <si>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</si>
  <si>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</si>
  <si>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</si>
  <si>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</si>
  <si>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</si>
  <si>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</si>
  <si>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</si>
  <si>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</si>
  <si>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</si>
  <si>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</si>
  <si>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</si>
  <si>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</si>
  <si>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</si>
  <si>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</si>
  <si>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</si>
  <si>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</si>
  <si>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</si>
  <si>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</si>
  <si>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</si>
  <si>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</si>
  <si>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TOTAL_1</t>
  </si>
  <si>
    <t>TOTAL_2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</si>
  <si>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</si>
  <si>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</si>
  <si>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</si>
  <si>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</si>
  <si>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</si>
  <si>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</si>
  <si>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</si>
  <si>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</si>
  <si>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</si>
  <si>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</si>
  <si>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</si>
  <si>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</si>
  <si>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Inpayment</t>
  </si>
  <si>
    <t>Outpayment</t>
  </si>
  <si>
    <t>Vertical</t>
  </si>
  <si>
    <t>GCC</t>
  </si>
  <si>
    <t>SCC A-C</t>
  </si>
  <si>
    <t>SCC F</t>
  </si>
  <si>
    <t>Total
RE + CC</t>
  </si>
  <si>
    <t>Cohesion fund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</si>
  <si>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</si>
  <si>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</si>
  <si>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</si>
  <si>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</si>
  <si>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</si>
  <si>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</si>
  <si>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</si>
  <si>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</si>
  <si>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</si>
  <si>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</si>
  <si>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</si>
  <si>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Horizontale</t>
  </si>
  <si>
    <t>Verticale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</si>
  <si>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</si>
  <si>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</si>
  <si>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</si>
  <si>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</si>
  <si>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</si>
  <si>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</si>
  <si>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</si>
  <si>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</si>
  <si>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</si>
  <si>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Contributo</t>
  </si>
  <si>
    <t>Versamento</t>
  </si>
  <si>
    <t>Compensazione degli oneri</t>
  </si>
  <si>
    <t>PAG</t>
  </si>
  <si>
    <t>PAS A-C</t>
  </si>
  <si>
    <t>PAS F</t>
  </si>
  <si>
    <t>Svizzera</t>
  </si>
  <si>
    <t>IR = indice delle risorse; PR = perequazione delle risorse; GFS = gettito fiscale standardizzato; COn = compensazione degli oneri; PAG = perequazione dell’aggravio geotopografico; 
PAS = perequazione dell’aggravio sociodemografico; A-C = ambiti povertà, struttura di età e integrazione degli stranieri; F = problematica delle città polo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</si>
  <si>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</si>
  <si>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</si>
  <si>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</si>
  <si>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</si>
  <si>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</si>
  <si>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</si>
  <si>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</si>
  <si>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</si>
  <si>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</si>
  <si>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</si>
  <si>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</si>
  <si>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</si>
  <si>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</si>
  <si>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</si>
  <si>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</si>
  <si>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</si>
  <si>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</si>
  <si>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</si>
  <si>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</si>
  <si>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</si>
  <si>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</si>
  <si>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</si>
  <si>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</si>
  <si>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</si>
  <si>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</si>
  <si>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Einz. - Ausz.</t>
  </si>
  <si>
    <t>Massgebende
Wohnbevölkerung</t>
  </si>
  <si>
    <t>Ressourcen-
ausgleich</t>
  </si>
  <si>
    <t>Härte-
ausgleich</t>
  </si>
  <si>
    <t>Compensazione
dei casi di rigore</t>
  </si>
  <si>
    <t>in 1000 CHF; (+) Aggravio per il Cantone ; (-) Sgravio per il Cantone</t>
  </si>
  <si>
    <t>in CHF; (+) Aggravio per il Cantone ; (-) Sgravio per il Cantone</t>
  </si>
  <si>
    <t>Montant
versé</t>
  </si>
  <si>
    <t>Montant
reçu</t>
  </si>
  <si>
    <t>Montants
versés et
reçus</t>
  </si>
  <si>
    <t>Montants
reçus</t>
  </si>
  <si>
    <t>Indice
RFS
après
PR</t>
  </si>
  <si>
    <t>Population
résidante
déterminante</t>
  </si>
  <si>
    <t>Péréquation
des
ressources</t>
  </si>
  <si>
    <t>Compensation
des cas de
rigueur</t>
  </si>
  <si>
    <t>Contr. -
Vers.</t>
  </si>
  <si>
    <t>Indice
GFS
dopo
PR</t>
  </si>
  <si>
    <t>Popolazione
residente
determinante</t>
  </si>
  <si>
    <t>Perequazione
delle risorse</t>
  </si>
  <si>
    <t>Compensazione
dei casi di
rigore</t>
  </si>
  <si>
    <t>IR = indice delle risorse; PAG = perequazione dell’aggravio geotopografico; 
PAS = perequazione dell’aggravio sociodemografico; A-C = ambiti povertà, struttura di età e integrazione degli stranieri;
F = problematica delle città polo</t>
  </si>
  <si>
    <t>Inpayment -
outpayment</t>
  </si>
  <si>
    <t>STR
index
after
RE</t>
  </si>
  <si>
    <t>Relevant
resident
population</t>
  </si>
  <si>
    <t>Resource
equalization</t>
  </si>
  <si>
    <t>Cohesion
fund</t>
  </si>
  <si>
    <t xml:space="preserve">RI = resource index; GCC = geographical/topographic cost compensation;
SCC = socio-demographic cost compensation; A-C = areas poverty, age, immigrant integration; F = core city issues
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</si>
  <si>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</si>
  <si>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</si>
  <si>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</si>
  <si>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</si>
  <si>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</si>
  <si>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</si>
  <si>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</si>
  <si>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</si>
  <si>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</si>
  <si>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Compensation des
cas de rigueur</t>
  </si>
  <si>
    <t>Abfede-
rungs-
mass-
nahmen</t>
  </si>
  <si>
    <t xml:space="preserve">Mesures
d’atténu-
ation </t>
  </si>
  <si>
    <t>Abfederungs-
massnahmen</t>
  </si>
  <si>
    <t xml:space="preserve">Mesures
d’atténuation </t>
  </si>
  <si>
    <t>Mitigating
measures</t>
  </si>
  <si>
    <t>Totale
PR + COn</t>
  </si>
  <si>
    <t>IR = indice des ressources; CCG = compensation des charges excessives dues à des facteurs géo-topographiques; 
CCS = compensation des charges excessives dues à des facteurs socio-démographiques; 
A-C = domaines pauvreté, vieillesse, intégration des étrangers; F = problématique des villes-centres</t>
  </si>
  <si>
    <t>IR = indice des ressources; PR = péréquation des ressources; RFS = recettes fiscales standardisées; CC = compensation des charges excessives; 
CCG = compensation des charges excessives dues à des facteurs géo-topographiques; CCS = compensation des charges excessives dues à des facteurs socio-démographiques; 
A-C = domaines pauvreté, vieillesse, intégration des étrangers; F = problématique des villes-centres</t>
  </si>
  <si>
    <t xml:space="preserve">RI = resource index; RE = resource equalization; STR = standardized tax revenue; CC = cost compensation; GCC = geographical/topographic cost compensation; 
SCC = socio-demographic cost compensation; A-C = areas poverty, age, immigrant integration; F = core city issues
</t>
  </si>
  <si>
    <t>Misure di attenua-
zione</t>
  </si>
  <si>
    <t>Misure di
attenuazione</t>
  </si>
  <si>
    <t>05.05.2021</t>
  </si>
  <si>
    <t>FA2022-21125091233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</si>
</sst>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_ ;0_ ;@_ "/>
    <numFmt numFmtId="165" formatCode="0.0_ ;\-0.0_ ;0.0_ ;@_ "/>
  </numFmts>
  <fonts count="16" x14ac:knownFonts="1">
    <font>
      <sz val="1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9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5" fontId="10" fillId="0" borderId="4" xfId="0" applyNumberFormat="1" applyFont="1" applyBorder="1" applyAlignment="1">
      <alignment vertical="center"/>
    </xf>
    <xf numFmtId="165" fontId="11" fillId="0" borderId="18" xfId="0" applyNumberFormat="1" applyFont="1" applyBorder="1" applyAlignment="1">
      <alignment vertical="center"/>
    </xf>
    <xf numFmtId="165" fontId="10" fillId="0" borderId="18" xfId="0" applyNumberFormat="1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64" fontId="9" fillId="0" borderId="10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/>
    </xf>
    <xf numFmtId="0" fontId="10" fillId="0" borderId="0" xfId="0" applyFont="1"/>
    <xf numFmtId="164" fontId="1" fillId="0" borderId="19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vertical="center"/>
    </xf>
    <xf numFmtId="164" fontId="1" fillId="3" borderId="22" xfId="0" applyNumberFormat="1" applyFont="1" applyFill="1" applyBorder="1" applyAlignment="1">
      <alignment vertical="center"/>
    </xf>
    <xf numFmtId="164" fontId="1" fillId="3" borderId="19" xfId="0" applyNumberFormat="1" applyFont="1" applyFill="1" applyBorder="1" applyAlignment="1">
      <alignment vertical="center"/>
    </xf>
    <xf numFmtId="164" fontId="6" fillId="3" borderId="19" xfId="0" applyNumberFormat="1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vertical="center"/>
    </xf>
    <xf numFmtId="164" fontId="9" fillId="3" borderId="1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 indent="1"/>
    </xf>
    <xf numFmtId="164" fontId="6" fillId="0" borderId="22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9" fillId="0" borderId="10" xfId="0" applyNumberFormat="1" applyFont="1" applyBorder="1" applyAlignment="1">
      <alignment horizontal="right" vertical="center" indent="1"/>
    </xf>
    <xf numFmtId="164" fontId="10" fillId="0" borderId="4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164" fontId="10" fillId="3" borderId="4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right" vertical="center" indent="1"/>
    </xf>
    <xf numFmtId="164" fontId="6" fillId="3" borderId="22" xfId="0" applyNumberFormat="1" applyFont="1" applyFill="1" applyBorder="1" applyAlignment="1">
      <alignment horizontal="right" vertical="center" indent="1"/>
    </xf>
    <xf numFmtId="164" fontId="6" fillId="3" borderId="19" xfId="0" applyNumberFormat="1" applyFont="1" applyFill="1" applyBorder="1" applyAlignment="1">
      <alignment horizontal="right" vertical="center" indent="1"/>
    </xf>
    <xf numFmtId="164" fontId="6" fillId="3" borderId="10" xfId="0" applyNumberFormat="1" applyFont="1" applyFill="1" applyBorder="1" applyAlignment="1">
      <alignment horizontal="right" vertical="center" indent="1"/>
    </xf>
    <xf numFmtId="164" fontId="9" fillId="3" borderId="10" xfId="0" applyNumberFormat="1" applyFont="1" applyFill="1" applyBorder="1" applyAlignment="1">
      <alignment horizontal="right" vertical="center" indent="1"/>
    </xf>
    <xf numFmtId="0" fontId="6" fillId="3" borderId="5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/>
    </xf>
    <xf numFmtId="164" fontId="6" fillId="3" borderId="5" xfId="0" applyNumberFormat="1" applyFont="1" applyFill="1" applyBorder="1" applyAlignment="1">
      <alignment horizontal="right" vertical="center" indent="1"/>
    </xf>
    <xf numFmtId="164" fontId="6" fillId="3" borderId="20" xfId="0" applyNumberFormat="1" applyFont="1" applyFill="1" applyBorder="1" applyAlignment="1">
      <alignment horizontal="right" vertical="center" indent="1"/>
    </xf>
    <xf numFmtId="164" fontId="6" fillId="3" borderId="21" xfId="0" applyNumberFormat="1" applyFont="1" applyFill="1" applyBorder="1" applyAlignment="1">
      <alignment horizontal="right" vertical="center" indent="1"/>
    </xf>
    <xf numFmtId="164" fontId="6" fillId="3" borderId="11" xfId="0" applyNumberFormat="1" applyFont="1" applyFill="1" applyBorder="1" applyAlignment="1">
      <alignment horizontal="right" vertical="center" indent="1"/>
    </xf>
    <xf numFmtId="164" fontId="9" fillId="3" borderId="11" xfId="0" applyNumberFormat="1" applyFont="1" applyFill="1" applyBorder="1" applyAlignment="1">
      <alignment horizontal="right" vertical="center" inden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5" borderId="18" xfId="0" applyFont="1" applyFill="1" applyBorder="1"/>
    <xf numFmtId="0" fontId="14" fillId="0" borderId="0" xfId="0" applyFont="1"/>
    <xf numFmtId="0" fontId="3" fillId="5" borderId="3" xfId="0" applyFont="1" applyFill="1" applyBorder="1"/>
    <xf numFmtId="0" fontId="3" fillId="6" borderId="18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5" borderId="4" xfId="0" applyFont="1" applyFill="1" applyBorder="1"/>
    <xf numFmtId="0" fontId="4" fillId="5" borderId="18" xfId="0" applyFont="1" applyFill="1" applyBorder="1" applyAlignment="1">
      <alignment horizontal="left"/>
    </xf>
    <xf numFmtId="0" fontId="3" fillId="5" borderId="5" xfId="0" applyFont="1" applyFill="1" applyBorder="1"/>
    <xf numFmtId="1" fontId="3" fillId="4" borderId="18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5"/>
  <sheetViews>
    <sheetView showGridLines="0" showRowColHeaders="0" tabSelected="1" zoomScaleNormal="100" workbookViewId="0">
      <selection activeCell="A75" sqref="A75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2" t="str">
        <f>DFIE!$B$10</f>
        <v>Eidgenössisches Finanzdepartement EFD</v>
      </c>
    </row>
    <row r="2" spans="2:5" x14ac:dyDescent="0.2">
      <c r="E2" s="3" t="str">
        <f>DFIE!$B$11</f>
        <v>Eidgenössische Finanzverwaltung EFV</v>
      </c>
    </row>
    <row r="7" spans="2:5" x14ac:dyDescent="0.2">
      <c r="B7" s="9" t="s">
        <v>104</v>
      </c>
    </row>
    <row r="8" spans="2:5" x14ac:dyDescent="0.2">
      <c r="B8" s="9" t="s">
        <v>105</v>
      </c>
    </row>
    <row r="9" spans="2:5" x14ac:dyDescent="0.2">
      <c r="B9" s="9" t="s">
        <v>106</v>
      </c>
    </row>
    <row r="10" spans="2:5" x14ac:dyDescent="0.2">
      <c r="B10" s="9" t="s">
        <v>107</v>
      </c>
    </row>
    <row r="13" spans="2:5" ht="21" customHeight="1" x14ac:dyDescent="0.25">
      <c r="B13" s="1" t="str">
        <f>DFIE!B12</f>
        <v>Finanzausgleich zwischen Bund und Kantonen</v>
      </c>
    </row>
    <row r="14" spans="2:5" ht="21" customHeight="1" x14ac:dyDescent="0.25">
      <c r="B14" s="1" t="str">
        <f>DFIE!B13</f>
        <v>Zahlungen 2022</v>
      </c>
    </row>
    <row r="18" spans="2:5" ht="20.25" customHeight="1" x14ac:dyDescent="0.2">
      <c r="B18" s="10" t="s">
        <v>119</v>
      </c>
      <c r="C18" s="97" t="str">
        <f>DFIE!B14</f>
        <v>Zahlungen in 1000 CHF</v>
      </c>
      <c r="D18" s="97"/>
      <c r="E18" s="97"/>
    </row>
    <row r="19" spans="2:5" ht="20.25" customHeight="1" x14ac:dyDescent="0.2">
      <c r="B19" s="10" t="s">
        <v>120</v>
      </c>
      <c r="C19" s="97" t="str">
        <f>DFIE!B15</f>
        <v>Zahlungen in Franken pro Einwohner</v>
      </c>
      <c r="D19" s="97"/>
      <c r="E19" s="97"/>
    </row>
    <row r="51" spans="2:5" x14ac:dyDescent="0.2">
      <c r="B51" s="8"/>
      <c r="C51" s="8"/>
      <c r="D51" s="8"/>
      <c r="E51" s="8"/>
    </row>
    <row r="53" spans="2:5" x14ac:dyDescent="0.2">
      <c r="B53" s="4"/>
      <c r="C53" s="4" t="str">
        <f>DFIE!$B$16</f>
        <v>Referenzjahr</v>
      </c>
      <c r="D53" s="5">
        <v>2022</v>
      </c>
    </row>
    <row r="54" spans="2:5" x14ac:dyDescent="0.2">
      <c r="B54" s="4"/>
      <c r="C54" s="4" t="str">
        <f>DFIE!$B$17</f>
        <v>Berechnungsdatum</v>
      </c>
      <c r="D54" s="6" t="s">
        <v>244</v>
      </c>
    </row>
    <row r="55" spans="2:5" x14ac:dyDescent="0.2">
      <c r="B55" s="4"/>
      <c r="C55" s="4" t="str">
        <f>DFIE!$B$18</f>
        <v>Berechnungs-ID</v>
      </c>
      <c r="D55" s="7" t="s">
        <v>245</v>
      </c>
    </row>
  </sheetData>
  <mergeCells count="2">
    <mergeCell ref="C18:E18"/>
    <mergeCell ref="C19:E19"/>
  </mergeCells>
  <conditionalFormatting sqref="D53:D55">
    <cfRule type="expression" dxfId="5" priority="1" stopIfTrue="1">
      <formula>ISBLANK(D53)</formula>
    </cfRule>
  </conditionalFormatting>
  <hyperlinks>
    <hyperlink ref="B18" location="TOTAL_1!A1" display="TOTAL_1"/>
    <hyperlink ref="B19" location="TOTAL_2!A1" display="TOTAL_2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0.7109375" customWidth="1"/>
    <col min="3" max="3" width="7.140625" customWidth="1"/>
    <col min="4" max="8" width="10.7109375" customWidth="1"/>
    <col min="9" max="9" width="7.140625" customWidth="1"/>
    <col min="10" max="13" width="10.140625" customWidth="1"/>
    <col min="14" max="14" width="10.5703125" customWidth="1"/>
    <col min="15" max="16" width="10.7109375" customWidth="1"/>
    <col min="17" max="17" width="10.28515625" customWidth="1"/>
    <col min="18" max="19" width="10.5703125" customWidth="1"/>
  </cols>
  <sheetData>
    <row r="1" spans="1:20" ht="18" customHeight="1" x14ac:dyDescent="0.25">
      <c r="B1" s="101" t="str">
        <f>DFIE!B19</f>
        <v>Zahlungen 2022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"/>
    </row>
    <row r="2" spans="1:20" ht="22.5" customHeight="1" x14ac:dyDescent="0.2">
      <c r="B2" s="43" t="str">
        <f>DFIE!B20</f>
        <v>in CHF 1'000; (+) Belastung Kanton; (-) Entlastung Kanton</v>
      </c>
    </row>
    <row r="3" spans="1:20" ht="15.75" customHeight="1" x14ac:dyDescent="0.2">
      <c r="A3" s="24"/>
      <c r="B3" s="11"/>
      <c r="C3" s="103" t="str">
        <f>DFIE!B22</f>
        <v>RI 2022</v>
      </c>
      <c r="D3" s="98" t="str">
        <f>DFIE!B21</f>
        <v>Ressourcenausgleich</v>
      </c>
      <c r="E3" s="99"/>
      <c r="F3" s="99"/>
      <c r="G3" s="99"/>
      <c r="H3" s="100"/>
      <c r="I3" s="103" t="str">
        <f>DFIE!B31</f>
        <v>Index
SSE
nach
RA</v>
      </c>
      <c r="J3" s="115" t="str">
        <f>DFIE!B32</f>
        <v>Lastenausgleich</v>
      </c>
      <c r="K3" s="116"/>
      <c r="L3" s="116"/>
      <c r="M3" s="108"/>
      <c r="N3" s="106" t="str">
        <f>DFIE!B37</f>
        <v>Total
RA + LA</v>
      </c>
      <c r="O3" s="115" t="str">
        <f>DFIE!B38</f>
        <v>Härteausgleich</v>
      </c>
      <c r="P3" s="116"/>
      <c r="Q3" s="108"/>
      <c r="R3" s="106" t="str">
        <f>DFIE!$B$42</f>
        <v>Abfede-
rungs-
mass-
nahmen</v>
      </c>
      <c r="S3" s="108" t="str">
        <f>DFIE!B43</f>
        <v>Total</v>
      </c>
    </row>
    <row r="4" spans="1:20" ht="15.75" customHeight="1" x14ac:dyDescent="0.2">
      <c r="A4" s="24"/>
      <c r="B4" s="16"/>
      <c r="C4" s="104"/>
      <c r="D4" s="113" t="str">
        <f>DFIE!B23</f>
        <v>horizontal</v>
      </c>
      <c r="E4" s="114"/>
      <c r="F4" s="23" t="str">
        <f>DFIE!B24</f>
        <v>vertikal</v>
      </c>
      <c r="G4" s="111" t="str">
        <f>DFIE!B25</f>
        <v>Total</v>
      </c>
      <c r="H4" s="112"/>
      <c r="I4" s="104"/>
      <c r="J4" s="117"/>
      <c r="K4" s="118"/>
      <c r="L4" s="118"/>
      <c r="M4" s="119"/>
      <c r="N4" s="107"/>
      <c r="O4" s="117"/>
      <c r="P4" s="118"/>
      <c r="Q4" s="119"/>
      <c r="R4" s="107"/>
      <c r="S4" s="109"/>
    </row>
    <row r="5" spans="1:20" ht="42" customHeight="1" x14ac:dyDescent="0.2">
      <c r="A5" s="34"/>
      <c r="B5" s="17"/>
      <c r="C5" s="105"/>
      <c r="D5" s="22" t="str">
        <f>DFIE!B26</f>
        <v>Einzahlung</v>
      </c>
      <c r="E5" s="23" t="str">
        <f>DFIE!B27</f>
        <v>Auszahlung</v>
      </c>
      <c r="F5" s="23" t="str">
        <f>DFIE!B28</f>
        <v>Auszahlung</v>
      </c>
      <c r="G5" s="23" t="str">
        <f>DFIE!B29</f>
        <v>Einz. - Ausz.</v>
      </c>
      <c r="H5" s="20" t="str">
        <f>DFIE!B30</f>
        <v>Auszahlung</v>
      </c>
      <c r="I5" s="105"/>
      <c r="J5" s="40" t="str">
        <f>DFIE!B33</f>
        <v>GLA</v>
      </c>
      <c r="K5" s="41" t="str">
        <f>DFIE!B34</f>
        <v>SLA A-C</v>
      </c>
      <c r="L5" s="41" t="str">
        <f>DFIE!B35</f>
        <v>SLA F</v>
      </c>
      <c r="M5" s="20" t="str">
        <f>DFIE!B36</f>
        <v>Total</v>
      </c>
      <c r="N5" s="105"/>
      <c r="O5" s="22" t="str">
        <f>DFIE!B39</f>
        <v>Einzahlung</v>
      </c>
      <c r="P5" s="23" t="str">
        <f>DFIE!B40</f>
        <v>Auszahlung</v>
      </c>
      <c r="Q5" s="20" t="str">
        <f>DFIE!B41</f>
        <v>Total</v>
      </c>
      <c r="R5" s="105"/>
      <c r="S5" s="110"/>
    </row>
    <row r="6" spans="1:20" ht="15" customHeight="1" x14ac:dyDescent="0.2">
      <c r="B6" s="19" t="s">
        <v>11</v>
      </c>
      <c r="C6" s="25">
        <v>123.31896172677099</v>
      </c>
      <c r="D6" s="42">
        <v>588685.51</v>
      </c>
      <c r="E6" s="44">
        <v>0</v>
      </c>
      <c r="F6" s="44">
        <v>0</v>
      </c>
      <c r="G6" s="28">
        <f t="shared" ref="G6:G31" si="0">SUM(D6:F6)</f>
        <v>588685.51</v>
      </c>
      <c r="H6" s="29">
        <f t="shared" ref="H6:H31" si="1">SUM(E6:F6)</f>
        <v>0</v>
      </c>
      <c r="I6" s="25">
        <v>119.1</v>
      </c>
      <c r="J6" s="42">
        <v>0</v>
      </c>
      <c r="K6" s="44">
        <v>-15494.523999999999</v>
      </c>
      <c r="L6" s="44">
        <v>-93506.942999999999</v>
      </c>
      <c r="M6" s="29">
        <f t="shared" ref="M6:M31" si="2">SUM(J6:L6)</f>
        <v>-109001.467</v>
      </c>
      <c r="N6" s="33">
        <f>SUM(G6,M6)</f>
        <v>479684.04300000001</v>
      </c>
      <c r="O6" s="42">
        <v>12816.983</v>
      </c>
      <c r="P6" s="44">
        <v>0</v>
      </c>
      <c r="Q6" s="29">
        <f t="shared" ref="Q6:Q31" si="3">O6+P6</f>
        <v>12816.983</v>
      </c>
      <c r="R6" s="12">
        <v>0</v>
      </c>
      <c r="S6" s="35">
        <f>SUM(N6,Q6,R6)</f>
        <v>492501.02600000001</v>
      </c>
    </row>
    <row r="7" spans="1:20" ht="15" customHeight="1" x14ac:dyDescent="0.2">
      <c r="B7" s="45" t="s">
        <v>12</v>
      </c>
      <c r="C7" s="46">
        <v>79.534421061562199</v>
      </c>
      <c r="D7" s="47">
        <v>0</v>
      </c>
      <c r="E7" s="48">
        <v>-337404.05</v>
      </c>
      <c r="F7" s="48">
        <v>-506106.07500000001</v>
      </c>
      <c r="G7" s="49">
        <f t="shared" si="0"/>
        <v>-843510.125</v>
      </c>
      <c r="H7" s="50">
        <f t="shared" si="1"/>
        <v>-843510.125</v>
      </c>
      <c r="I7" s="46">
        <v>88.4</v>
      </c>
      <c r="J7" s="47">
        <v>-28123.677</v>
      </c>
      <c r="K7" s="48">
        <v>0</v>
      </c>
      <c r="L7" s="48">
        <v>0</v>
      </c>
      <c r="M7" s="50">
        <f t="shared" si="2"/>
        <v>-28123.677</v>
      </c>
      <c r="N7" s="51">
        <f t="shared" ref="N7:N31" si="4">SUM(G7,M7)</f>
        <v>-871633.80200000003</v>
      </c>
      <c r="O7" s="47">
        <v>10000.475</v>
      </c>
      <c r="P7" s="48">
        <v>-33887.529000000002</v>
      </c>
      <c r="Q7" s="50">
        <f t="shared" si="3"/>
        <v>-23887.054000000004</v>
      </c>
      <c r="R7" s="13">
        <v>-40074.722999999998</v>
      </c>
      <c r="S7" s="52">
        <f t="shared" ref="S7:S31" si="5">SUM(N7,Q7,R7)</f>
        <v>-935595.57900000003</v>
      </c>
    </row>
    <row r="8" spans="1:20" ht="15" customHeight="1" x14ac:dyDescent="0.2">
      <c r="B8" s="19" t="s">
        <v>13</v>
      </c>
      <c r="C8" s="25">
        <v>91.312550125162701</v>
      </c>
      <c r="D8" s="42">
        <v>0</v>
      </c>
      <c r="E8" s="44">
        <v>-32728.475999999999</v>
      </c>
      <c r="F8" s="44">
        <v>-49092.714</v>
      </c>
      <c r="G8" s="28">
        <f t="shared" si="0"/>
        <v>-81821.19</v>
      </c>
      <c r="H8" s="29">
        <f t="shared" si="1"/>
        <v>-81821.19</v>
      </c>
      <c r="I8" s="25">
        <v>93.5</v>
      </c>
      <c r="J8" s="42">
        <v>-6007.5190000000002</v>
      </c>
      <c r="K8" s="44">
        <v>0</v>
      </c>
      <c r="L8" s="44">
        <v>0</v>
      </c>
      <c r="M8" s="29">
        <f t="shared" si="2"/>
        <v>-6007.5190000000002</v>
      </c>
      <c r="N8" s="33">
        <f t="shared" si="4"/>
        <v>-87828.709000000003</v>
      </c>
      <c r="O8" s="42">
        <v>3625.94</v>
      </c>
      <c r="P8" s="44">
        <v>-15399.844999999999</v>
      </c>
      <c r="Q8" s="29">
        <f t="shared" si="3"/>
        <v>-11773.904999999999</v>
      </c>
      <c r="R8" s="14">
        <v>-15797.518</v>
      </c>
      <c r="S8" s="35">
        <f t="shared" si="5"/>
        <v>-115400.132</v>
      </c>
    </row>
    <row r="9" spans="1:20" ht="15" customHeight="1" x14ac:dyDescent="0.2">
      <c r="B9" s="45" t="s">
        <v>14</v>
      </c>
      <c r="C9" s="46">
        <v>71.782979736886205</v>
      </c>
      <c r="D9" s="47">
        <v>0</v>
      </c>
      <c r="E9" s="48">
        <v>-20204.219000000001</v>
      </c>
      <c r="F9" s="48">
        <v>-30306.329000000002</v>
      </c>
      <c r="G9" s="49">
        <f t="shared" si="0"/>
        <v>-50510.548000000003</v>
      </c>
      <c r="H9" s="50">
        <f t="shared" si="1"/>
        <v>-50510.548000000003</v>
      </c>
      <c r="I9" s="46">
        <v>86.7</v>
      </c>
      <c r="J9" s="47">
        <v>-11496.308999999999</v>
      </c>
      <c r="K9" s="48">
        <v>0</v>
      </c>
      <c r="L9" s="48">
        <v>0</v>
      </c>
      <c r="M9" s="50">
        <f t="shared" si="2"/>
        <v>-11496.308999999999</v>
      </c>
      <c r="N9" s="51">
        <f t="shared" si="4"/>
        <v>-62006.857000000004</v>
      </c>
      <c r="O9" s="47">
        <v>363.47300000000001</v>
      </c>
      <c r="P9" s="48">
        <v>0</v>
      </c>
      <c r="Q9" s="50">
        <f t="shared" si="3"/>
        <v>363.47300000000001</v>
      </c>
      <c r="R9" s="13">
        <v>-1418.7660000000001</v>
      </c>
      <c r="S9" s="52">
        <f t="shared" si="5"/>
        <v>-63062.150000000009</v>
      </c>
    </row>
    <row r="10" spans="1:20" ht="15" customHeight="1" x14ac:dyDescent="0.2">
      <c r="B10" s="19" t="s">
        <v>15</v>
      </c>
      <c r="C10" s="25">
        <v>177.87133169439201</v>
      </c>
      <c r="D10" s="42">
        <v>205569.658</v>
      </c>
      <c r="E10" s="44">
        <v>0</v>
      </c>
      <c r="F10" s="44">
        <v>0</v>
      </c>
      <c r="G10" s="28">
        <f t="shared" si="0"/>
        <v>205569.658</v>
      </c>
      <c r="H10" s="29">
        <f t="shared" si="1"/>
        <v>0</v>
      </c>
      <c r="I10" s="25">
        <v>163.80000000000001</v>
      </c>
      <c r="J10" s="42">
        <v>-6928.33</v>
      </c>
      <c r="K10" s="44">
        <v>0</v>
      </c>
      <c r="L10" s="44">
        <v>0</v>
      </c>
      <c r="M10" s="29">
        <f t="shared" si="2"/>
        <v>-6928.33</v>
      </c>
      <c r="N10" s="33">
        <f t="shared" si="4"/>
        <v>198641.32800000001</v>
      </c>
      <c r="O10" s="42">
        <v>1341.8420000000001</v>
      </c>
      <c r="P10" s="44">
        <v>0</v>
      </c>
      <c r="Q10" s="29">
        <f t="shared" si="3"/>
        <v>1341.8420000000001</v>
      </c>
      <c r="R10" s="14">
        <v>0</v>
      </c>
      <c r="S10" s="35">
        <f t="shared" si="5"/>
        <v>199983.17</v>
      </c>
    </row>
    <row r="11" spans="1:20" ht="15" customHeight="1" x14ac:dyDescent="0.2">
      <c r="B11" s="45" t="s">
        <v>16</v>
      </c>
      <c r="C11" s="46">
        <v>102.438711188029</v>
      </c>
      <c r="D11" s="47">
        <v>1542.4970000000001</v>
      </c>
      <c r="E11" s="48">
        <v>0</v>
      </c>
      <c r="F11" s="48">
        <v>0</v>
      </c>
      <c r="G11" s="49">
        <f t="shared" si="0"/>
        <v>1542.4970000000001</v>
      </c>
      <c r="H11" s="50">
        <f t="shared" si="1"/>
        <v>0</v>
      </c>
      <c r="I11" s="46">
        <v>102</v>
      </c>
      <c r="J11" s="47">
        <v>-6114.8239999999996</v>
      </c>
      <c r="K11" s="48">
        <v>0</v>
      </c>
      <c r="L11" s="48">
        <v>0</v>
      </c>
      <c r="M11" s="50">
        <f t="shared" si="2"/>
        <v>-6114.8239999999996</v>
      </c>
      <c r="N11" s="51">
        <f t="shared" si="4"/>
        <v>-4572.3269999999993</v>
      </c>
      <c r="O11" s="47">
        <v>337.68299999999999</v>
      </c>
      <c r="P11" s="48">
        <v>0</v>
      </c>
      <c r="Q11" s="50">
        <f t="shared" si="3"/>
        <v>337.68299999999999</v>
      </c>
      <c r="R11" s="13">
        <v>0</v>
      </c>
      <c r="S11" s="52">
        <f t="shared" si="5"/>
        <v>-4234.6439999999993</v>
      </c>
    </row>
    <row r="12" spans="1:20" ht="15" customHeight="1" x14ac:dyDescent="0.2">
      <c r="B12" s="19" t="s">
        <v>17</v>
      </c>
      <c r="C12" s="25">
        <v>155.54213685451899</v>
      </c>
      <c r="D12" s="42">
        <v>40049.603999999999</v>
      </c>
      <c r="E12" s="44">
        <v>0</v>
      </c>
      <c r="F12" s="44">
        <v>0</v>
      </c>
      <c r="G12" s="28">
        <f t="shared" si="0"/>
        <v>40049.603999999999</v>
      </c>
      <c r="H12" s="29">
        <f t="shared" si="1"/>
        <v>0</v>
      </c>
      <c r="I12" s="25">
        <v>145.5</v>
      </c>
      <c r="J12" s="42">
        <v>-1400.223</v>
      </c>
      <c r="K12" s="44">
        <v>0</v>
      </c>
      <c r="L12" s="44">
        <v>0</v>
      </c>
      <c r="M12" s="29">
        <f t="shared" si="2"/>
        <v>-1400.223</v>
      </c>
      <c r="N12" s="33">
        <f t="shared" si="4"/>
        <v>38649.381000000001</v>
      </c>
      <c r="O12" s="42">
        <v>387.31</v>
      </c>
      <c r="P12" s="44">
        <v>0</v>
      </c>
      <c r="Q12" s="29">
        <f t="shared" si="3"/>
        <v>387.31</v>
      </c>
      <c r="R12" s="14">
        <v>0</v>
      </c>
      <c r="S12" s="35">
        <f t="shared" si="5"/>
        <v>39036.690999999999</v>
      </c>
    </row>
    <row r="13" spans="1:20" ht="15" customHeight="1" x14ac:dyDescent="0.2">
      <c r="B13" s="45" t="s">
        <v>18</v>
      </c>
      <c r="C13" s="46">
        <v>72.710322886863494</v>
      </c>
      <c r="D13" s="47">
        <v>0</v>
      </c>
      <c r="E13" s="48">
        <v>-21203.691999999999</v>
      </c>
      <c r="F13" s="48">
        <v>-31805.538</v>
      </c>
      <c r="G13" s="49">
        <f t="shared" si="0"/>
        <v>-53009.229999999996</v>
      </c>
      <c r="H13" s="50">
        <f t="shared" si="1"/>
        <v>-53009.229999999996</v>
      </c>
      <c r="I13" s="46">
        <v>86.8</v>
      </c>
      <c r="J13" s="47">
        <v>-5339.2060000000001</v>
      </c>
      <c r="K13" s="48">
        <v>0</v>
      </c>
      <c r="L13" s="48">
        <v>0</v>
      </c>
      <c r="M13" s="50">
        <f t="shared" si="2"/>
        <v>-5339.2060000000001</v>
      </c>
      <c r="N13" s="51">
        <f t="shared" si="4"/>
        <v>-58348.435999999994</v>
      </c>
      <c r="O13" s="47">
        <v>402.33600000000001</v>
      </c>
      <c r="P13" s="48">
        <v>-5309.692</v>
      </c>
      <c r="Q13" s="50">
        <f t="shared" si="3"/>
        <v>-4907.3559999999998</v>
      </c>
      <c r="R13" s="13">
        <v>-1572.636</v>
      </c>
      <c r="S13" s="52">
        <f t="shared" si="5"/>
        <v>-64828.427999999993</v>
      </c>
    </row>
    <row r="14" spans="1:20" ht="15" customHeight="1" x14ac:dyDescent="0.2">
      <c r="B14" s="19" t="s">
        <v>19</v>
      </c>
      <c r="C14" s="25">
        <v>255.40818855518199</v>
      </c>
      <c r="D14" s="42">
        <v>328668.75199999998</v>
      </c>
      <c r="E14" s="44">
        <v>0</v>
      </c>
      <c r="F14" s="44">
        <v>0</v>
      </c>
      <c r="G14" s="28">
        <f t="shared" si="0"/>
        <v>328668.75199999998</v>
      </c>
      <c r="H14" s="29">
        <f t="shared" si="1"/>
        <v>0</v>
      </c>
      <c r="I14" s="25">
        <v>227.3</v>
      </c>
      <c r="J14" s="42">
        <v>0</v>
      </c>
      <c r="K14" s="44">
        <v>-1939.001</v>
      </c>
      <c r="L14" s="44">
        <v>0</v>
      </c>
      <c r="M14" s="29">
        <f t="shared" si="2"/>
        <v>-1939.001</v>
      </c>
      <c r="N14" s="33">
        <f t="shared" si="4"/>
        <v>326729.75099999999</v>
      </c>
      <c r="O14" s="42">
        <v>1030.318</v>
      </c>
      <c r="P14" s="44">
        <v>0</v>
      </c>
      <c r="Q14" s="29">
        <f t="shared" si="3"/>
        <v>1030.318</v>
      </c>
      <c r="R14" s="14">
        <v>0</v>
      </c>
      <c r="S14" s="35">
        <f t="shared" si="5"/>
        <v>327760.06900000002</v>
      </c>
    </row>
    <row r="15" spans="1:20" ht="15" customHeight="1" x14ac:dyDescent="0.2">
      <c r="B15" s="45" t="s">
        <v>20</v>
      </c>
      <c r="C15" s="46">
        <v>71.987351800311799</v>
      </c>
      <c r="D15" s="47">
        <v>0</v>
      </c>
      <c r="E15" s="48">
        <v>-171837.21299999999</v>
      </c>
      <c r="F15" s="48">
        <v>-257755.81899999999</v>
      </c>
      <c r="G15" s="49">
        <f t="shared" si="0"/>
        <v>-429593.03200000001</v>
      </c>
      <c r="H15" s="50">
        <f t="shared" si="1"/>
        <v>-429593.03200000001</v>
      </c>
      <c r="I15" s="46">
        <v>86.7</v>
      </c>
      <c r="J15" s="47">
        <v>-8865.4509999999991</v>
      </c>
      <c r="K15" s="48">
        <v>0</v>
      </c>
      <c r="L15" s="48">
        <v>0</v>
      </c>
      <c r="M15" s="50">
        <f t="shared" si="2"/>
        <v>-8865.4509999999991</v>
      </c>
      <c r="N15" s="51">
        <f t="shared" si="4"/>
        <v>-438458.48300000001</v>
      </c>
      <c r="O15" s="47">
        <v>2489.7260000000001</v>
      </c>
      <c r="P15" s="48">
        <v>-89232.02</v>
      </c>
      <c r="Q15" s="50">
        <f t="shared" si="3"/>
        <v>-86742.294000000009</v>
      </c>
      <c r="R15" s="13">
        <v>-12211.016</v>
      </c>
      <c r="S15" s="52">
        <f t="shared" si="5"/>
        <v>-537411.79299999995</v>
      </c>
    </row>
    <row r="16" spans="1:20" ht="15" customHeight="1" x14ac:dyDescent="0.2">
      <c r="B16" s="19" t="s">
        <v>21</v>
      </c>
      <c r="C16" s="25">
        <v>71.117640572658303</v>
      </c>
      <c r="D16" s="42">
        <v>0</v>
      </c>
      <c r="E16" s="44">
        <v>-156186.139</v>
      </c>
      <c r="F16" s="44">
        <v>-234279.209</v>
      </c>
      <c r="G16" s="28">
        <f t="shared" si="0"/>
        <v>-390465.348</v>
      </c>
      <c r="H16" s="29">
        <f t="shared" si="1"/>
        <v>-390465.348</v>
      </c>
      <c r="I16" s="25">
        <v>86.6</v>
      </c>
      <c r="J16" s="42">
        <v>0</v>
      </c>
      <c r="K16" s="44">
        <v>-8315.7479999999996</v>
      </c>
      <c r="L16" s="44">
        <v>0</v>
      </c>
      <c r="M16" s="29">
        <f t="shared" si="2"/>
        <v>-8315.7479999999996</v>
      </c>
      <c r="N16" s="33">
        <f t="shared" si="4"/>
        <v>-398781.09600000002</v>
      </c>
      <c r="O16" s="42">
        <v>2546.8249999999998</v>
      </c>
      <c r="P16" s="44">
        <v>0</v>
      </c>
      <c r="Q16" s="29">
        <f t="shared" si="3"/>
        <v>2546.8249999999998</v>
      </c>
      <c r="R16" s="14">
        <v>-10557.196</v>
      </c>
      <c r="S16" s="35">
        <f t="shared" si="5"/>
        <v>-406791.467</v>
      </c>
    </row>
    <row r="17" spans="2:19" ht="15" customHeight="1" x14ac:dyDescent="0.2">
      <c r="B17" s="45" t="s">
        <v>22</v>
      </c>
      <c r="C17" s="46">
        <v>141.917586932897</v>
      </c>
      <c r="D17" s="47">
        <v>137818.14000000001</v>
      </c>
      <c r="E17" s="48">
        <v>0</v>
      </c>
      <c r="F17" s="48">
        <v>0</v>
      </c>
      <c r="G17" s="49">
        <f t="shared" si="0"/>
        <v>137818.14000000001</v>
      </c>
      <c r="H17" s="50">
        <f t="shared" si="1"/>
        <v>0</v>
      </c>
      <c r="I17" s="46">
        <v>134.30000000000001</v>
      </c>
      <c r="J17" s="47">
        <v>0</v>
      </c>
      <c r="K17" s="48">
        <v>-45924.972999999998</v>
      </c>
      <c r="L17" s="48">
        <v>-24011.773000000001</v>
      </c>
      <c r="M17" s="50">
        <f t="shared" si="2"/>
        <v>-69936.745999999999</v>
      </c>
      <c r="N17" s="51">
        <f t="shared" si="4"/>
        <v>67881.394000000015</v>
      </c>
      <c r="O17" s="47">
        <v>2020.491</v>
      </c>
      <c r="P17" s="48">
        <v>0</v>
      </c>
      <c r="Q17" s="50">
        <f t="shared" si="3"/>
        <v>2020.491</v>
      </c>
      <c r="R17" s="13">
        <v>0</v>
      </c>
      <c r="S17" s="52">
        <f t="shared" si="5"/>
        <v>69901.885000000009</v>
      </c>
    </row>
    <row r="18" spans="2:19" ht="15" customHeight="1" x14ac:dyDescent="0.2">
      <c r="B18" s="19" t="s">
        <v>23</v>
      </c>
      <c r="C18" s="25">
        <v>97.291653656741502</v>
      </c>
      <c r="D18" s="42">
        <v>0</v>
      </c>
      <c r="E18" s="44">
        <v>-3427.9050000000002</v>
      </c>
      <c r="F18" s="44">
        <v>-5141.857</v>
      </c>
      <c r="G18" s="28">
        <f t="shared" si="0"/>
        <v>-8569.7620000000006</v>
      </c>
      <c r="H18" s="29">
        <f t="shared" si="1"/>
        <v>-8569.7620000000006</v>
      </c>
      <c r="I18" s="25">
        <v>97.6</v>
      </c>
      <c r="J18" s="42">
        <v>0</v>
      </c>
      <c r="K18" s="44">
        <v>0</v>
      </c>
      <c r="L18" s="44">
        <v>0</v>
      </c>
      <c r="M18" s="29">
        <f t="shared" si="2"/>
        <v>0</v>
      </c>
      <c r="N18" s="33">
        <f t="shared" si="4"/>
        <v>-8569.7620000000006</v>
      </c>
      <c r="O18" s="42">
        <v>2698.8589999999999</v>
      </c>
      <c r="P18" s="44">
        <v>0</v>
      </c>
      <c r="Q18" s="29">
        <f t="shared" si="3"/>
        <v>2698.8589999999999</v>
      </c>
      <c r="R18" s="14">
        <v>-11142.936</v>
      </c>
      <c r="S18" s="35">
        <f t="shared" si="5"/>
        <v>-17013.839</v>
      </c>
    </row>
    <row r="19" spans="2:19" ht="15" customHeight="1" x14ac:dyDescent="0.2">
      <c r="B19" s="45" t="s">
        <v>24</v>
      </c>
      <c r="C19" s="46">
        <v>95.286838466485705</v>
      </c>
      <c r="D19" s="47">
        <v>0</v>
      </c>
      <c r="E19" s="48">
        <v>-2415.6370000000002</v>
      </c>
      <c r="F19" s="48">
        <v>-3623.4549999999999</v>
      </c>
      <c r="G19" s="49">
        <f t="shared" si="0"/>
        <v>-6039.0920000000006</v>
      </c>
      <c r="H19" s="50">
        <f t="shared" si="1"/>
        <v>-6039.0920000000006</v>
      </c>
      <c r="I19" s="46">
        <v>96.1</v>
      </c>
      <c r="J19" s="47">
        <v>0</v>
      </c>
      <c r="K19" s="48">
        <v>-683.40099999999995</v>
      </c>
      <c r="L19" s="48">
        <v>0</v>
      </c>
      <c r="M19" s="50">
        <f t="shared" si="2"/>
        <v>-683.40099999999995</v>
      </c>
      <c r="N19" s="51">
        <f t="shared" si="4"/>
        <v>-6722.4930000000004</v>
      </c>
      <c r="O19" s="47">
        <v>769.29300000000001</v>
      </c>
      <c r="P19" s="48">
        <v>0</v>
      </c>
      <c r="Q19" s="50">
        <f t="shared" si="3"/>
        <v>769.29300000000001</v>
      </c>
      <c r="R19" s="13">
        <v>-3171.6120000000001</v>
      </c>
      <c r="S19" s="52">
        <f t="shared" si="5"/>
        <v>-9124.8120000000017</v>
      </c>
    </row>
    <row r="20" spans="2:19" ht="15" customHeight="1" x14ac:dyDescent="0.2">
      <c r="B20" s="19" t="s">
        <v>25</v>
      </c>
      <c r="C20" s="25">
        <v>85.285842810137794</v>
      </c>
      <c r="D20" s="42">
        <v>0</v>
      </c>
      <c r="E20" s="44">
        <v>-10489.66</v>
      </c>
      <c r="F20" s="44">
        <v>-15734.49</v>
      </c>
      <c r="G20" s="28">
        <f t="shared" si="0"/>
        <v>-26224.15</v>
      </c>
      <c r="H20" s="29">
        <f t="shared" si="1"/>
        <v>-26224.15</v>
      </c>
      <c r="I20" s="25">
        <v>90.4</v>
      </c>
      <c r="J20" s="42">
        <v>-20245.89</v>
      </c>
      <c r="K20" s="44">
        <v>0</v>
      </c>
      <c r="L20" s="44">
        <v>0</v>
      </c>
      <c r="M20" s="29">
        <f t="shared" si="2"/>
        <v>-20245.89</v>
      </c>
      <c r="N20" s="33">
        <f t="shared" si="4"/>
        <v>-46470.04</v>
      </c>
      <c r="O20" s="42">
        <v>560.50900000000001</v>
      </c>
      <c r="P20" s="44">
        <v>0</v>
      </c>
      <c r="Q20" s="29">
        <f t="shared" si="3"/>
        <v>560.50900000000001</v>
      </c>
      <c r="R20" s="14">
        <v>-2137.7350000000001</v>
      </c>
      <c r="S20" s="35">
        <f t="shared" si="5"/>
        <v>-48047.266000000003</v>
      </c>
    </row>
    <row r="21" spans="2:19" ht="15" customHeight="1" x14ac:dyDescent="0.2">
      <c r="B21" s="45" t="s">
        <v>26</v>
      </c>
      <c r="C21" s="46">
        <v>96.254910931273798</v>
      </c>
      <c r="D21" s="47">
        <v>0</v>
      </c>
      <c r="E21" s="48">
        <v>-326.97300000000001</v>
      </c>
      <c r="F21" s="48">
        <v>-490.46</v>
      </c>
      <c r="G21" s="49">
        <f t="shared" si="0"/>
        <v>-817.43299999999999</v>
      </c>
      <c r="H21" s="50">
        <f t="shared" si="1"/>
        <v>-817.43299999999999</v>
      </c>
      <c r="I21" s="46">
        <v>96.8</v>
      </c>
      <c r="J21" s="47">
        <v>-8678.2790000000005</v>
      </c>
      <c r="K21" s="48">
        <v>0</v>
      </c>
      <c r="L21" s="48">
        <v>0</v>
      </c>
      <c r="M21" s="50">
        <f t="shared" si="2"/>
        <v>-8678.2790000000005</v>
      </c>
      <c r="N21" s="51">
        <f t="shared" si="4"/>
        <v>-9495.7119999999995</v>
      </c>
      <c r="O21" s="47">
        <v>153.62299999999999</v>
      </c>
      <c r="P21" s="48">
        <v>0</v>
      </c>
      <c r="Q21" s="50">
        <f t="shared" si="3"/>
        <v>153.62299999999999</v>
      </c>
      <c r="R21" s="13">
        <v>-625.39099999999996</v>
      </c>
      <c r="S21" s="52">
        <f t="shared" si="5"/>
        <v>-9967.48</v>
      </c>
    </row>
    <row r="22" spans="2:19" ht="15" customHeight="1" x14ac:dyDescent="0.2">
      <c r="B22" s="19" t="s">
        <v>27</v>
      </c>
      <c r="C22" s="25">
        <v>82.956714153929894</v>
      </c>
      <c r="D22" s="42">
        <v>0</v>
      </c>
      <c r="E22" s="44">
        <v>-122497.882</v>
      </c>
      <c r="F22" s="44">
        <v>-183746.823</v>
      </c>
      <c r="G22" s="28">
        <f t="shared" si="0"/>
        <v>-306244.70500000002</v>
      </c>
      <c r="H22" s="29">
        <f t="shared" si="1"/>
        <v>-306244.70500000002</v>
      </c>
      <c r="I22" s="25">
        <v>89.5</v>
      </c>
      <c r="J22" s="42">
        <v>-1867.7629999999999</v>
      </c>
      <c r="K22" s="44">
        <v>0</v>
      </c>
      <c r="L22" s="44">
        <v>0</v>
      </c>
      <c r="M22" s="29">
        <f t="shared" si="2"/>
        <v>-1867.7629999999999</v>
      </c>
      <c r="N22" s="33">
        <f t="shared" si="4"/>
        <v>-308112.46799999999</v>
      </c>
      <c r="O22" s="42">
        <v>4707.5389999999998</v>
      </c>
      <c r="P22" s="44">
        <v>0</v>
      </c>
      <c r="Q22" s="29">
        <f t="shared" si="3"/>
        <v>4707.5389999999998</v>
      </c>
      <c r="R22" s="14">
        <v>-19628.712</v>
      </c>
      <c r="S22" s="35">
        <f t="shared" si="5"/>
        <v>-323033.641</v>
      </c>
    </row>
    <row r="23" spans="2:19" ht="15" customHeight="1" x14ac:dyDescent="0.2">
      <c r="B23" s="45" t="s">
        <v>28</v>
      </c>
      <c r="C23" s="46">
        <v>82.879164001698001</v>
      </c>
      <c r="D23" s="47">
        <v>0</v>
      </c>
      <c r="E23" s="48">
        <v>-49980.457000000002</v>
      </c>
      <c r="F23" s="48">
        <v>-74970.684999999998</v>
      </c>
      <c r="G23" s="49">
        <f t="shared" si="0"/>
        <v>-124951.14199999999</v>
      </c>
      <c r="H23" s="50">
        <f t="shared" si="1"/>
        <v>-124951.14199999999</v>
      </c>
      <c r="I23" s="46">
        <v>89.5</v>
      </c>
      <c r="J23" s="47">
        <v>-137084.75599999999</v>
      </c>
      <c r="K23" s="48">
        <v>0</v>
      </c>
      <c r="L23" s="48">
        <v>0</v>
      </c>
      <c r="M23" s="50">
        <f t="shared" si="2"/>
        <v>-137084.75599999999</v>
      </c>
      <c r="N23" s="51">
        <f t="shared" si="4"/>
        <v>-262035.89799999999</v>
      </c>
      <c r="O23" s="47">
        <v>1979.7190000000001</v>
      </c>
      <c r="P23" s="48">
        <v>0</v>
      </c>
      <c r="Q23" s="50">
        <f t="shared" si="3"/>
        <v>1979.7190000000001</v>
      </c>
      <c r="R23" s="13">
        <v>-7949.451</v>
      </c>
      <c r="S23" s="52">
        <f t="shared" si="5"/>
        <v>-268005.62999999995</v>
      </c>
    </row>
    <row r="24" spans="2:19" ht="15" customHeight="1" x14ac:dyDescent="0.2">
      <c r="B24" s="19" t="s">
        <v>29</v>
      </c>
      <c r="C24" s="25">
        <v>81.574284923209206</v>
      </c>
      <c r="D24" s="42">
        <v>0</v>
      </c>
      <c r="E24" s="44">
        <v>-184573.36</v>
      </c>
      <c r="F24" s="44">
        <v>-276860.03999999998</v>
      </c>
      <c r="G24" s="28">
        <f t="shared" si="0"/>
        <v>-461433.39999999997</v>
      </c>
      <c r="H24" s="29">
        <f t="shared" si="1"/>
        <v>-461433.39999999997</v>
      </c>
      <c r="I24" s="25">
        <v>89</v>
      </c>
      <c r="J24" s="42">
        <v>0</v>
      </c>
      <c r="K24" s="44">
        <v>0</v>
      </c>
      <c r="L24" s="44">
        <v>0</v>
      </c>
      <c r="M24" s="29">
        <f t="shared" si="2"/>
        <v>0</v>
      </c>
      <c r="N24" s="33">
        <f t="shared" si="4"/>
        <v>-461433.39999999997</v>
      </c>
      <c r="O24" s="42">
        <v>5675.1970000000001</v>
      </c>
      <c r="P24" s="44">
        <v>0</v>
      </c>
      <c r="Q24" s="29">
        <f t="shared" si="3"/>
        <v>5675.1970000000001</v>
      </c>
      <c r="R24" s="14">
        <v>-26031.963</v>
      </c>
      <c r="S24" s="35">
        <f t="shared" si="5"/>
        <v>-481790.16599999997</v>
      </c>
    </row>
    <row r="25" spans="2:19" ht="15" customHeight="1" x14ac:dyDescent="0.2">
      <c r="B25" s="45" t="s">
        <v>30</v>
      </c>
      <c r="C25" s="46">
        <v>79.297923640757006</v>
      </c>
      <c r="D25" s="47">
        <v>0</v>
      </c>
      <c r="E25" s="48">
        <v>-91057.498999999996</v>
      </c>
      <c r="F25" s="48">
        <v>-136586.24900000001</v>
      </c>
      <c r="G25" s="49">
        <f t="shared" si="0"/>
        <v>-227643.74800000002</v>
      </c>
      <c r="H25" s="50">
        <f t="shared" si="1"/>
        <v>-227643.74800000002</v>
      </c>
      <c r="I25" s="46">
        <v>88.3</v>
      </c>
      <c r="J25" s="47">
        <v>-3159.5770000000002</v>
      </c>
      <c r="K25" s="48">
        <v>0</v>
      </c>
      <c r="L25" s="48">
        <v>0</v>
      </c>
      <c r="M25" s="50">
        <f t="shared" si="2"/>
        <v>-3159.5770000000002</v>
      </c>
      <c r="N25" s="51">
        <f t="shared" si="4"/>
        <v>-230803.32500000001</v>
      </c>
      <c r="O25" s="47">
        <v>2387.7820000000002</v>
      </c>
      <c r="P25" s="48">
        <v>0</v>
      </c>
      <c r="Q25" s="50">
        <f t="shared" si="3"/>
        <v>2387.7820000000002</v>
      </c>
      <c r="R25" s="13">
        <v>-10613.795</v>
      </c>
      <c r="S25" s="52">
        <f t="shared" si="5"/>
        <v>-239029.33800000002</v>
      </c>
    </row>
    <row r="26" spans="2:19" ht="15" customHeight="1" x14ac:dyDescent="0.2">
      <c r="B26" s="19" t="s">
        <v>31</v>
      </c>
      <c r="C26" s="25">
        <v>95.987151214909005</v>
      </c>
      <c r="D26" s="42">
        <v>0</v>
      </c>
      <c r="E26" s="44">
        <v>-8079.8879999999999</v>
      </c>
      <c r="F26" s="44">
        <v>-12119.832</v>
      </c>
      <c r="G26" s="28">
        <f t="shared" si="0"/>
        <v>-20199.72</v>
      </c>
      <c r="H26" s="29">
        <f t="shared" si="1"/>
        <v>-20199.72</v>
      </c>
      <c r="I26" s="25">
        <v>96.6</v>
      </c>
      <c r="J26" s="42">
        <v>-14716.994000000001</v>
      </c>
      <c r="K26" s="44">
        <v>-6364.37</v>
      </c>
      <c r="L26" s="44">
        <v>0</v>
      </c>
      <c r="M26" s="29">
        <f t="shared" si="2"/>
        <v>-21081.364000000001</v>
      </c>
      <c r="N26" s="33">
        <f t="shared" si="4"/>
        <v>-41281.084000000003</v>
      </c>
      <c r="O26" s="42">
        <v>3222.98</v>
      </c>
      <c r="P26" s="44">
        <v>0</v>
      </c>
      <c r="Q26" s="29">
        <f t="shared" si="3"/>
        <v>3222.98</v>
      </c>
      <c r="R26" s="14">
        <v>-13802.870999999999</v>
      </c>
      <c r="S26" s="35">
        <f t="shared" si="5"/>
        <v>-51860.974999999999</v>
      </c>
    </row>
    <row r="27" spans="2:19" ht="15" customHeight="1" x14ac:dyDescent="0.2">
      <c r="B27" s="45" t="s">
        <v>32</v>
      </c>
      <c r="C27" s="46">
        <v>99.566730419486504</v>
      </c>
      <c r="D27" s="47">
        <v>0</v>
      </c>
      <c r="E27" s="48">
        <v>-473.584</v>
      </c>
      <c r="F27" s="48">
        <v>-710.37599999999998</v>
      </c>
      <c r="G27" s="49">
        <f t="shared" si="0"/>
        <v>-1183.96</v>
      </c>
      <c r="H27" s="50">
        <f t="shared" si="1"/>
        <v>-1183.96</v>
      </c>
      <c r="I27" s="46">
        <v>99.6</v>
      </c>
      <c r="J27" s="47">
        <v>-107.042</v>
      </c>
      <c r="K27" s="48">
        <v>-115023.986</v>
      </c>
      <c r="L27" s="48">
        <v>-4868.87</v>
      </c>
      <c r="M27" s="50">
        <f t="shared" si="2"/>
        <v>-119999.898</v>
      </c>
      <c r="N27" s="51">
        <f t="shared" si="4"/>
        <v>-121183.85800000001</v>
      </c>
      <c r="O27" s="47">
        <v>6594.8729999999996</v>
      </c>
      <c r="P27" s="48">
        <v>0</v>
      </c>
      <c r="Q27" s="50">
        <f t="shared" si="3"/>
        <v>6594.8729999999996</v>
      </c>
      <c r="R27" s="13">
        <v>0</v>
      </c>
      <c r="S27" s="52">
        <f t="shared" si="5"/>
        <v>-114588.98500000002</v>
      </c>
    </row>
    <row r="28" spans="2:19" ht="15" customHeight="1" x14ac:dyDescent="0.2">
      <c r="B28" s="19" t="s">
        <v>33</v>
      </c>
      <c r="C28" s="25">
        <v>64.670638880744903</v>
      </c>
      <c r="D28" s="42">
        <v>0</v>
      </c>
      <c r="E28" s="44">
        <v>-280645.962</v>
      </c>
      <c r="F28" s="44">
        <v>-420968.94300000003</v>
      </c>
      <c r="G28" s="28">
        <f t="shared" si="0"/>
        <v>-701614.90500000003</v>
      </c>
      <c r="H28" s="29">
        <f t="shared" si="1"/>
        <v>-701614.90500000003</v>
      </c>
      <c r="I28" s="25">
        <v>86.5</v>
      </c>
      <c r="J28" s="42">
        <v>-73973.430999999997</v>
      </c>
      <c r="K28" s="44">
        <v>-12789.808999999999</v>
      </c>
      <c r="L28" s="44">
        <v>0</v>
      </c>
      <c r="M28" s="29">
        <f t="shared" si="2"/>
        <v>-86763.239999999991</v>
      </c>
      <c r="N28" s="33">
        <f t="shared" si="4"/>
        <v>-788378.14500000002</v>
      </c>
      <c r="O28" s="42">
        <v>2866.357</v>
      </c>
      <c r="P28" s="44">
        <v>0</v>
      </c>
      <c r="Q28" s="29">
        <f t="shared" si="3"/>
        <v>2866.357</v>
      </c>
      <c r="R28" s="14">
        <v>-13474.93</v>
      </c>
      <c r="S28" s="35">
        <f t="shared" si="5"/>
        <v>-798986.71800000011</v>
      </c>
    </row>
    <row r="29" spans="2:19" ht="15" customHeight="1" x14ac:dyDescent="0.2">
      <c r="B29" s="45" t="s">
        <v>34</v>
      </c>
      <c r="C29" s="46">
        <v>80.113149078189807</v>
      </c>
      <c r="D29" s="47">
        <v>0</v>
      </c>
      <c r="E29" s="48">
        <v>-55779.487000000001</v>
      </c>
      <c r="F29" s="48">
        <v>-83669.23</v>
      </c>
      <c r="G29" s="49">
        <f t="shared" si="0"/>
        <v>-139448.717</v>
      </c>
      <c r="H29" s="50">
        <f t="shared" si="1"/>
        <v>-139448.717</v>
      </c>
      <c r="I29" s="46">
        <v>88.5</v>
      </c>
      <c r="J29" s="47">
        <v>-22812.303</v>
      </c>
      <c r="K29" s="48">
        <v>-15001.183000000001</v>
      </c>
      <c r="L29" s="48">
        <v>0</v>
      </c>
      <c r="M29" s="50">
        <f t="shared" si="2"/>
        <v>-37813.486000000004</v>
      </c>
      <c r="N29" s="51">
        <f t="shared" si="4"/>
        <v>-177262.20300000001</v>
      </c>
      <c r="O29" s="47">
        <v>1749.3579999999999</v>
      </c>
      <c r="P29" s="48">
        <v>-70741.271999999997</v>
      </c>
      <c r="Q29" s="50">
        <f t="shared" si="3"/>
        <v>-68991.914000000004</v>
      </c>
      <c r="R29" s="13">
        <v>-6943.5349999999999</v>
      </c>
      <c r="S29" s="52">
        <f t="shared" si="5"/>
        <v>-253197.65200000003</v>
      </c>
    </row>
    <row r="30" spans="2:19" ht="15" customHeight="1" x14ac:dyDescent="0.2">
      <c r="B30" s="19" t="s">
        <v>35</v>
      </c>
      <c r="C30" s="25">
        <v>136.58112668128101</v>
      </c>
      <c r="D30" s="42">
        <v>303716.37800000003</v>
      </c>
      <c r="E30" s="44">
        <v>0</v>
      </c>
      <c r="F30" s="44">
        <v>0</v>
      </c>
      <c r="G30" s="28">
        <f t="shared" si="0"/>
        <v>303716.37800000003</v>
      </c>
      <c r="H30" s="29">
        <f t="shared" si="1"/>
        <v>0</v>
      </c>
      <c r="I30" s="25">
        <v>130</v>
      </c>
      <c r="J30" s="42">
        <v>0</v>
      </c>
      <c r="K30" s="44">
        <v>-112737.93399999999</v>
      </c>
      <c r="L30" s="44">
        <v>-44749.877999999997</v>
      </c>
      <c r="M30" s="29">
        <f t="shared" si="2"/>
        <v>-157487.81199999998</v>
      </c>
      <c r="N30" s="33">
        <f t="shared" si="4"/>
        <v>146228.56600000005</v>
      </c>
      <c r="O30" s="42">
        <v>4285.7879999999996</v>
      </c>
      <c r="P30" s="44">
        <v>0</v>
      </c>
      <c r="Q30" s="29">
        <f t="shared" si="3"/>
        <v>4285.7879999999996</v>
      </c>
      <c r="R30" s="14">
        <v>0</v>
      </c>
      <c r="S30" s="35">
        <f t="shared" si="5"/>
        <v>150514.35400000005</v>
      </c>
    </row>
    <row r="31" spans="2:19" ht="15" customHeight="1" x14ac:dyDescent="0.2">
      <c r="B31" s="45" t="s">
        <v>36</v>
      </c>
      <c r="C31" s="46">
        <v>65.598794735875998</v>
      </c>
      <c r="D31" s="47">
        <v>0</v>
      </c>
      <c r="E31" s="48">
        <v>-56738.455999999998</v>
      </c>
      <c r="F31" s="48">
        <v>-85107.683999999994</v>
      </c>
      <c r="G31" s="49">
        <f t="shared" si="0"/>
        <v>-141846.13999999998</v>
      </c>
      <c r="H31" s="50">
        <f t="shared" si="1"/>
        <v>-141846.13999999998</v>
      </c>
      <c r="I31" s="46">
        <v>86.5</v>
      </c>
      <c r="J31" s="47">
        <v>-4490.8190000000004</v>
      </c>
      <c r="K31" s="48">
        <v>0</v>
      </c>
      <c r="L31" s="48">
        <v>0</v>
      </c>
      <c r="M31" s="50">
        <f t="shared" si="2"/>
        <v>-4490.8190000000004</v>
      </c>
      <c r="N31" s="51">
        <f t="shared" si="4"/>
        <v>-146336.95899999997</v>
      </c>
      <c r="O31" s="47">
        <v>708.81</v>
      </c>
      <c r="P31" s="48">
        <v>-12601.91</v>
      </c>
      <c r="Q31" s="50">
        <f t="shared" si="3"/>
        <v>-11893.1</v>
      </c>
      <c r="R31" s="15">
        <v>-2845.2139999999999</v>
      </c>
      <c r="S31" s="52">
        <f t="shared" si="5"/>
        <v>-161075.27299999999</v>
      </c>
    </row>
    <row r="32" spans="2:19" ht="18.75" customHeight="1" x14ac:dyDescent="0.2">
      <c r="B32" s="37" t="str">
        <f>DFIE!B44</f>
        <v>Schweiz</v>
      </c>
      <c r="C32" s="26">
        <v>100</v>
      </c>
      <c r="D32" s="30">
        <f>SUM(D6:D31)</f>
        <v>1606050.5390000003</v>
      </c>
      <c r="E32" s="31">
        <f>SUM(E6:E31)</f>
        <v>-1606050.5390000001</v>
      </c>
      <c r="F32" s="31">
        <f>SUM(F6:F31)</f>
        <v>-2409075.8080000002</v>
      </c>
      <c r="G32" s="31">
        <f>SUM(G6:G31)</f>
        <v>-2409075.8080000002</v>
      </c>
      <c r="H32" s="32">
        <f>SUM(H6:H31)</f>
        <v>-4015126.3470000005</v>
      </c>
      <c r="I32" s="27"/>
      <c r="J32" s="30">
        <f t="shared" ref="J32:S32" si="6">SUM(J6:J31)</f>
        <v>-361412.39299999998</v>
      </c>
      <c r="K32" s="31">
        <f t="shared" si="6"/>
        <v>-334274.929</v>
      </c>
      <c r="L32" s="31">
        <f t="shared" si="6"/>
        <v>-167137.46399999998</v>
      </c>
      <c r="M32" s="32">
        <f t="shared" si="6"/>
        <v>-862824.78599999996</v>
      </c>
      <c r="N32" s="36">
        <f t="shared" si="6"/>
        <v>-3271900.594</v>
      </c>
      <c r="O32" s="30">
        <f t="shared" si="6"/>
        <v>75724.088999999978</v>
      </c>
      <c r="P32" s="31">
        <f t="shared" si="6"/>
        <v>-227172.26800000001</v>
      </c>
      <c r="Q32" s="32">
        <f t="shared" si="6"/>
        <v>-151448.179</v>
      </c>
      <c r="R32" s="36">
        <f t="shared" ref="R32" si="7">SUM(R6:R31)</f>
        <v>-200000</v>
      </c>
      <c r="S32" s="32">
        <f t="shared" si="6"/>
        <v>-3623348.773</v>
      </c>
    </row>
    <row r="33" spans="1:25" ht="40.5" customHeight="1" x14ac:dyDescent="0.2">
      <c r="A33" s="38"/>
      <c r="B33" s="102" t="str">
        <f>DFIE!$B$45</f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39"/>
      <c r="U33" s="39"/>
      <c r="V33" s="39"/>
      <c r="W33" s="39"/>
      <c r="X33" s="39"/>
      <c r="Y33" s="39"/>
    </row>
  </sheetData>
  <mergeCells count="12">
    <mergeCell ref="D3:H3"/>
    <mergeCell ref="B1:S1"/>
    <mergeCell ref="B33:S33"/>
    <mergeCell ref="C3:C5"/>
    <mergeCell ref="I3:I5"/>
    <mergeCell ref="N3:N5"/>
    <mergeCell ref="S3:S5"/>
    <mergeCell ref="G4:H4"/>
    <mergeCell ref="D4:E4"/>
    <mergeCell ref="O3:Q4"/>
    <mergeCell ref="J3:M4"/>
    <mergeCell ref="R3:R5"/>
  </mergeCells>
  <conditionalFormatting sqref="C6:F31">
    <cfRule type="expression" dxfId="4" priority="3" stopIfTrue="1">
      <formula>ISBLANK(C6)</formula>
    </cfRule>
  </conditionalFormatting>
  <conditionalFormatting sqref="I6:L31">
    <cfRule type="expression" dxfId="3" priority="4" stopIfTrue="1">
      <formula>ISBLANK(I6)</formula>
    </cfRule>
  </conditionalFormatting>
  <conditionalFormatting sqref="O6:P31">
    <cfRule type="expression" dxfId="2" priority="5" stopIfTrue="1">
      <formula>ISBLANK(O6)</formula>
    </cfRule>
  </conditionalFormatting>
  <conditionalFormatting sqref="R6:R31">
    <cfRule type="expression" dxfId="1" priority="1" stopIfTrue="1">
      <formula>ISBLANK(R6)</formula>
    </cfRule>
  </conditionalFormatting>
  <pageMargins left="0.62992125984251968" right="0.39370078740157483" top="0.98425196850393704" bottom="0.6692913385826772" header="0.51181102362204722" footer="0.39370078740157483"/>
  <pageSetup paperSize="9" scale="76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5703125" customWidth="1"/>
    <col min="3" max="3" width="17.7109375" customWidth="1"/>
    <col min="4" max="4" width="7.140625" customWidth="1"/>
    <col min="5" max="5" width="13.5703125" customWidth="1"/>
    <col min="6" max="9" width="9.28515625" customWidth="1"/>
    <col min="10" max="11" width="15.42578125" customWidth="1"/>
    <col min="12" max="12" width="10.85546875" customWidth="1"/>
  </cols>
  <sheetData>
    <row r="1" spans="1:12" ht="18" customHeight="1" x14ac:dyDescent="0.25">
      <c r="B1" s="101" t="str">
        <f>DFIE!B72</f>
        <v>Zahlungen pro Einwohner 2022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2.5" customHeight="1" x14ac:dyDescent="0.2">
      <c r="B2" s="43" t="str">
        <f>DFIE!B73</f>
        <v>in CHF; (+) Belastung Kanton; (-) Entlastung Kanton</v>
      </c>
      <c r="C2" s="73"/>
    </row>
    <row r="3" spans="1:12" ht="24" customHeight="1" x14ac:dyDescent="0.2">
      <c r="A3" s="24"/>
      <c r="B3" s="11"/>
      <c r="C3" s="103" t="str">
        <f>DFIE!B74</f>
        <v>Massgebende
Wohnbevölkerung</v>
      </c>
      <c r="D3" s="103" t="str">
        <f>DFIE!B75</f>
        <v>RI</v>
      </c>
      <c r="E3" s="106" t="str">
        <f>DFIE!B76</f>
        <v>Ressourcen-
ausgleich</v>
      </c>
      <c r="F3" s="98" t="str">
        <f>DFIE!B77</f>
        <v>Lastenausgleich</v>
      </c>
      <c r="G3" s="99"/>
      <c r="H3" s="99"/>
      <c r="I3" s="100"/>
      <c r="J3" s="106" t="str">
        <f>DFIE!B82</f>
        <v>Härte-
ausgleich</v>
      </c>
      <c r="K3" s="106" t="str">
        <f>DFIE!$B$83</f>
        <v>Abfederungs-
massnahmen</v>
      </c>
      <c r="L3" s="106" t="str">
        <f>DFIE!B84</f>
        <v>Total</v>
      </c>
    </row>
    <row r="4" spans="1:12" ht="30" customHeight="1" x14ac:dyDescent="0.2">
      <c r="A4" s="24"/>
      <c r="B4" s="54"/>
      <c r="C4" s="122"/>
      <c r="D4" s="122"/>
      <c r="E4" s="121"/>
      <c r="F4" s="55" t="str">
        <f>DFIE!B78</f>
        <v>GLA</v>
      </c>
      <c r="G4" s="56" t="str">
        <f>DFIE!B79</f>
        <v>SLA A-C</v>
      </c>
      <c r="H4" s="56" t="str">
        <f>DFIE!B80</f>
        <v>SLA F</v>
      </c>
      <c r="I4" s="21" t="str">
        <f>DFIE!B81</f>
        <v>Total</v>
      </c>
      <c r="J4" s="121"/>
      <c r="K4" s="121"/>
      <c r="L4" s="121"/>
    </row>
    <row r="5" spans="1:12" ht="15" customHeight="1" x14ac:dyDescent="0.2">
      <c r="B5" s="53" t="str">
        <f>DFIE!B46</f>
        <v>Zürich</v>
      </c>
      <c r="C5" s="62">
        <v>1508363.83333333</v>
      </c>
      <c r="D5" s="25">
        <f>TOTAL_1!C6</f>
        <v>123.31896172677099</v>
      </c>
      <c r="E5" s="57">
        <f>TOTAL_1!G6/$C5*1000</f>
        <v>390.28084404481189</v>
      </c>
      <c r="F5" s="58">
        <f>TOTAL_1!J6/TOTAL_2!$C5*1000</f>
        <v>0</v>
      </c>
      <c r="G5" s="59">
        <f>TOTAL_1!K6/TOTAL_2!$C5*1000</f>
        <v>-10.272404878442812</v>
      </c>
      <c r="H5" s="59">
        <f>TOTAL_1!L6/TOTAL_2!$C5*1000</f>
        <v>-61.992299824213639</v>
      </c>
      <c r="I5" s="60">
        <f t="shared" ref="I5:I30" si="0">SUM(F5:H5)</f>
        <v>-72.264704702656445</v>
      </c>
      <c r="J5" s="57">
        <f>TOTAL_1!Q6/TOTAL_2!$C5*1000</f>
        <v>8.4972754694573762</v>
      </c>
      <c r="K5" s="57">
        <f>TOTAL_1!R6/TOTAL_2!$C5*1000</f>
        <v>0</v>
      </c>
      <c r="L5" s="61">
        <f>TOTAL_1!S6/TOTAL_2!$C5*1000</f>
        <v>326.51341481161285</v>
      </c>
    </row>
    <row r="6" spans="1:12" ht="15" customHeight="1" x14ac:dyDescent="0.2">
      <c r="B6" s="63" t="str">
        <f>DFIE!B47</f>
        <v>Bern</v>
      </c>
      <c r="C6" s="64">
        <v>1034573.16666667</v>
      </c>
      <c r="D6" s="46">
        <f>TOTAL_1!C7</f>
        <v>79.534421061562199</v>
      </c>
      <c r="E6" s="65">
        <f>TOTAL_1!G7/$C6*1000</f>
        <v>-815.32186623178791</v>
      </c>
      <c r="F6" s="66">
        <f>TOTAL_1!J7/TOTAL_2!$C6*1000</f>
        <v>-27.183845382934805</v>
      </c>
      <c r="G6" s="67">
        <f>TOTAL_1!K7/TOTAL_2!$C6*1000</f>
        <v>0</v>
      </c>
      <c r="H6" s="67">
        <f>TOTAL_1!L7/TOTAL_2!$C6*1000</f>
        <v>0</v>
      </c>
      <c r="I6" s="68">
        <f t="shared" si="0"/>
        <v>-27.183845382934805</v>
      </c>
      <c r="J6" s="65">
        <f>TOTAL_1!Q7/TOTAL_2!$C6*1000</f>
        <v>-23.088801033727364</v>
      </c>
      <c r="K6" s="65">
        <f>TOTAL_1!R7/TOTAL_2!$C6*1000</f>
        <v>-38.7355136313058</v>
      </c>
      <c r="L6" s="69">
        <f>TOTAL_1!S7/TOTAL_2!$C6*1000</f>
        <v>-904.330026279756</v>
      </c>
    </row>
    <row r="7" spans="1:12" ht="15" customHeight="1" x14ac:dyDescent="0.2">
      <c r="B7" s="53" t="str">
        <f>DFIE!B48</f>
        <v>Luzern</v>
      </c>
      <c r="C7" s="62">
        <v>407830.33333333302</v>
      </c>
      <c r="D7" s="25">
        <f>TOTAL_1!C8</f>
        <v>91.312550125162701</v>
      </c>
      <c r="E7" s="57">
        <f>TOTAL_1!G8/$C7*1000</f>
        <v>-200.6255624275129</v>
      </c>
      <c r="F7" s="58">
        <f>TOTAL_1!J8/TOTAL_2!$C7*1000</f>
        <v>-14.730436921889915</v>
      </c>
      <c r="G7" s="59">
        <f>TOTAL_1!K8/TOTAL_2!$C7*1000</f>
        <v>0</v>
      </c>
      <c r="H7" s="59">
        <f>TOTAL_1!L8/TOTAL_2!$C7*1000</f>
        <v>0</v>
      </c>
      <c r="I7" s="60">
        <f t="shared" si="0"/>
        <v>-14.730436921889915</v>
      </c>
      <c r="J7" s="57">
        <f>TOTAL_1!Q8/TOTAL_2!$C7*1000</f>
        <v>-28.869615714377975</v>
      </c>
      <c r="K7" s="57">
        <f>TOTAL_1!R8/TOTAL_2!$C7*1000</f>
        <v>-38.735515014005038</v>
      </c>
      <c r="L7" s="61">
        <f>TOTAL_1!S8/TOTAL_2!$C7*1000</f>
        <v>-282.96113007778581</v>
      </c>
    </row>
    <row r="8" spans="1:12" ht="15" customHeight="1" x14ac:dyDescent="0.2">
      <c r="B8" s="63" t="str">
        <f>DFIE!B49</f>
        <v>Uri</v>
      </c>
      <c r="C8" s="64">
        <v>36627</v>
      </c>
      <c r="D8" s="46">
        <f>TOTAL_1!C9</f>
        <v>71.782979736886205</v>
      </c>
      <c r="E8" s="65">
        <f>TOTAL_1!G9/$C8*1000</f>
        <v>-1379.05228383433</v>
      </c>
      <c r="F8" s="66">
        <f>TOTAL_1!J9/TOTAL_2!$C8*1000</f>
        <v>-313.87525595871898</v>
      </c>
      <c r="G8" s="67">
        <f>TOTAL_1!K9/TOTAL_2!$C8*1000</f>
        <v>0</v>
      </c>
      <c r="H8" s="67">
        <f>TOTAL_1!L9/TOTAL_2!$C8*1000</f>
        <v>0</v>
      </c>
      <c r="I8" s="68">
        <f t="shared" si="0"/>
        <v>-313.87525595871898</v>
      </c>
      <c r="J8" s="65">
        <f>TOTAL_1!Q9/TOTAL_2!$C8*1000</f>
        <v>9.9236355693887024</v>
      </c>
      <c r="K8" s="65">
        <f>TOTAL_1!R9/TOTAL_2!$C8*1000</f>
        <v>-38.735522974854618</v>
      </c>
      <c r="L8" s="69">
        <f>TOTAL_1!S9/TOTAL_2!$C8*1000</f>
        <v>-1721.7394271985149</v>
      </c>
    </row>
    <row r="9" spans="1:12" ht="15" customHeight="1" x14ac:dyDescent="0.2">
      <c r="B9" s="53" t="str">
        <f>DFIE!B50</f>
        <v>Schwyz</v>
      </c>
      <c r="C9" s="62">
        <v>157729.66666666701</v>
      </c>
      <c r="D9" s="25">
        <f>TOTAL_1!C10</f>
        <v>177.87133169439201</v>
      </c>
      <c r="E9" s="57">
        <f>TOTAL_1!G10/$C9*1000</f>
        <v>1303.3036989448165</v>
      </c>
      <c r="F9" s="58">
        <f>TOTAL_1!J10/TOTAL_2!$C9*1000</f>
        <v>-43.925344841067634</v>
      </c>
      <c r="G9" s="59">
        <f>TOTAL_1!K10/TOTAL_2!$C9*1000</f>
        <v>0</v>
      </c>
      <c r="H9" s="59">
        <f>TOTAL_1!L10/TOTAL_2!$C9*1000</f>
        <v>0</v>
      </c>
      <c r="I9" s="60">
        <f t="shared" si="0"/>
        <v>-43.925344841067634</v>
      </c>
      <c r="J9" s="57">
        <f>TOTAL_1!Q10/TOTAL_2!$C9*1000</f>
        <v>8.5072264993480236</v>
      </c>
      <c r="K9" s="57">
        <f>TOTAL_1!R10/TOTAL_2!$C9*1000</f>
        <v>0</v>
      </c>
      <c r="L9" s="61">
        <f>TOTAL_1!S10/TOTAL_2!$C9*1000</f>
        <v>1267.8855806030967</v>
      </c>
    </row>
    <row r="10" spans="1:12" ht="15" customHeight="1" x14ac:dyDescent="0.2">
      <c r="B10" s="63" t="str">
        <f>DFIE!B51</f>
        <v>Obwalden</v>
      </c>
      <c r="C10" s="64">
        <v>37791.666666666701</v>
      </c>
      <c r="D10" s="46">
        <f>TOTAL_1!C11</f>
        <v>102.438711188029</v>
      </c>
      <c r="E10" s="65">
        <f>TOTAL_1!G11/$C10*1000</f>
        <v>40.815797133406804</v>
      </c>
      <c r="F10" s="66">
        <f>TOTAL_1!J11/TOTAL_2!$C10*1000</f>
        <v>-161.80350165380358</v>
      </c>
      <c r="G10" s="67">
        <f>TOTAL_1!K11/TOTAL_2!$C10*1000</f>
        <v>0</v>
      </c>
      <c r="H10" s="67">
        <f>TOTAL_1!L11/TOTAL_2!$C10*1000</f>
        <v>0</v>
      </c>
      <c r="I10" s="68">
        <f t="shared" si="0"/>
        <v>-161.80350165380358</v>
      </c>
      <c r="J10" s="65">
        <f>TOTAL_1!Q11/TOTAL_2!$C10*1000</f>
        <v>8.9353825799338384</v>
      </c>
      <c r="K10" s="65">
        <f>TOTAL_1!R11/TOTAL_2!$C10*1000</f>
        <v>0</v>
      </c>
      <c r="L10" s="69">
        <f>TOTAL_1!S11/TOTAL_2!$C10*1000</f>
        <v>-112.05232194046295</v>
      </c>
    </row>
    <row r="11" spans="1:12" ht="15" customHeight="1" x14ac:dyDescent="0.2">
      <c r="B11" s="53" t="str">
        <f>DFIE!B52</f>
        <v>Nidwalden</v>
      </c>
      <c r="C11" s="62">
        <v>43083.166666666701</v>
      </c>
      <c r="D11" s="25">
        <f>TOTAL_1!C12</f>
        <v>155.54213685451899</v>
      </c>
      <c r="E11" s="57">
        <f>TOTAL_1!G12/$C11*1000</f>
        <v>929.5882150414501</v>
      </c>
      <c r="F11" s="58">
        <f>TOTAL_1!J12/TOTAL_2!$C11*1000</f>
        <v>-32.500466152673681</v>
      </c>
      <c r="G11" s="59">
        <f>TOTAL_1!K12/TOTAL_2!$C11*1000</f>
        <v>0</v>
      </c>
      <c r="H11" s="59">
        <f>TOTAL_1!L12/TOTAL_2!$C11*1000</f>
        <v>0</v>
      </c>
      <c r="I11" s="60">
        <f t="shared" si="0"/>
        <v>-32.500466152673681</v>
      </c>
      <c r="J11" s="57">
        <f>TOTAL_1!Q12/TOTAL_2!$C11*1000</f>
        <v>8.9898220109168623</v>
      </c>
      <c r="K11" s="57">
        <f>TOTAL_1!R12/TOTAL_2!$C11*1000</f>
        <v>0</v>
      </c>
      <c r="L11" s="61">
        <f>TOTAL_1!S12/TOTAL_2!$C11*1000</f>
        <v>906.07757089969323</v>
      </c>
    </row>
    <row r="12" spans="1:12" ht="15" customHeight="1" x14ac:dyDescent="0.2">
      <c r="B12" s="63" t="str">
        <f>DFIE!B53</f>
        <v>Glarus</v>
      </c>
      <c r="C12" s="64">
        <v>40599.333333333299</v>
      </c>
      <c r="D12" s="46">
        <f>TOTAL_1!C13</f>
        <v>72.710322886863494</v>
      </c>
      <c r="E12" s="65">
        <f>TOTAL_1!G13/$C12*1000</f>
        <v>-1305.667498645299</v>
      </c>
      <c r="F12" s="66">
        <f>TOTAL_1!J13/TOTAL_2!$C12*1000</f>
        <v>-131.50969638253511</v>
      </c>
      <c r="G12" s="67">
        <f>TOTAL_1!K13/TOTAL_2!$C12*1000</f>
        <v>0</v>
      </c>
      <c r="H12" s="67">
        <f>TOTAL_1!L13/TOTAL_2!$C12*1000</f>
        <v>0</v>
      </c>
      <c r="I12" s="68">
        <f t="shared" si="0"/>
        <v>-131.50969638253511</v>
      </c>
      <c r="J12" s="65">
        <f>TOTAL_1!Q13/TOTAL_2!$C12*1000</f>
        <v>-120.87282221382955</v>
      </c>
      <c r="K12" s="65">
        <f>TOTAL_1!R13/TOTAL_2!$C12*1000</f>
        <v>-38.735512898405588</v>
      </c>
      <c r="L12" s="69">
        <f>TOTAL_1!S13/TOTAL_2!$C12*1000</f>
        <v>-1596.7855301400691</v>
      </c>
    </row>
    <row r="13" spans="1:12" ht="15" customHeight="1" x14ac:dyDescent="0.2">
      <c r="B13" s="53" t="str">
        <f>DFIE!B54</f>
        <v>Zug</v>
      </c>
      <c r="C13" s="62">
        <v>126362</v>
      </c>
      <c r="D13" s="25">
        <f>TOTAL_1!C14</f>
        <v>255.40818855518199</v>
      </c>
      <c r="E13" s="57">
        <f>TOTAL_1!G14/$C13*1000</f>
        <v>2601.0094173881384</v>
      </c>
      <c r="F13" s="58">
        <f>TOTAL_1!J14/TOTAL_2!$C13*1000</f>
        <v>0</v>
      </c>
      <c r="G13" s="59">
        <f>TOTAL_1!K14/TOTAL_2!$C13*1000</f>
        <v>-15.344810939997783</v>
      </c>
      <c r="H13" s="59">
        <f>TOTAL_1!L14/TOTAL_2!$C13*1000</f>
        <v>0</v>
      </c>
      <c r="I13" s="60">
        <f t="shared" si="0"/>
        <v>-15.344810939997783</v>
      </c>
      <c r="J13" s="57">
        <f>TOTAL_1!Q14/TOTAL_2!$C13*1000</f>
        <v>8.1537012709517107</v>
      </c>
      <c r="K13" s="57">
        <f>TOTAL_1!R14/TOTAL_2!$C13*1000</f>
        <v>0</v>
      </c>
      <c r="L13" s="61">
        <f>TOTAL_1!S14/TOTAL_2!$C13*1000</f>
        <v>2593.8183077190929</v>
      </c>
    </row>
    <row r="14" spans="1:12" ht="15" customHeight="1" x14ac:dyDescent="0.2">
      <c r="B14" s="63" t="str">
        <f>DFIE!B55</f>
        <v>Freiburg</v>
      </c>
      <c r="C14" s="64">
        <v>315240.83333333302</v>
      </c>
      <c r="D14" s="46">
        <f>TOTAL_1!C15</f>
        <v>71.987351800311799</v>
      </c>
      <c r="E14" s="65">
        <f>TOTAL_1!G15/$C14*1000</f>
        <v>-1362.7455157300385</v>
      </c>
      <c r="F14" s="66">
        <f>TOTAL_1!J15/TOTAL_2!$C14*1000</f>
        <v>-28.122787604186243</v>
      </c>
      <c r="G14" s="67">
        <f>TOTAL_1!K15/TOTAL_2!$C14*1000</f>
        <v>0</v>
      </c>
      <c r="H14" s="67">
        <f>TOTAL_1!L15/TOTAL_2!$C14*1000</f>
        <v>0</v>
      </c>
      <c r="I14" s="68">
        <f t="shared" si="0"/>
        <v>-28.122787604186243</v>
      </c>
      <c r="J14" s="65">
        <f>TOTAL_1!Q15/TOTAL_2!$C14*1000</f>
        <v>-275.1619867350098</v>
      </c>
      <c r="K14" s="65">
        <f>TOTAL_1!R15/TOTAL_2!$C14*1000</f>
        <v>-38.735514910557839</v>
      </c>
      <c r="L14" s="69">
        <f>TOTAL_1!S15/TOTAL_2!$C14*1000</f>
        <v>-1704.7658049797919</v>
      </c>
    </row>
    <row r="15" spans="1:12" ht="15" customHeight="1" x14ac:dyDescent="0.2">
      <c r="B15" s="53" t="str">
        <f>DFIE!B56</f>
        <v>Solothurn</v>
      </c>
      <c r="C15" s="62">
        <v>272545.66666666698</v>
      </c>
      <c r="D15" s="25">
        <f>TOTAL_1!C16</f>
        <v>71.117640572658303</v>
      </c>
      <c r="E15" s="57">
        <f>TOTAL_1!G16/$C15*1000</f>
        <v>-1432.6602685543812</v>
      </c>
      <c r="F15" s="58">
        <f>TOTAL_1!J16/TOTAL_2!$C15*1000</f>
        <v>0</v>
      </c>
      <c r="G15" s="59">
        <f>TOTAL_1!K16/TOTAL_2!$C15*1000</f>
        <v>-30.511393197714842</v>
      </c>
      <c r="H15" s="59">
        <f>TOTAL_1!L16/TOTAL_2!$C15*1000</f>
        <v>0</v>
      </c>
      <c r="I15" s="60">
        <f t="shared" si="0"/>
        <v>-30.511393197714842</v>
      </c>
      <c r="J15" s="57">
        <f>TOTAL_1!Q16/TOTAL_2!$C15*1000</f>
        <v>9.3445807858499439</v>
      </c>
      <c r="K15" s="57">
        <f>TOTAL_1!R16/TOTAL_2!$C15*1000</f>
        <v>-38.735512213855245</v>
      </c>
      <c r="L15" s="61">
        <f>TOTAL_1!S16/TOTAL_2!$C15*1000</f>
        <v>-1492.5625931801014</v>
      </c>
    </row>
    <row r="16" spans="1:12" ht="15" customHeight="1" x14ac:dyDescent="0.2">
      <c r="B16" s="63" t="str">
        <f>DFIE!B57</f>
        <v>Basel-Stadt</v>
      </c>
      <c r="C16" s="64">
        <v>196445.5</v>
      </c>
      <c r="D16" s="46">
        <f>TOTAL_1!C17</f>
        <v>141.917586932897</v>
      </c>
      <c r="E16" s="65">
        <f>TOTAL_1!G17/$C16*1000</f>
        <v>701.55916017419599</v>
      </c>
      <c r="F16" s="66">
        <f>TOTAL_1!J17/TOTAL_2!$C16*1000</f>
        <v>0</v>
      </c>
      <c r="G16" s="67">
        <f>TOTAL_1!K17/TOTAL_2!$C16*1000</f>
        <v>-233.77971498456316</v>
      </c>
      <c r="H16" s="67">
        <f>TOTAL_1!L17/TOTAL_2!$C16*1000</f>
        <v>-122.23121934582365</v>
      </c>
      <c r="I16" s="68">
        <f t="shared" si="0"/>
        <v>-356.01093433038682</v>
      </c>
      <c r="J16" s="65">
        <f>TOTAL_1!Q17/TOTAL_2!$C16*1000</f>
        <v>10.285249598489148</v>
      </c>
      <c r="K16" s="65">
        <f>TOTAL_1!R17/TOTAL_2!$C16*1000</f>
        <v>0</v>
      </c>
      <c r="L16" s="69">
        <f>TOTAL_1!S17/TOTAL_2!$C16*1000</f>
        <v>355.83347544229832</v>
      </c>
    </row>
    <row r="17" spans="2:19" ht="15" customHeight="1" x14ac:dyDescent="0.2">
      <c r="B17" s="53" t="str">
        <f>DFIE!B58</f>
        <v>Basel-Landschaft</v>
      </c>
      <c r="C17" s="62">
        <v>287667.16666666698</v>
      </c>
      <c r="D17" s="25">
        <f>TOTAL_1!C18</f>
        <v>97.291653656741502</v>
      </c>
      <c r="E17" s="57">
        <f>TOTAL_1!G18/$C17*1000</f>
        <v>-29.790546134624304</v>
      </c>
      <c r="F17" s="58">
        <f>TOTAL_1!J18/TOTAL_2!$C17*1000</f>
        <v>0</v>
      </c>
      <c r="G17" s="59">
        <f>TOTAL_1!K18/TOTAL_2!$C17*1000</f>
        <v>0</v>
      </c>
      <c r="H17" s="59">
        <f>TOTAL_1!L18/TOTAL_2!$C17*1000</f>
        <v>0</v>
      </c>
      <c r="I17" s="60">
        <f t="shared" si="0"/>
        <v>0</v>
      </c>
      <c r="J17" s="57">
        <f>TOTAL_1!Q18/TOTAL_2!$C17*1000</f>
        <v>9.3818805645181271</v>
      </c>
      <c r="K17" s="57">
        <f>TOTAL_1!R18/TOTAL_2!$C17*1000</f>
        <v>-38.735515523437634</v>
      </c>
      <c r="L17" s="61">
        <f>TOTAL_1!S18/TOTAL_2!$C17*1000</f>
        <v>-59.144181093543807</v>
      </c>
    </row>
    <row r="18" spans="2:19" ht="15" customHeight="1" x14ac:dyDescent="0.2">
      <c r="B18" s="63" t="str">
        <f>DFIE!B59</f>
        <v>Schaffhausen</v>
      </c>
      <c r="C18" s="64">
        <v>81878.666666666701</v>
      </c>
      <c r="D18" s="46">
        <f>TOTAL_1!C19</f>
        <v>95.286838466485705</v>
      </c>
      <c r="E18" s="65">
        <f>TOTAL_1!G19/$C18*1000</f>
        <v>-73.756599195557627</v>
      </c>
      <c r="F18" s="66">
        <f>TOTAL_1!J19/TOTAL_2!$C18*1000</f>
        <v>0</v>
      </c>
      <c r="G18" s="67">
        <f>TOTAL_1!K19/TOTAL_2!$C18*1000</f>
        <v>-8.3465086550831273</v>
      </c>
      <c r="H18" s="67">
        <f>TOTAL_1!L19/TOTAL_2!$C18*1000</f>
        <v>0</v>
      </c>
      <c r="I18" s="68">
        <f t="shared" si="0"/>
        <v>-8.3465086550831273</v>
      </c>
      <c r="J18" s="65">
        <f>TOTAL_1!Q19/TOTAL_2!$C18*1000</f>
        <v>9.3955242716865577</v>
      </c>
      <c r="K18" s="65">
        <f>TOTAL_1!R19/TOTAL_2!$C18*1000</f>
        <v>-38.735511081437558</v>
      </c>
      <c r="L18" s="69">
        <f>TOTAL_1!S19/TOTAL_2!$C18*1000</f>
        <v>-111.44309466039178</v>
      </c>
    </row>
    <row r="19" spans="2:19" ht="15" customHeight="1" x14ac:dyDescent="0.2">
      <c r="B19" s="53" t="str">
        <f>DFIE!B60</f>
        <v>Appenzell A.Rh.</v>
      </c>
      <c r="C19" s="62">
        <v>55188</v>
      </c>
      <c r="D19" s="25">
        <f>TOTAL_1!C20</f>
        <v>85.285842810137794</v>
      </c>
      <c r="E19" s="57">
        <f>TOTAL_1!G20/$C19*1000</f>
        <v>-475.17848082916578</v>
      </c>
      <c r="F19" s="58">
        <f>TOTAL_1!J20/TOTAL_2!$C19*1000</f>
        <v>-366.85312024353118</v>
      </c>
      <c r="G19" s="59">
        <f>TOTAL_1!K20/TOTAL_2!$C19*1000</f>
        <v>0</v>
      </c>
      <c r="H19" s="59">
        <f>TOTAL_1!L20/TOTAL_2!$C19*1000</f>
        <v>0</v>
      </c>
      <c r="I19" s="60">
        <f t="shared" si="0"/>
        <v>-366.85312024353118</v>
      </c>
      <c r="J19" s="57">
        <f>TOTAL_1!Q20/TOTAL_2!$C19*1000</f>
        <v>10.15635645430166</v>
      </c>
      <c r="K19" s="57">
        <f>TOTAL_1!R20/TOTAL_2!$C19*1000</f>
        <v>-38.735504095093141</v>
      </c>
      <c r="L19" s="61">
        <f>TOTAL_1!S20/TOTAL_2!$C19*1000</f>
        <v>-870.61074871348853</v>
      </c>
    </row>
    <row r="20" spans="2:19" ht="15" customHeight="1" x14ac:dyDescent="0.2">
      <c r="B20" s="63" t="str">
        <f>DFIE!B61</f>
        <v>Appenzell I.Rh.</v>
      </c>
      <c r="C20" s="64">
        <v>16145.166666666701</v>
      </c>
      <c r="D20" s="46">
        <f>TOTAL_1!C21</f>
        <v>96.254910931273798</v>
      </c>
      <c r="E20" s="65">
        <f>TOTAL_1!G21/$C20*1000</f>
        <v>-50.630198924342579</v>
      </c>
      <c r="F20" s="66">
        <f>TOTAL_1!J21/TOTAL_2!$C20*1000</f>
        <v>-537.51560322490616</v>
      </c>
      <c r="G20" s="67">
        <f>TOTAL_1!K21/TOTAL_2!$C20*1000</f>
        <v>0</v>
      </c>
      <c r="H20" s="67">
        <f>TOTAL_1!L21/TOTAL_2!$C20*1000</f>
        <v>0</v>
      </c>
      <c r="I20" s="68">
        <f t="shared" si="0"/>
        <v>-537.51560322490616</v>
      </c>
      <c r="J20" s="65">
        <f>TOTAL_1!Q21/TOTAL_2!$C20*1000</f>
        <v>9.5151077205768289</v>
      </c>
      <c r="K20" s="65">
        <f>TOTAL_1!R21/TOTAL_2!$C20*1000</f>
        <v>-38.735493594574145</v>
      </c>
      <c r="L20" s="69">
        <f>TOTAL_1!S21/TOTAL_2!$C20*1000</f>
        <v>-617.36618802324608</v>
      </c>
    </row>
    <row r="21" spans="2:19" ht="15" customHeight="1" x14ac:dyDescent="0.2">
      <c r="B21" s="53" t="str">
        <f>DFIE!B62</f>
        <v>St. Gallen</v>
      </c>
      <c r="C21" s="62">
        <v>506736.83333333302</v>
      </c>
      <c r="D21" s="25">
        <f>TOTAL_1!C22</f>
        <v>82.956714153929894</v>
      </c>
      <c r="E21" s="57">
        <f>TOTAL_1!G22/$C21*1000</f>
        <v>-604.34664475742045</v>
      </c>
      <c r="F21" s="58">
        <f>TOTAL_1!J22/TOTAL_2!$C21*1000</f>
        <v>-3.6858638984535386</v>
      </c>
      <c r="G21" s="59">
        <f>TOTAL_1!K22/TOTAL_2!$C21*1000</f>
        <v>0</v>
      </c>
      <c r="H21" s="59">
        <f>TOTAL_1!L22/TOTAL_2!$C21*1000</f>
        <v>0</v>
      </c>
      <c r="I21" s="60">
        <f t="shared" si="0"/>
        <v>-3.6858638984535386</v>
      </c>
      <c r="J21" s="57">
        <f>TOTAL_1!Q22/TOTAL_2!$C21*1000</f>
        <v>9.2899088645947447</v>
      </c>
      <c r="K21" s="57">
        <f>TOTAL_1!R22/TOTAL_2!$C21*1000</f>
        <v>-38.735514588275791</v>
      </c>
      <c r="L21" s="61">
        <f>TOTAL_1!S22/TOTAL_2!$C21*1000</f>
        <v>-637.478114379555</v>
      </c>
    </row>
    <row r="22" spans="2:19" ht="15" customHeight="1" x14ac:dyDescent="0.2">
      <c r="B22" s="63" t="str">
        <f>DFIE!B63</f>
        <v>Graubünden</v>
      </c>
      <c r="C22" s="64">
        <v>205223.83333333299</v>
      </c>
      <c r="D22" s="46">
        <f>TOTAL_1!C23</f>
        <v>82.879164001698001</v>
      </c>
      <c r="E22" s="65">
        <f>TOTAL_1!G23/$C22*1000</f>
        <v>-608.85297760250489</v>
      </c>
      <c r="F22" s="66">
        <f>TOTAL_1!J23/TOTAL_2!$C22*1000</f>
        <v>-667.97678307344199</v>
      </c>
      <c r="G22" s="67">
        <f>TOTAL_1!K23/TOTAL_2!$C22*1000</f>
        <v>0</v>
      </c>
      <c r="H22" s="67">
        <f>TOTAL_1!L23/TOTAL_2!$C22*1000</f>
        <v>0</v>
      </c>
      <c r="I22" s="68">
        <f t="shared" si="0"/>
        <v>-667.97678307344199</v>
      </c>
      <c r="J22" s="65">
        <f>TOTAL_1!Q23/TOTAL_2!$C22*1000</f>
        <v>9.6466329852851889</v>
      </c>
      <c r="K22" s="65">
        <f>TOTAL_1!R23/TOTAL_2!$C22*1000</f>
        <v>-38.735515611815785</v>
      </c>
      <c r="L22" s="69">
        <f>TOTAL_1!S23/TOTAL_2!$C22*1000</f>
        <v>-1305.9186433024774</v>
      </c>
    </row>
    <row r="23" spans="2:19" ht="15" customHeight="1" x14ac:dyDescent="0.2">
      <c r="B23" s="53" t="str">
        <f>DFIE!B64</f>
        <v>Aargau</v>
      </c>
      <c r="C23" s="62">
        <v>672043.83333333302</v>
      </c>
      <c r="D23" s="25">
        <f>TOTAL_1!C24</f>
        <v>81.574284923209206</v>
      </c>
      <c r="E23" s="57">
        <f>TOTAL_1!G24/$C23*1000</f>
        <v>-686.61205878684029</v>
      </c>
      <c r="F23" s="58">
        <f>TOTAL_1!J24/TOTAL_2!$C23*1000</f>
        <v>0</v>
      </c>
      <c r="G23" s="59">
        <f>TOTAL_1!K24/TOTAL_2!$C23*1000</f>
        <v>0</v>
      </c>
      <c r="H23" s="59">
        <f>TOTAL_1!L24/TOTAL_2!$C23*1000</f>
        <v>0</v>
      </c>
      <c r="I23" s="60">
        <f t="shared" si="0"/>
        <v>0</v>
      </c>
      <c r="J23" s="57">
        <f>TOTAL_1!Q24/TOTAL_2!$C23*1000</f>
        <v>8.4446827997082572</v>
      </c>
      <c r="K23" s="57">
        <f>TOTAL_1!R24/TOTAL_2!$C23*1000</f>
        <v>-38.735513531731456</v>
      </c>
      <c r="L23" s="61">
        <f>TOTAL_1!S24/TOTAL_2!$C23*1000</f>
        <v>-716.9028895188635</v>
      </c>
    </row>
    <row r="24" spans="2:19" ht="15" customHeight="1" x14ac:dyDescent="0.2">
      <c r="B24" s="63" t="str">
        <f>DFIE!B65</f>
        <v>Thurgau</v>
      </c>
      <c r="C24" s="64">
        <v>274006.83333333302</v>
      </c>
      <c r="D24" s="46">
        <f>TOTAL_1!C25</f>
        <v>79.297923640757006</v>
      </c>
      <c r="E24" s="65">
        <f>TOTAL_1!G25/$C24*1000</f>
        <v>-830.79587917819674</v>
      </c>
      <c r="F24" s="66">
        <f>TOTAL_1!J25/TOTAL_2!$C24*1000</f>
        <v>-11.531015345724361</v>
      </c>
      <c r="G24" s="67">
        <f>TOTAL_1!K25/TOTAL_2!$C24*1000</f>
        <v>0</v>
      </c>
      <c r="H24" s="67">
        <f>TOTAL_1!L25/TOTAL_2!$C24*1000</f>
        <v>0</v>
      </c>
      <c r="I24" s="68">
        <f t="shared" si="0"/>
        <v>-11.531015345724361</v>
      </c>
      <c r="J24" s="65">
        <f>TOTAL_1!Q25/TOTAL_2!$C24*1000</f>
        <v>8.714315518895221</v>
      </c>
      <c r="K24" s="65">
        <f>TOTAL_1!R25/TOTAL_2!$C24*1000</f>
        <v>-38.735512070562763</v>
      </c>
      <c r="L24" s="69">
        <f>TOTAL_1!S25/TOTAL_2!$C24*1000</f>
        <v>-872.34809107558863</v>
      </c>
    </row>
    <row r="25" spans="2:19" ht="15" customHeight="1" x14ac:dyDescent="0.2">
      <c r="B25" s="53" t="str">
        <f>DFIE!B66</f>
        <v>Tessin</v>
      </c>
      <c r="C25" s="62">
        <v>356336.33333333302</v>
      </c>
      <c r="D25" s="25">
        <f>TOTAL_1!C26</f>
        <v>95.987151214909005</v>
      </c>
      <c r="E25" s="57">
        <f>TOTAL_1!G26/$C25*1000</f>
        <v>-56.687230883930873</v>
      </c>
      <c r="F25" s="58">
        <f>TOTAL_1!J26/TOTAL_2!$C25*1000</f>
        <v>-41.300851536329482</v>
      </c>
      <c r="G25" s="59">
        <f>TOTAL_1!K26/TOTAL_2!$C25*1000</f>
        <v>-17.860569929719972</v>
      </c>
      <c r="H25" s="59">
        <f>TOTAL_1!L26/TOTAL_2!$C25*1000</f>
        <v>0</v>
      </c>
      <c r="I25" s="60">
        <f t="shared" si="0"/>
        <v>-59.161421466049454</v>
      </c>
      <c r="J25" s="57">
        <f>TOTAL_1!Q26/TOTAL_2!$C25*1000</f>
        <v>9.0447695014728673</v>
      </c>
      <c r="K25" s="57">
        <f>TOTAL_1!R26/TOTAL_2!$C25*1000</f>
        <v>-38.73551391990155</v>
      </c>
      <c r="L25" s="61">
        <f>TOTAL_1!S26/TOTAL_2!$C25*1000</f>
        <v>-145.53939676840898</v>
      </c>
    </row>
    <row r="26" spans="2:19" ht="15" customHeight="1" x14ac:dyDescent="0.2">
      <c r="B26" s="63" t="str">
        <f>DFIE!B67</f>
        <v>Waadt</v>
      </c>
      <c r="C26" s="64">
        <v>797472.33333333302</v>
      </c>
      <c r="D26" s="46">
        <f>TOTAL_1!C27</f>
        <v>99.566730419486504</v>
      </c>
      <c r="E26" s="65">
        <f>TOTAL_1!G27/$C26*1000</f>
        <v>-1.4846408464745073</v>
      </c>
      <c r="F26" s="66">
        <f>TOTAL_1!J27/TOTAL_2!$C26*1000</f>
        <v>-0.13422660012865656</v>
      </c>
      <c r="G26" s="67">
        <f>TOTAL_1!K27/TOTAL_2!$C26*1000</f>
        <v>-144.23570723665654</v>
      </c>
      <c r="H26" s="67">
        <f>TOTAL_1!L27/TOTAL_2!$C26*1000</f>
        <v>-6.1053779504158365</v>
      </c>
      <c r="I26" s="68">
        <f t="shared" si="0"/>
        <v>-150.47531178720104</v>
      </c>
      <c r="J26" s="65">
        <f>TOTAL_1!Q27/TOTAL_2!$C26*1000</f>
        <v>8.2697201198620505</v>
      </c>
      <c r="K26" s="65">
        <f>TOTAL_1!R27/TOTAL_2!$C26*1000</f>
        <v>0</v>
      </c>
      <c r="L26" s="69">
        <f>TOTAL_1!S27/TOTAL_2!$C26*1000</f>
        <v>-143.69023251381353</v>
      </c>
    </row>
    <row r="27" spans="2:19" ht="15" customHeight="1" x14ac:dyDescent="0.2">
      <c r="B27" s="53" t="str">
        <f>DFIE!B68</f>
        <v>Wallis</v>
      </c>
      <c r="C27" s="62">
        <v>347870.16666666698</v>
      </c>
      <c r="D27" s="25">
        <f>TOTAL_1!C28</f>
        <v>64.670638880744903</v>
      </c>
      <c r="E27" s="57">
        <f>TOTAL_1!G28/$C27*1000</f>
        <v>-2016.8872534341099</v>
      </c>
      <c r="F27" s="58">
        <f>TOTAL_1!J28/TOTAL_2!$C27*1000</f>
        <v>-212.64666559027509</v>
      </c>
      <c r="G27" s="59">
        <f>TOTAL_1!K28/TOTAL_2!$C27*1000</f>
        <v>-36.76604154519331</v>
      </c>
      <c r="H27" s="59">
        <f>TOTAL_1!L28/TOTAL_2!$C27*1000</f>
        <v>0</v>
      </c>
      <c r="I27" s="60">
        <f t="shared" si="0"/>
        <v>-249.41270713546839</v>
      </c>
      <c r="J27" s="57">
        <f>TOTAL_1!Q28/TOTAL_2!$C27*1000</f>
        <v>8.2397321606097211</v>
      </c>
      <c r="K27" s="57">
        <f>TOTAL_1!R28/TOTAL_2!$C27*1000</f>
        <v>-38.735514830485094</v>
      </c>
      <c r="L27" s="61">
        <f>TOTAL_1!S28/TOTAL_2!$C27*1000</f>
        <v>-2296.7957432394537</v>
      </c>
    </row>
    <row r="28" spans="2:19" ht="15" customHeight="1" x14ac:dyDescent="0.2">
      <c r="B28" s="63" t="str">
        <f>DFIE!B69</f>
        <v>Neuenburg</v>
      </c>
      <c r="C28" s="64">
        <v>179255</v>
      </c>
      <c r="D28" s="46">
        <f>TOTAL_1!C29</f>
        <v>80.113149078189807</v>
      </c>
      <c r="E28" s="65">
        <f>TOTAL_1!G29/$C28*1000</f>
        <v>-777.93488047753203</v>
      </c>
      <c r="F28" s="66">
        <f>TOTAL_1!J29/TOTAL_2!$C28*1000</f>
        <v>-127.26173886363001</v>
      </c>
      <c r="G28" s="67">
        <f>TOTAL_1!K29/TOTAL_2!$C28*1000</f>
        <v>-83.686273744107552</v>
      </c>
      <c r="H28" s="67">
        <f>TOTAL_1!L29/TOTAL_2!$C28*1000</f>
        <v>0</v>
      </c>
      <c r="I28" s="68">
        <f t="shared" si="0"/>
        <v>-210.94801260773755</v>
      </c>
      <c r="J28" s="65">
        <f>TOTAL_1!Q29/TOTAL_2!$C28*1000</f>
        <v>-384.88139242977883</v>
      </c>
      <c r="K28" s="65">
        <f>TOTAL_1!R29/TOTAL_2!$C28*1000</f>
        <v>-38.735516443055978</v>
      </c>
      <c r="L28" s="69">
        <f>TOTAL_1!S29/TOTAL_2!$C28*1000</f>
        <v>-1412.4998019581046</v>
      </c>
    </row>
    <row r="29" spans="2:19" ht="15" customHeight="1" x14ac:dyDescent="0.2">
      <c r="B29" s="53" t="str">
        <f>DFIE!B70</f>
        <v>Genf</v>
      </c>
      <c r="C29" s="62">
        <v>496070.16666666698</v>
      </c>
      <c r="D29" s="25">
        <f>TOTAL_1!C30</f>
        <v>136.58112668128101</v>
      </c>
      <c r="E29" s="57">
        <f>TOTAL_1!G30/$C29*1000</f>
        <v>612.24479601507949</v>
      </c>
      <c r="F29" s="58">
        <f>TOTAL_1!J30/TOTAL_2!$C29*1000</f>
        <v>0</v>
      </c>
      <c r="G29" s="59">
        <f>TOTAL_1!K30/TOTAL_2!$C29*1000</f>
        <v>-227.26207213294072</v>
      </c>
      <c r="H29" s="59">
        <f>TOTAL_1!L30/TOTAL_2!$C29*1000</f>
        <v>-90.208766837755746</v>
      </c>
      <c r="I29" s="60">
        <f t="shared" si="0"/>
        <v>-317.47083897069649</v>
      </c>
      <c r="J29" s="57">
        <f>TOTAL_1!Q30/TOTAL_2!$C29*1000</f>
        <v>8.6394794284813816</v>
      </c>
      <c r="K29" s="57">
        <f>TOTAL_1!R30/TOTAL_2!$C29*1000</f>
        <v>0</v>
      </c>
      <c r="L29" s="61">
        <f>TOTAL_1!S30/TOTAL_2!$C29*1000</f>
        <v>303.41343647286448</v>
      </c>
    </row>
    <row r="30" spans="2:19" ht="15" customHeight="1" x14ac:dyDescent="0.2">
      <c r="B30" s="70" t="str">
        <f>DFIE!B71</f>
        <v>Jura</v>
      </c>
      <c r="C30" s="71">
        <v>73452.333333333299</v>
      </c>
      <c r="D30" s="72">
        <f>TOTAL_1!C31</f>
        <v>65.598794735875998</v>
      </c>
      <c r="E30" s="74">
        <f>TOTAL_1!G31/$C30*1000</f>
        <v>-1931.1318451422017</v>
      </c>
      <c r="F30" s="75">
        <f>TOTAL_1!J31/TOTAL_2!$C30*1000</f>
        <v>-61.139228615383253</v>
      </c>
      <c r="G30" s="76">
        <f>TOTAL_1!K31/TOTAL_2!$C30*1000</f>
        <v>0</v>
      </c>
      <c r="H30" s="76">
        <f>TOTAL_1!L31/TOTAL_2!$C30*1000</f>
        <v>0</v>
      </c>
      <c r="I30" s="77">
        <f t="shared" si="0"/>
        <v>-61.139228615383253</v>
      </c>
      <c r="J30" s="74">
        <f>TOTAL_1!Q31/TOTAL_2!$C30*1000</f>
        <v>-161.9158910313719</v>
      </c>
      <c r="K30" s="74">
        <f>TOTAL_1!R31/TOTAL_2!$C30*1000</f>
        <v>-38.735515549766987</v>
      </c>
      <c r="L30" s="78">
        <f>TOTAL_1!S31/TOTAL_2!$C30*1000</f>
        <v>-2192.9224803387237</v>
      </c>
    </row>
    <row r="31" spans="2:19" ht="40.5" customHeight="1" x14ac:dyDescent="0.2">
      <c r="B31" s="120" t="str">
        <f>DFIE!$B$85</f>
        <v>RI = Ressourcenindex; GLA = Geografisch-topografischer Lastenausgleich; 
SLA = Soziodemografischer Lastenausgleich; A-C = Bereiche Armut, Alter, Ausländerintegration; F = Kernstadtproblematik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8"/>
      <c r="N31" s="18"/>
      <c r="O31" s="18"/>
      <c r="P31" s="18"/>
      <c r="Q31" s="18"/>
      <c r="R31" s="18"/>
      <c r="S31" s="18"/>
    </row>
  </sheetData>
  <mergeCells count="9">
    <mergeCell ref="B1:L1"/>
    <mergeCell ref="B31:L31"/>
    <mergeCell ref="E3:E4"/>
    <mergeCell ref="C3:C4"/>
    <mergeCell ref="L3:L4"/>
    <mergeCell ref="J3:J4"/>
    <mergeCell ref="F3:I3"/>
    <mergeCell ref="D3:D4"/>
    <mergeCell ref="K3:K4"/>
  </mergeCells>
  <conditionalFormatting sqref="C5:C30">
    <cfRule type="expression" dxfId="0" priority="1" stopIfTrue="1">
      <formula>ISBLANK(C5)</formula>
    </cfRule>
  </conditionalFormatting>
  <pageMargins left="0.78740157480314965" right="0.78740157480314965" top="0.98425196850393704" bottom="0.59055118110236227" header="0.51181102362204722" footer="0.51181102362204722"/>
  <pageSetup paperSize="9" scale="9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G4" sqref="G4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93" t="s">
        <v>73</v>
      </c>
      <c r="D1" s="84" t="s">
        <v>112</v>
      </c>
      <c r="G1" s="84" t="s">
        <v>70</v>
      </c>
    </row>
    <row r="2" spans="1:10" ht="12.75" customHeight="1" x14ac:dyDescent="0.2">
      <c r="B2" s="93" t="s">
        <v>127</v>
      </c>
      <c r="D2" s="86" t="s">
        <v>108</v>
      </c>
      <c r="E2" s="83"/>
      <c r="G2" s="92">
        <f>INTRO!D53</f>
        <v>2022</v>
      </c>
    </row>
    <row r="3" spans="1:10" ht="12.75" customHeight="1" x14ac:dyDescent="0.2">
      <c r="B3" s="93"/>
      <c r="D3" s="89" t="s">
        <v>109</v>
      </c>
      <c r="E3" s="83"/>
    </row>
    <row r="4" spans="1:10" ht="12" customHeight="1" x14ac:dyDescent="0.2">
      <c r="A4" s="4"/>
      <c r="B4" s="94" t="s">
        <v>124</v>
      </c>
      <c r="C4" s="83"/>
      <c r="D4" s="89" t="s">
        <v>110</v>
      </c>
      <c r="E4" s="83"/>
      <c r="F4" s="4"/>
      <c r="H4" s="4"/>
      <c r="J4" s="4"/>
    </row>
    <row r="5" spans="1:10" ht="12" customHeight="1" x14ac:dyDescent="0.2">
      <c r="B5" s="94" t="s">
        <v>125</v>
      </c>
      <c r="D5" s="91" t="s">
        <v>111</v>
      </c>
      <c r="E5" s="83"/>
    </row>
    <row r="6" spans="1:10" ht="12.75" customHeight="1" x14ac:dyDescent="0.2">
      <c r="B6" s="93"/>
      <c r="D6" s="88">
        <v>1</v>
      </c>
      <c r="E6" s="83"/>
    </row>
    <row r="7" spans="1:10" x14ac:dyDescent="0.2">
      <c r="B7" s="95"/>
      <c r="D7" s="85"/>
      <c r="E7" s="85"/>
    </row>
    <row r="8" spans="1:10" x14ac:dyDescent="0.2">
      <c r="B8" s="87">
        <f>ROW()</f>
        <v>8</v>
      </c>
      <c r="C8" s="83" t="s">
        <v>123</v>
      </c>
      <c r="D8" s="88">
        <v>1</v>
      </c>
      <c r="E8" s="88">
        <v>2</v>
      </c>
      <c r="F8" s="88">
        <v>3</v>
      </c>
      <c r="G8" s="88">
        <v>4</v>
      </c>
      <c r="H8" s="4" t="s">
        <v>123</v>
      </c>
    </row>
    <row r="9" spans="1:10" x14ac:dyDescent="0.2">
      <c r="A9" s="82"/>
      <c r="B9" s="90" t="str">
        <f>HLOOKUP($D$6,D8:G9,2,FALSE)</f>
        <v>Deutsch</v>
      </c>
      <c r="C9" s="83" t="s">
        <v>123</v>
      </c>
      <c r="D9" s="84" t="s">
        <v>108</v>
      </c>
      <c r="E9" s="84" t="s">
        <v>109</v>
      </c>
      <c r="F9" s="84" t="s">
        <v>110</v>
      </c>
      <c r="G9" s="84" t="s">
        <v>111</v>
      </c>
      <c r="H9" s="4" t="s">
        <v>123</v>
      </c>
    </row>
    <row r="10" spans="1:10" x14ac:dyDescent="0.2">
      <c r="B10" s="96" t="str">
        <f t="shared" ref="B10:B45" si="0">HLOOKUP($B$9,$D$9:$G$85,ROW()-$B$8,FALSE)</f>
        <v>Eidgenössisches Finanzdepartement EFD</v>
      </c>
      <c r="C10" s="83" t="s">
        <v>123</v>
      </c>
      <c r="D10" s="4" t="s">
        <v>115</v>
      </c>
      <c r="E10" s="4" t="s">
        <v>117</v>
      </c>
      <c r="F10" s="4" t="s">
        <v>154</v>
      </c>
      <c r="G10" s="4" t="s">
        <v>128</v>
      </c>
      <c r="H10" s="4" t="s">
        <v>123</v>
      </c>
    </row>
    <row r="11" spans="1:10" x14ac:dyDescent="0.2">
      <c r="B11" s="79" t="str">
        <f t="shared" si="0"/>
        <v>Eidgenössische Finanzverwaltung EFV</v>
      </c>
      <c r="C11" s="83" t="s">
        <v>123</v>
      </c>
      <c r="D11" s="4" t="s">
        <v>116</v>
      </c>
      <c r="E11" s="4" t="s">
        <v>118</v>
      </c>
      <c r="F11" s="4" t="s">
        <v>155</v>
      </c>
      <c r="G11" s="4" t="s">
        <v>146</v>
      </c>
      <c r="H11" s="4" t="s">
        <v>123</v>
      </c>
    </row>
    <row r="12" spans="1:10" x14ac:dyDescent="0.2">
      <c r="B12" s="79" t="str">
        <f t="shared" si="0"/>
        <v>Finanzausgleich zwischen Bund und Kantonen</v>
      </c>
      <c r="C12" s="83" t="s">
        <v>123</v>
      </c>
      <c r="D12" s="4" t="s">
        <v>113</v>
      </c>
      <c r="E12" s="4" t="s">
        <v>114</v>
      </c>
      <c r="F12" s="4" t="s">
        <v>156</v>
      </c>
      <c r="G12" s="4" t="s">
        <v>147</v>
      </c>
      <c r="H12" s="4" t="s">
        <v>123</v>
      </c>
    </row>
    <row r="13" spans="1:10" x14ac:dyDescent="0.2">
      <c r="B13" s="79" t="str">
        <f t="shared" si="0"/>
        <v>Zahlungen 2022</v>
      </c>
      <c r="C13" s="83" t="s">
        <v>123</v>
      </c>
      <c r="D13" s="4" t="str">
        <f>"Zahlungen " &amp; $G$2</f>
        <v>Zahlungen 2022</v>
      </c>
      <c r="E13" s="4" t="str">
        <f>"Paiements " &amp; $G$2</f>
        <v>Paiements 2022</v>
      </c>
      <c r="F13" s="4" t="str">
        <f>"Pagamenti " &amp; $G$2</f>
        <v>Pagamenti 2022</v>
      </c>
      <c r="G13" s="4" t="str">
        <f>"Payments "&amp;$G$2</f>
        <v>Payments 2022</v>
      </c>
      <c r="H13" s="4" t="s">
        <v>123</v>
      </c>
    </row>
    <row r="14" spans="1:10" x14ac:dyDescent="0.2">
      <c r="B14" s="79" t="str">
        <f t="shared" si="0"/>
        <v>Zahlungen in 1000 CHF</v>
      </c>
      <c r="C14" s="83" t="s">
        <v>123</v>
      </c>
      <c r="D14" s="4" t="s">
        <v>121</v>
      </c>
      <c r="E14" s="4" t="s">
        <v>151</v>
      </c>
      <c r="F14" s="4" t="s">
        <v>157</v>
      </c>
      <c r="G14" s="4" t="s">
        <v>148</v>
      </c>
      <c r="H14" s="4" t="s">
        <v>123</v>
      </c>
    </row>
    <row r="15" spans="1:10" x14ac:dyDescent="0.2">
      <c r="B15" s="80" t="str">
        <f t="shared" si="0"/>
        <v>Zahlungen in Franken pro Einwohner</v>
      </c>
      <c r="C15" s="83" t="s">
        <v>123</v>
      </c>
      <c r="D15" s="4" t="s">
        <v>122</v>
      </c>
      <c r="E15" s="4" t="s">
        <v>126</v>
      </c>
      <c r="F15" s="4" t="s">
        <v>158</v>
      </c>
      <c r="G15" s="4" t="s">
        <v>130</v>
      </c>
      <c r="H15" s="4" t="s">
        <v>123</v>
      </c>
    </row>
    <row r="16" spans="1:10" x14ac:dyDescent="0.2">
      <c r="B16" s="79" t="str">
        <f t="shared" si="0"/>
        <v>Referenzjahr</v>
      </c>
      <c r="C16" s="83"/>
      <c r="D16" s="4" t="s">
        <v>70</v>
      </c>
      <c r="E16" s="4" t="s">
        <v>223</v>
      </c>
      <c r="F16" s="4" t="s">
        <v>224</v>
      </c>
      <c r="G16" s="4" t="s">
        <v>225</v>
      </c>
    </row>
    <row r="17" spans="2:8" x14ac:dyDescent="0.2">
      <c r="B17" s="79" t="str">
        <f t="shared" si="0"/>
        <v>Berechnungsdatum</v>
      </c>
      <c r="C17" s="83"/>
      <c r="D17" s="4" t="s">
        <v>71</v>
      </c>
      <c r="E17" s="4" t="s">
        <v>226</v>
      </c>
      <c r="F17" s="4" t="s">
        <v>230</v>
      </c>
      <c r="G17" s="4" t="s">
        <v>227</v>
      </c>
    </row>
    <row r="18" spans="2:8" x14ac:dyDescent="0.2">
      <c r="B18" s="80" t="str">
        <f t="shared" si="0"/>
        <v>Berechnungs-ID</v>
      </c>
      <c r="C18" s="83"/>
      <c r="D18" s="4" t="s">
        <v>72</v>
      </c>
      <c r="E18" s="4" t="s">
        <v>228</v>
      </c>
      <c r="F18" s="4" t="s">
        <v>231</v>
      </c>
      <c r="G18" s="4" t="s">
        <v>229</v>
      </c>
    </row>
    <row r="19" spans="2:8" x14ac:dyDescent="0.2">
      <c r="B19" s="79" t="str">
        <f t="shared" si="0"/>
        <v>Zahlungen 2022</v>
      </c>
      <c r="C19" s="83" t="s">
        <v>123</v>
      </c>
      <c r="D19" s="4" t="str">
        <f>"Zahlungen "&amp;$G$2</f>
        <v>Zahlungen 2022</v>
      </c>
      <c r="E19" s="4" t="str">
        <f>"Paiements "&amp;$G$2</f>
        <v>Paiements 2022</v>
      </c>
      <c r="F19" s="4" t="str">
        <f>"Pagamenti "&amp;$G$2</f>
        <v>Pagamenti 2022</v>
      </c>
      <c r="G19" s="4" t="str">
        <f>"Payments "&amp;$G$2</f>
        <v>Payments 2022</v>
      </c>
      <c r="H19" s="4" t="s">
        <v>123</v>
      </c>
    </row>
    <row r="20" spans="2:8" x14ac:dyDescent="0.2">
      <c r="B20" s="79" t="str">
        <f t="shared" si="0"/>
        <v>in CHF 1'000; (+) Belastung Kanton; (-) Entlastung Kanton</v>
      </c>
      <c r="C20" s="83" t="s">
        <v>123</v>
      </c>
      <c r="D20" s="4" t="s">
        <v>0</v>
      </c>
      <c r="E20" s="4" t="s">
        <v>193</v>
      </c>
      <c r="F20" s="4" t="s">
        <v>201</v>
      </c>
      <c r="G20" s="4" t="s">
        <v>129</v>
      </c>
      <c r="H20" s="4" t="s">
        <v>123</v>
      </c>
    </row>
    <row r="21" spans="2:8" x14ac:dyDescent="0.2">
      <c r="B21" s="79" t="str">
        <f t="shared" si="0"/>
        <v>Ressourcenausgleich</v>
      </c>
      <c r="C21" s="83" t="s">
        <v>123</v>
      </c>
      <c r="D21" s="4" t="s">
        <v>64</v>
      </c>
      <c r="E21" s="4" t="s">
        <v>74</v>
      </c>
      <c r="F21" s="4" t="s">
        <v>159</v>
      </c>
      <c r="G21" s="4" t="s">
        <v>131</v>
      </c>
      <c r="H21" s="4" t="s">
        <v>123</v>
      </c>
    </row>
    <row r="22" spans="2:8" x14ac:dyDescent="0.2">
      <c r="B22" s="79" t="str">
        <f t="shared" si="0"/>
        <v>RI 2022</v>
      </c>
      <c r="C22" s="83" t="s">
        <v>123</v>
      </c>
      <c r="D22" s="4" t="str">
        <f>"RI " &amp; $G$2</f>
        <v>RI 2022</v>
      </c>
      <c r="E22" s="4" t="str">
        <f>"IR " &amp; $G$2</f>
        <v>IR 2022</v>
      </c>
      <c r="F22" s="4" t="str">
        <f>"IR " &amp; $G$2</f>
        <v>IR 2022</v>
      </c>
      <c r="G22" s="4" t="str">
        <f>"RI " &amp; $G$2</f>
        <v>RI 2022</v>
      </c>
      <c r="H22" s="4" t="s">
        <v>123</v>
      </c>
    </row>
    <row r="23" spans="2:8" x14ac:dyDescent="0.2">
      <c r="B23" s="79" t="str">
        <f t="shared" si="0"/>
        <v>horizontal</v>
      </c>
      <c r="C23" s="83" t="s">
        <v>123</v>
      </c>
      <c r="D23" s="4" t="s">
        <v>3</v>
      </c>
      <c r="E23" s="4" t="s">
        <v>152</v>
      </c>
      <c r="F23" s="4" t="s">
        <v>160</v>
      </c>
      <c r="G23" s="4" t="s">
        <v>132</v>
      </c>
      <c r="H23" s="4" t="s">
        <v>123</v>
      </c>
    </row>
    <row r="24" spans="2:8" x14ac:dyDescent="0.2">
      <c r="B24" s="79" t="str">
        <f t="shared" si="0"/>
        <v>vertikal</v>
      </c>
      <c r="C24" s="83" t="s">
        <v>123</v>
      </c>
      <c r="D24" s="4" t="s">
        <v>4</v>
      </c>
      <c r="E24" s="4" t="s">
        <v>153</v>
      </c>
      <c r="F24" s="4" t="s">
        <v>161</v>
      </c>
      <c r="G24" s="4" t="s">
        <v>135</v>
      </c>
      <c r="H24" s="4" t="s">
        <v>123</v>
      </c>
    </row>
    <row r="25" spans="2:8" x14ac:dyDescent="0.2">
      <c r="B25" s="79" t="str">
        <f t="shared" si="0"/>
        <v>Total</v>
      </c>
      <c r="C25" s="83" t="s">
        <v>123</v>
      </c>
      <c r="D25" s="4" t="s">
        <v>5</v>
      </c>
      <c r="E25" s="4" t="s">
        <v>5</v>
      </c>
      <c r="F25" s="4" t="s">
        <v>162</v>
      </c>
      <c r="G25" s="4" t="s">
        <v>5</v>
      </c>
      <c r="H25" s="4" t="s">
        <v>123</v>
      </c>
    </row>
    <row r="26" spans="2:8" x14ac:dyDescent="0.2">
      <c r="B26" s="79" t="str">
        <f t="shared" si="0"/>
        <v>Einzahlung</v>
      </c>
      <c r="C26" s="83" t="s">
        <v>123</v>
      </c>
      <c r="D26" s="4" t="s">
        <v>9</v>
      </c>
      <c r="E26" s="4" t="s">
        <v>203</v>
      </c>
      <c r="F26" s="4" t="s">
        <v>163</v>
      </c>
      <c r="G26" s="4" t="s">
        <v>133</v>
      </c>
      <c r="H26" s="4" t="s">
        <v>123</v>
      </c>
    </row>
    <row r="27" spans="2:8" x14ac:dyDescent="0.2">
      <c r="B27" s="79" t="str">
        <f t="shared" si="0"/>
        <v>Auszahlung</v>
      </c>
      <c r="C27" s="83" t="s">
        <v>123</v>
      </c>
      <c r="D27" s="4" t="s">
        <v>10</v>
      </c>
      <c r="E27" s="4" t="s">
        <v>204</v>
      </c>
      <c r="F27" s="4" t="s">
        <v>164</v>
      </c>
      <c r="G27" s="4" t="s">
        <v>134</v>
      </c>
      <c r="H27" s="4" t="s">
        <v>123</v>
      </c>
    </row>
    <row r="28" spans="2:8" x14ac:dyDescent="0.2">
      <c r="B28" s="79" t="str">
        <f t="shared" si="0"/>
        <v>Auszahlung</v>
      </c>
      <c r="C28" s="83" t="s">
        <v>123</v>
      </c>
      <c r="D28" s="4" t="s">
        <v>10</v>
      </c>
      <c r="E28" s="4" t="s">
        <v>204</v>
      </c>
      <c r="F28" s="4" t="s">
        <v>164</v>
      </c>
      <c r="G28" s="4" t="s">
        <v>134</v>
      </c>
      <c r="H28" s="4" t="s">
        <v>123</v>
      </c>
    </row>
    <row r="29" spans="2:8" x14ac:dyDescent="0.2">
      <c r="B29" s="79" t="str">
        <f t="shared" si="0"/>
        <v>Einz. - Ausz.</v>
      </c>
      <c r="C29" s="83" t="s">
        <v>123</v>
      </c>
      <c r="D29" s="4" t="s">
        <v>196</v>
      </c>
      <c r="E29" s="4" t="s">
        <v>205</v>
      </c>
      <c r="F29" s="4" t="s">
        <v>211</v>
      </c>
      <c r="G29" s="4" t="s">
        <v>217</v>
      </c>
      <c r="H29" s="4" t="s">
        <v>123</v>
      </c>
    </row>
    <row r="30" spans="2:8" x14ac:dyDescent="0.2">
      <c r="B30" s="79" t="str">
        <f t="shared" si="0"/>
        <v>Auszahlung</v>
      </c>
      <c r="C30" s="83" t="s">
        <v>123</v>
      </c>
      <c r="D30" s="4" t="s">
        <v>10</v>
      </c>
      <c r="E30" s="4" t="s">
        <v>206</v>
      </c>
      <c r="F30" s="4" t="s">
        <v>164</v>
      </c>
      <c r="G30" s="4" t="s">
        <v>134</v>
      </c>
      <c r="H30" s="4" t="s">
        <v>123</v>
      </c>
    </row>
    <row r="31" spans="2:8" ht="11.25" customHeight="1" x14ac:dyDescent="0.2">
      <c r="B31" s="79" t="str">
        <f t="shared" si="0"/>
        <v>Index
SSE
nach
RA</v>
      </c>
      <c r="C31" s="83" t="s">
        <v>123</v>
      </c>
      <c r="D31" s="4" t="s">
        <v>195</v>
      </c>
      <c r="E31" s="4" t="s">
        <v>207</v>
      </c>
      <c r="F31" s="4" t="s">
        <v>212</v>
      </c>
      <c r="G31" s="4" t="s">
        <v>218</v>
      </c>
      <c r="H31" s="4" t="s">
        <v>123</v>
      </c>
    </row>
    <row r="32" spans="2:8" x14ac:dyDescent="0.2">
      <c r="B32" s="79" t="str">
        <f t="shared" si="0"/>
        <v>Lastenausgleich</v>
      </c>
      <c r="C32" s="83" t="s">
        <v>123</v>
      </c>
      <c r="D32" s="4" t="s">
        <v>65</v>
      </c>
      <c r="E32" s="4" t="s">
        <v>75</v>
      </c>
      <c r="F32" s="4" t="s">
        <v>165</v>
      </c>
      <c r="G32" s="4" t="s">
        <v>141</v>
      </c>
      <c r="H32" s="4" t="s">
        <v>123</v>
      </c>
    </row>
    <row r="33" spans="2:8" x14ac:dyDescent="0.2">
      <c r="B33" s="79" t="str">
        <f t="shared" si="0"/>
        <v>GLA</v>
      </c>
      <c r="C33" s="83" t="s">
        <v>123</v>
      </c>
      <c r="D33" s="4" t="s">
        <v>6</v>
      </c>
      <c r="E33" s="4" t="s">
        <v>76</v>
      </c>
      <c r="F33" s="4" t="s">
        <v>166</v>
      </c>
      <c r="G33" s="4" t="s">
        <v>136</v>
      </c>
      <c r="H33" s="4" t="s">
        <v>123</v>
      </c>
    </row>
    <row r="34" spans="2:8" x14ac:dyDescent="0.2">
      <c r="B34" s="79" t="str">
        <f t="shared" si="0"/>
        <v>SLA A-C</v>
      </c>
      <c r="C34" s="83" t="s">
        <v>123</v>
      </c>
      <c r="D34" s="4" t="s">
        <v>7</v>
      </c>
      <c r="E34" s="4" t="s">
        <v>77</v>
      </c>
      <c r="F34" s="4" t="s">
        <v>167</v>
      </c>
      <c r="G34" s="4" t="s">
        <v>137</v>
      </c>
      <c r="H34" s="4" t="s">
        <v>123</v>
      </c>
    </row>
    <row r="35" spans="2:8" x14ac:dyDescent="0.2">
      <c r="B35" s="79" t="str">
        <f t="shared" si="0"/>
        <v>SLA F</v>
      </c>
      <c r="C35" s="83" t="s">
        <v>123</v>
      </c>
      <c r="D35" s="4" t="s">
        <v>8</v>
      </c>
      <c r="E35" s="4" t="s">
        <v>78</v>
      </c>
      <c r="F35" s="4" t="s">
        <v>168</v>
      </c>
      <c r="G35" s="4" t="s">
        <v>138</v>
      </c>
      <c r="H35" s="4" t="s">
        <v>123</v>
      </c>
    </row>
    <row r="36" spans="2:8" x14ac:dyDescent="0.2">
      <c r="B36" s="79" t="str">
        <f t="shared" si="0"/>
        <v>Total</v>
      </c>
      <c r="C36" s="83" t="s">
        <v>123</v>
      </c>
      <c r="D36" s="4" t="s">
        <v>5</v>
      </c>
      <c r="E36" s="4" t="s">
        <v>5</v>
      </c>
      <c r="F36" s="4" t="s">
        <v>162</v>
      </c>
      <c r="G36" s="4" t="s">
        <v>5</v>
      </c>
      <c r="H36" s="4" t="s">
        <v>123</v>
      </c>
    </row>
    <row r="37" spans="2:8" ht="11.25" customHeight="1" x14ac:dyDescent="0.2">
      <c r="B37" s="79" t="str">
        <f t="shared" si="0"/>
        <v>Total
RA + LA</v>
      </c>
      <c r="C37" s="83" t="s">
        <v>123</v>
      </c>
      <c r="D37" s="4" t="s">
        <v>1</v>
      </c>
      <c r="E37" s="4" t="s">
        <v>79</v>
      </c>
      <c r="F37" s="4" t="s">
        <v>238</v>
      </c>
      <c r="G37" s="4" t="s">
        <v>139</v>
      </c>
      <c r="H37" s="4" t="s">
        <v>123</v>
      </c>
    </row>
    <row r="38" spans="2:8" ht="11.25" customHeight="1" x14ac:dyDescent="0.2">
      <c r="B38" s="79" t="str">
        <f t="shared" si="0"/>
        <v>Härteausgleich</v>
      </c>
      <c r="C38" s="83" t="s">
        <v>123</v>
      </c>
      <c r="D38" s="4" t="s">
        <v>2</v>
      </c>
      <c r="E38" s="4" t="s">
        <v>232</v>
      </c>
      <c r="F38" s="4" t="s">
        <v>200</v>
      </c>
      <c r="G38" s="4" t="s">
        <v>140</v>
      </c>
      <c r="H38" s="4" t="s">
        <v>123</v>
      </c>
    </row>
    <row r="39" spans="2:8" x14ac:dyDescent="0.2">
      <c r="B39" s="79" t="str">
        <f t="shared" si="0"/>
        <v>Einzahlung</v>
      </c>
      <c r="C39" s="83" t="s">
        <v>123</v>
      </c>
      <c r="D39" s="4" t="s">
        <v>9</v>
      </c>
      <c r="E39" s="4" t="s">
        <v>203</v>
      </c>
      <c r="F39" s="4" t="s">
        <v>163</v>
      </c>
      <c r="G39" s="4" t="s">
        <v>133</v>
      </c>
      <c r="H39" s="4" t="s">
        <v>123</v>
      </c>
    </row>
    <row r="40" spans="2:8" x14ac:dyDescent="0.2">
      <c r="B40" s="79" t="str">
        <f t="shared" si="0"/>
        <v>Auszahlung</v>
      </c>
      <c r="C40" s="83" t="s">
        <v>123</v>
      </c>
      <c r="D40" s="4" t="s">
        <v>10</v>
      </c>
      <c r="E40" s="4" t="s">
        <v>204</v>
      </c>
      <c r="F40" s="4" t="s">
        <v>164</v>
      </c>
      <c r="G40" s="4" t="s">
        <v>134</v>
      </c>
      <c r="H40" s="4" t="s">
        <v>123</v>
      </c>
    </row>
    <row r="41" spans="2:8" x14ac:dyDescent="0.2">
      <c r="B41" s="79" t="str">
        <f t="shared" si="0"/>
        <v>Total</v>
      </c>
      <c r="C41" s="83" t="s">
        <v>123</v>
      </c>
      <c r="D41" s="4" t="s">
        <v>5</v>
      </c>
      <c r="E41" s="4" t="s">
        <v>5</v>
      </c>
      <c r="F41" s="4" t="s">
        <v>162</v>
      </c>
      <c r="G41" s="4" t="s">
        <v>5</v>
      </c>
      <c r="H41" s="4" t="s">
        <v>123</v>
      </c>
    </row>
    <row r="42" spans="2:8" ht="11.25" customHeight="1" x14ac:dyDescent="0.2">
      <c r="B42" s="79" t="str">
        <f t="shared" si="0"/>
        <v>Abfede-
rungs-
mass-
nahmen</v>
      </c>
      <c r="C42" s="83" t="s">
        <v>123</v>
      </c>
      <c r="D42" s="4" t="s">
        <v>233</v>
      </c>
      <c r="E42" s="4" t="s">
        <v>234</v>
      </c>
      <c r="F42" s="81" t="s">
        <v>242</v>
      </c>
      <c r="G42" s="4" t="s">
        <v>237</v>
      </c>
      <c r="H42" s="4" t="s">
        <v>123</v>
      </c>
    </row>
    <row r="43" spans="2:8" x14ac:dyDescent="0.2">
      <c r="B43" s="79" t="str">
        <f t="shared" si="0"/>
        <v>Total</v>
      </c>
      <c r="C43" s="83" t="s">
        <v>123</v>
      </c>
      <c r="D43" s="4" t="s">
        <v>5</v>
      </c>
      <c r="E43" s="4" t="s">
        <v>5</v>
      </c>
      <c r="F43" s="4" t="s">
        <v>162</v>
      </c>
      <c r="G43" s="4" t="s">
        <v>5</v>
      </c>
      <c r="H43" s="4" t="s">
        <v>123</v>
      </c>
    </row>
    <row r="44" spans="2:8" x14ac:dyDescent="0.2">
      <c r="B44" s="79" t="str">
        <f t="shared" si="0"/>
        <v>Schweiz</v>
      </c>
      <c r="C44" s="83" t="s">
        <v>123</v>
      </c>
      <c r="D44" s="4" t="s">
        <v>69</v>
      </c>
      <c r="E44" s="4" t="s">
        <v>80</v>
      </c>
      <c r="F44" s="4" t="s">
        <v>169</v>
      </c>
      <c r="G44" s="4" t="s">
        <v>142</v>
      </c>
      <c r="H44" s="4" t="s">
        <v>123</v>
      </c>
    </row>
    <row r="45" spans="2:8" x14ac:dyDescent="0.2">
      <c r="B45" s="80" t="str">
        <f t="shared" si="0"/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45" s="83" t="s">
        <v>123</v>
      </c>
      <c r="D45" s="4" t="s">
        <v>66</v>
      </c>
      <c r="E45" s="4" t="s">
        <v>240</v>
      </c>
      <c r="F45" s="4" t="s">
        <v>170</v>
      </c>
      <c r="G45" s="4" t="s">
        <v>241</v>
      </c>
      <c r="H45" s="4" t="s">
        <v>123</v>
      </c>
    </row>
    <row r="46" spans="2:8" x14ac:dyDescent="0.2">
      <c r="B46" s="79" t="str">
        <f t="shared" ref="B46:B77" si="1">HLOOKUP($B$9,$D$9:$G$85,ROW()-$B$8,FALSE)</f>
        <v>Zürich</v>
      </c>
      <c r="C46" s="83" t="s">
        <v>123</v>
      </c>
      <c r="D46" s="4" t="s">
        <v>38</v>
      </c>
      <c r="E46" s="4" t="s">
        <v>81</v>
      </c>
      <c r="F46" s="4" t="s">
        <v>171</v>
      </c>
      <c r="G46" s="4" t="s">
        <v>81</v>
      </c>
      <c r="H46" s="4" t="s">
        <v>123</v>
      </c>
    </row>
    <row r="47" spans="2:8" x14ac:dyDescent="0.2">
      <c r="B47" s="79" t="str">
        <f t="shared" si="1"/>
        <v>Bern</v>
      </c>
      <c r="C47" s="83" t="s">
        <v>123</v>
      </c>
      <c r="D47" s="4" t="s">
        <v>39</v>
      </c>
      <c r="E47" s="4" t="s">
        <v>82</v>
      </c>
      <c r="F47" s="4" t="s">
        <v>172</v>
      </c>
      <c r="G47" s="4" t="s">
        <v>39</v>
      </c>
      <c r="H47" s="4" t="s">
        <v>123</v>
      </c>
    </row>
    <row r="48" spans="2:8" x14ac:dyDescent="0.2">
      <c r="B48" s="79" t="str">
        <f t="shared" si="1"/>
        <v>Luzern</v>
      </c>
      <c r="C48" s="83" t="s">
        <v>123</v>
      </c>
      <c r="D48" s="4" t="s">
        <v>40</v>
      </c>
      <c r="E48" s="4" t="s">
        <v>83</v>
      </c>
      <c r="F48" s="4" t="s">
        <v>173</v>
      </c>
      <c r="G48" s="4" t="s">
        <v>40</v>
      </c>
      <c r="H48" s="4" t="s">
        <v>123</v>
      </c>
    </row>
    <row r="49" spans="2:8" x14ac:dyDescent="0.2">
      <c r="B49" s="79" t="str">
        <f t="shared" si="1"/>
        <v>Uri</v>
      </c>
      <c r="C49" s="83" t="s">
        <v>123</v>
      </c>
      <c r="D49" s="4" t="s">
        <v>41</v>
      </c>
      <c r="E49" s="4" t="s">
        <v>41</v>
      </c>
      <c r="F49" s="4" t="s">
        <v>41</v>
      </c>
      <c r="G49" s="4" t="s">
        <v>41</v>
      </c>
      <c r="H49" s="4" t="s">
        <v>123</v>
      </c>
    </row>
    <row r="50" spans="2:8" x14ac:dyDescent="0.2">
      <c r="B50" s="79" t="str">
        <f t="shared" si="1"/>
        <v>Schwyz</v>
      </c>
      <c r="C50" s="83" t="s">
        <v>123</v>
      </c>
      <c r="D50" s="4" t="s">
        <v>42</v>
      </c>
      <c r="E50" s="4" t="s">
        <v>42</v>
      </c>
      <c r="F50" s="4" t="s">
        <v>174</v>
      </c>
      <c r="G50" s="4" t="s">
        <v>42</v>
      </c>
      <c r="H50" s="4" t="s">
        <v>123</v>
      </c>
    </row>
    <row r="51" spans="2:8" x14ac:dyDescent="0.2">
      <c r="B51" s="79" t="str">
        <f t="shared" si="1"/>
        <v>Obwalden</v>
      </c>
      <c r="C51" s="83" t="s">
        <v>123</v>
      </c>
      <c r="D51" s="4" t="s">
        <v>43</v>
      </c>
      <c r="E51" s="4" t="s">
        <v>84</v>
      </c>
      <c r="F51" s="4" t="s">
        <v>175</v>
      </c>
      <c r="G51" s="4" t="s">
        <v>43</v>
      </c>
      <c r="H51" s="4" t="s">
        <v>123</v>
      </c>
    </row>
    <row r="52" spans="2:8" x14ac:dyDescent="0.2">
      <c r="B52" s="79" t="str">
        <f t="shared" si="1"/>
        <v>Nidwalden</v>
      </c>
      <c r="C52" s="83" t="s">
        <v>123</v>
      </c>
      <c r="D52" s="4" t="s">
        <v>44</v>
      </c>
      <c r="E52" s="4" t="s">
        <v>85</v>
      </c>
      <c r="F52" s="4" t="s">
        <v>176</v>
      </c>
      <c r="G52" s="4" t="s">
        <v>44</v>
      </c>
      <c r="H52" s="4" t="s">
        <v>123</v>
      </c>
    </row>
    <row r="53" spans="2:8" x14ac:dyDescent="0.2">
      <c r="B53" s="79" t="str">
        <f t="shared" si="1"/>
        <v>Glarus</v>
      </c>
      <c r="C53" s="83" t="s">
        <v>123</v>
      </c>
      <c r="D53" s="4" t="s">
        <v>45</v>
      </c>
      <c r="E53" s="4" t="s">
        <v>86</v>
      </c>
      <c r="F53" s="4" t="s">
        <v>177</v>
      </c>
      <c r="G53" s="4" t="s">
        <v>45</v>
      </c>
      <c r="H53" s="4" t="s">
        <v>123</v>
      </c>
    </row>
    <row r="54" spans="2:8" x14ac:dyDescent="0.2">
      <c r="B54" s="79" t="str">
        <f t="shared" si="1"/>
        <v>Zug</v>
      </c>
      <c r="C54" s="83" t="s">
        <v>123</v>
      </c>
      <c r="D54" s="4" t="s">
        <v>46</v>
      </c>
      <c r="E54" s="4" t="s">
        <v>87</v>
      </c>
      <c r="F54" s="4" t="s">
        <v>178</v>
      </c>
      <c r="G54" s="4" t="s">
        <v>46</v>
      </c>
      <c r="H54" s="4" t="s">
        <v>123</v>
      </c>
    </row>
    <row r="55" spans="2:8" x14ac:dyDescent="0.2">
      <c r="B55" s="79" t="str">
        <f t="shared" si="1"/>
        <v>Freiburg</v>
      </c>
      <c r="C55" s="83" t="s">
        <v>123</v>
      </c>
      <c r="D55" s="4" t="s">
        <v>47</v>
      </c>
      <c r="E55" s="4" t="s">
        <v>88</v>
      </c>
      <c r="F55" s="4" t="s">
        <v>179</v>
      </c>
      <c r="G55" s="4" t="s">
        <v>88</v>
      </c>
      <c r="H55" s="4" t="s">
        <v>123</v>
      </c>
    </row>
    <row r="56" spans="2:8" x14ac:dyDescent="0.2">
      <c r="B56" s="79" t="str">
        <f t="shared" si="1"/>
        <v>Solothurn</v>
      </c>
      <c r="C56" s="83" t="s">
        <v>123</v>
      </c>
      <c r="D56" s="4" t="s">
        <v>48</v>
      </c>
      <c r="E56" s="4" t="s">
        <v>89</v>
      </c>
      <c r="F56" s="4" t="s">
        <v>180</v>
      </c>
      <c r="G56" s="4" t="s">
        <v>48</v>
      </c>
      <c r="H56" s="4" t="s">
        <v>123</v>
      </c>
    </row>
    <row r="57" spans="2:8" x14ac:dyDescent="0.2">
      <c r="B57" s="79" t="str">
        <f t="shared" si="1"/>
        <v>Basel-Stadt</v>
      </c>
      <c r="C57" s="83" t="s">
        <v>123</v>
      </c>
      <c r="D57" s="4" t="s">
        <v>49</v>
      </c>
      <c r="E57" s="4" t="s">
        <v>90</v>
      </c>
      <c r="F57" s="4" t="s">
        <v>181</v>
      </c>
      <c r="G57" s="4" t="s">
        <v>149</v>
      </c>
      <c r="H57" s="4" t="s">
        <v>123</v>
      </c>
    </row>
    <row r="58" spans="2:8" x14ac:dyDescent="0.2">
      <c r="B58" s="79" t="str">
        <f t="shared" si="1"/>
        <v>Basel-Landschaft</v>
      </c>
      <c r="C58" s="83" t="s">
        <v>123</v>
      </c>
      <c r="D58" s="4" t="s">
        <v>50</v>
      </c>
      <c r="E58" s="4" t="s">
        <v>91</v>
      </c>
      <c r="F58" s="4" t="s">
        <v>182</v>
      </c>
      <c r="G58" s="4" t="s">
        <v>150</v>
      </c>
      <c r="H58" s="4" t="s">
        <v>123</v>
      </c>
    </row>
    <row r="59" spans="2:8" x14ac:dyDescent="0.2">
      <c r="B59" s="79" t="str">
        <f t="shared" si="1"/>
        <v>Schaffhausen</v>
      </c>
      <c r="C59" s="83" t="s">
        <v>123</v>
      </c>
      <c r="D59" s="4" t="s">
        <v>51</v>
      </c>
      <c r="E59" s="4" t="s">
        <v>92</v>
      </c>
      <c r="F59" s="4" t="s">
        <v>183</v>
      </c>
      <c r="G59" s="4" t="s">
        <v>51</v>
      </c>
      <c r="H59" s="4" t="s">
        <v>123</v>
      </c>
    </row>
    <row r="60" spans="2:8" x14ac:dyDescent="0.2">
      <c r="B60" s="79" t="str">
        <f t="shared" si="1"/>
        <v>Appenzell A.Rh.</v>
      </c>
      <c r="C60" s="83" t="s">
        <v>123</v>
      </c>
      <c r="D60" s="4" t="s">
        <v>52</v>
      </c>
      <c r="E60" s="4" t="s">
        <v>93</v>
      </c>
      <c r="F60" s="4" t="s">
        <v>184</v>
      </c>
      <c r="G60" s="4" t="s">
        <v>52</v>
      </c>
      <c r="H60" s="4" t="s">
        <v>123</v>
      </c>
    </row>
    <row r="61" spans="2:8" x14ac:dyDescent="0.2">
      <c r="B61" s="79" t="str">
        <f t="shared" si="1"/>
        <v>Appenzell I.Rh.</v>
      </c>
      <c r="C61" s="83" t="s">
        <v>123</v>
      </c>
      <c r="D61" s="4" t="s">
        <v>53</v>
      </c>
      <c r="E61" s="4" t="s">
        <v>94</v>
      </c>
      <c r="F61" s="4" t="s">
        <v>185</v>
      </c>
      <c r="G61" s="4" t="s">
        <v>53</v>
      </c>
      <c r="H61" s="4" t="s">
        <v>123</v>
      </c>
    </row>
    <row r="62" spans="2:8" x14ac:dyDescent="0.2">
      <c r="B62" s="79" t="str">
        <f t="shared" si="1"/>
        <v>St. Gallen</v>
      </c>
      <c r="C62" s="83" t="s">
        <v>123</v>
      </c>
      <c r="D62" s="4" t="s">
        <v>54</v>
      </c>
      <c r="E62" s="4" t="s">
        <v>95</v>
      </c>
      <c r="F62" s="4" t="s">
        <v>186</v>
      </c>
      <c r="G62" s="4" t="s">
        <v>54</v>
      </c>
      <c r="H62" s="4" t="s">
        <v>123</v>
      </c>
    </row>
    <row r="63" spans="2:8" x14ac:dyDescent="0.2">
      <c r="B63" s="79" t="str">
        <f t="shared" si="1"/>
        <v>Graubünden</v>
      </c>
      <c r="C63" s="83" t="s">
        <v>123</v>
      </c>
      <c r="D63" s="4" t="s">
        <v>55</v>
      </c>
      <c r="E63" s="4" t="s">
        <v>96</v>
      </c>
      <c r="F63" s="4" t="s">
        <v>187</v>
      </c>
      <c r="G63" s="4" t="s">
        <v>55</v>
      </c>
      <c r="H63" s="4" t="s">
        <v>123</v>
      </c>
    </row>
    <row r="64" spans="2:8" x14ac:dyDescent="0.2">
      <c r="B64" s="79" t="str">
        <f t="shared" si="1"/>
        <v>Aargau</v>
      </c>
      <c r="C64" s="83" t="s">
        <v>123</v>
      </c>
      <c r="D64" s="4" t="s">
        <v>56</v>
      </c>
      <c r="E64" s="4" t="s">
        <v>97</v>
      </c>
      <c r="F64" s="4" t="s">
        <v>188</v>
      </c>
      <c r="G64" s="4" t="s">
        <v>56</v>
      </c>
      <c r="H64" s="4" t="s">
        <v>123</v>
      </c>
    </row>
    <row r="65" spans="2:8" x14ac:dyDescent="0.2">
      <c r="B65" s="79" t="str">
        <f t="shared" si="1"/>
        <v>Thurgau</v>
      </c>
      <c r="C65" s="83" t="s">
        <v>123</v>
      </c>
      <c r="D65" s="4" t="s">
        <v>57</v>
      </c>
      <c r="E65" s="4" t="s">
        <v>98</v>
      </c>
      <c r="F65" s="4" t="s">
        <v>189</v>
      </c>
      <c r="G65" s="4" t="s">
        <v>57</v>
      </c>
      <c r="H65" s="4" t="s">
        <v>123</v>
      </c>
    </row>
    <row r="66" spans="2:8" x14ac:dyDescent="0.2">
      <c r="B66" s="79" t="str">
        <f t="shared" si="1"/>
        <v>Tessin</v>
      </c>
      <c r="C66" s="83" t="s">
        <v>123</v>
      </c>
      <c r="D66" s="4" t="s">
        <v>58</v>
      </c>
      <c r="E66" s="4" t="s">
        <v>58</v>
      </c>
      <c r="F66" s="4" t="s">
        <v>143</v>
      </c>
      <c r="G66" s="4" t="s">
        <v>143</v>
      </c>
      <c r="H66" s="4" t="s">
        <v>123</v>
      </c>
    </row>
    <row r="67" spans="2:8" x14ac:dyDescent="0.2">
      <c r="B67" s="79" t="str">
        <f t="shared" si="1"/>
        <v>Waadt</v>
      </c>
      <c r="C67" s="83" t="s">
        <v>123</v>
      </c>
      <c r="D67" s="4" t="s">
        <v>59</v>
      </c>
      <c r="E67" s="4" t="s">
        <v>99</v>
      </c>
      <c r="F67" s="4" t="s">
        <v>99</v>
      </c>
      <c r="G67" s="4" t="s">
        <v>99</v>
      </c>
      <c r="H67" s="4" t="s">
        <v>123</v>
      </c>
    </row>
    <row r="68" spans="2:8" x14ac:dyDescent="0.2">
      <c r="B68" s="79" t="str">
        <f t="shared" si="1"/>
        <v>Wallis</v>
      </c>
      <c r="C68" s="83" t="s">
        <v>123</v>
      </c>
      <c r="D68" s="4" t="s">
        <v>60</v>
      </c>
      <c r="E68" s="4" t="s">
        <v>100</v>
      </c>
      <c r="F68" s="4" t="s">
        <v>190</v>
      </c>
      <c r="G68" s="4" t="s">
        <v>100</v>
      </c>
      <c r="H68" s="4" t="s">
        <v>123</v>
      </c>
    </row>
    <row r="69" spans="2:8" x14ac:dyDescent="0.2">
      <c r="B69" s="79" t="str">
        <f t="shared" si="1"/>
        <v>Neuenburg</v>
      </c>
      <c r="C69" s="83" t="s">
        <v>123</v>
      </c>
      <c r="D69" s="4" t="s">
        <v>61</v>
      </c>
      <c r="E69" s="4" t="s">
        <v>101</v>
      </c>
      <c r="F69" s="4" t="s">
        <v>101</v>
      </c>
      <c r="G69" s="4" t="s">
        <v>101</v>
      </c>
      <c r="H69" s="4" t="s">
        <v>123</v>
      </c>
    </row>
    <row r="70" spans="2:8" x14ac:dyDescent="0.2">
      <c r="B70" s="79" t="str">
        <f t="shared" si="1"/>
        <v>Genf</v>
      </c>
      <c r="C70" s="83" t="s">
        <v>123</v>
      </c>
      <c r="D70" s="4" t="s">
        <v>62</v>
      </c>
      <c r="E70" s="4" t="s">
        <v>102</v>
      </c>
      <c r="F70" s="4" t="s">
        <v>191</v>
      </c>
      <c r="G70" s="4" t="s">
        <v>144</v>
      </c>
      <c r="H70" s="4" t="s">
        <v>123</v>
      </c>
    </row>
    <row r="71" spans="2:8" x14ac:dyDescent="0.2">
      <c r="B71" s="79" t="str">
        <f t="shared" si="1"/>
        <v>Jura</v>
      </c>
      <c r="C71" s="83" t="s">
        <v>123</v>
      </c>
      <c r="D71" s="4" t="s">
        <v>63</v>
      </c>
      <c r="E71" s="4" t="s">
        <v>63</v>
      </c>
      <c r="F71" s="4" t="s">
        <v>192</v>
      </c>
      <c r="G71" s="4" t="s">
        <v>63</v>
      </c>
      <c r="H71" s="4" t="s">
        <v>123</v>
      </c>
    </row>
    <row r="72" spans="2:8" x14ac:dyDescent="0.2">
      <c r="B72" s="79" t="str">
        <f t="shared" si="1"/>
        <v>Zahlungen pro Einwohner 2022</v>
      </c>
      <c r="C72" s="83" t="s">
        <v>123</v>
      </c>
      <c r="D72" s="4" t="str">
        <f>"Zahlungen pro Einwohner " &amp;$G$2</f>
        <v>Zahlungen pro Einwohner 2022</v>
      </c>
      <c r="E72" s="4" t="str">
        <f>"Paiements par habitant " &amp;$G$2</f>
        <v>Paiements par habitant 2022</v>
      </c>
      <c r="F72" s="4" t="str">
        <f>"Pagamenti per abitante " &amp;$G$2</f>
        <v>Pagamenti per abitante 2022</v>
      </c>
      <c r="G72" s="4" t="str">
        <f>"Payments per capita " &amp;$G$2</f>
        <v>Payments per capita 2022</v>
      </c>
      <c r="H72" s="4" t="s">
        <v>123</v>
      </c>
    </row>
    <row r="73" spans="2:8" x14ac:dyDescent="0.2">
      <c r="B73" s="79" t="str">
        <f t="shared" si="1"/>
        <v>in CHF; (+) Belastung Kanton; (-) Entlastung Kanton</v>
      </c>
      <c r="C73" s="83" t="s">
        <v>123</v>
      </c>
      <c r="D73" s="4" t="s">
        <v>37</v>
      </c>
      <c r="E73" s="4" t="s">
        <v>194</v>
      </c>
      <c r="F73" s="4" t="s">
        <v>202</v>
      </c>
      <c r="G73" s="4" t="s">
        <v>145</v>
      </c>
      <c r="H73" s="4" t="s">
        <v>123</v>
      </c>
    </row>
    <row r="74" spans="2:8" x14ac:dyDescent="0.2">
      <c r="B74" s="79" t="str">
        <f t="shared" si="1"/>
        <v>Massgebende
Wohnbevölkerung</v>
      </c>
      <c r="C74" s="83" t="s">
        <v>123</v>
      </c>
      <c r="D74" s="4" t="s">
        <v>197</v>
      </c>
      <c r="E74" s="4" t="s">
        <v>208</v>
      </c>
      <c r="F74" s="4" t="s">
        <v>213</v>
      </c>
      <c r="G74" s="4" t="s">
        <v>219</v>
      </c>
      <c r="H74" s="4" t="s">
        <v>123</v>
      </c>
    </row>
    <row r="75" spans="2:8" x14ac:dyDescent="0.2">
      <c r="B75" s="79" t="str">
        <f t="shared" si="1"/>
        <v>RI</v>
      </c>
      <c r="C75" s="83" t="s">
        <v>123</v>
      </c>
      <c r="D75" s="4" t="s">
        <v>67</v>
      </c>
      <c r="E75" s="4" t="s">
        <v>103</v>
      </c>
      <c r="F75" s="4" t="s">
        <v>103</v>
      </c>
      <c r="G75" s="4" t="s">
        <v>67</v>
      </c>
      <c r="H75" s="4" t="s">
        <v>123</v>
      </c>
    </row>
    <row r="76" spans="2:8" x14ac:dyDescent="0.2">
      <c r="B76" s="79" t="str">
        <f t="shared" si="1"/>
        <v>Ressourcen-
ausgleich</v>
      </c>
      <c r="C76" s="83" t="s">
        <v>123</v>
      </c>
      <c r="D76" s="4" t="s">
        <v>198</v>
      </c>
      <c r="E76" s="4" t="s">
        <v>209</v>
      </c>
      <c r="F76" s="4" t="s">
        <v>214</v>
      </c>
      <c r="G76" s="4" t="s">
        <v>220</v>
      </c>
      <c r="H76" s="4" t="s">
        <v>123</v>
      </c>
    </row>
    <row r="77" spans="2:8" x14ac:dyDescent="0.2">
      <c r="B77" s="79" t="str">
        <f t="shared" si="1"/>
        <v>Lastenausgleich</v>
      </c>
      <c r="C77" s="83" t="s">
        <v>123</v>
      </c>
      <c r="D77" s="4" t="s">
        <v>65</v>
      </c>
      <c r="E77" s="4" t="s">
        <v>75</v>
      </c>
      <c r="F77" s="4" t="s">
        <v>165</v>
      </c>
      <c r="G77" s="4" t="s">
        <v>141</v>
      </c>
      <c r="H77" s="4" t="s">
        <v>123</v>
      </c>
    </row>
    <row r="78" spans="2:8" x14ac:dyDescent="0.2">
      <c r="B78" s="79" t="str">
        <f t="shared" ref="B78:B85" si="2">HLOOKUP($B$9,$D$9:$G$85,ROW()-$B$8,FALSE)</f>
        <v>GLA</v>
      </c>
      <c r="C78" s="83" t="s">
        <v>123</v>
      </c>
      <c r="D78" s="4" t="s">
        <v>6</v>
      </c>
      <c r="E78" s="4" t="s">
        <v>76</v>
      </c>
      <c r="F78" s="4" t="s">
        <v>166</v>
      </c>
      <c r="G78" s="4" t="s">
        <v>136</v>
      </c>
      <c r="H78" s="4" t="s">
        <v>123</v>
      </c>
    </row>
    <row r="79" spans="2:8" x14ac:dyDescent="0.2">
      <c r="B79" s="79" t="str">
        <f t="shared" si="2"/>
        <v>SLA A-C</v>
      </c>
      <c r="C79" s="83" t="s">
        <v>123</v>
      </c>
      <c r="D79" s="4" t="s">
        <v>7</v>
      </c>
      <c r="E79" s="4" t="s">
        <v>77</v>
      </c>
      <c r="F79" s="4" t="s">
        <v>167</v>
      </c>
      <c r="G79" s="4" t="s">
        <v>137</v>
      </c>
      <c r="H79" s="4" t="s">
        <v>123</v>
      </c>
    </row>
    <row r="80" spans="2:8" x14ac:dyDescent="0.2">
      <c r="B80" s="79" t="str">
        <f t="shared" si="2"/>
        <v>SLA F</v>
      </c>
      <c r="C80" s="83" t="s">
        <v>123</v>
      </c>
      <c r="D80" s="4" t="s">
        <v>8</v>
      </c>
      <c r="E80" s="4" t="s">
        <v>78</v>
      </c>
      <c r="F80" s="4" t="s">
        <v>168</v>
      </c>
      <c r="G80" s="4" t="s">
        <v>138</v>
      </c>
      <c r="H80" s="4" t="s">
        <v>123</v>
      </c>
    </row>
    <row r="81" spans="2:8" x14ac:dyDescent="0.2">
      <c r="B81" s="79" t="str">
        <f t="shared" si="2"/>
        <v>Total</v>
      </c>
      <c r="C81" s="83" t="s">
        <v>123</v>
      </c>
      <c r="D81" s="4" t="s">
        <v>5</v>
      </c>
      <c r="E81" s="4" t="s">
        <v>5</v>
      </c>
      <c r="F81" s="4" t="s">
        <v>162</v>
      </c>
      <c r="G81" s="4" t="s">
        <v>5</v>
      </c>
      <c r="H81" s="4" t="s">
        <v>123</v>
      </c>
    </row>
    <row r="82" spans="2:8" x14ac:dyDescent="0.2">
      <c r="B82" s="79" t="str">
        <f t="shared" si="2"/>
        <v>Härte-
ausgleich</v>
      </c>
      <c r="C82" s="83" t="s">
        <v>123</v>
      </c>
      <c r="D82" s="4" t="s">
        <v>199</v>
      </c>
      <c r="E82" s="4" t="s">
        <v>210</v>
      </c>
      <c r="F82" s="4" t="s">
        <v>215</v>
      </c>
      <c r="G82" s="4" t="s">
        <v>221</v>
      </c>
      <c r="H82" s="4" t="s">
        <v>123</v>
      </c>
    </row>
    <row r="83" spans="2:8" ht="11.25" customHeight="1" x14ac:dyDescent="0.2">
      <c r="B83" s="79" t="str">
        <f t="shared" si="2"/>
        <v>Abfederungs-
massnahmen</v>
      </c>
      <c r="C83" s="83" t="s">
        <v>123</v>
      </c>
      <c r="D83" s="4" t="s">
        <v>235</v>
      </c>
      <c r="E83" s="4" t="s">
        <v>236</v>
      </c>
      <c r="F83" s="81" t="s">
        <v>243</v>
      </c>
      <c r="G83" s="4" t="s">
        <v>237</v>
      </c>
      <c r="H83" s="4" t="s">
        <v>123</v>
      </c>
    </row>
    <row r="84" spans="2:8" x14ac:dyDescent="0.2">
      <c r="B84" s="79" t="str">
        <f t="shared" si="2"/>
        <v>Total</v>
      </c>
      <c r="C84" s="83" t="s">
        <v>123</v>
      </c>
      <c r="D84" s="4" t="s">
        <v>5</v>
      </c>
      <c r="E84" s="4" t="s">
        <v>5</v>
      </c>
      <c r="F84" s="4" t="s">
        <v>162</v>
      </c>
      <c r="G84" s="4" t="s">
        <v>5</v>
      </c>
      <c r="H84" s="4" t="s">
        <v>123</v>
      </c>
    </row>
    <row r="85" spans="2:8" x14ac:dyDescent="0.2">
      <c r="B85" s="80" t="str">
        <f t="shared" si="2"/>
        <v>RI = Ressourcenindex; GLA = Geografisch-topografischer Lastenausgleich; 
SLA = Soziodemografischer Lastenausgleich; A-C = Bereiche Armut, Alter, Ausländerintegration; F = Kernstadtproblematik</v>
      </c>
      <c r="C85" s="83" t="s">
        <v>123</v>
      </c>
      <c r="D85" s="4" t="s">
        <v>68</v>
      </c>
      <c r="E85" s="4" t="s">
        <v>239</v>
      </c>
      <c r="F85" s="4" t="s">
        <v>216</v>
      </c>
      <c r="G85" s="4" t="s">
        <v>222</v>
      </c>
      <c r="H85" s="4" t="s">
        <v>123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TOTAL_1</vt:lpstr>
      <vt:lpstr>TOTAL_2</vt:lpstr>
      <vt:lpstr>TOTAL_1!Druckbereich</vt:lpstr>
      <vt:lpstr>TOTAL_2!Druckbereich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2021-06-07T07:19:43Z</dcterms:modified>
</cp:coreProperties>
</file>