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B7CB3449-B426-4BEC-86DF-8F6E1175666D}" xr6:coauthVersionLast="47" xr6:coauthVersionMax="47" xr10:uidLastSave="{00000000-0000-0000-0000-000000000000}"/>
  <bookViews>
    <workbookView xWindow="-110" yWindow="-110" windowWidth="38620" windowHeight="21100" activeTab="2" xr2:uid="{153A7813-7146-4BE7-A80C-9B4DDA058E37}"/>
  </bookViews>
  <sheets>
    <sheet name="Eingabe_RA" sheetId="5" r:id="rId1"/>
    <sheet name="Berechnung_Einzahlung" sheetId="6" r:id="rId2"/>
    <sheet name="Berechnung_Auszahlung" sheetId="1" r:id="rId3"/>
    <sheet name="Result_SSE" sheetId="7" r:id="rId4"/>
    <sheet name="Stand. Steuern" sheetId="4" r:id="rId5"/>
    <sheet name="Tabelle3" sheetId="3" r:id="rId6"/>
  </sheets>
  <definedNames>
    <definedName name="A">Berechnung_Einzahlung!$I$12</definedName>
    <definedName name="B" localSheetId="1">Berechnung_Einzahlung!$I$12</definedName>
    <definedName name="B">Berechnung_Auszahlung!$I$12</definedName>
    <definedName name="BEV" localSheetId="1">Berechnung_Einzahlung!$C$5:$C$30</definedName>
    <definedName name="BEV">Berechnung_Auszahlung!$C$5:$C$30</definedName>
    <definedName name="p" localSheetId="1">Berechnung_Einzahlung!$I$5</definedName>
    <definedName name="p">Berechnung_Auszahlung!$I$5</definedName>
    <definedName name="RI" localSheetId="1">Berechnung_Einzahlung!$B$5:$B$30</definedName>
    <definedName name="RI">Berechnung_Auszahlung!$B$5:$B$30</definedName>
    <definedName name="RI_26" localSheetId="1">Berechnung_Einzahlung!$I$7</definedName>
    <definedName name="RI_26">Berechnung_Auszahlung!$I$7</definedName>
    <definedName name="RI_MIN" localSheetId="1">Berechnung_Einzahlung!$I$8</definedName>
    <definedName name="RI_MIN">Berechnung_Auszahlung!$I$8</definedName>
    <definedName name="solver_adj" localSheetId="2" hidden="1">Berechnung_Auszahlung!$I$5</definedName>
    <definedName name="solver_adj" localSheetId="1" hidden="1">Berechnung_Einzahlung!$I$5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st" localSheetId="2" hidden="1">1</definedName>
    <definedName name="solver_est" localSheetId="1" hidden="1">1</definedName>
    <definedName name="solver_itr" localSheetId="2" hidden="1">100</definedName>
    <definedName name="solver_itr" localSheetId="1" hidden="1">100</definedName>
    <definedName name="solver_lhs1" localSheetId="2" hidden="1">Berechnung_Auszahlung!$I$8</definedName>
    <definedName name="solver_lhs1" localSheetId="1" hidden="1">Berechnung_Einzahlung!$I$8</definedName>
    <definedName name="solver_lin" localSheetId="2" hidden="1">2</definedName>
    <definedName name="solver_lin" localSheetId="1" hidden="1">2</definedName>
    <definedName name="solver_neg" localSheetId="2" hidden="1">2</definedName>
    <definedName name="solver_neg" localSheetId="1" hidden="1">2</definedName>
    <definedName name="solver_num" localSheetId="2" hidden="1">1</definedName>
    <definedName name="solver_num" localSheetId="1" hidden="1">1</definedName>
    <definedName name="solver_nwt" localSheetId="2" hidden="1">1</definedName>
    <definedName name="solver_nwt" localSheetId="1" hidden="1">1</definedName>
    <definedName name="solver_opt" localSheetId="2" hidden="1">Berechnung_Auszahlung!$I$6</definedName>
    <definedName name="solver_opt" localSheetId="1" hidden="1">Berechnung_Einzahlung!$I$6</definedName>
    <definedName name="solver_pre" localSheetId="2" hidden="1">0.000001</definedName>
    <definedName name="solver_pre" localSheetId="1" hidden="1">0.000001</definedName>
    <definedName name="solver_rel1" localSheetId="2" hidden="1">2</definedName>
    <definedName name="solver_rel1" localSheetId="1" hidden="1">2</definedName>
    <definedName name="solver_rhs1" localSheetId="2" hidden="1">Berechnung_Auszahlung!$I$7</definedName>
    <definedName name="solver_rhs1" localSheetId="1" hidden="1">Berechnung_Einzahlung!$I$7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tim" localSheetId="2" hidden="1">100</definedName>
    <definedName name="solver_tim" localSheetId="1" hidden="1">100</definedName>
    <definedName name="solver_tol" localSheetId="2" hidden="1">0.05</definedName>
    <definedName name="solver_tol" localSheetId="1" hidden="1">0.05</definedName>
    <definedName name="solver_typ" localSheetId="2" hidden="1">1</definedName>
    <definedName name="solver_typ" localSheetId="1" hidden="1">1</definedName>
    <definedName name="solver_val" localSheetId="2" hidden="1">0</definedName>
    <definedName name="solver_val" localSheetId="1" hidden="1">0</definedName>
    <definedName name="SSE" localSheetId="1">Berechnung_Einzahlung!$I$13</definedName>
    <definedName name="sse">'Stand. Steuern'!$F$9</definedName>
    <definedName name="SUM" localSheetId="1">Berechnung_Einzahlung!$D$31</definedName>
    <definedName name="SUM">Berechnung_Auszahlung!$D$31</definedName>
    <definedName name="SUM_A">Berechnung_Einzahlung!$D$31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7" i="4"/>
  <c r="E6" i="4"/>
  <c r="E7" i="4" s="1"/>
  <c r="C6" i="4"/>
  <c r="C7" i="4"/>
  <c r="F7" i="4" s="1"/>
  <c r="F9" i="4" s="1"/>
  <c r="F8" i="4"/>
  <c r="E7" i="7"/>
  <c r="D5" i="1"/>
  <c r="D6" i="1"/>
  <c r="D7" i="1"/>
  <c r="D31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C12" i="5"/>
  <c r="I12" i="1" s="1"/>
  <c r="E31" i="7"/>
  <c r="E8" i="7"/>
  <c r="E9" i="7"/>
  <c r="D5" i="6"/>
  <c r="D31" i="6" s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C11" i="5"/>
  <c r="I12" i="6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6" i="7"/>
  <c r="E5" i="7"/>
  <c r="E6" i="6"/>
  <c r="F6" i="6"/>
  <c r="E7" i="6"/>
  <c r="F7" i="6"/>
  <c r="E8" i="6"/>
  <c r="F8" i="6"/>
  <c r="E10" i="6"/>
  <c r="F10" i="6"/>
  <c r="E12" i="6"/>
  <c r="F12" i="6"/>
  <c r="E14" i="6"/>
  <c r="F14" i="6"/>
  <c r="E15" i="6"/>
  <c r="F15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6" i="6"/>
  <c r="F26" i="6"/>
  <c r="E27" i="6"/>
  <c r="F27" i="6"/>
  <c r="E28" i="6"/>
  <c r="F28" i="6"/>
  <c r="E30" i="6"/>
  <c r="F30" i="6"/>
  <c r="E5" i="1"/>
  <c r="F5" i="1"/>
  <c r="E9" i="1"/>
  <c r="F9" i="1"/>
  <c r="E11" i="1"/>
  <c r="F11" i="1"/>
  <c r="E13" i="1"/>
  <c r="F13" i="1"/>
  <c r="E16" i="1"/>
  <c r="F16" i="1"/>
  <c r="E17" i="1"/>
  <c r="F17" i="1"/>
  <c r="E25" i="1"/>
  <c r="F25" i="1"/>
  <c r="E29" i="1"/>
  <c r="F29" i="1"/>
  <c r="K31" i="7"/>
  <c r="K30" i="7"/>
  <c r="K29" i="7"/>
  <c r="K28" i="7"/>
  <c r="K26" i="7"/>
  <c r="K25" i="7"/>
  <c r="K24" i="7"/>
  <c r="K22" i="7"/>
  <c r="K21" i="7"/>
  <c r="K20" i="7"/>
  <c r="K18" i="7"/>
  <c r="K17" i="7"/>
  <c r="K16" i="7"/>
  <c r="K14" i="7"/>
  <c r="K13" i="7"/>
  <c r="K12" i="7"/>
  <c r="K10" i="7"/>
  <c r="K9" i="7"/>
  <c r="K7" i="7"/>
  <c r="K6" i="7"/>
  <c r="K5" i="7"/>
  <c r="C31" i="6"/>
  <c r="B33" i="7"/>
  <c r="I7" i="1"/>
  <c r="B31" i="1"/>
  <c r="C31" i="1"/>
  <c r="B31" i="6"/>
  <c r="I13" i="1" l="1"/>
  <c r="F12" i="4"/>
  <c r="I8" i="1"/>
  <c r="E25" i="6"/>
  <c r="F25" i="6" s="1"/>
  <c r="F25" i="7" s="1"/>
  <c r="E13" i="6"/>
  <c r="F13" i="6" s="1"/>
  <c r="F13" i="7" s="1"/>
  <c r="E17" i="6"/>
  <c r="F17" i="6" s="1"/>
  <c r="F17" i="7" s="1"/>
  <c r="E11" i="6"/>
  <c r="F11" i="6" s="1"/>
  <c r="F11" i="7" s="1"/>
  <c r="E5" i="6"/>
  <c r="F5" i="6" s="1"/>
  <c r="E16" i="6"/>
  <c r="F16" i="6" s="1"/>
  <c r="F16" i="7" s="1"/>
  <c r="L16" i="7" s="1"/>
  <c r="E29" i="6"/>
  <c r="F29" i="6" s="1"/>
  <c r="F29" i="7" s="1"/>
  <c r="I6" i="1"/>
  <c r="G20" i="7"/>
  <c r="H20" i="7" s="1"/>
  <c r="E14" i="1"/>
  <c r="F14" i="1" s="1"/>
  <c r="F14" i="7" s="1"/>
  <c r="E22" i="1"/>
  <c r="F22" i="1" s="1"/>
  <c r="F22" i="7" s="1"/>
  <c r="E26" i="1"/>
  <c r="F26" i="1" s="1"/>
  <c r="F26" i="7" s="1"/>
  <c r="E23" i="1"/>
  <c r="F23" i="1" s="1"/>
  <c r="F23" i="7" s="1"/>
  <c r="L23" i="7" s="1"/>
  <c r="E21" i="1"/>
  <c r="F21" i="1" s="1"/>
  <c r="F21" i="7" s="1"/>
  <c r="E6" i="1"/>
  <c r="F6" i="1" s="1"/>
  <c r="F6" i="7" s="1"/>
  <c r="L6" i="7" s="1"/>
  <c r="E24" i="1"/>
  <c r="F24" i="1" s="1"/>
  <c r="F24" i="7" s="1"/>
  <c r="L24" i="7" s="1"/>
  <c r="E15" i="1"/>
  <c r="F15" i="1" s="1"/>
  <c r="F15" i="7" s="1"/>
  <c r="E19" i="1"/>
  <c r="F19" i="1" s="1"/>
  <c r="F19" i="7" s="1"/>
  <c r="E27" i="1"/>
  <c r="F27" i="1" s="1"/>
  <c r="F27" i="7" s="1"/>
  <c r="L27" i="7" s="1"/>
  <c r="E12" i="1"/>
  <c r="F12" i="1" s="1"/>
  <c r="F12" i="7" s="1"/>
  <c r="L12" i="7" s="1"/>
  <c r="E20" i="1"/>
  <c r="F20" i="1" s="1"/>
  <c r="F20" i="7" s="1"/>
  <c r="L20" i="7" s="1"/>
  <c r="E28" i="1"/>
  <c r="F28" i="1" s="1"/>
  <c r="F28" i="7" s="1"/>
  <c r="L28" i="7" s="1"/>
  <c r="E8" i="1"/>
  <c r="F8" i="1" s="1"/>
  <c r="F8" i="7" s="1"/>
  <c r="L8" i="7" s="1"/>
  <c r="E7" i="1"/>
  <c r="F7" i="1" s="1"/>
  <c r="F7" i="7" s="1"/>
  <c r="E10" i="1"/>
  <c r="F10" i="1" s="1"/>
  <c r="F10" i="7" s="1"/>
  <c r="E18" i="1"/>
  <c r="F18" i="1" s="1"/>
  <c r="F18" i="7" s="1"/>
  <c r="E30" i="1"/>
  <c r="F30" i="1" s="1"/>
  <c r="F30" i="7" s="1"/>
  <c r="G23" i="7"/>
  <c r="H23" i="7" s="1"/>
  <c r="G15" i="7"/>
  <c r="H15" i="7" s="1"/>
  <c r="G19" i="7"/>
  <c r="H19" i="7" s="1"/>
  <c r="G11" i="7"/>
  <c r="H11" i="7" s="1"/>
  <c r="E9" i="6"/>
  <c r="F9" i="6" s="1"/>
  <c r="F9" i="7" s="1"/>
  <c r="K8" i="7"/>
  <c r="K19" i="7"/>
  <c r="K11" i="7"/>
  <c r="K15" i="7"/>
  <c r="K23" i="7"/>
  <c r="K27" i="7"/>
  <c r="L21" i="7" l="1"/>
  <c r="G21" i="7"/>
  <c r="H21" i="7" s="1"/>
  <c r="G28" i="7"/>
  <c r="H28" i="7" s="1"/>
  <c r="G16" i="7"/>
  <c r="H16" i="7" s="1"/>
  <c r="G26" i="7"/>
  <c r="H26" i="7" s="1"/>
  <c r="L26" i="7"/>
  <c r="L29" i="7"/>
  <c r="G29" i="7"/>
  <c r="H29" i="7" s="1"/>
  <c r="L9" i="7"/>
  <c r="G9" i="7"/>
  <c r="H9" i="7" s="1"/>
  <c r="G18" i="7"/>
  <c r="H18" i="7" s="1"/>
  <c r="L18" i="7"/>
  <c r="L19" i="7"/>
  <c r="G14" i="7"/>
  <c r="H14" i="7" s="1"/>
  <c r="L14" i="7"/>
  <c r="F5" i="7"/>
  <c r="F31" i="6"/>
  <c r="L11" i="7"/>
  <c r="F31" i="1"/>
  <c r="L13" i="7"/>
  <c r="G13" i="7"/>
  <c r="H13" i="7" s="1"/>
  <c r="G25" i="7"/>
  <c r="H25" i="7" s="1"/>
  <c r="L25" i="7"/>
  <c r="G6" i="7"/>
  <c r="H6" i="7" s="1"/>
  <c r="G30" i="7"/>
  <c r="H30" i="7" s="1"/>
  <c r="L30" i="7"/>
  <c r="G22" i="7"/>
  <c r="H22" i="7" s="1"/>
  <c r="L22" i="7"/>
  <c r="G10" i="7"/>
  <c r="H10" i="7" s="1"/>
  <c r="L10" i="7"/>
  <c r="L15" i="7"/>
  <c r="G8" i="7"/>
  <c r="H8" i="7" s="1"/>
  <c r="G27" i="7"/>
  <c r="H27" i="7" s="1"/>
  <c r="G7" i="7"/>
  <c r="H7" i="7" s="1"/>
  <c r="L7" i="7"/>
  <c r="G12" i="7"/>
  <c r="H12" i="7" s="1"/>
  <c r="L17" i="7"/>
  <c r="G17" i="7"/>
  <c r="H17" i="7" s="1"/>
  <c r="G24" i="7"/>
  <c r="H24" i="7" s="1"/>
  <c r="L5" i="7" l="1"/>
  <c r="G5" i="7"/>
  <c r="H5" i="7" s="1"/>
  <c r="H33" i="7" s="1"/>
</calcChain>
</file>

<file path=xl/sharedStrings.xml><?xml version="1.0" encoding="utf-8"?>
<sst xmlns="http://schemas.openxmlformats.org/spreadsheetml/2006/main" count="153" uniqueCount="66">
  <si>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</si>
  <si>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</si>
  <si>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</si>
  <si>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</si>
  <si>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</si>
  <si>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</si>
  <si>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</si>
  <si>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</si>
  <si>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</si>
  <si>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</si>
  <si>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</si>
  <si>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</si>
  <si>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</si>
  <si>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</si>
  <si>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</si>
  <si>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</si>
  <si>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</si>
  <si>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</si>
  <si>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</si>
  <si>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</si>
  <si>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</si>
  <si>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</si>
  <si>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</si>
  <si>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</si>
  <si>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</si>
  <si>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</si>
  <si>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</si>
  <si>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t>p</t>
  </si>
  <si>
    <t>p_dach</t>
  </si>
  <si>
    <t>RI_26</t>
  </si>
  <si>
    <t>RI_MIN</t>
  </si>
  <si>
    <t>in Fr. 1'000.--</t>
  </si>
  <si>
    <t>Stand. Steuerertäge total</t>
  </si>
  <si>
    <t>Stand Steuererträge pro Kopf</t>
  </si>
  <si>
    <t>SSE</t>
  </si>
  <si>
    <t>B</t>
  </si>
  <si>
    <t>Horizontaler Ressourcenausgleich</t>
  </si>
  <si>
    <t>Vertikalter Ressourcenausgleich</t>
  </si>
  <si>
    <t>Berechnung</t>
  </si>
  <si>
    <t>A</t>
  </si>
  <si>
    <t>Bevölkerung</t>
  </si>
  <si>
    <t>17 % Kantonsanteil an DBSt</t>
  </si>
  <si>
    <t>Steuereinnahmen der Kantone und Gemeinden</t>
  </si>
  <si>
    <t>Einnahmen direkte Bundessteuer</t>
  </si>
  <si>
    <t>Ressourcenpotenzial pro Kopf</t>
  </si>
  <si>
    <t>Minimum</t>
  </si>
  <si>
    <t>Standardisierte Steuerertäge</t>
  </si>
  <si>
    <t>98_00</t>
  </si>
  <si>
    <t>Summe der gewichteten Abweichungen</t>
  </si>
  <si>
    <t>Beitrag pro Einwohner</t>
  </si>
  <si>
    <t>Beitrag</t>
  </si>
  <si>
    <t>Iteration von "p" mit Extras\Solver</t>
  </si>
  <si>
    <t>Ressourcen-index 2004</t>
  </si>
  <si>
    <t>Massgebende Bevölkerung 2004</t>
  </si>
  <si>
    <t>Standardisierter Steuersatz</t>
  </si>
  <si>
    <t>Ressourcen-ausgleich pro Einwohner</t>
  </si>
  <si>
    <t>Index SSE nach Ausgleich</t>
  </si>
  <si>
    <t>Ressourcen-idex 2004</t>
  </si>
  <si>
    <t>Standardisierter Steuerertrag 2004</t>
  </si>
  <si>
    <t>Standardisierter Steuerertrag pro Einwohner 2004 vor Ausgleich</t>
  </si>
  <si>
    <t>Standardisierter Steuerertrag pro Einwohner 2004 nach Ausgleich</t>
  </si>
  <si>
    <t>Einzahlung ressourcenstarke Kantone</t>
  </si>
  <si>
    <t>Auszahlung an ressourcenschwache Kantone</t>
  </si>
  <si>
    <t>Import</t>
  </si>
  <si>
    <t>Differenz SSE pro Einwohner 2007 vor Ausgleich zum Schweizer Mittel</t>
  </si>
  <si>
    <t>Ressourcen-ausgleich in Prozent der Differenz 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</si>
</sst>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#,##0.0"/>
    <numFmt numFmtId="173" formatCode="0.0"/>
    <numFmt numFmtId="176" formatCode="0.0%"/>
  </numFmts>
  <fonts count="8" x14ac:knownFonts="1">
    <font>
      <sz val="10"/>
      <name val="Arial"/>
    </font>
    <font>
      <sz val="10"/>
      <name val="MS Sans Serif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</font>
    <font>
      <b/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17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0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76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171" fontId="0" fillId="0" borderId="1" xfId="0" applyNumberFormat="1" applyBorder="1"/>
    <xf numFmtId="3" fontId="0" fillId="0" borderId="1" xfId="0" applyNumberFormat="1" applyBorder="1"/>
    <xf numFmtId="3" fontId="2" fillId="0" borderId="1" xfId="0" applyNumberFormat="1" applyFont="1" applyBorder="1"/>
    <xf numFmtId="173" fontId="0" fillId="0" borderId="1" xfId="0" applyNumberFormat="1" applyBorder="1"/>
    <xf numFmtId="0" fontId="0" fillId="2" borderId="1" xfId="0" applyFill="1" applyBorder="1"/>
    <xf numFmtId="173" fontId="0" fillId="2" borderId="1" xfId="0" applyNumberFormat="1" applyFill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3" fontId="4" fillId="0" borderId="1" xfId="0" applyNumberFormat="1" applyFont="1" applyBorder="1"/>
    <xf numFmtId="3" fontId="3" fillId="0" borderId="1" xfId="0" applyNumberFormat="1" applyFont="1" applyBorder="1"/>
    <xf numFmtId="176" fontId="3" fillId="0" borderId="1" xfId="0" applyNumberFormat="1" applyFont="1" applyBorder="1"/>
    <xf numFmtId="171" fontId="5" fillId="0" borderId="1" xfId="0" applyNumberFormat="1" applyFont="1" applyBorder="1"/>
    <xf numFmtId="3" fontId="5" fillId="0" borderId="1" xfId="0" applyNumberFormat="1" applyFont="1" applyBorder="1"/>
    <xf numFmtId="3" fontId="5" fillId="0" borderId="1" xfId="1" applyNumberFormat="1" applyFont="1" applyFill="1" applyBorder="1" applyAlignment="1">
      <alignment horizontal="right"/>
    </xf>
    <xf numFmtId="0" fontId="2" fillId="2" borderId="1" xfId="0" applyFont="1" applyFill="1" applyBorder="1"/>
    <xf numFmtId="17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17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/>
    <xf numFmtId="3" fontId="0" fillId="3" borderId="1" xfId="0" applyNumberFormat="1" applyFill="1" applyBorder="1"/>
    <xf numFmtId="0" fontId="4" fillId="0" borderId="0" xfId="0" applyFont="1" applyFill="1"/>
    <xf numFmtId="0" fontId="3" fillId="0" borderId="0" xfId="0" applyFont="1" applyFill="1"/>
    <xf numFmtId="0" fontId="6" fillId="0" borderId="1" xfId="0" applyFont="1" applyBorder="1"/>
    <xf numFmtId="0" fontId="6" fillId="4" borderId="1" xfId="0" applyFont="1" applyFill="1" applyBorder="1"/>
    <xf numFmtId="0" fontId="6" fillId="5" borderId="1" xfId="0" applyFont="1" applyFill="1" applyBorder="1"/>
    <xf numFmtId="0" fontId="6" fillId="0" borderId="0" xfId="0" applyFont="1"/>
    <xf numFmtId="3" fontId="4" fillId="0" borderId="0" xfId="0" applyNumberFormat="1" applyFont="1" applyFill="1"/>
    <xf numFmtId="3" fontId="3" fillId="0" borderId="0" xfId="0" applyNumberFormat="1" applyFont="1" applyFill="1"/>
    <xf numFmtId="0" fontId="7" fillId="0" borderId="1" xfId="0" applyFont="1" applyBorder="1" applyAlignment="1">
      <alignment horizontal="right"/>
    </xf>
    <xf numFmtId="3" fontId="6" fillId="4" borderId="1" xfId="0" applyNumberFormat="1" applyFont="1" applyFill="1" applyBorder="1"/>
    <xf numFmtId="3" fontId="6" fillId="5" borderId="1" xfId="0" applyNumberFormat="1" applyFont="1" applyFill="1" applyBorder="1"/>
    <xf numFmtId="3" fontId="6" fillId="0" borderId="1" xfId="0" applyNumberFormat="1" applyFont="1" applyBorder="1"/>
    <xf numFmtId="0" fontId="0" fillId="6" borderId="2" xfId="0" applyFill="1" applyBorder="1"/>
    <xf numFmtId="3" fontId="0" fillId="6" borderId="3" xfId="0" applyNumberFormat="1" applyFill="1" applyBorder="1"/>
    <xf numFmtId="0" fontId="2" fillId="0" borderId="1" xfId="0" applyFont="1" applyFill="1" applyBorder="1" applyAlignment="1">
      <alignment horizontal="center" wrapText="1"/>
    </xf>
    <xf numFmtId="176" fontId="0" fillId="0" borderId="1" xfId="0" applyNumberFormat="1" applyBorder="1"/>
    <xf numFmtId="0" fontId="2" fillId="0" borderId="1" xfId="0" applyFont="1" applyBorder="1"/>
    <xf numFmtId="176" fontId="2" fillId="0" borderId="1" xfId="0" applyNumberFormat="1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2">
    <cellStyle name="Standard" xfId="0" builtinId="0"/>
    <cellStyle name="Standard_MECPER-juin97" xfId="1" xr:uid="{10296CA4-96DF-4DA6-BE00-AC5E9A0CB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7E8D-4EFD-4C29-AA65-0466F9823607}">
  <sheetPr codeName="Tabelle2"/>
  <dimension ref="B1:E20"/>
  <sheetViews>
    <sheetView workbookViewId="0">
      <selection activeCell="C6" sqref="C6:C7"/>
    </sheetView>
  </sheetViews>
  <sheetFormatPr baseColWidth="10" defaultRowHeight="12.5" x14ac:dyDescent="0.25"/>
  <cols>
    <col min="2" max="2" width="47.7265625" customWidth="1"/>
    <col min="3" max="3" width="22.54296875" customWidth="1"/>
    <col min="6" max="6" width="12.1796875" customWidth="1"/>
    <col min="7" max="7" width="12.453125" customWidth="1"/>
  </cols>
  <sheetData>
    <row r="1" spans="2:5" ht="15.5" x14ac:dyDescent="0.35">
      <c r="B1" s="36"/>
      <c r="C1" s="42"/>
      <c r="E1" s="1"/>
    </row>
    <row r="2" spans="2:5" ht="15.5" x14ac:dyDescent="0.35">
      <c r="B2" s="36"/>
      <c r="C2" s="42"/>
      <c r="E2" s="11"/>
    </row>
    <row r="3" spans="2:5" ht="18.75" customHeight="1" x14ac:dyDescent="0.35">
      <c r="B3" s="37"/>
      <c r="C3" s="43"/>
    </row>
    <row r="4" spans="2:5" ht="23.25" customHeight="1" x14ac:dyDescent="0.35">
      <c r="B4" s="4"/>
    </row>
    <row r="5" spans="2:5" ht="15.5" x14ac:dyDescent="0.35">
      <c r="B5" s="38"/>
      <c r="C5" s="44" t="s">
        <v>63</v>
      </c>
      <c r="E5" s="1"/>
    </row>
    <row r="6" spans="2:5" ht="24" customHeight="1" x14ac:dyDescent="0.35">
      <c r="B6" s="39" t="s">
        <v>36</v>
      </c>
      <c r="C6" s="45">
        <v>1135074100.8063223</v>
      </c>
      <c r="E6" s="8"/>
    </row>
    <row r="7" spans="2:5" ht="25.5" customHeight="1" x14ac:dyDescent="0.35">
      <c r="B7" s="40" t="s">
        <v>37</v>
      </c>
      <c r="C7" s="46">
        <v>1621534429.7233176</v>
      </c>
    </row>
    <row r="8" spans="2:5" ht="15.5" x14ac:dyDescent="0.35">
      <c r="B8" s="41"/>
      <c r="C8" s="41"/>
    </row>
    <row r="9" spans="2:5" ht="15.5" x14ac:dyDescent="0.35">
      <c r="B9" s="41"/>
      <c r="C9" s="41"/>
    </row>
    <row r="10" spans="2:5" ht="15.5" x14ac:dyDescent="0.35">
      <c r="B10" s="38"/>
      <c r="C10" s="44" t="s">
        <v>38</v>
      </c>
    </row>
    <row r="11" spans="2:5" ht="15.5" x14ac:dyDescent="0.35">
      <c r="B11" s="38" t="s">
        <v>61</v>
      </c>
      <c r="C11" s="47">
        <f>C6</f>
        <v>1135074100.8063223</v>
      </c>
    </row>
    <row r="12" spans="2:5" ht="15.5" x14ac:dyDescent="0.35">
      <c r="B12" s="38" t="s">
        <v>62</v>
      </c>
      <c r="C12" s="47">
        <f>C6+C7</f>
        <v>2756608530.5296402</v>
      </c>
    </row>
    <row r="17" spans="2:3" ht="13" x14ac:dyDescent="0.3">
      <c r="B17" s="9"/>
      <c r="C17" s="9"/>
    </row>
    <row r="18" spans="2:3" x14ac:dyDescent="0.25">
      <c r="B18" s="7"/>
    </row>
    <row r="19" spans="2:3" x14ac:dyDescent="0.25">
      <c r="B19" s="7"/>
      <c r="C19" s="7"/>
    </row>
    <row r="20" spans="2:3" x14ac:dyDescent="0.25">
      <c r="B20" s="7"/>
      <c r="C20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E213-725D-42F2-883B-340A6E3A749D}">
  <dimension ref="A4:J31"/>
  <sheetViews>
    <sheetView workbookViewId="0">
      <selection activeCell="C22" sqref="C22"/>
    </sheetView>
  </sheetViews>
  <sheetFormatPr baseColWidth="10" defaultRowHeight="12.5" x14ac:dyDescent="0.25"/>
  <cols>
    <col min="3" max="3" width="12.81640625" customWidth="1"/>
    <col min="4" max="6" width="13" customWidth="1"/>
    <col min="8" max="8" width="11.26953125" customWidth="1"/>
    <col min="9" max="9" width="12.453125" customWidth="1"/>
  </cols>
  <sheetData>
    <row r="4" spans="1:10" ht="37.5" x14ac:dyDescent="0.25">
      <c r="A4" s="12"/>
      <c r="B4" s="13" t="s">
        <v>52</v>
      </c>
      <c r="C4" s="13" t="s">
        <v>53</v>
      </c>
      <c r="D4" s="13" t="s">
        <v>48</v>
      </c>
      <c r="E4" s="13" t="s">
        <v>49</v>
      </c>
      <c r="F4" s="12" t="s">
        <v>50</v>
      </c>
    </row>
    <row r="5" spans="1:10" ht="13" x14ac:dyDescent="0.3">
      <c r="A5" s="12" t="s">
        <v>0</v>
      </c>
      <c r="B5" s="14">
        <v>132.1</v>
      </c>
      <c r="C5" s="15">
        <v>1210974.6666666667</v>
      </c>
      <c r="D5" s="15">
        <f>IF(B5&gt;100,(RI-100)*BEV,0)</f>
        <v>38872286.799999997</v>
      </c>
      <c r="E5" s="15">
        <f>IF(B5&gt;100,A/SUM_A*(RI-100),0)</f>
        <v>409.39380896958778</v>
      </c>
      <c r="F5" s="15">
        <f t="shared" ref="F5:F30" si="0">E5*BEV</f>
        <v>495765531.35234362</v>
      </c>
      <c r="J5" s="1"/>
    </row>
    <row r="6" spans="1:10" x14ac:dyDescent="0.25">
      <c r="A6" s="12" t="s">
        <v>1</v>
      </c>
      <c r="B6" s="14">
        <v>74.099999999999994</v>
      </c>
      <c r="C6" s="15">
        <v>949257.66666666663</v>
      </c>
      <c r="D6" s="15">
        <f t="shared" ref="D6:D30" si="1">IF(B6&gt;100,(RI-100)*BEV,0)</f>
        <v>0</v>
      </c>
      <c r="E6" s="15">
        <f t="shared" ref="E6:E30" si="2">IF(B6&gt;100,A/SUM_A*(RI-100),0)</f>
        <v>0</v>
      </c>
      <c r="F6" s="15">
        <f t="shared" si="0"/>
        <v>0</v>
      </c>
    </row>
    <row r="7" spans="1:10" x14ac:dyDescent="0.25">
      <c r="A7" s="12" t="s">
        <v>2</v>
      </c>
      <c r="B7" s="14">
        <v>78.3</v>
      </c>
      <c r="C7" s="15">
        <v>343346.66666666669</v>
      </c>
      <c r="D7" s="15">
        <f t="shared" si="1"/>
        <v>0</v>
      </c>
      <c r="E7" s="15">
        <f t="shared" si="2"/>
        <v>0</v>
      </c>
      <c r="F7" s="15">
        <f t="shared" si="0"/>
        <v>0</v>
      </c>
      <c r="I7" s="2"/>
    </row>
    <row r="8" spans="1:10" x14ac:dyDescent="0.25">
      <c r="A8" s="12" t="s">
        <v>3</v>
      </c>
      <c r="B8" s="14">
        <v>68.5</v>
      </c>
      <c r="C8" s="15">
        <v>34559.666666666664</v>
      </c>
      <c r="D8" s="15">
        <f t="shared" si="1"/>
        <v>0</v>
      </c>
      <c r="E8" s="15">
        <f t="shared" si="2"/>
        <v>0</v>
      </c>
      <c r="F8" s="15">
        <f t="shared" si="0"/>
        <v>0</v>
      </c>
      <c r="I8" s="2"/>
    </row>
    <row r="9" spans="1:10" x14ac:dyDescent="0.25">
      <c r="A9" s="12" t="s">
        <v>4</v>
      </c>
      <c r="B9" s="14">
        <v>137.6</v>
      </c>
      <c r="C9" s="15">
        <v>126743.66666666667</v>
      </c>
      <c r="D9" s="15">
        <f t="shared" si="1"/>
        <v>4765561.8666666662</v>
      </c>
      <c r="E9" s="15">
        <f t="shared" si="2"/>
        <v>479.53916564662001</v>
      </c>
      <c r="F9" s="15">
        <f t="shared" si="0"/>
        <v>60778552.16432666</v>
      </c>
    </row>
    <row r="10" spans="1:10" x14ac:dyDescent="0.25">
      <c r="A10" s="12" t="s">
        <v>5</v>
      </c>
      <c r="B10" s="14">
        <v>67.5</v>
      </c>
      <c r="C10" s="15">
        <v>31967</v>
      </c>
      <c r="D10" s="15">
        <f t="shared" si="1"/>
        <v>0</v>
      </c>
      <c r="E10" s="15">
        <f t="shared" si="2"/>
        <v>0</v>
      </c>
      <c r="F10" s="15">
        <f t="shared" si="0"/>
        <v>0</v>
      </c>
    </row>
    <row r="11" spans="1:10" x14ac:dyDescent="0.25">
      <c r="A11" s="12" t="s">
        <v>6</v>
      </c>
      <c r="B11" s="14">
        <v>124.4</v>
      </c>
      <c r="C11" s="15">
        <v>36571.333333333336</v>
      </c>
      <c r="D11" s="15">
        <f t="shared" si="1"/>
        <v>892340.53333333356</v>
      </c>
      <c r="E11" s="15">
        <f t="shared" si="2"/>
        <v>311.19030962174287</v>
      </c>
      <c r="F11" s="15">
        <f t="shared" si="0"/>
        <v>11380644.543279966</v>
      </c>
    </row>
    <row r="12" spans="1:10" x14ac:dyDescent="0.25">
      <c r="A12" s="12" t="s">
        <v>7</v>
      </c>
      <c r="B12" s="14">
        <v>99.1</v>
      </c>
      <c r="C12" s="15">
        <v>38264.333333333336</v>
      </c>
      <c r="D12" s="15">
        <f t="shared" si="1"/>
        <v>0</v>
      </c>
      <c r="E12" s="15">
        <f t="shared" si="2"/>
        <v>0</v>
      </c>
      <c r="F12" s="15">
        <f t="shared" si="0"/>
        <v>0</v>
      </c>
      <c r="H12" s="48" t="s">
        <v>39</v>
      </c>
      <c r="I12" s="49">
        <f>Eingabe_RA!C11</f>
        <v>1135074100.8063223</v>
      </c>
    </row>
    <row r="13" spans="1:10" x14ac:dyDescent="0.25">
      <c r="A13" s="12" t="s">
        <v>8</v>
      </c>
      <c r="B13" s="14">
        <v>202.1</v>
      </c>
      <c r="C13" s="15">
        <v>97091.666666666672</v>
      </c>
      <c r="D13" s="15">
        <f t="shared" si="1"/>
        <v>9913059.166666666</v>
      </c>
      <c r="E13" s="15">
        <f t="shared" si="2"/>
        <v>1302.1528939499974</v>
      </c>
      <c r="F13" s="15">
        <f t="shared" si="0"/>
        <v>126428194.7284285</v>
      </c>
      <c r="I13" s="7"/>
    </row>
    <row r="14" spans="1:10" x14ac:dyDescent="0.25">
      <c r="A14" s="12" t="s">
        <v>9</v>
      </c>
      <c r="B14" s="14">
        <v>75.2</v>
      </c>
      <c r="C14" s="15">
        <v>235077.33333333334</v>
      </c>
      <c r="D14" s="15">
        <f t="shared" si="1"/>
        <v>0</v>
      </c>
      <c r="E14" s="15">
        <f t="shared" si="2"/>
        <v>0</v>
      </c>
      <c r="F14" s="15">
        <f t="shared" si="0"/>
        <v>0</v>
      </c>
    </row>
    <row r="15" spans="1:10" x14ac:dyDescent="0.25">
      <c r="A15" s="12" t="s">
        <v>10</v>
      </c>
      <c r="B15" s="14">
        <v>76.5</v>
      </c>
      <c r="C15" s="15">
        <v>241534</v>
      </c>
      <c r="D15" s="15">
        <f t="shared" si="1"/>
        <v>0</v>
      </c>
      <c r="E15" s="15">
        <f t="shared" si="2"/>
        <v>0</v>
      </c>
      <c r="F15" s="15">
        <f t="shared" si="0"/>
        <v>0</v>
      </c>
    </row>
    <row r="16" spans="1:10" x14ac:dyDescent="0.25">
      <c r="A16" s="12" t="s">
        <v>11</v>
      </c>
      <c r="B16" s="14">
        <v>148.4</v>
      </c>
      <c r="C16" s="15">
        <v>192591</v>
      </c>
      <c r="D16" s="15">
        <f t="shared" si="1"/>
        <v>9321404.4000000004</v>
      </c>
      <c r="E16" s="15">
        <f t="shared" si="2"/>
        <v>617.27913875788329</v>
      </c>
      <c r="F16" s="15">
        <f t="shared" si="0"/>
        <v>118882406.6125195</v>
      </c>
    </row>
    <row r="17" spans="1:6" x14ac:dyDescent="0.25">
      <c r="A17" s="12" t="s">
        <v>12</v>
      </c>
      <c r="B17" s="14">
        <v>111.7</v>
      </c>
      <c r="C17" s="15">
        <v>255452.66666666666</v>
      </c>
      <c r="D17" s="15">
        <f t="shared" si="1"/>
        <v>2988796.2000000007</v>
      </c>
      <c r="E17" s="15">
        <f t="shared" si="2"/>
        <v>149.21830420386851</v>
      </c>
      <c r="F17" s="15">
        <f t="shared" si="0"/>
        <v>38118213.724356085</v>
      </c>
    </row>
    <row r="18" spans="1:6" x14ac:dyDescent="0.25">
      <c r="A18" s="12" t="s">
        <v>13</v>
      </c>
      <c r="B18" s="14">
        <v>92.6</v>
      </c>
      <c r="C18" s="15">
        <v>73066.666666666672</v>
      </c>
      <c r="D18" s="15">
        <f t="shared" si="1"/>
        <v>0</v>
      </c>
      <c r="E18" s="15">
        <f t="shared" si="2"/>
        <v>0</v>
      </c>
      <c r="F18" s="15">
        <f t="shared" si="0"/>
        <v>0</v>
      </c>
    </row>
    <row r="19" spans="1:6" x14ac:dyDescent="0.25">
      <c r="A19" s="12" t="s">
        <v>14</v>
      </c>
      <c r="B19" s="14">
        <v>81</v>
      </c>
      <c r="C19" s="15">
        <v>53351</v>
      </c>
      <c r="D19" s="15">
        <f t="shared" si="1"/>
        <v>0</v>
      </c>
      <c r="E19" s="15">
        <f t="shared" si="2"/>
        <v>0</v>
      </c>
      <c r="F19" s="15">
        <f t="shared" si="0"/>
        <v>0</v>
      </c>
    </row>
    <row r="20" spans="1:6" x14ac:dyDescent="0.25">
      <c r="A20" s="12" t="s">
        <v>15</v>
      </c>
      <c r="B20" s="14">
        <v>83.1</v>
      </c>
      <c r="C20" s="15">
        <v>14556.666666666666</v>
      </c>
      <c r="D20" s="15">
        <f t="shared" si="1"/>
        <v>0</v>
      </c>
      <c r="E20" s="15">
        <f t="shared" si="2"/>
        <v>0</v>
      </c>
      <c r="F20" s="15">
        <f t="shared" si="0"/>
        <v>0</v>
      </c>
    </row>
    <row r="21" spans="1:6" x14ac:dyDescent="0.25">
      <c r="A21" s="12" t="s">
        <v>16</v>
      </c>
      <c r="B21" s="14">
        <v>77.400000000000006</v>
      </c>
      <c r="C21" s="15">
        <v>445768.33333333331</v>
      </c>
      <c r="D21" s="15">
        <f t="shared" si="1"/>
        <v>0</v>
      </c>
      <c r="E21" s="15">
        <f t="shared" si="2"/>
        <v>0</v>
      </c>
      <c r="F21" s="15">
        <f t="shared" si="0"/>
        <v>0</v>
      </c>
    </row>
    <row r="22" spans="1:6" x14ac:dyDescent="0.25">
      <c r="A22" s="12" t="s">
        <v>17</v>
      </c>
      <c r="B22" s="14">
        <v>87.1</v>
      </c>
      <c r="C22" s="15">
        <v>187652.66666666666</v>
      </c>
      <c r="D22" s="15">
        <f t="shared" si="1"/>
        <v>0</v>
      </c>
      <c r="E22" s="15">
        <f t="shared" si="2"/>
        <v>0</v>
      </c>
      <c r="F22" s="15">
        <f t="shared" si="0"/>
        <v>0</v>
      </c>
    </row>
    <row r="23" spans="1:6" x14ac:dyDescent="0.25">
      <c r="A23" s="12" t="s">
        <v>18</v>
      </c>
      <c r="B23" s="14">
        <v>88.1</v>
      </c>
      <c r="C23" s="15">
        <v>536796.33333333337</v>
      </c>
      <c r="D23" s="15">
        <f t="shared" si="1"/>
        <v>0</v>
      </c>
      <c r="E23" s="15">
        <f t="shared" si="2"/>
        <v>0</v>
      </c>
      <c r="F23" s="15">
        <f t="shared" si="0"/>
        <v>0</v>
      </c>
    </row>
    <row r="24" spans="1:6" x14ac:dyDescent="0.25">
      <c r="A24" s="12" t="s">
        <v>19</v>
      </c>
      <c r="B24" s="14">
        <v>77.900000000000006</v>
      </c>
      <c r="C24" s="15">
        <v>226461</v>
      </c>
      <c r="D24" s="15">
        <f t="shared" si="1"/>
        <v>0</v>
      </c>
      <c r="E24" s="15">
        <f t="shared" si="2"/>
        <v>0</v>
      </c>
      <c r="F24" s="15">
        <f t="shared" si="0"/>
        <v>0</v>
      </c>
    </row>
    <row r="25" spans="1:6" x14ac:dyDescent="0.25">
      <c r="A25" s="12" t="s">
        <v>20</v>
      </c>
      <c r="B25" s="14">
        <v>103.3</v>
      </c>
      <c r="C25" s="15">
        <v>304694.66666666669</v>
      </c>
      <c r="D25" s="15">
        <f t="shared" si="1"/>
        <v>1005492.3999999992</v>
      </c>
      <c r="E25" s="15">
        <f t="shared" si="2"/>
        <v>42.087214006219277</v>
      </c>
      <c r="F25" s="15">
        <f t="shared" si="0"/>
        <v>12823749.642553648</v>
      </c>
    </row>
    <row r="26" spans="1:6" x14ac:dyDescent="0.25">
      <c r="A26" s="12" t="s">
        <v>21</v>
      </c>
      <c r="B26" s="14">
        <v>95.2</v>
      </c>
      <c r="C26" s="15">
        <v>624102</v>
      </c>
      <c r="D26" s="15">
        <f t="shared" si="1"/>
        <v>0</v>
      </c>
      <c r="E26" s="15">
        <f t="shared" si="2"/>
        <v>0</v>
      </c>
      <c r="F26" s="15">
        <f t="shared" si="0"/>
        <v>0</v>
      </c>
    </row>
    <row r="27" spans="1:6" x14ac:dyDescent="0.25">
      <c r="A27" s="12" t="s">
        <v>22</v>
      </c>
      <c r="B27" s="14">
        <v>60.9</v>
      </c>
      <c r="C27" s="15">
        <v>271438.33333333331</v>
      </c>
      <c r="D27" s="15">
        <f t="shared" si="1"/>
        <v>0</v>
      </c>
      <c r="E27" s="15">
        <f t="shared" si="2"/>
        <v>0</v>
      </c>
      <c r="F27" s="15">
        <f t="shared" si="0"/>
        <v>0</v>
      </c>
    </row>
    <row r="28" spans="1:6" x14ac:dyDescent="0.25">
      <c r="A28" s="12" t="s">
        <v>23</v>
      </c>
      <c r="B28" s="14">
        <v>89.8</v>
      </c>
      <c r="C28" s="15">
        <v>166048</v>
      </c>
      <c r="D28" s="15">
        <f t="shared" si="1"/>
        <v>0</v>
      </c>
      <c r="E28" s="15">
        <f t="shared" si="2"/>
        <v>0</v>
      </c>
      <c r="F28" s="15">
        <f t="shared" si="0"/>
        <v>0</v>
      </c>
    </row>
    <row r="29" spans="1:6" x14ac:dyDescent="0.25">
      <c r="A29" s="12" t="s">
        <v>24</v>
      </c>
      <c r="B29" s="14">
        <v>152.5</v>
      </c>
      <c r="C29" s="15">
        <v>404583.66666666669</v>
      </c>
      <c r="D29" s="15">
        <f t="shared" si="1"/>
        <v>21240642.5</v>
      </c>
      <c r="E29" s="15">
        <f t="shared" si="2"/>
        <v>669.56931373530722</v>
      </c>
      <c r="F29" s="15">
        <f t="shared" si="0"/>
        <v>270896808.03851432</v>
      </c>
    </row>
    <row r="30" spans="1:6" x14ac:dyDescent="0.25">
      <c r="A30" s="12" t="s">
        <v>25</v>
      </c>
      <c r="B30" s="14">
        <v>66.8</v>
      </c>
      <c r="C30" s="15">
        <v>67271.666666666672</v>
      </c>
      <c r="D30" s="15">
        <f t="shared" si="1"/>
        <v>0</v>
      </c>
      <c r="E30" s="15">
        <f t="shared" si="2"/>
        <v>0</v>
      </c>
      <c r="F30" s="15">
        <f t="shared" si="0"/>
        <v>0</v>
      </c>
    </row>
    <row r="31" spans="1:6" ht="13" x14ac:dyDescent="0.3">
      <c r="A31" s="12" t="s">
        <v>26</v>
      </c>
      <c r="B31" s="14">
        <f>Result_SSE!B31</f>
        <v>100</v>
      </c>
      <c r="C31" s="16">
        <f>SUM(C5:C30)</f>
        <v>7169222.666666667</v>
      </c>
      <c r="D31" s="16">
        <f>SUM(D5:D30)</f>
        <v>88999583.86666666</v>
      </c>
      <c r="E31" s="16"/>
      <c r="F31" s="16">
        <f>SUM(F5:F30)</f>
        <v>1135074100.8063223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1A71-9EAE-450A-90CD-FF57B21DDBF5}">
  <dimension ref="A4:J31"/>
  <sheetViews>
    <sheetView tabSelected="1" workbookViewId="0">
      <selection activeCell="F21" sqref="F21"/>
    </sheetView>
  </sheetViews>
  <sheetFormatPr baseColWidth="10" defaultRowHeight="12.5" x14ac:dyDescent="0.25"/>
  <cols>
    <col min="3" max="3" width="13.26953125" customWidth="1"/>
    <col min="4" max="6" width="13" customWidth="1"/>
    <col min="8" max="8" width="11.26953125" customWidth="1"/>
    <col min="9" max="9" width="12.453125" customWidth="1"/>
  </cols>
  <sheetData>
    <row r="4" spans="1:10" ht="38" x14ac:dyDescent="0.3">
      <c r="A4" s="12"/>
      <c r="B4" s="13" t="s">
        <v>52</v>
      </c>
      <c r="C4" s="13" t="s">
        <v>53</v>
      </c>
      <c r="D4" s="13" t="s">
        <v>48</v>
      </c>
      <c r="E4" s="13" t="s">
        <v>49</v>
      </c>
      <c r="F4" s="12" t="s">
        <v>50</v>
      </c>
      <c r="H4" s="55" t="s">
        <v>51</v>
      </c>
      <c r="I4" s="56"/>
    </row>
    <row r="5" spans="1:10" ht="13" x14ac:dyDescent="0.3">
      <c r="A5" s="12" t="s">
        <v>0</v>
      </c>
      <c r="B5" s="14">
        <v>132.1</v>
      </c>
      <c r="C5" s="15">
        <v>1210974.6666666667</v>
      </c>
      <c r="D5" s="15">
        <f>IF(B5&lt;100,(100-RI)^(1+p)*BEV,0)</f>
        <v>0</v>
      </c>
      <c r="E5" s="15">
        <f>IF(B5&lt;100,B/SUM*(100-RI)^(1+p),0)</f>
        <v>0</v>
      </c>
      <c r="F5" s="15">
        <f>E5*BEV</f>
        <v>0</v>
      </c>
      <c r="H5" s="18" t="s">
        <v>27</v>
      </c>
      <c r="I5" s="18">
        <v>0.62318110604610044</v>
      </c>
      <c r="J5" s="1"/>
    </row>
    <row r="6" spans="1:10" x14ac:dyDescent="0.25">
      <c r="A6" s="12" t="s">
        <v>1</v>
      </c>
      <c r="B6" s="14">
        <v>74.099999999999994</v>
      </c>
      <c r="C6" s="15">
        <v>949257.66666666663</v>
      </c>
      <c r="D6" s="15">
        <f t="shared" ref="D6:D30" si="0">IF(B6&lt;100,(100-RI)^(1+p)*BEV,0)</f>
        <v>186820954.93104845</v>
      </c>
      <c r="E6" s="15">
        <f t="shared" ref="E6:E30" si="1">IF(B6&lt;100,B/SUM*(100-RI)^(1+p),0)</f>
        <v>854.12862811463413</v>
      </c>
      <c r="F6" s="15">
        <f t="shared" ref="F6:F30" si="2">E6*BEV</f>
        <v>810788148.55729866</v>
      </c>
      <c r="H6" s="18" t="s">
        <v>28</v>
      </c>
      <c r="I6" s="18">
        <f>(RI_26/RI_MIN)*p</f>
        <v>0.62318110586899766</v>
      </c>
    </row>
    <row r="7" spans="1:10" x14ac:dyDescent="0.25">
      <c r="A7" s="12" t="s">
        <v>2</v>
      </c>
      <c r="B7" s="14">
        <v>78.3</v>
      </c>
      <c r="C7" s="15">
        <v>343346.66666666669</v>
      </c>
      <c r="D7" s="15">
        <f t="shared" si="0"/>
        <v>50704794.210617028</v>
      </c>
      <c r="E7" s="15">
        <f t="shared" si="1"/>
        <v>640.91139515885175</v>
      </c>
      <c r="F7" s="15">
        <f t="shared" si="2"/>
        <v>220054791.15647456</v>
      </c>
      <c r="H7" s="18" t="s">
        <v>29</v>
      </c>
      <c r="I7" s="19">
        <f>MIN(B5:B30)</f>
        <v>60.9</v>
      </c>
    </row>
    <row r="8" spans="1:10" x14ac:dyDescent="0.25">
      <c r="A8" s="12" t="s">
        <v>3</v>
      </c>
      <c r="B8" s="14">
        <v>68.5</v>
      </c>
      <c r="C8" s="15">
        <v>34559.666666666664</v>
      </c>
      <c r="D8" s="15">
        <f t="shared" si="0"/>
        <v>9345422.2112748083</v>
      </c>
      <c r="E8" s="15">
        <f t="shared" si="1"/>
        <v>1173.5759100197133</v>
      </c>
      <c r="F8" s="15">
        <f t="shared" si="2"/>
        <v>40558392.258311287</v>
      </c>
      <c r="H8" s="18" t="s">
        <v>30</v>
      </c>
      <c r="I8" s="19">
        <f>100-((sse*SUM)/((1+p)*B*100))^(1/p)</f>
        <v>60.900000017307256</v>
      </c>
    </row>
    <row r="9" spans="1:10" x14ac:dyDescent="0.25">
      <c r="A9" s="12" t="s">
        <v>4</v>
      </c>
      <c r="B9" s="14">
        <v>137.6</v>
      </c>
      <c r="C9" s="15">
        <v>126743.66666666667</v>
      </c>
      <c r="D9" s="15">
        <f t="shared" si="0"/>
        <v>0</v>
      </c>
      <c r="E9" s="15">
        <f t="shared" si="1"/>
        <v>0</v>
      </c>
      <c r="F9" s="15">
        <f t="shared" si="2"/>
        <v>0</v>
      </c>
    </row>
    <row r="10" spans="1:10" x14ac:dyDescent="0.25">
      <c r="A10" s="12" t="s">
        <v>5</v>
      </c>
      <c r="B10" s="14">
        <v>67.5</v>
      </c>
      <c r="C10" s="15">
        <v>31967</v>
      </c>
      <c r="D10" s="15">
        <f t="shared" si="0"/>
        <v>9094155.7354520839</v>
      </c>
      <c r="E10" s="15">
        <f t="shared" si="1"/>
        <v>1234.6455924246754</v>
      </c>
      <c r="F10" s="15">
        <f t="shared" si="2"/>
        <v>39467915.653039597</v>
      </c>
    </row>
    <row r="11" spans="1:10" x14ac:dyDescent="0.25">
      <c r="A11" s="12" t="s">
        <v>6</v>
      </c>
      <c r="B11" s="14">
        <v>124.4</v>
      </c>
      <c r="C11" s="15">
        <v>36571.333333333336</v>
      </c>
      <c r="D11" s="15">
        <f t="shared" si="0"/>
        <v>0</v>
      </c>
      <c r="E11" s="15">
        <f t="shared" si="1"/>
        <v>0</v>
      </c>
      <c r="F11" s="15">
        <f t="shared" si="2"/>
        <v>0</v>
      </c>
    </row>
    <row r="12" spans="1:10" x14ac:dyDescent="0.25">
      <c r="A12" s="12" t="s">
        <v>7</v>
      </c>
      <c r="B12" s="14">
        <v>99.1</v>
      </c>
      <c r="C12" s="15">
        <v>38264.333333333336</v>
      </c>
      <c r="D12" s="15">
        <f t="shared" si="0"/>
        <v>32249.386487243479</v>
      </c>
      <c r="E12" s="15">
        <f t="shared" si="1"/>
        <v>3.6577086564902981</v>
      </c>
      <c r="F12" s="15">
        <f t="shared" si="2"/>
        <v>139959.78326816359</v>
      </c>
      <c r="H12" s="34" t="s">
        <v>35</v>
      </c>
      <c r="I12" s="35">
        <f>Eingabe_RA!C12</f>
        <v>2756608530.5296402</v>
      </c>
    </row>
    <row r="13" spans="1:10" x14ac:dyDescent="0.25">
      <c r="A13" s="12" t="s">
        <v>8</v>
      </c>
      <c r="B13" s="14">
        <v>202.1</v>
      </c>
      <c r="C13" s="15">
        <v>97091.666666666672</v>
      </c>
      <c r="D13" s="15">
        <f t="shared" si="0"/>
        <v>0</v>
      </c>
      <c r="E13" s="15">
        <f t="shared" si="1"/>
        <v>0</v>
      </c>
      <c r="F13" s="15">
        <f t="shared" si="2"/>
        <v>0</v>
      </c>
      <c r="H13" s="34" t="s">
        <v>34</v>
      </c>
      <c r="I13" s="35">
        <f>'Stand. Steuern'!F9</f>
        <v>6919.3174452943949</v>
      </c>
    </row>
    <row r="14" spans="1:10" x14ac:dyDescent="0.25">
      <c r="A14" s="12" t="s">
        <v>9</v>
      </c>
      <c r="B14" s="14">
        <v>75.2</v>
      </c>
      <c r="C14" s="15">
        <v>235077.33333333334</v>
      </c>
      <c r="D14" s="15">
        <f t="shared" si="0"/>
        <v>43117977.061281838</v>
      </c>
      <c r="E14" s="15">
        <f t="shared" si="1"/>
        <v>796.02998271065997</v>
      </c>
      <c r="F14" s="15">
        <f t="shared" si="2"/>
        <v>187128605.58900139</v>
      </c>
    </row>
    <row r="15" spans="1:10" x14ac:dyDescent="0.25">
      <c r="A15" s="12" t="s">
        <v>10</v>
      </c>
      <c r="B15" s="14">
        <v>76.5</v>
      </c>
      <c r="C15" s="15">
        <v>241534</v>
      </c>
      <c r="D15" s="15">
        <f t="shared" si="0"/>
        <v>40594736.134432711</v>
      </c>
      <c r="E15" s="15">
        <f t="shared" si="1"/>
        <v>729.41258705638484</v>
      </c>
      <c r="F15" s="15">
        <f t="shared" si="2"/>
        <v>176177939.80207685</v>
      </c>
    </row>
    <row r="16" spans="1:10" x14ac:dyDescent="0.25">
      <c r="A16" s="12" t="s">
        <v>11</v>
      </c>
      <c r="B16" s="14">
        <v>148.4</v>
      </c>
      <c r="C16" s="15">
        <v>192591</v>
      </c>
      <c r="D16" s="15">
        <f t="shared" si="0"/>
        <v>0</v>
      </c>
      <c r="E16" s="15">
        <f t="shared" si="1"/>
        <v>0</v>
      </c>
      <c r="F16" s="15">
        <f t="shared" si="2"/>
        <v>0</v>
      </c>
    </row>
    <row r="17" spans="1:6" x14ac:dyDescent="0.25">
      <c r="A17" s="12" t="s">
        <v>12</v>
      </c>
      <c r="B17" s="14">
        <v>111.7</v>
      </c>
      <c r="C17" s="15">
        <v>255452.66666666666</v>
      </c>
      <c r="D17" s="15">
        <f t="shared" si="0"/>
        <v>0</v>
      </c>
      <c r="E17" s="15">
        <f t="shared" si="1"/>
        <v>0</v>
      </c>
      <c r="F17" s="15">
        <f t="shared" si="2"/>
        <v>0</v>
      </c>
    </row>
    <row r="18" spans="1:6" x14ac:dyDescent="0.25">
      <c r="A18" s="12" t="s">
        <v>13</v>
      </c>
      <c r="B18" s="14">
        <v>92.6</v>
      </c>
      <c r="C18" s="15">
        <v>73066.666666666672</v>
      </c>
      <c r="D18" s="15">
        <f t="shared" si="0"/>
        <v>1882087.4524188733</v>
      </c>
      <c r="E18" s="15">
        <f t="shared" si="1"/>
        <v>111.78983329326748</v>
      </c>
      <c r="F18" s="15">
        <f t="shared" si="2"/>
        <v>8168110.4859614111</v>
      </c>
    </row>
    <row r="19" spans="1:6" x14ac:dyDescent="0.25">
      <c r="A19" s="12" t="s">
        <v>14</v>
      </c>
      <c r="B19" s="14">
        <v>81</v>
      </c>
      <c r="C19" s="15">
        <v>53351</v>
      </c>
      <c r="D19" s="15">
        <f t="shared" si="0"/>
        <v>6350256.2195184575</v>
      </c>
      <c r="E19" s="15">
        <f t="shared" si="1"/>
        <v>516.57155564477262</v>
      </c>
      <c r="F19" s="15">
        <f t="shared" si="2"/>
        <v>27559609.065204263</v>
      </c>
    </row>
    <row r="20" spans="1:6" x14ac:dyDescent="0.25">
      <c r="A20" s="12" t="s">
        <v>15</v>
      </c>
      <c r="B20" s="14">
        <v>83.1</v>
      </c>
      <c r="C20" s="15">
        <v>14556.666666666666</v>
      </c>
      <c r="D20" s="15">
        <f t="shared" si="0"/>
        <v>1432664.2917041213</v>
      </c>
      <c r="E20" s="15">
        <f t="shared" si="1"/>
        <v>427.13415813158463</v>
      </c>
      <c r="F20" s="15">
        <f t="shared" si="2"/>
        <v>6217649.5618687663</v>
      </c>
    </row>
    <row r="21" spans="1:6" x14ac:dyDescent="0.25">
      <c r="A21" s="12" t="s">
        <v>16</v>
      </c>
      <c r="B21" s="14">
        <v>77.400000000000006</v>
      </c>
      <c r="C21" s="15">
        <v>445768.33333333331</v>
      </c>
      <c r="D21" s="15">
        <f t="shared" si="0"/>
        <v>70318961.394664824</v>
      </c>
      <c r="E21" s="15">
        <f t="shared" si="1"/>
        <v>684.61283701032085</v>
      </c>
      <c r="F21" s="15">
        <f t="shared" si="2"/>
        <v>305178723.33269566</v>
      </c>
    </row>
    <row r="22" spans="1:6" x14ac:dyDescent="0.25">
      <c r="A22" s="12" t="s">
        <v>17</v>
      </c>
      <c r="B22" s="14">
        <v>87.1</v>
      </c>
      <c r="C22" s="15">
        <v>187652.66666666666</v>
      </c>
      <c r="D22" s="15">
        <f t="shared" si="0"/>
        <v>11913598.907906536</v>
      </c>
      <c r="E22" s="15">
        <f t="shared" si="1"/>
        <v>275.53072730436287</v>
      </c>
      <c r="F22" s="15">
        <f t="shared" si="2"/>
        <v>51704075.727269836</v>
      </c>
    </row>
    <row r="23" spans="1:6" x14ac:dyDescent="0.25">
      <c r="A23" s="12" t="s">
        <v>18</v>
      </c>
      <c r="B23" s="14">
        <v>88.1</v>
      </c>
      <c r="C23" s="15">
        <v>536796.33333333337</v>
      </c>
      <c r="D23" s="15">
        <f t="shared" si="0"/>
        <v>29896272.752499316</v>
      </c>
      <c r="E23" s="15">
        <f t="shared" si="1"/>
        <v>241.70704597692273</v>
      </c>
      <c r="F23" s="15">
        <f t="shared" si="2"/>
        <v>129747456.02124354</v>
      </c>
    </row>
    <row r="24" spans="1:6" x14ac:dyDescent="0.25">
      <c r="A24" s="12" t="s">
        <v>19</v>
      </c>
      <c r="B24" s="14">
        <v>77.900000000000006</v>
      </c>
      <c r="C24" s="15">
        <v>226461</v>
      </c>
      <c r="D24" s="15">
        <f t="shared" si="0"/>
        <v>34449709.059963524</v>
      </c>
      <c r="E24" s="15">
        <f t="shared" si="1"/>
        <v>660.19760123222704</v>
      </c>
      <c r="F24" s="15">
        <f t="shared" si="2"/>
        <v>149509008.97265136</v>
      </c>
    </row>
    <row r="25" spans="1:6" x14ac:dyDescent="0.25">
      <c r="A25" s="12" t="s">
        <v>20</v>
      </c>
      <c r="B25" s="14">
        <v>103.3</v>
      </c>
      <c r="C25" s="15">
        <v>304694.66666666669</v>
      </c>
      <c r="D25" s="15">
        <f t="shared" si="0"/>
        <v>0</v>
      </c>
      <c r="E25" s="15">
        <f t="shared" si="1"/>
        <v>0</v>
      </c>
      <c r="F25" s="15">
        <f t="shared" si="2"/>
        <v>0</v>
      </c>
    </row>
    <row r="26" spans="1:6" x14ac:dyDescent="0.25">
      <c r="A26" s="12" t="s">
        <v>21</v>
      </c>
      <c r="B26" s="14">
        <v>95.2</v>
      </c>
      <c r="C26" s="15">
        <v>624102</v>
      </c>
      <c r="D26" s="15">
        <f t="shared" si="0"/>
        <v>7962207.282142981</v>
      </c>
      <c r="E26" s="15">
        <f t="shared" si="1"/>
        <v>55.368111324296869</v>
      </c>
      <c r="F26" s="15">
        <f t="shared" si="2"/>
        <v>34555349.013716325</v>
      </c>
    </row>
    <row r="27" spans="1:6" x14ac:dyDescent="0.25">
      <c r="A27" s="12" t="s">
        <v>22</v>
      </c>
      <c r="B27" s="14">
        <v>60.9</v>
      </c>
      <c r="C27" s="15">
        <v>271438.33333333331</v>
      </c>
      <c r="D27" s="15">
        <f t="shared" si="0"/>
        <v>104246722.59572875</v>
      </c>
      <c r="E27" s="15">
        <f t="shared" si="1"/>
        <v>1666.7598654142769</v>
      </c>
      <c r="F27" s="15">
        <f t="shared" si="2"/>
        <v>452422519.93494225</v>
      </c>
    </row>
    <row r="28" spans="1:6" x14ac:dyDescent="0.25">
      <c r="A28" s="12" t="s">
        <v>23</v>
      </c>
      <c r="B28" s="14">
        <v>89.8</v>
      </c>
      <c r="C28" s="15">
        <v>166048</v>
      </c>
      <c r="D28" s="15">
        <f t="shared" si="0"/>
        <v>7200694.5935242455</v>
      </c>
      <c r="E28" s="15">
        <f t="shared" si="1"/>
        <v>188.20126864149276</v>
      </c>
      <c r="F28" s="15">
        <f t="shared" si="2"/>
        <v>31250444.25538259</v>
      </c>
    </row>
    <row r="29" spans="1:6" x14ac:dyDescent="0.25">
      <c r="A29" s="12" t="s">
        <v>24</v>
      </c>
      <c r="B29" s="14">
        <v>152.5</v>
      </c>
      <c r="C29" s="15">
        <v>404583.66666666669</v>
      </c>
      <c r="D29" s="15">
        <f t="shared" si="0"/>
        <v>0</v>
      </c>
      <c r="E29" s="15">
        <f t="shared" si="1"/>
        <v>0</v>
      </c>
      <c r="F29" s="15">
        <f t="shared" si="2"/>
        <v>0</v>
      </c>
    </row>
    <row r="30" spans="1:6" x14ac:dyDescent="0.25">
      <c r="A30" s="12" t="s">
        <v>25</v>
      </c>
      <c r="B30" s="14">
        <v>66.8</v>
      </c>
      <c r="C30" s="15">
        <v>67271.666666666672</v>
      </c>
      <c r="D30" s="15">
        <f t="shared" si="0"/>
        <v>19811382.576230794</v>
      </c>
      <c r="E30" s="15">
        <f t="shared" si="1"/>
        <v>1278.0987244639903</v>
      </c>
      <c r="F30" s="15">
        <f t="shared" si="2"/>
        <v>85979831.359233409</v>
      </c>
    </row>
    <row r="31" spans="1:6" ht="13" x14ac:dyDescent="0.3">
      <c r="A31" s="12" t="s">
        <v>26</v>
      </c>
      <c r="B31" s="14">
        <f>Result_SSE!B31</f>
        <v>100</v>
      </c>
      <c r="C31" s="15">
        <f>Result_SSE!D31</f>
        <v>7169222.666666667</v>
      </c>
      <c r="D31" s="16">
        <f>SUM(D5:D30)</f>
        <v>635174846.7968967</v>
      </c>
      <c r="E31" s="16"/>
      <c r="F31" s="16">
        <f>SUM(F5:F30)</f>
        <v>2756608530.5296402</v>
      </c>
    </row>
  </sheetData>
  <mergeCells count="1">
    <mergeCell ref="H4:I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E816-325C-4B4D-B559-5FFAD9B1772D}">
  <dimension ref="A3:L33"/>
  <sheetViews>
    <sheetView workbookViewId="0">
      <selection activeCell="C17" sqref="C17"/>
    </sheetView>
  </sheetViews>
  <sheetFormatPr baseColWidth="10" defaultRowHeight="12.5" x14ac:dyDescent="0.25"/>
  <cols>
    <col min="3" max="3" width="16.1796875" customWidth="1"/>
    <col min="4" max="4" width="14.453125" customWidth="1"/>
    <col min="5" max="5" width="16" customWidth="1"/>
    <col min="6" max="6" width="15.1796875" customWidth="1"/>
    <col min="7" max="7" width="15.81640625" customWidth="1"/>
    <col min="8" max="8" width="13.453125" customWidth="1"/>
    <col min="10" max="10" width="18.1796875" customWidth="1"/>
    <col min="11" max="11" width="17" customWidth="1"/>
    <col min="12" max="12" width="15.54296875" customWidth="1"/>
  </cols>
  <sheetData>
    <row r="3" spans="1:12" ht="13" x14ac:dyDescent="0.3">
      <c r="D3" s="10"/>
    </row>
    <row r="4" spans="1:12" ht="69" customHeight="1" x14ac:dyDescent="0.3">
      <c r="A4" s="12"/>
      <c r="B4" s="32" t="s">
        <v>57</v>
      </c>
      <c r="C4" s="32" t="s">
        <v>58</v>
      </c>
      <c r="D4" s="33" t="s">
        <v>53</v>
      </c>
      <c r="E4" s="32" t="s">
        <v>59</v>
      </c>
      <c r="F4" s="33" t="s">
        <v>55</v>
      </c>
      <c r="G4" s="32" t="s">
        <v>60</v>
      </c>
      <c r="H4" s="33" t="s">
        <v>56</v>
      </c>
      <c r="I4" s="9"/>
      <c r="J4" s="12"/>
      <c r="K4" s="33" t="s">
        <v>64</v>
      </c>
      <c r="L4" s="50" t="s">
        <v>65</v>
      </c>
    </row>
    <row r="5" spans="1:12" x14ac:dyDescent="0.25">
      <c r="A5" s="12" t="s">
        <v>0</v>
      </c>
      <c r="B5" s="26">
        <v>132.1</v>
      </c>
      <c r="C5" s="27">
        <v>11065545146.409016</v>
      </c>
      <c r="D5" s="28">
        <v>1210974.6666666667</v>
      </c>
      <c r="E5" s="15">
        <f>C5/D5</f>
        <v>9137.7181133508566</v>
      </c>
      <c r="F5" s="15">
        <f>IF(B5&gt;100,-Berechnung_Einzahlung!F5,Berechnung_Auszahlung!F5)/D5</f>
        <v>-409.39380896958778</v>
      </c>
      <c r="G5" s="15">
        <f t="shared" ref="G5:G30" si="0">E5+F5</f>
        <v>8728.324304381269</v>
      </c>
      <c r="H5" s="17">
        <f t="shared" ref="H5:H30" si="1">G5/E$31*100</f>
        <v>126.14429636144413</v>
      </c>
      <c r="J5" s="12" t="s">
        <v>0</v>
      </c>
      <c r="K5" s="15">
        <f>E5-E$31</f>
        <v>2218.4006680564598</v>
      </c>
      <c r="L5" s="51">
        <f t="shared" ref="L5:L30" si="2">F5/K5</f>
        <v>-0.18454457522691678</v>
      </c>
    </row>
    <row r="6" spans="1:12" x14ac:dyDescent="0.25">
      <c r="A6" s="12" t="s">
        <v>1</v>
      </c>
      <c r="B6" s="26">
        <v>74.099999999999994</v>
      </c>
      <c r="C6" s="27">
        <v>4867874287.7279119</v>
      </c>
      <c r="D6" s="28">
        <v>949257.66666666663</v>
      </c>
      <c r="E6" s="15">
        <f t="shared" ref="E6:E31" si="3">C6/D6</f>
        <v>5128.0853014561681</v>
      </c>
      <c r="F6" s="15">
        <f>IF(B6&gt;100,-Berechnung_Einzahlung!F6,Berechnung_Auszahlung!F6)/D6</f>
        <v>854.12862811463413</v>
      </c>
      <c r="G6" s="15">
        <f t="shared" si="0"/>
        <v>5982.2139295708021</v>
      </c>
      <c r="H6" s="17">
        <f t="shared" si="1"/>
        <v>86.456705836485526</v>
      </c>
      <c r="J6" s="12" t="s">
        <v>1</v>
      </c>
      <c r="K6" s="15">
        <f t="shared" ref="K6:K31" si="4">E6-E$31</f>
        <v>-1791.2321438382287</v>
      </c>
      <c r="L6" s="51">
        <f t="shared" si="2"/>
        <v>-0.47683860020757474</v>
      </c>
    </row>
    <row r="7" spans="1:12" x14ac:dyDescent="0.25">
      <c r="A7" s="12" t="s">
        <v>2</v>
      </c>
      <c r="B7" s="26">
        <v>78.3</v>
      </c>
      <c r="C7" s="27">
        <v>1860978722.7818375</v>
      </c>
      <c r="D7" s="28">
        <v>343346.66666666669</v>
      </c>
      <c r="E7" s="15">
        <f t="shared" si="3"/>
        <v>5420.1158870971149</v>
      </c>
      <c r="F7" s="15">
        <f>IF(B7&gt;100,-Berechnung_Einzahlung!F7,Berechnung_Auszahlung!F7)/D7</f>
        <v>640.91139515885175</v>
      </c>
      <c r="G7" s="15">
        <f t="shared" si="0"/>
        <v>6061.0272822559664</v>
      </c>
      <c r="H7" s="17">
        <f t="shared" si="1"/>
        <v>87.595739466728389</v>
      </c>
      <c r="J7" s="12" t="s">
        <v>2</v>
      </c>
      <c r="K7" s="15">
        <f t="shared" si="4"/>
        <v>-1499.2015581972819</v>
      </c>
      <c r="L7" s="51">
        <f t="shared" si="2"/>
        <v>-0.4275018203219566</v>
      </c>
    </row>
    <row r="8" spans="1:12" x14ac:dyDescent="0.25">
      <c r="A8" s="12" t="s">
        <v>3</v>
      </c>
      <c r="B8" s="26">
        <v>68.5</v>
      </c>
      <c r="C8" s="27">
        <v>163920823.2564373</v>
      </c>
      <c r="D8" s="28">
        <v>34559.666666666664</v>
      </c>
      <c r="E8" s="15">
        <f t="shared" si="3"/>
        <v>4743.1251243676343</v>
      </c>
      <c r="F8" s="15">
        <f>IF(B8&gt;100,-Berechnung_Einzahlung!F8,Berechnung_Auszahlung!F8)/D8</f>
        <v>1173.5759100197133</v>
      </c>
      <c r="G8" s="15">
        <f t="shared" si="0"/>
        <v>5916.701034387348</v>
      </c>
      <c r="H8" s="17">
        <f t="shared" si="1"/>
        <v>85.509894309172125</v>
      </c>
      <c r="J8" s="12" t="s">
        <v>3</v>
      </c>
      <c r="K8" s="15">
        <f t="shared" si="4"/>
        <v>-2176.1923209267625</v>
      </c>
      <c r="L8" s="51">
        <f t="shared" si="2"/>
        <v>-0.53927950151020165</v>
      </c>
    </row>
    <row r="9" spans="1:12" x14ac:dyDescent="0.25">
      <c r="A9" s="12" t="s">
        <v>4</v>
      </c>
      <c r="B9" s="26">
        <v>137.6</v>
      </c>
      <c r="C9" s="27">
        <v>1206680393.6183732</v>
      </c>
      <c r="D9" s="28">
        <v>126743.66666666667</v>
      </c>
      <c r="E9" s="15">
        <f t="shared" si="3"/>
        <v>9520.6366152552509</v>
      </c>
      <c r="F9" s="15">
        <f>IF(B9&gt;100,-Berechnung_Einzahlung!F9,Berechnung_Auszahlung!F9)/D9</f>
        <v>-479.53916564662001</v>
      </c>
      <c r="G9" s="15">
        <f t="shared" si="0"/>
        <v>9041.097449608631</v>
      </c>
      <c r="H9" s="17">
        <f t="shared" si="1"/>
        <v>130.66458535960345</v>
      </c>
      <c r="J9" s="12" t="s">
        <v>4</v>
      </c>
      <c r="K9" s="15">
        <f t="shared" si="4"/>
        <v>2601.3191699608542</v>
      </c>
      <c r="L9" s="51">
        <f t="shared" si="2"/>
        <v>-0.18434460914453504</v>
      </c>
    </row>
    <row r="10" spans="1:12" x14ac:dyDescent="0.25">
      <c r="A10" s="12" t="s">
        <v>5</v>
      </c>
      <c r="B10" s="26">
        <v>67.5</v>
      </c>
      <c r="C10" s="27">
        <v>149399627.75971186</v>
      </c>
      <c r="D10" s="28">
        <v>31967</v>
      </c>
      <c r="E10" s="15">
        <f t="shared" si="3"/>
        <v>4673.5579741518395</v>
      </c>
      <c r="F10" s="15">
        <f>IF(B10&gt;100,-Berechnung_Einzahlung!F10,Berechnung_Auszahlung!F10)/D10</f>
        <v>1234.6455924246754</v>
      </c>
      <c r="G10" s="15">
        <f t="shared" si="0"/>
        <v>5908.2035665765152</v>
      </c>
      <c r="H10" s="17">
        <f t="shared" si="1"/>
        <v>85.387086418393665</v>
      </c>
      <c r="J10" s="12" t="s">
        <v>5</v>
      </c>
      <c r="K10" s="15">
        <f t="shared" si="4"/>
        <v>-2245.7594711425572</v>
      </c>
      <c r="L10" s="51">
        <f t="shared" si="2"/>
        <v>-0.54976750996246926</v>
      </c>
    </row>
    <row r="11" spans="1:12" x14ac:dyDescent="0.25">
      <c r="A11" s="12" t="s">
        <v>6</v>
      </c>
      <c r="B11" s="26">
        <v>124.4</v>
      </c>
      <c r="C11" s="27">
        <v>314872364.57773906</v>
      </c>
      <c r="D11" s="28">
        <v>36571.333333333336</v>
      </c>
      <c r="E11" s="15">
        <f t="shared" si="3"/>
        <v>8609.8136403122408</v>
      </c>
      <c r="F11" s="15">
        <f>IF(B11&gt;100,-Berechnung_Einzahlung!F11,Berechnung_Auszahlung!F11)/D11</f>
        <v>-311.19030962174287</v>
      </c>
      <c r="G11" s="15">
        <f t="shared" si="0"/>
        <v>8298.6233306904978</v>
      </c>
      <c r="H11" s="17">
        <f t="shared" si="1"/>
        <v>119.93413217851598</v>
      </c>
      <c r="J11" s="12" t="s">
        <v>6</v>
      </c>
      <c r="K11" s="15">
        <f t="shared" si="4"/>
        <v>1690.496195017844</v>
      </c>
      <c r="L11" s="51">
        <f t="shared" si="2"/>
        <v>-0.18408223013980704</v>
      </c>
    </row>
    <row r="12" spans="1:12" x14ac:dyDescent="0.25">
      <c r="A12" s="12" t="s">
        <v>7</v>
      </c>
      <c r="B12" s="26">
        <v>99.1</v>
      </c>
      <c r="C12" s="27">
        <v>262493578.50031078</v>
      </c>
      <c r="D12" s="28">
        <v>38264.333333333336</v>
      </c>
      <c r="E12" s="15">
        <f t="shared" si="3"/>
        <v>6860.0065814198797</v>
      </c>
      <c r="F12" s="15">
        <f>IF(B12&gt;100,-Berechnung_Einzahlung!F12,Berechnung_Auszahlung!F12)/D12</f>
        <v>3.6577086564902976</v>
      </c>
      <c r="G12" s="15">
        <f t="shared" si="0"/>
        <v>6863.66429007637</v>
      </c>
      <c r="H12" s="17">
        <f t="shared" si="1"/>
        <v>99.195684319182746</v>
      </c>
      <c r="J12" s="12" t="s">
        <v>7</v>
      </c>
      <c r="K12" s="15">
        <f t="shared" si="4"/>
        <v>-59.310863874517054</v>
      </c>
      <c r="L12" s="51">
        <f t="shared" si="2"/>
        <v>-6.1670129509980617E-2</v>
      </c>
    </row>
    <row r="13" spans="1:12" ht="13" x14ac:dyDescent="0.3">
      <c r="A13" s="12" t="s">
        <v>8</v>
      </c>
      <c r="B13" s="26">
        <v>202.1</v>
      </c>
      <c r="C13" s="27">
        <v>1357570108.3144543</v>
      </c>
      <c r="D13" s="28">
        <v>97091.666666666672</v>
      </c>
      <c r="E13" s="15">
        <f t="shared" si="3"/>
        <v>13982.35456164574</v>
      </c>
      <c r="F13" s="15">
        <f>IF(B13&gt;100,-Berechnung_Einzahlung!F13,Berechnung_Auszahlung!F13)/D13</f>
        <v>-1302.1528939499974</v>
      </c>
      <c r="G13" s="15">
        <f t="shared" si="0"/>
        <v>12680.201667695743</v>
      </c>
      <c r="H13" s="17">
        <f t="shared" si="1"/>
        <v>183.25798415736998</v>
      </c>
      <c r="J13" s="52" t="s">
        <v>8</v>
      </c>
      <c r="K13" s="16">
        <f t="shared" si="4"/>
        <v>7063.0371163513428</v>
      </c>
      <c r="L13" s="53">
        <f t="shared" si="2"/>
        <v>-0.18436160995606798</v>
      </c>
    </row>
    <row r="14" spans="1:12" x14ac:dyDescent="0.25">
      <c r="A14" s="12" t="s">
        <v>9</v>
      </c>
      <c r="B14" s="26">
        <v>75.2</v>
      </c>
      <c r="C14" s="27">
        <v>1223660481.7064693</v>
      </c>
      <c r="D14" s="28">
        <v>235077.33333333334</v>
      </c>
      <c r="E14" s="15">
        <f t="shared" si="3"/>
        <v>5205.3529124024544</v>
      </c>
      <c r="F14" s="15">
        <f>IF(B14&gt;100,-Berechnung_Einzahlung!F14,Berechnung_Auszahlung!F14)/D14</f>
        <v>796.02998271065997</v>
      </c>
      <c r="G14" s="15">
        <f t="shared" si="0"/>
        <v>6001.3828951131145</v>
      </c>
      <c r="H14" s="17">
        <f t="shared" si="1"/>
        <v>86.733741334478893</v>
      </c>
      <c r="J14" s="12" t="s">
        <v>9</v>
      </c>
      <c r="K14" s="15">
        <f t="shared" si="4"/>
        <v>-1713.9645328919423</v>
      </c>
      <c r="L14" s="51">
        <f t="shared" si="2"/>
        <v>-0.46443783837669761</v>
      </c>
    </row>
    <row r="15" spans="1:12" x14ac:dyDescent="0.25">
      <c r="A15" s="12" t="s">
        <v>10</v>
      </c>
      <c r="B15" s="26">
        <v>76.5</v>
      </c>
      <c r="C15" s="27">
        <v>1278550341.0646634</v>
      </c>
      <c r="D15" s="28">
        <v>241534</v>
      </c>
      <c r="E15" s="15">
        <f t="shared" si="3"/>
        <v>5293.459061931916</v>
      </c>
      <c r="F15" s="15">
        <f>IF(B15&gt;100,-Berechnung_Einzahlung!F15,Berechnung_Auszahlung!F15)/D15</f>
        <v>729.41258705638484</v>
      </c>
      <c r="G15" s="15">
        <f t="shared" si="0"/>
        <v>6022.8716489883009</v>
      </c>
      <c r="H15" s="17">
        <f t="shared" si="1"/>
        <v>87.044303092124508</v>
      </c>
      <c r="J15" s="12" t="s">
        <v>10</v>
      </c>
      <c r="K15" s="15">
        <f t="shared" si="4"/>
        <v>-1625.8583833624807</v>
      </c>
      <c r="L15" s="51">
        <f t="shared" si="2"/>
        <v>-0.44863230064839188</v>
      </c>
    </row>
    <row r="16" spans="1:12" x14ac:dyDescent="0.25">
      <c r="A16" s="12" t="s">
        <v>11</v>
      </c>
      <c r="B16" s="26">
        <v>148.4</v>
      </c>
      <c r="C16" s="27">
        <v>1977139464.4791408</v>
      </c>
      <c r="D16" s="28">
        <v>192591</v>
      </c>
      <c r="E16" s="15">
        <f t="shared" si="3"/>
        <v>10266.001342114329</v>
      </c>
      <c r="F16" s="15">
        <f>IF(B16&gt;100,-Berechnung_Einzahlung!F16,Berechnung_Auszahlung!F16)/D16</f>
        <v>-617.27913875788329</v>
      </c>
      <c r="G16" s="15">
        <f t="shared" si="0"/>
        <v>9648.7222033564449</v>
      </c>
      <c r="H16" s="17">
        <f t="shared" si="1"/>
        <v>139.4461560643995</v>
      </c>
      <c r="J16" s="12" t="s">
        <v>11</v>
      </c>
      <c r="K16" s="15">
        <f t="shared" si="4"/>
        <v>3346.6838968199318</v>
      </c>
      <c r="L16" s="51">
        <f t="shared" si="2"/>
        <v>-0.18444500818987744</v>
      </c>
    </row>
    <row r="17" spans="1:12" x14ac:dyDescent="0.25">
      <c r="A17" s="12" t="s">
        <v>12</v>
      </c>
      <c r="B17" s="26">
        <v>111.7</v>
      </c>
      <c r="C17" s="27">
        <v>1973699269.9751582</v>
      </c>
      <c r="D17" s="28">
        <v>255452.66666666666</v>
      </c>
      <c r="E17" s="15">
        <f t="shared" si="3"/>
        <v>7726.2817246319273</v>
      </c>
      <c r="F17" s="15">
        <f>IF(B17&gt;100,-Berechnung_Einzahlung!F17,Berechnung_Auszahlung!F17)/D17</f>
        <v>-149.21830420386851</v>
      </c>
      <c r="G17" s="15">
        <f t="shared" si="0"/>
        <v>7577.0634204280586</v>
      </c>
      <c r="H17" s="17">
        <f t="shared" si="1"/>
        <v>109.505937259476</v>
      </c>
      <c r="J17" s="12" t="s">
        <v>12</v>
      </c>
      <c r="K17" s="15">
        <f t="shared" si="4"/>
        <v>806.96427933753057</v>
      </c>
      <c r="L17" s="51">
        <f t="shared" si="2"/>
        <v>-0.18491314674593504</v>
      </c>
    </row>
    <row r="18" spans="1:12" x14ac:dyDescent="0.25">
      <c r="A18" s="12" t="s">
        <v>13</v>
      </c>
      <c r="B18" s="26">
        <v>92.6</v>
      </c>
      <c r="C18" s="27">
        <v>468234881.63020194</v>
      </c>
      <c r="D18" s="28">
        <v>73066.666666666672</v>
      </c>
      <c r="E18" s="15">
        <f t="shared" si="3"/>
        <v>6408.324109902398</v>
      </c>
      <c r="F18" s="15">
        <f>IF(B18&gt;100,-Berechnung_Einzahlung!F18,Berechnung_Auszahlung!F18)/D18</f>
        <v>111.78983329326748</v>
      </c>
      <c r="G18" s="15">
        <f t="shared" si="0"/>
        <v>6520.1139431956653</v>
      </c>
      <c r="H18" s="17">
        <f t="shared" si="1"/>
        <v>94.230594198706456</v>
      </c>
      <c r="J18" s="12" t="s">
        <v>13</v>
      </c>
      <c r="K18" s="15">
        <f t="shared" si="4"/>
        <v>-510.9933353919987</v>
      </c>
      <c r="L18" s="51">
        <f t="shared" si="2"/>
        <v>-0.21876965030768955</v>
      </c>
    </row>
    <row r="19" spans="1:12" x14ac:dyDescent="0.25">
      <c r="A19" s="12" t="s">
        <v>14</v>
      </c>
      <c r="B19" s="26">
        <v>81</v>
      </c>
      <c r="C19" s="27">
        <v>298831304.18103421</v>
      </c>
      <c r="D19" s="28">
        <v>53351</v>
      </c>
      <c r="E19" s="15">
        <f t="shared" si="3"/>
        <v>5601.2315454449626</v>
      </c>
      <c r="F19" s="15">
        <f>IF(B19&gt;100,-Berechnung_Einzahlung!F19,Berechnung_Auszahlung!F19)/D19</f>
        <v>516.57155564477262</v>
      </c>
      <c r="G19" s="15">
        <f t="shared" si="0"/>
        <v>6117.8031010897357</v>
      </c>
      <c r="H19" s="17">
        <f t="shared" si="1"/>
        <v>88.416280210561155</v>
      </c>
      <c r="J19" s="12" t="s">
        <v>14</v>
      </c>
      <c r="K19" s="15">
        <f t="shared" si="4"/>
        <v>-1318.0858998494341</v>
      </c>
      <c r="L19" s="51">
        <f t="shared" si="2"/>
        <v>-0.39191038740629952</v>
      </c>
    </row>
    <row r="20" spans="1:12" x14ac:dyDescent="0.25">
      <c r="A20" s="12" t="s">
        <v>15</v>
      </c>
      <c r="B20" s="26">
        <v>83.1</v>
      </c>
      <c r="C20" s="27">
        <v>83696606.430062234</v>
      </c>
      <c r="D20" s="28">
        <v>14556.666666666666</v>
      </c>
      <c r="E20" s="15">
        <f t="shared" si="3"/>
        <v>5749.7096242314337</v>
      </c>
      <c r="F20" s="15">
        <f>IF(B20&gt;100,-Berechnung_Einzahlung!F20,Berechnung_Auszahlung!F20)/D20</f>
        <v>427.13415813158463</v>
      </c>
      <c r="G20" s="15">
        <f t="shared" si="0"/>
        <v>6176.8437823630184</v>
      </c>
      <c r="H20" s="17">
        <f t="shared" si="1"/>
        <v>89.269553408966502</v>
      </c>
      <c r="J20" s="12" t="s">
        <v>15</v>
      </c>
      <c r="K20" s="15">
        <f t="shared" si="4"/>
        <v>-1169.607821062963</v>
      </c>
      <c r="L20" s="51">
        <f t="shared" si="2"/>
        <v>-0.36519434158998404</v>
      </c>
    </row>
    <row r="21" spans="1:12" x14ac:dyDescent="0.25">
      <c r="A21" s="12" t="s">
        <v>16</v>
      </c>
      <c r="B21" s="26">
        <v>77.400000000000006</v>
      </c>
      <c r="C21" s="27">
        <v>2385901785.306592</v>
      </c>
      <c r="D21" s="28">
        <v>445768.33333333331</v>
      </c>
      <c r="E21" s="15">
        <f t="shared" si="3"/>
        <v>5352.3357468339509</v>
      </c>
      <c r="F21" s="15">
        <f>IF(B21&gt;100,-Berechnung_Einzahlung!F21,Berechnung_Auszahlung!F21)/D21</f>
        <v>684.61283701032073</v>
      </c>
      <c r="G21" s="15">
        <f t="shared" si="0"/>
        <v>6036.9485838442715</v>
      </c>
      <c r="H21" s="17">
        <f t="shared" si="1"/>
        <v>87.247747072940044</v>
      </c>
      <c r="J21" s="12" t="s">
        <v>16</v>
      </c>
      <c r="K21" s="15">
        <f t="shared" si="4"/>
        <v>-1566.9816984604458</v>
      </c>
      <c r="L21" s="51">
        <f t="shared" si="2"/>
        <v>-0.43689906377525056</v>
      </c>
    </row>
    <row r="22" spans="1:12" x14ac:dyDescent="0.25">
      <c r="A22" s="12" t="s">
        <v>17</v>
      </c>
      <c r="B22" s="26">
        <v>87.1</v>
      </c>
      <c r="C22" s="27">
        <v>1130831052.0320146</v>
      </c>
      <c r="D22" s="28">
        <v>187652.66666666666</v>
      </c>
      <c r="E22" s="15">
        <f t="shared" si="3"/>
        <v>6026.1922844973233</v>
      </c>
      <c r="F22" s="15">
        <f>IF(B22&gt;100,-Berechnung_Einzahlung!F22,Berechnung_Auszahlung!F22)/D22</f>
        <v>275.53072730436287</v>
      </c>
      <c r="G22" s="15">
        <f t="shared" si="0"/>
        <v>6301.723011801686</v>
      </c>
      <c r="H22" s="17">
        <f t="shared" si="1"/>
        <v>91.074344566851508</v>
      </c>
      <c r="J22" s="12" t="s">
        <v>17</v>
      </c>
      <c r="K22" s="15">
        <f t="shared" si="4"/>
        <v>-893.12516079707348</v>
      </c>
      <c r="L22" s="51">
        <f t="shared" si="2"/>
        <v>-0.30850180847941205</v>
      </c>
    </row>
    <row r="23" spans="1:12" x14ac:dyDescent="0.25">
      <c r="A23" s="12" t="s">
        <v>18</v>
      </c>
      <c r="B23" s="26">
        <v>88.1</v>
      </c>
      <c r="C23" s="27">
        <v>3271310281.0466189</v>
      </c>
      <c r="D23" s="28">
        <v>536796.33333333337</v>
      </c>
      <c r="E23" s="15">
        <f t="shared" si="3"/>
        <v>6094.1367850499828</v>
      </c>
      <c r="F23" s="15">
        <f>IF(B23&gt;100,-Berechnung_Einzahlung!F23,Berechnung_Auszahlung!F23)/D23</f>
        <v>241.70704597692273</v>
      </c>
      <c r="G23" s="15">
        <f t="shared" si="0"/>
        <v>6335.8438310269057</v>
      </c>
      <c r="H23" s="17">
        <f t="shared" si="1"/>
        <v>91.567468628509118</v>
      </c>
      <c r="J23" s="12" t="s">
        <v>18</v>
      </c>
      <c r="K23" s="15">
        <f t="shared" si="4"/>
        <v>-825.18066024441396</v>
      </c>
      <c r="L23" s="51">
        <f t="shared" si="2"/>
        <v>-0.29291409460000001</v>
      </c>
    </row>
    <row r="24" spans="1:12" x14ac:dyDescent="0.25">
      <c r="A24" s="12" t="s">
        <v>19</v>
      </c>
      <c r="B24" s="26">
        <v>77.900000000000006</v>
      </c>
      <c r="C24" s="27">
        <v>1221374355.6486778</v>
      </c>
      <c r="D24" s="28">
        <v>226461</v>
      </c>
      <c r="E24" s="15">
        <f t="shared" si="3"/>
        <v>5393.3099105306337</v>
      </c>
      <c r="F24" s="15">
        <f>IF(B24&gt;100,-Berechnung_Einzahlung!F24,Berechnung_Auszahlung!F24)/D24</f>
        <v>660.19760123222704</v>
      </c>
      <c r="G24" s="15">
        <f t="shared" si="0"/>
        <v>6053.5075117628603</v>
      </c>
      <c r="H24" s="17">
        <f t="shared" si="1"/>
        <v>87.487061543615894</v>
      </c>
      <c r="J24" s="12" t="s">
        <v>19</v>
      </c>
      <c r="K24" s="15">
        <f t="shared" si="4"/>
        <v>-1526.007534763763</v>
      </c>
      <c r="L24" s="51">
        <f t="shared" si="2"/>
        <v>-0.43263063005415003</v>
      </c>
    </row>
    <row r="25" spans="1:12" x14ac:dyDescent="0.25">
      <c r="A25" s="12" t="s">
        <v>20</v>
      </c>
      <c r="B25" s="26">
        <v>103.3</v>
      </c>
      <c r="C25" s="27">
        <v>2177215857.9443107</v>
      </c>
      <c r="D25" s="28">
        <v>304694.66666666669</v>
      </c>
      <c r="E25" s="15">
        <f t="shared" si="3"/>
        <v>7145.5660243838984</v>
      </c>
      <c r="F25" s="15">
        <f>IF(B25&gt;100,-Berechnung_Einzahlung!F25,Berechnung_Auszahlung!F25)/D25</f>
        <v>-42.087214006219277</v>
      </c>
      <c r="G25" s="15">
        <f t="shared" si="0"/>
        <v>7103.4788103776791</v>
      </c>
      <c r="H25" s="17">
        <f t="shared" si="1"/>
        <v>102.66155392550351</v>
      </c>
      <c r="J25" s="12" t="s">
        <v>20</v>
      </c>
      <c r="K25" s="15">
        <f t="shared" si="4"/>
        <v>226.24857908950162</v>
      </c>
      <c r="L25" s="51">
        <f t="shared" si="2"/>
        <v>-0.18602200365452906</v>
      </c>
    </row>
    <row r="26" spans="1:12" x14ac:dyDescent="0.25">
      <c r="A26" s="12" t="s">
        <v>21</v>
      </c>
      <c r="B26" s="26">
        <v>95.2</v>
      </c>
      <c r="C26" s="27">
        <v>4111927788.9151587</v>
      </c>
      <c r="D26" s="28">
        <v>624102</v>
      </c>
      <c r="E26" s="15">
        <f t="shared" si="3"/>
        <v>6588.5508921861474</v>
      </c>
      <c r="F26" s="15">
        <f>IF(B26&gt;100,-Berechnung_Einzahlung!F26,Berechnung_Auszahlung!F26)/D26</f>
        <v>55.368111324296869</v>
      </c>
      <c r="G26" s="15">
        <f t="shared" si="0"/>
        <v>6643.9190035104439</v>
      </c>
      <c r="H26" s="17">
        <f t="shared" si="1"/>
        <v>96.019861150159514</v>
      </c>
      <c r="J26" s="12" t="s">
        <v>21</v>
      </c>
      <c r="K26" s="15">
        <f t="shared" si="4"/>
        <v>-330.76655310824935</v>
      </c>
      <c r="L26" s="51">
        <f t="shared" si="2"/>
        <v>-0.16739331956026596</v>
      </c>
    </row>
    <row r="27" spans="1:12" x14ac:dyDescent="0.25">
      <c r="A27" s="12" t="s">
        <v>22</v>
      </c>
      <c r="B27" s="26">
        <v>60.9</v>
      </c>
      <c r="C27" s="27">
        <v>1144127217.3639798</v>
      </c>
      <c r="D27" s="28">
        <v>271438.33333333331</v>
      </c>
      <c r="E27" s="15">
        <f t="shared" si="3"/>
        <v>4215.0539436114277</v>
      </c>
      <c r="F27" s="15">
        <f>IF(B27&gt;100,-Berechnung_Einzahlung!F27,Berechnung_Auszahlung!F27)/D27</f>
        <v>1666.7598654142769</v>
      </c>
      <c r="G27" s="15">
        <f t="shared" si="0"/>
        <v>5881.8138090257044</v>
      </c>
      <c r="H27" s="17">
        <f t="shared" si="1"/>
        <v>85.005693921815009</v>
      </c>
      <c r="J27" s="12" t="s">
        <v>22</v>
      </c>
      <c r="K27" s="15">
        <f t="shared" si="4"/>
        <v>-2704.263501682969</v>
      </c>
      <c r="L27" s="51">
        <f t="shared" si="2"/>
        <v>-0.61634521354039162</v>
      </c>
    </row>
    <row r="28" spans="1:12" x14ac:dyDescent="0.25">
      <c r="A28" s="12" t="s">
        <v>23</v>
      </c>
      <c r="B28" s="26">
        <v>89.8</v>
      </c>
      <c r="C28" s="27">
        <v>1031226803.3087977</v>
      </c>
      <c r="D28" s="28">
        <v>166048</v>
      </c>
      <c r="E28" s="15">
        <f t="shared" si="3"/>
        <v>6210.4138761610966</v>
      </c>
      <c r="F28" s="15">
        <f>IF(B28&gt;100,-Berechnung_Einzahlung!F28,Berechnung_Auszahlung!F28)/D28</f>
        <v>188.20126864149276</v>
      </c>
      <c r="G28" s="15">
        <f t="shared" si="0"/>
        <v>6398.6151448025894</v>
      </c>
      <c r="H28" s="17">
        <f t="shared" si="1"/>
        <v>92.474658019254193</v>
      </c>
      <c r="J28" s="12" t="s">
        <v>23</v>
      </c>
      <c r="K28" s="15">
        <f t="shared" si="4"/>
        <v>-708.90356913330015</v>
      </c>
      <c r="L28" s="51">
        <f t="shared" si="2"/>
        <v>-0.26548218521679351</v>
      </c>
    </row>
    <row r="29" spans="1:12" x14ac:dyDescent="0.25">
      <c r="A29" s="12" t="s">
        <v>24</v>
      </c>
      <c r="B29" s="26">
        <v>152.5</v>
      </c>
      <c r="C29" s="27">
        <v>4268104491.0223961</v>
      </c>
      <c r="D29" s="28">
        <v>404583.66666666669</v>
      </c>
      <c r="E29" s="15">
        <f t="shared" si="3"/>
        <v>10549.374190478267</v>
      </c>
      <c r="F29" s="15">
        <f>IF(B29&gt;100,-Berechnung_Einzahlung!F29,Berechnung_Auszahlung!F29)/D29</f>
        <v>-669.56931373530722</v>
      </c>
      <c r="G29" s="15">
        <f t="shared" si="0"/>
        <v>9879.8048767429609</v>
      </c>
      <c r="H29" s="17">
        <f t="shared" si="1"/>
        <v>142.78583046456259</v>
      </c>
      <c r="J29" s="12" t="s">
        <v>24</v>
      </c>
      <c r="K29" s="15">
        <f t="shared" si="4"/>
        <v>3630.0567451838706</v>
      </c>
      <c r="L29" s="51">
        <f t="shared" si="2"/>
        <v>-0.18445147300345907</v>
      </c>
    </row>
    <row r="30" spans="1:12" x14ac:dyDescent="0.25">
      <c r="A30" s="12" t="s">
        <v>25</v>
      </c>
      <c r="B30" s="26">
        <v>66.8</v>
      </c>
      <c r="C30" s="27">
        <v>310960431.66560131</v>
      </c>
      <c r="D30" s="28">
        <v>67271.666666666672</v>
      </c>
      <c r="E30" s="15">
        <f t="shared" si="3"/>
        <v>4622.457671614121</v>
      </c>
      <c r="F30" s="15">
        <f>IF(B30&gt;100,-Berechnung_Einzahlung!F30,Berechnung_Auszahlung!F30)/D30</f>
        <v>1278.0987244639903</v>
      </c>
      <c r="G30" s="15">
        <f t="shared" si="0"/>
        <v>5900.556396078111</v>
      </c>
      <c r="H30" s="17">
        <f t="shared" si="1"/>
        <v>85.276567273133097</v>
      </c>
      <c r="J30" s="12" t="s">
        <v>25</v>
      </c>
      <c r="K30" s="15">
        <f t="shared" si="4"/>
        <v>-2296.8597736802758</v>
      </c>
      <c r="L30" s="51">
        <f t="shared" si="2"/>
        <v>-0.55645483416520591</v>
      </c>
    </row>
    <row r="31" spans="1:12" x14ac:dyDescent="0.25">
      <c r="A31" s="12" t="s">
        <v>26</v>
      </c>
      <c r="B31" s="26">
        <v>100</v>
      </c>
      <c r="C31" s="27">
        <v>49606127466.666687</v>
      </c>
      <c r="D31" s="28">
        <v>7169222.666666667</v>
      </c>
      <c r="E31" s="15">
        <f t="shared" si="3"/>
        <v>6919.3174452943967</v>
      </c>
      <c r="F31" s="15"/>
      <c r="G31" s="15"/>
      <c r="H31" s="12"/>
      <c r="J31" s="12" t="s">
        <v>26</v>
      </c>
      <c r="K31" s="15">
        <f t="shared" si="4"/>
        <v>0</v>
      </c>
      <c r="L31" s="51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J32" s="12"/>
    </row>
    <row r="33" spans="1:10" ht="13" x14ac:dyDescent="0.3">
      <c r="A33" s="29" t="s">
        <v>45</v>
      </c>
      <c r="B33" s="30">
        <f>MIN(B5:B30)</f>
        <v>60.9</v>
      </c>
      <c r="C33" s="30"/>
      <c r="D33" s="31"/>
      <c r="E33" s="18"/>
      <c r="F33" s="18"/>
      <c r="G33" s="18"/>
      <c r="H33" s="30">
        <f>MIN(H5:H30)</f>
        <v>85.005693921815009</v>
      </c>
      <c r="J33" s="54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8FE-6E88-4515-B8E3-6FAE8DF81F37}">
  <sheetPr codeName="Tabelle16"/>
  <dimension ref="A1:G45"/>
  <sheetViews>
    <sheetView workbookViewId="0">
      <selection activeCell="I12" sqref="I12"/>
    </sheetView>
  </sheetViews>
  <sheetFormatPr baseColWidth="10" defaultColWidth="11.453125" defaultRowHeight="15.5" x14ac:dyDescent="0.35"/>
  <cols>
    <col min="1" max="1" width="21" style="4" customWidth="1"/>
    <col min="2" max="2" width="39.81640625" style="4" customWidth="1"/>
    <col min="3" max="3" width="14.26953125" style="4" bestFit="1" customWidth="1"/>
    <col min="4" max="4" width="14.453125" style="4" customWidth="1"/>
    <col min="5" max="5" width="14" style="4" customWidth="1"/>
    <col min="6" max="6" width="13.7265625" style="4" bestFit="1" customWidth="1"/>
    <col min="7" max="7" width="15.453125" style="4" bestFit="1" customWidth="1"/>
    <col min="8" max="16384" width="11.453125" style="4"/>
  </cols>
  <sheetData>
    <row r="1" spans="1:7" x14ac:dyDescent="0.35">
      <c r="A1" s="3" t="s">
        <v>46</v>
      </c>
    </row>
    <row r="2" spans="1:7" x14ac:dyDescent="0.35">
      <c r="A2" s="4" t="s">
        <v>31</v>
      </c>
    </row>
    <row r="3" spans="1:7" x14ac:dyDescent="0.35">
      <c r="A3" s="20"/>
      <c r="B3" s="20"/>
      <c r="C3" s="21">
        <v>1998</v>
      </c>
      <c r="D3" s="21">
        <v>1999</v>
      </c>
      <c r="E3" s="21">
        <v>2000</v>
      </c>
      <c r="F3" s="22" t="s">
        <v>47</v>
      </c>
    </row>
    <row r="4" spans="1:7" x14ac:dyDescent="0.35">
      <c r="A4" s="20" t="s">
        <v>42</v>
      </c>
      <c r="B4" s="20"/>
      <c r="C4" s="23">
        <v>45367165.648999996</v>
      </c>
      <c r="D4" s="23">
        <v>48062226.859000012</v>
      </c>
      <c r="E4" s="23">
        <v>50138898.592</v>
      </c>
      <c r="F4" s="23"/>
    </row>
    <row r="5" spans="1:7" x14ac:dyDescent="0.35">
      <c r="A5" s="20" t="s">
        <v>43</v>
      </c>
      <c r="B5" s="20"/>
      <c r="C5" s="23">
        <v>9686889</v>
      </c>
      <c r="D5" s="23">
        <v>10511287</v>
      </c>
      <c r="E5" s="23">
        <v>10684714</v>
      </c>
      <c r="F5" s="23"/>
    </row>
    <row r="6" spans="1:7" x14ac:dyDescent="0.35">
      <c r="A6" s="20" t="s">
        <v>41</v>
      </c>
      <c r="B6" s="20"/>
      <c r="C6" s="23">
        <f>0.17*C5</f>
        <v>1646771.1300000001</v>
      </c>
      <c r="D6" s="23">
        <f>0.17*D5</f>
        <v>1786918.79</v>
      </c>
      <c r="E6" s="23">
        <f>0.17*E5</f>
        <v>1816401.3800000001</v>
      </c>
      <c r="F6" s="20"/>
    </row>
    <row r="7" spans="1:7" x14ac:dyDescent="0.35">
      <c r="A7" s="20" t="s">
        <v>32</v>
      </c>
      <c r="B7" s="20"/>
      <c r="C7" s="24">
        <f>C4+C6</f>
        <v>47013936.778999999</v>
      </c>
      <c r="D7" s="24">
        <f>D4+D6</f>
        <v>49849145.649000011</v>
      </c>
      <c r="E7" s="24">
        <f>E4+E6</f>
        <v>51955299.972000003</v>
      </c>
      <c r="F7" s="23">
        <f>AVERAGE(C7:E7)</f>
        <v>49606127.466666669</v>
      </c>
      <c r="G7" s="5"/>
    </row>
    <row r="8" spans="1:7" x14ac:dyDescent="0.35">
      <c r="A8" s="20" t="s">
        <v>40</v>
      </c>
      <c r="B8" s="20"/>
      <c r="C8" s="23">
        <v>7131888</v>
      </c>
      <c r="D8" s="23">
        <v>7166738</v>
      </c>
      <c r="E8" s="23">
        <v>7209042</v>
      </c>
      <c r="F8" s="23">
        <f>AVERAGE(C8:E8)</f>
        <v>7169222.666666667</v>
      </c>
    </row>
    <row r="9" spans="1:7" x14ac:dyDescent="0.35">
      <c r="A9" s="20" t="s">
        <v>33</v>
      </c>
      <c r="B9" s="20"/>
      <c r="C9" s="20"/>
      <c r="D9" s="20"/>
      <c r="E9" s="20"/>
      <c r="F9" s="24">
        <f>F7/F8*1000</f>
        <v>6919.3174452943949</v>
      </c>
    </row>
    <row r="10" spans="1:7" x14ac:dyDescent="0.35">
      <c r="A10" s="20"/>
      <c r="B10" s="20"/>
      <c r="C10" s="20"/>
      <c r="D10" s="20"/>
      <c r="E10" s="20"/>
      <c r="F10" s="20"/>
    </row>
    <row r="11" spans="1:7" x14ac:dyDescent="0.35">
      <c r="A11" s="20" t="s">
        <v>44</v>
      </c>
      <c r="B11" s="20"/>
      <c r="C11" s="20"/>
      <c r="D11" s="20"/>
      <c r="E11" s="20"/>
      <c r="F11" s="23">
        <v>23819.880741707475</v>
      </c>
    </row>
    <row r="12" spans="1:7" x14ac:dyDescent="0.35">
      <c r="A12" s="20" t="s">
        <v>54</v>
      </c>
      <c r="B12" s="20"/>
      <c r="C12" s="20"/>
      <c r="D12" s="20"/>
      <c r="E12" s="20"/>
      <c r="F12" s="25">
        <f>F9/F11</f>
        <v>0.29048497430883441</v>
      </c>
    </row>
    <row r="18" spans="3:6" x14ac:dyDescent="0.35">
      <c r="C18" s="5"/>
      <c r="D18" s="5"/>
      <c r="E18" s="5"/>
      <c r="F18" s="5"/>
    </row>
    <row r="19" spans="3:6" x14ac:dyDescent="0.35">
      <c r="C19" s="5"/>
      <c r="D19" s="5"/>
      <c r="E19" s="5"/>
      <c r="F19" s="5"/>
    </row>
    <row r="20" spans="3:6" x14ac:dyDescent="0.35">
      <c r="C20" s="5"/>
      <c r="D20" s="5"/>
      <c r="E20" s="5"/>
      <c r="F20" s="5"/>
    </row>
    <row r="21" spans="3:6" x14ac:dyDescent="0.35">
      <c r="C21" s="5"/>
      <c r="D21" s="5"/>
      <c r="E21" s="5"/>
      <c r="F21" s="5"/>
    </row>
    <row r="22" spans="3:6" x14ac:dyDescent="0.35">
      <c r="C22" s="5"/>
      <c r="D22" s="5"/>
      <c r="E22" s="5"/>
      <c r="F22" s="5"/>
    </row>
    <row r="23" spans="3:6" x14ac:dyDescent="0.35">
      <c r="C23" s="5"/>
      <c r="D23" s="5"/>
      <c r="E23" s="5"/>
      <c r="F23" s="5"/>
    </row>
    <row r="24" spans="3:6" x14ac:dyDescent="0.35">
      <c r="C24" s="5"/>
      <c r="D24" s="5"/>
      <c r="E24" s="5"/>
      <c r="F24" s="5"/>
    </row>
    <row r="25" spans="3:6" x14ac:dyDescent="0.35">
      <c r="C25" s="5"/>
      <c r="D25" s="5"/>
      <c r="E25" s="5"/>
      <c r="F25" s="5"/>
    </row>
    <row r="26" spans="3:6" x14ac:dyDescent="0.35">
      <c r="C26" s="5"/>
      <c r="D26" s="5"/>
      <c r="E26" s="5"/>
      <c r="F26" s="5"/>
    </row>
    <row r="27" spans="3:6" x14ac:dyDescent="0.35">
      <c r="C27" s="5"/>
      <c r="D27" s="5"/>
      <c r="E27" s="5"/>
      <c r="F27" s="5"/>
    </row>
    <row r="28" spans="3:6" x14ac:dyDescent="0.35">
      <c r="C28" s="5"/>
      <c r="D28" s="5"/>
      <c r="E28" s="5"/>
      <c r="F28" s="5"/>
    </row>
    <row r="29" spans="3:6" x14ac:dyDescent="0.35">
      <c r="C29" s="5"/>
      <c r="D29" s="5"/>
      <c r="E29" s="5"/>
      <c r="F29" s="5"/>
    </row>
    <row r="30" spans="3:6" x14ac:dyDescent="0.35">
      <c r="C30" s="5"/>
      <c r="D30" s="5"/>
      <c r="E30" s="5"/>
      <c r="F30" s="5"/>
    </row>
    <row r="31" spans="3:6" x14ac:dyDescent="0.35">
      <c r="C31" s="5"/>
      <c r="D31" s="5"/>
      <c r="E31" s="5"/>
      <c r="F31" s="5"/>
    </row>
    <row r="32" spans="3:6" x14ac:dyDescent="0.35">
      <c r="C32" s="5"/>
      <c r="D32" s="5"/>
      <c r="E32" s="5"/>
      <c r="F32" s="5"/>
    </row>
    <row r="33" spans="2:6" x14ac:dyDescent="0.35">
      <c r="C33" s="5"/>
      <c r="D33" s="5"/>
      <c r="E33" s="5"/>
      <c r="F33" s="5"/>
    </row>
    <row r="34" spans="2:6" x14ac:dyDescent="0.35">
      <c r="C34" s="5"/>
      <c r="D34" s="5"/>
      <c r="E34" s="5"/>
      <c r="F34" s="5"/>
    </row>
    <row r="35" spans="2:6" x14ac:dyDescent="0.35">
      <c r="C35" s="5"/>
      <c r="D35" s="5"/>
      <c r="E35" s="5"/>
      <c r="F35" s="5"/>
    </row>
    <row r="36" spans="2:6" x14ac:dyDescent="0.35">
      <c r="C36" s="5"/>
      <c r="D36" s="5"/>
      <c r="E36" s="5"/>
      <c r="F36" s="5"/>
    </row>
    <row r="37" spans="2:6" x14ac:dyDescent="0.35">
      <c r="C37" s="5"/>
      <c r="D37" s="5"/>
      <c r="E37" s="5"/>
      <c r="F37" s="5"/>
    </row>
    <row r="38" spans="2:6" x14ac:dyDescent="0.35">
      <c r="C38" s="5"/>
      <c r="D38" s="5"/>
      <c r="E38" s="5"/>
      <c r="F38" s="5"/>
    </row>
    <row r="39" spans="2:6" x14ac:dyDescent="0.35">
      <c r="C39" s="5"/>
      <c r="D39" s="5"/>
      <c r="E39" s="5"/>
      <c r="F39" s="5"/>
    </row>
    <row r="40" spans="2:6" x14ac:dyDescent="0.35">
      <c r="C40" s="5"/>
      <c r="D40" s="5"/>
      <c r="E40" s="5"/>
      <c r="F40" s="5"/>
    </row>
    <row r="41" spans="2:6" x14ac:dyDescent="0.35">
      <c r="C41" s="5"/>
      <c r="D41" s="5"/>
      <c r="E41" s="5"/>
      <c r="F41" s="5"/>
    </row>
    <row r="42" spans="2:6" x14ac:dyDescent="0.35">
      <c r="C42" s="5"/>
      <c r="D42" s="5"/>
      <c r="E42" s="5"/>
      <c r="F42" s="5"/>
    </row>
    <row r="43" spans="2:6" x14ac:dyDescent="0.35">
      <c r="C43" s="5"/>
      <c r="D43" s="5"/>
      <c r="E43" s="5"/>
      <c r="F43" s="5"/>
    </row>
    <row r="44" spans="2:6" x14ac:dyDescent="0.35">
      <c r="B44" s="3"/>
      <c r="C44" s="6"/>
      <c r="D44" s="6"/>
      <c r="E44" s="6"/>
      <c r="F44" s="6"/>
    </row>
    <row r="45" spans="2:6" x14ac:dyDescent="0.35">
      <c r="C45" s="5"/>
      <c r="D45" s="5"/>
      <c r="E45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2981-59C0-4BB5-9104-0D6879940A1D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18</vt:i4>
      </vt:variant>
    </vt:vector>
  </HeadingPairs>
  <TitlesOfParts>
    <vt:vector size="24" baseType="lpstr">
      <vt:lpstr>Eingabe_RA</vt:lpstr>
      <vt:lpstr>Berechnung_Einzahlung</vt:lpstr>
      <vt:lpstr>Berechnung_Auszahlung</vt:lpstr>
      <vt:lpstr>Result_SSE</vt:lpstr>
      <vt:lpstr>Stand. Steuern</vt:lpstr>
      <vt:lpstr>Tabelle3</vt:lpstr>
      <vt:lpstr>A</vt:lpstr>
      <vt:lpstr>Berechnung_Einzahlung!B</vt:lpstr>
      <vt:lpstr>B</vt:lpstr>
      <vt:lpstr>Berechnung_Einzahlung!BEV</vt:lpstr>
      <vt:lpstr>BEV</vt:lpstr>
      <vt:lpstr>Berechnung_Einzahlung!p</vt:lpstr>
      <vt:lpstr>p</vt:lpstr>
      <vt:lpstr>Berechnung_Einzahlung!RI</vt:lpstr>
      <vt:lpstr>RI</vt:lpstr>
      <vt:lpstr>Berechnung_Einzahlung!RI_26</vt:lpstr>
      <vt:lpstr>RI_26</vt:lpstr>
      <vt:lpstr>Berechnung_Einzahlung!RI_MIN</vt:lpstr>
      <vt:lpstr>RI_MIN</vt:lpstr>
      <vt:lpstr>Berechnung_Einzahlung!SSE</vt:lpstr>
      <vt:lpstr>sse</vt:lpstr>
      <vt:lpstr>Berechnung_Einzahlung!SUM</vt:lpstr>
      <vt:lpstr>SUM</vt:lpstr>
      <vt:lpstr>SUM_A</vt:lpstr>
    </vt:vector>
  </TitlesOfParts>
  <Company>Eidg. Finanzverwaltung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</dc:creator>
  <cp:lastModifiedBy>Gilliéron Martine EFV</cp:lastModifiedBy>
  <cp:lastPrinted>2004-02-19T16:14:34Z</cp:lastPrinted>
  <dcterms:created xsi:type="dcterms:W3CDTF">2003-10-22T13:58:53Z</dcterms:created>
  <dcterms:modified xsi:type="dcterms:W3CDTF">2025-05-05T14:43:44Z</dcterms:modified>
</cp:coreProperties>
</file>