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8\Datenbank\Dateien\Tabellen\"/>
    </mc:Choice>
  </mc:AlternateContent>
  <bookViews>
    <workbookView xWindow="0" yWindow="0" windowWidth="13125" windowHeight="6105"/>
  </bookViews>
  <sheets>
    <sheet name="INTRO" sheetId="3" r:id="rId1"/>
    <sheet name="TOTAL_1" sheetId="1" r:id="rId2"/>
    <sheet name="TOTAL_2" sheetId="2" r:id="rId3"/>
    <sheet name="DFIE" sheetId="4" state="veryHidden" r:id="rId4"/>
  </sheets>
  <definedNames>
    <definedName name="B" localSheetId="3">#REF!</definedName>
    <definedName name="B">#REF!</definedName>
    <definedName name="_xlnm.Print_Area" localSheetId="1">TOTAL_1!$B$1:$R$33</definedName>
    <definedName name="_xlnm.Print_Area" localSheetId="2">TOTAL_2!$B$1:$K$31</definedName>
    <definedName name="_xlnm.Print_Area">TOTAL_1!$A$1:$R$33</definedName>
    <definedName name="RI">#REF!</definedName>
    <definedName name="sse">#REF!</definedName>
    <definedName name="Summe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F71" i="4" l="1"/>
  <c r="E71" i="4"/>
  <c r="B66" i="4"/>
  <c r="B26" i="2" s="1"/>
  <c r="B58" i="4"/>
  <c r="B18" i="2" s="1"/>
  <c r="B50" i="4"/>
  <c r="B10" i="2" s="1"/>
  <c r="B42" i="4"/>
  <c r="R3" i="1" s="1"/>
  <c r="B34" i="4"/>
  <c r="K5" i="1" s="1"/>
  <c r="B26" i="4"/>
  <c r="D5" i="1" s="1"/>
  <c r="G22" i="4"/>
  <c r="F22" i="4"/>
  <c r="F19" i="4"/>
  <c r="E19" i="4"/>
  <c r="B18" i="4"/>
  <c r="C55" i="3" s="1"/>
  <c r="G13" i="4"/>
  <c r="D13" i="4"/>
  <c r="B9" i="4"/>
  <c r="B77" i="4" s="1"/>
  <c r="F4" i="2" s="1"/>
  <c r="B8" i="4"/>
  <c r="G2" i="4"/>
  <c r="G71" i="4" s="1"/>
  <c r="H30" i="2"/>
  <c r="G30" i="2"/>
  <c r="F30" i="2"/>
  <c r="D30" i="2"/>
  <c r="H29" i="2"/>
  <c r="I29" i="2" s="1"/>
  <c r="G29" i="2"/>
  <c r="F29" i="2"/>
  <c r="E29" i="2"/>
  <c r="D29" i="2"/>
  <c r="I28" i="2"/>
  <c r="H28" i="2"/>
  <c r="G28" i="2"/>
  <c r="F28" i="2"/>
  <c r="D28" i="2"/>
  <c r="J27" i="2"/>
  <c r="H27" i="2"/>
  <c r="G27" i="2"/>
  <c r="F27" i="2"/>
  <c r="I27" i="2" s="1"/>
  <c r="D27" i="2"/>
  <c r="H26" i="2"/>
  <c r="G26" i="2"/>
  <c r="F26" i="2"/>
  <c r="I26" i="2" s="1"/>
  <c r="D26" i="2"/>
  <c r="H25" i="2"/>
  <c r="I25" i="2" s="1"/>
  <c r="G25" i="2"/>
  <c r="F25" i="2"/>
  <c r="E25" i="2"/>
  <c r="D25" i="2"/>
  <c r="I24" i="2"/>
  <c r="H24" i="2"/>
  <c r="G24" i="2"/>
  <c r="F24" i="2"/>
  <c r="D24" i="2"/>
  <c r="J23" i="2"/>
  <c r="H23" i="2"/>
  <c r="G23" i="2"/>
  <c r="F23" i="2"/>
  <c r="I23" i="2" s="1"/>
  <c r="D23" i="2"/>
  <c r="H22" i="2"/>
  <c r="G22" i="2"/>
  <c r="F22" i="2"/>
  <c r="D22" i="2"/>
  <c r="H21" i="2"/>
  <c r="I21" i="2" s="1"/>
  <c r="G21" i="2"/>
  <c r="F21" i="2"/>
  <c r="E21" i="2"/>
  <c r="D21" i="2"/>
  <c r="I20" i="2"/>
  <c r="H20" i="2"/>
  <c r="G20" i="2"/>
  <c r="F20" i="2"/>
  <c r="D20" i="2"/>
  <c r="J19" i="2"/>
  <c r="H19" i="2"/>
  <c r="G19" i="2"/>
  <c r="F19" i="2"/>
  <c r="I19" i="2" s="1"/>
  <c r="D19" i="2"/>
  <c r="H18" i="2"/>
  <c r="G18" i="2"/>
  <c r="I18" i="2" s="1"/>
  <c r="F18" i="2"/>
  <c r="D18" i="2"/>
  <c r="H17" i="2"/>
  <c r="I17" i="2" s="1"/>
  <c r="G17" i="2"/>
  <c r="F17" i="2"/>
  <c r="E17" i="2"/>
  <c r="D17" i="2"/>
  <c r="I16" i="2"/>
  <c r="H16" i="2"/>
  <c r="G16" i="2"/>
  <c r="F16" i="2"/>
  <c r="D16" i="2"/>
  <c r="J15" i="2"/>
  <c r="H15" i="2"/>
  <c r="G15" i="2"/>
  <c r="F15" i="2"/>
  <c r="I15" i="2" s="1"/>
  <c r="D15" i="2"/>
  <c r="H14" i="2"/>
  <c r="G14" i="2"/>
  <c r="F14" i="2"/>
  <c r="D14" i="2"/>
  <c r="H13" i="2"/>
  <c r="I13" i="2" s="1"/>
  <c r="G13" i="2"/>
  <c r="F13" i="2"/>
  <c r="E13" i="2"/>
  <c r="D13" i="2"/>
  <c r="I12" i="2"/>
  <c r="H12" i="2"/>
  <c r="G12" i="2"/>
  <c r="F12" i="2"/>
  <c r="D12" i="2"/>
  <c r="J11" i="2"/>
  <c r="H11" i="2"/>
  <c r="G11" i="2"/>
  <c r="F11" i="2"/>
  <c r="I11" i="2" s="1"/>
  <c r="D11" i="2"/>
  <c r="H10" i="2"/>
  <c r="G10" i="2"/>
  <c r="I10" i="2" s="1"/>
  <c r="F10" i="2"/>
  <c r="D10" i="2"/>
  <c r="H9" i="2"/>
  <c r="I9" i="2" s="1"/>
  <c r="G9" i="2"/>
  <c r="F9" i="2"/>
  <c r="E9" i="2"/>
  <c r="D9" i="2"/>
  <c r="I8" i="2"/>
  <c r="H8" i="2"/>
  <c r="G8" i="2"/>
  <c r="F8" i="2"/>
  <c r="D8" i="2"/>
  <c r="J7" i="2"/>
  <c r="H7" i="2"/>
  <c r="G7" i="2"/>
  <c r="F7" i="2"/>
  <c r="I7" i="2" s="1"/>
  <c r="D7" i="2"/>
  <c r="H6" i="2"/>
  <c r="G6" i="2"/>
  <c r="F6" i="2"/>
  <c r="D6" i="2"/>
  <c r="H5" i="2"/>
  <c r="I5" i="2" s="1"/>
  <c r="G5" i="2"/>
  <c r="F5" i="2"/>
  <c r="E5" i="2"/>
  <c r="D5" i="2"/>
  <c r="P32" i="1"/>
  <c r="O32" i="1"/>
  <c r="L32" i="1"/>
  <c r="K32" i="1"/>
  <c r="J32" i="1"/>
  <c r="F32" i="1"/>
  <c r="E32" i="1"/>
  <c r="D32" i="1"/>
  <c r="Q31" i="1"/>
  <c r="J30" i="2" s="1"/>
  <c r="N31" i="1"/>
  <c r="R31" i="1" s="1"/>
  <c r="K30" i="2" s="1"/>
  <c r="M31" i="1"/>
  <c r="H31" i="1"/>
  <c r="G31" i="1"/>
  <c r="E30" i="2" s="1"/>
  <c r="R30" i="1"/>
  <c r="K29" i="2" s="1"/>
  <c r="Q30" i="1"/>
  <c r="J29" i="2" s="1"/>
  <c r="M30" i="1"/>
  <c r="N30" i="1" s="1"/>
  <c r="H30" i="1"/>
  <c r="G30" i="1"/>
  <c r="Q29" i="1"/>
  <c r="J28" i="2" s="1"/>
  <c r="M29" i="1"/>
  <c r="H29" i="1"/>
  <c r="G29" i="1"/>
  <c r="N29" i="1" s="1"/>
  <c r="R29" i="1" s="1"/>
  <c r="K28" i="2" s="1"/>
  <c r="Q28" i="1"/>
  <c r="M28" i="1"/>
  <c r="N28" i="1" s="1"/>
  <c r="R28" i="1" s="1"/>
  <c r="K27" i="2" s="1"/>
  <c r="H28" i="1"/>
  <c r="G28" i="1"/>
  <c r="E27" i="2" s="1"/>
  <c r="Q27" i="1"/>
  <c r="J26" i="2" s="1"/>
  <c r="N27" i="1"/>
  <c r="R27" i="1" s="1"/>
  <c r="K26" i="2" s="1"/>
  <c r="M27" i="1"/>
  <c r="H27" i="1"/>
  <c r="G27" i="1"/>
  <c r="E26" i="2" s="1"/>
  <c r="R26" i="1"/>
  <c r="K25" i="2" s="1"/>
  <c r="Q26" i="1"/>
  <c r="J25" i="2" s="1"/>
  <c r="M26" i="1"/>
  <c r="N26" i="1" s="1"/>
  <c r="H26" i="1"/>
  <c r="G26" i="1"/>
  <c r="Q25" i="1"/>
  <c r="J24" i="2" s="1"/>
  <c r="M25" i="1"/>
  <c r="H25" i="1"/>
  <c r="G25" i="1"/>
  <c r="E24" i="2" s="1"/>
  <c r="Q24" i="1"/>
  <c r="M24" i="1"/>
  <c r="N24" i="1" s="1"/>
  <c r="R24" i="1" s="1"/>
  <c r="K23" i="2" s="1"/>
  <c r="H24" i="1"/>
  <c r="G24" i="1"/>
  <c r="E23" i="2" s="1"/>
  <c r="Q23" i="1"/>
  <c r="J22" i="2" s="1"/>
  <c r="N23" i="1"/>
  <c r="R23" i="1" s="1"/>
  <c r="K22" i="2" s="1"/>
  <c r="M23" i="1"/>
  <c r="H23" i="1"/>
  <c r="G23" i="1"/>
  <c r="E22" i="2" s="1"/>
  <c r="R22" i="1"/>
  <c r="K21" i="2" s="1"/>
  <c r="Q22" i="1"/>
  <c r="J21" i="2" s="1"/>
  <c r="M22" i="1"/>
  <c r="N22" i="1" s="1"/>
  <c r="H22" i="1"/>
  <c r="G22" i="1"/>
  <c r="Q21" i="1"/>
  <c r="J20" i="2" s="1"/>
  <c r="M21" i="1"/>
  <c r="H21" i="1"/>
  <c r="G21" i="1"/>
  <c r="N21" i="1" s="1"/>
  <c r="R21" i="1" s="1"/>
  <c r="K20" i="2" s="1"/>
  <c r="Q20" i="1"/>
  <c r="M20" i="1"/>
  <c r="N20" i="1" s="1"/>
  <c r="R20" i="1" s="1"/>
  <c r="K19" i="2" s="1"/>
  <c r="H20" i="1"/>
  <c r="G20" i="1"/>
  <c r="E19" i="2" s="1"/>
  <c r="Q19" i="1"/>
  <c r="J18" i="2" s="1"/>
  <c r="N19" i="1"/>
  <c r="R19" i="1" s="1"/>
  <c r="K18" i="2" s="1"/>
  <c r="M19" i="1"/>
  <c r="H19" i="1"/>
  <c r="G19" i="1"/>
  <c r="E18" i="2" s="1"/>
  <c r="R18" i="1"/>
  <c r="K17" i="2" s="1"/>
  <c r="Q18" i="1"/>
  <c r="J17" i="2" s="1"/>
  <c r="M18" i="1"/>
  <c r="N18" i="1" s="1"/>
  <c r="H18" i="1"/>
  <c r="G18" i="1"/>
  <c r="Q17" i="1"/>
  <c r="J16" i="2" s="1"/>
  <c r="M17" i="1"/>
  <c r="H17" i="1"/>
  <c r="G17" i="1"/>
  <c r="E16" i="2" s="1"/>
  <c r="Q16" i="1"/>
  <c r="M16" i="1"/>
  <c r="N16" i="1" s="1"/>
  <c r="R16" i="1" s="1"/>
  <c r="K15" i="2" s="1"/>
  <c r="H16" i="1"/>
  <c r="G16" i="1"/>
  <c r="E15" i="2" s="1"/>
  <c r="Q15" i="1"/>
  <c r="J14" i="2" s="1"/>
  <c r="N15" i="1"/>
  <c r="R15" i="1" s="1"/>
  <c r="K14" i="2" s="1"/>
  <c r="M15" i="1"/>
  <c r="H15" i="1"/>
  <c r="G15" i="1"/>
  <c r="E14" i="2" s="1"/>
  <c r="R14" i="1"/>
  <c r="K13" i="2" s="1"/>
  <c r="Q14" i="1"/>
  <c r="J13" i="2" s="1"/>
  <c r="M14" i="1"/>
  <c r="N14" i="1" s="1"/>
  <c r="H14" i="1"/>
  <c r="G14" i="1"/>
  <c r="Q13" i="1"/>
  <c r="J12" i="2" s="1"/>
  <c r="M13" i="1"/>
  <c r="H13" i="1"/>
  <c r="G13" i="1"/>
  <c r="N13" i="1" s="1"/>
  <c r="R13" i="1" s="1"/>
  <c r="K12" i="2" s="1"/>
  <c r="Q12" i="1"/>
  <c r="M12" i="1"/>
  <c r="N12" i="1" s="1"/>
  <c r="R12" i="1" s="1"/>
  <c r="K11" i="2" s="1"/>
  <c r="H12" i="1"/>
  <c r="G12" i="1"/>
  <c r="E11" i="2" s="1"/>
  <c r="Q11" i="1"/>
  <c r="J10" i="2" s="1"/>
  <c r="N11" i="1"/>
  <c r="R11" i="1" s="1"/>
  <c r="K10" i="2" s="1"/>
  <c r="M11" i="1"/>
  <c r="H11" i="1"/>
  <c r="G11" i="1"/>
  <c r="E10" i="2" s="1"/>
  <c r="R10" i="1"/>
  <c r="K9" i="2" s="1"/>
  <c r="Q10" i="1"/>
  <c r="J9" i="2" s="1"/>
  <c r="M10" i="1"/>
  <c r="N10" i="1" s="1"/>
  <c r="H10" i="1"/>
  <c r="G10" i="1"/>
  <c r="Q9" i="1"/>
  <c r="J8" i="2" s="1"/>
  <c r="M9" i="1"/>
  <c r="H9" i="1"/>
  <c r="G9" i="1"/>
  <c r="E8" i="2" s="1"/>
  <c r="Q8" i="1"/>
  <c r="M8" i="1"/>
  <c r="N8" i="1" s="1"/>
  <c r="R8" i="1" s="1"/>
  <c r="K7" i="2" s="1"/>
  <c r="H8" i="1"/>
  <c r="G8" i="1"/>
  <c r="E7" i="2" s="1"/>
  <c r="Q7" i="1"/>
  <c r="J6" i="2" s="1"/>
  <c r="N7" i="1"/>
  <c r="R7" i="1" s="1"/>
  <c r="K6" i="2" s="1"/>
  <c r="M7" i="1"/>
  <c r="H7" i="1"/>
  <c r="G7" i="1"/>
  <c r="E6" i="2" s="1"/>
  <c r="R6" i="1"/>
  <c r="K5" i="2" s="1"/>
  <c r="Q6" i="1"/>
  <c r="J5" i="2" s="1"/>
  <c r="M6" i="1"/>
  <c r="N6" i="1" s="1"/>
  <c r="H6" i="1"/>
  <c r="H32" i="1" s="1"/>
  <c r="G6" i="1"/>
  <c r="E12" i="2" l="1"/>
  <c r="E20" i="2"/>
  <c r="E28" i="2"/>
  <c r="B78" i="4"/>
  <c r="G4" i="2" s="1"/>
  <c r="G32" i="1"/>
  <c r="B29" i="4"/>
  <c r="G5" i="1" s="1"/>
  <c r="B37" i="4"/>
  <c r="N3" i="1" s="1"/>
  <c r="B45" i="4"/>
  <c r="B5" i="2" s="1"/>
  <c r="B53" i="4"/>
  <c r="B13" i="2" s="1"/>
  <c r="B61" i="4"/>
  <c r="B21" i="2" s="1"/>
  <c r="B69" i="4"/>
  <c r="B29" i="2" s="1"/>
  <c r="B81" i="4"/>
  <c r="J3" i="2" s="1"/>
  <c r="N9" i="1"/>
  <c r="R9" i="1" s="1"/>
  <c r="K8" i="2" s="1"/>
  <c r="N17" i="1"/>
  <c r="R17" i="1" s="1"/>
  <c r="K16" i="2" s="1"/>
  <c r="N25" i="1"/>
  <c r="R25" i="1" s="1"/>
  <c r="K24" i="2" s="1"/>
  <c r="I6" i="2"/>
  <c r="I14" i="2"/>
  <c r="I22" i="2"/>
  <c r="B13" i="4"/>
  <c r="B14" i="3" s="1"/>
  <c r="B17" i="4"/>
  <c r="C54" i="3" s="1"/>
  <c r="B21" i="4"/>
  <c r="D3" i="1" s="1"/>
  <c r="B25" i="4"/>
  <c r="G4" i="1" s="1"/>
  <c r="B33" i="4"/>
  <c r="J5" i="1" s="1"/>
  <c r="B41" i="4"/>
  <c r="Q5" i="1" s="1"/>
  <c r="B49" i="4"/>
  <c r="B9" i="2" s="1"/>
  <c r="B57" i="4"/>
  <c r="B17" i="2" s="1"/>
  <c r="B65" i="4"/>
  <c r="B25" i="2" s="1"/>
  <c r="B83" i="4"/>
  <c r="B31" i="2" s="1"/>
  <c r="B79" i="4"/>
  <c r="H4" i="2" s="1"/>
  <c r="B75" i="4"/>
  <c r="E3" i="2" s="1"/>
  <c r="B67" i="4"/>
  <c r="B27" i="2" s="1"/>
  <c r="B63" i="4"/>
  <c r="B23" i="2" s="1"/>
  <c r="B59" i="4"/>
  <c r="B19" i="2" s="1"/>
  <c r="B55" i="4"/>
  <c r="B15" i="2" s="1"/>
  <c r="B51" i="4"/>
  <c r="B11" i="2" s="1"/>
  <c r="B47" i="4"/>
  <c r="B7" i="2" s="1"/>
  <c r="B43" i="4"/>
  <c r="B32" i="1" s="1"/>
  <c r="B39" i="4"/>
  <c r="O5" i="1" s="1"/>
  <c r="B35" i="4"/>
  <c r="L5" i="1" s="1"/>
  <c r="B31" i="4"/>
  <c r="I3" i="1" s="1"/>
  <c r="B27" i="4"/>
  <c r="E5" i="1" s="1"/>
  <c r="B23" i="4"/>
  <c r="D4" i="1" s="1"/>
  <c r="B15" i="4"/>
  <c r="C19" i="3" s="1"/>
  <c r="B11" i="4"/>
  <c r="E2" i="3" s="1"/>
  <c r="B80" i="4"/>
  <c r="I4" i="2" s="1"/>
  <c r="B76" i="4"/>
  <c r="F3" i="2" s="1"/>
  <c r="B72" i="4"/>
  <c r="B2" i="2" s="1"/>
  <c r="B68" i="4"/>
  <c r="B28" i="2" s="1"/>
  <c r="B64" i="4"/>
  <c r="B24" i="2" s="1"/>
  <c r="B60" i="4"/>
  <c r="B20" i="2" s="1"/>
  <c r="B56" i="4"/>
  <c r="B16" i="2" s="1"/>
  <c r="B52" i="4"/>
  <c r="B12" i="2" s="1"/>
  <c r="B48" i="4"/>
  <c r="B8" i="2" s="1"/>
  <c r="B44" i="4"/>
  <c r="B33" i="1" s="1"/>
  <c r="B40" i="4"/>
  <c r="P5" i="1" s="1"/>
  <c r="B36" i="4"/>
  <c r="M5" i="1" s="1"/>
  <c r="B32" i="4"/>
  <c r="J3" i="1" s="1"/>
  <c r="B28" i="4"/>
  <c r="F5" i="1" s="1"/>
  <c r="B24" i="4"/>
  <c r="F4" i="1" s="1"/>
  <c r="B20" i="4"/>
  <c r="B2" i="1" s="1"/>
  <c r="B16" i="4"/>
  <c r="C53" i="3" s="1"/>
  <c r="B12" i="4"/>
  <c r="B13" i="3" s="1"/>
  <c r="B73" i="4"/>
  <c r="C3" i="2" s="1"/>
  <c r="M32" i="1"/>
  <c r="Q32" i="1"/>
  <c r="I30" i="2"/>
  <c r="B10" i="4"/>
  <c r="E1" i="3" s="1"/>
  <c r="B14" i="4"/>
  <c r="C18" i="3" s="1"/>
  <c r="B30" i="4"/>
  <c r="H5" i="1" s="1"/>
  <c r="B38" i="4"/>
  <c r="O3" i="1" s="1"/>
  <c r="B46" i="4"/>
  <c r="B6" i="2" s="1"/>
  <c r="B54" i="4"/>
  <c r="B14" i="2" s="1"/>
  <c r="B62" i="4"/>
  <c r="B22" i="2" s="1"/>
  <c r="B70" i="4"/>
  <c r="B30" i="2" s="1"/>
  <c r="B74" i="4"/>
  <c r="D3" i="2" s="1"/>
  <c r="B82" i="4"/>
  <c r="K3" i="2" s="1"/>
  <c r="F13" i="4"/>
  <c r="D19" i="4"/>
  <c r="B19" i="4" s="1"/>
  <c r="B1" i="1" s="1"/>
  <c r="E22" i="4"/>
  <c r="D71" i="4"/>
  <c r="B71" i="4" s="1"/>
  <c r="B1" i="2" s="1"/>
  <c r="E13" i="4"/>
  <c r="G19" i="4"/>
  <c r="D22" i="4"/>
  <c r="B22" i="4" s="1"/>
  <c r="C3" i="1" s="1"/>
  <c r="R32" i="1" l="1"/>
  <c r="N32" i="1"/>
</calcChain>
</file>

<file path=xl/sharedStrings.xml><?xml version="1.0" encoding="utf-8"?>
<sst xmlns="http://schemas.openxmlformats.org/spreadsheetml/2006/main" count="474" uniqueCount="239">
  <si>
    <t>in CHF 1'000; (+) Belastung Kanton; (-) Entlastung Kanton</t>
  </si>
  <si>
    <t>Total
RA + LA</t>
  </si>
  <si>
    <t>Härteausgleich</t>
  </si>
  <si>
    <t>horizontal</t>
  </si>
  <si>
    <t>vertikal</t>
  </si>
  <si>
    <t>Total</t>
  </si>
  <si>
    <t>GLA</t>
  </si>
  <si>
    <t>SLA A-C</t>
  </si>
  <si>
    <t>SLA F</t>
  </si>
  <si>
    <t>Einzahlung</t>
  </si>
  <si>
    <t>Auszahlung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</si>
  <si>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</si>
  <si>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</si>
  <si>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</si>
  <si>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</si>
  <si>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</si>
  <si>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</si>
  <si>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</si>
  <si>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</si>
  <si>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</si>
  <si>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</si>
  <si>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</si>
  <si>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</si>
  <si>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</si>
  <si>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</si>
  <si>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</si>
  <si>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</si>
  <si>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</si>
  <si>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</si>
  <si>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</si>
  <si>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</si>
  <si>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</si>
  <si>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</si>
  <si>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</si>
  <si>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</si>
  <si>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</si>
  <si>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</si>
  <si>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</si>
  <si>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</si>
  <si>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</si>
  <si>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</si>
  <si>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</si>
  <si>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</si>
  <si>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</si>
  <si>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</si>
  <si>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</si>
  <si>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</si>
  <si>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</si>
  <si>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</si>
  <si>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</si>
  <si>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</si>
  <si>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</si>
  <si>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</si>
  <si>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</si>
  <si>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</si>
  <si>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</si>
  <si>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</si>
  <si>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</si>
  <si>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</si>
  <si>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</si>
  <si>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</si>
  <si>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</si>
  <si>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</si>
  <si>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</si>
  <si>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Ressourcenausgleich</t>
  </si>
  <si>
    <t>Lastenausgleich</t>
  </si>
  <si>
    <t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t>
  </si>
  <si>
    <t>RI</t>
  </si>
  <si>
    <t>RI = Ressourcenindex; GLA = Geografisch-topografischer Lastenausgleich; 
SLA = Soziodemografischer Lastenausgleich; A-C = Bereiche Armut, Alter, Ausländerintegration; F = Kernstadtproblematik</t>
  </si>
  <si>
    <t>Schweiz</t>
  </si>
  <si>
    <t>Referenzjahr</t>
  </si>
  <si>
    <t>Berechnungsdatum</t>
  </si>
  <si>
    <t>Berechnungs-ID</t>
  </si>
  <si>
    <t>Beschriftung der Tabellen</t>
  </si>
  <si>
    <t>Péréquation des ressources</t>
  </si>
  <si>
    <t>Compensation des charges</t>
  </si>
  <si>
    <t>CCG</t>
  </si>
  <si>
    <t>CCS A-C</t>
  </si>
  <si>
    <t>CCS F</t>
  </si>
  <si>
    <t>Total
PR + CC</t>
  </si>
  <si>
    <t>Compensation des cas de rigueur</t>
  </si>
  <si>
    <t>Suisse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</si>
  <si>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</si>
  <si>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</si>
  <si>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</si>
  <si>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</si>
  <si>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</si>
  <si>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</si>
  <si>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</si>
  <si>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</si>
  <si>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</si>
  <si>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</si>
  <si>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</si>
  <si>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</si>
  <si>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</si>
  <si>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</si>
  <si>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</si>
  <si>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</si>
  <si>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</si>
  <si>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</si>
  <si>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</si>
  <si>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</si>
  <si>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</si>
  <si>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</si>
  <si>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IR</t>
  </si>
  <si>
    <t>Wählen Sie Ihre Sprache</t>
  </si>
  <si>
    <t>Choisissez votre langue</t>
  </si>
  <si>
    <t>Selezionare la vostra lingua</t>
  </si>
  <si>
    <t>Choose your language</t>
  </si>
  <si>
    <t>Deutsch</t>
  </si>
  <si>
    <t>Français</t>
  </si>
  <si>
    <t>Italiano</t>
  </si>
  <si>
    <t>English</t>
  </si>
  <si>
    <t>Sprache</t>
  </si>
  <si>
    <t>Finanzausgleich zwischen Bund und Kantonen</t>
  </si>
  <si>
    <t>Péréquation financière entre la Confédération et les cantons</t>
  </si>
  <si>
    <t>Eidgenössisches Finanzdepartement EFD</t>
  </si>
  <si>
    <t>Eidgenössische Finanzverwaltung EFV</t>
  </si>
  <si>
    <t>Département fédéral des finances DFF</t>
  </si>
  <si>
    <t>Administration fédérale des finances AFF</t>
  </si>
  <si>
    <t>TOTAL_1</t>
  </si>
  <si>
    <t>TOTAL_2</t>
  </si>
  <si>
    <t>Zahlungen in 1000 CHF</t>
  </si>
  <si>
    <t>Zahlungen in Franken pro Einwohner</t>
  </si>
  <si>
    <t xml:space="preserve"> </t>
  </si>
  <si>
    <t xml:space="preserve">Die Sprache wird über das Steuerelement auf dem </t>
  </si>
  <si>
    <t>Tabellenblatt "INTRO" ausgewählt.</t>
  </si>
  <si>
    <t>Paiements en francs par habitant</t>
  </si>
  <si>
    <t>IR = indice des ressources; PR = péréquation des ressources; RFS = recettes fiscales standardisées; CC = compensation des charges excessives; CCG = compensation des charges excessives 
dues à des facteurs géo-topographiques; CCS = compensation des charges excessives dues à des facteurs socio-démographiques; A-C = domaines pauvreté, vieillesse, intégration des étrangers; 
F = problématique des villes-centres</t>
  </si>
  <si>
    <t>Auswahl der Sprache</t>
  </si>
  <si>
    <t>Federal Department of Finance FDF</t>
  </si>
  <si>
    <t>in CHF 1,000; (+) cantonal burden; (-) cantonal relief</t>
  </si>
  <si>
    <t>Payments in CHF per capita</t>
  </si>
  <si>
    <t>Resource equalization</t>
  </si>
  <si>
    <t>Horizontal</t>
  </si>
  <si>
    <t>Inpayment</t>
  </si>
  <si>
    <t>Outpayment</t>
  </si>
  <si>
    <t>Vertical</t>
  </si>
  <si>
    <t>GCC</t>
  </si>
  <si>
    <t>SCC A-C</t>
  </si>
  <si>
    <t>SCC F</t>
  </si>
  <si>
    <t>Total
RE + CC</t>
  </si>
  <si>
    <t>Cohesion fund</t>
  </si>
  <si>
    <t>Cost compensation</t>
  </si>
  <si>
    <t>Switzerland</t>
  </si>
  <si>
    <t>Ticino</t>
  </si>
  <si>
    <t>Geneva</t>
  </si>
  <si>
    <t>in CHF; (+) cantonal burden; (-) cantonal relief</t>
  </si>
  <si>
    <t>Federal Finance Administration FFA</t>
  </si>
  <si>
    <t>Fiscal equalization between the Confederation and the cantons</t>
  </si>
  <si>
    <t>Payments in CHF 1,000</t>
  </si>
  <si>
    <t xml:space="preserve">RI = resource index; RE = resource equalization; STR = standardized tax revenue; CC = cost compensation; GCC = geographical/topographic cost compensation; SCC = socio-demographic cost compensation; A-C = areas poverty, age, immigrant integration; F = core city issues
</t>
  </si>
  <si>
    <t>Basel Stadt</t>
  </si>
  <si>
    <t>Basel Landschaft</t>
  </si>
  <si>
    <t>Paiements en milliers de francs</t>
  </si>
  <si>
    <t>Horizontale</t>
  </si>
  <si>
    <t>Verticale</t>
  </si>
  <si>
    <t>Dipartimento federale delle finanze DFF</t>
  </si>
  <si>
    <t>Amministrazione federale delle finanze AFF</t>
  </si>
  <si>
    <t>Perequazione finanziaria tra Confederazione e Cantoni</t>
  </si>
  <si>
    <t>Pagamenti in 1000 CHF</t>
  </si>
  <si>
    <t>Pagamenti in franchi per abitante</t>
  </si>
  <si>
    <t>Perequazione delle risorse</t>
  </si>
  <si>
    <t>orizzontale</t>
  </si>
  <si>
    <t>verticale</t>
  </si>
  <si>
    <t>Totale</t>
  </si>
  <si>
    <t>Contributo</t>
  </si>
  <si>
    <t>Versamento</t>
  </si>
  <si>
    <t>Compensazione degli oneri</t>
  </si>
  <si>
    <t>PAG</t>
  </si>
  <si>
    <t>PAS A-C</t>
  </si>
  <si>
    <t>PAS F</t>
  </si>
  <si>
    <t>Totale
PR + Con</t>
  </si>
  <si>
    <t>Svizzera</t>
  </si>
  <si>
    <t>IR = indice delle risorse; PR = perequazione delle risorse; GFS = gettito fiscale standardizzato; COn = compensazione degli oneri; PAG = perequazione dell’aggravio geotopografico; 
PAS = perequazione dell’aggravio sociodemografico; A-C = ambiti povertà, struttura di età e integrazione degli stranieri; F = problematica delle città polo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</si>
  <si>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</si>
  <si>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</si>
  <si>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</si>
  <si>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</si>
  <si>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</si>
  <si>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</si>
  <si>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</si>
  <si>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</si>
  <si>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</si>
  <si>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</si>
  <si>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</si>
  <si>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</si>
  <si>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</si>
  <si>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</si>
  <si>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</si>
  <si>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</si>
  <si>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</si>
  <si>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</si>
  <si>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</si>
  <si>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</si>
  <si>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</si>
  <si>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</si>
  <si>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En milliers de francs; (+) charge pour le canton; (-) allégement pour le canton</t>
  </si>
  <si>
    <t>En francs; (+) charge pour le canton; (-) allégement pour le canton</t>
  </si>
  <si>
    <t>Index
SSE
nach
RA</t>
  </si>
  <si>
    <t>Einz. - Ausz.</t>
  </si>
  <si>
    <t>Massgebende
Wohnbevölkerung</t>
  </si>
  <si>
    <t>Ressourcen-
ausgleich</t>
  </si>
  <si>
    <t>Härte-
ausgleich</t>
  </si>
  <si>
    <t>Compensazione
dei casi di rigore</t>
  </si>
  <si>
    <t>in 1000 CHF; (+) Aggravio per il Cantone ; (-) Sgravio per il Cantone</t>
  </si>
  <si>
    <t>in CHF; (+) Aggravio per il Cantone ; (-) Sgravio per il Cantone</t>
  </si>
  <si>
    <t>Montant
versé</t>
  </si>
  <si>
    <t>Montant
reçu</t>
  </si>
  <si>
    <t>Montants
versés et
reçus</t>
  </si>
  <si>
    <t>Montants
reçus</t>
  </si>
  <si>
    <t>Indice
RFS
après
PR</t>
  </si>
  <si>
    <t>Population
résidante
déterminante</t>
  </si>
  <si>
    <t>Péréquation
des
ressources</t>
  </si>
  <si>
    <t>Compensation
des cas de
rigueur</t>
  </si>
  <si>
    <t>Contr. -
Vers.</t>
  </si>
  <si>
    <t>Indice
GFS
dopo
PR</t>
  </si>
  <si>
    <t>Popolazione
residente
determinante</t>
  </si>
  <si>
    <t>Perequazione
delle risorse</t>
  </si>
  <si>
    <t>Compensazione
dei casi di
rigore</t>
  </si>
  <si>
    <t>IR = indice delle risorse; PAG = perequazione dell’aggravio geotopografico; 
PAS = perequazione dell’aggravio sociodemografico; A-C = ambiti povertà, struttura di età e integrazione degli stranieri;
F = problematica delle città polo</t>
  </si>
  <si>
    <t>IR = indice des ressources; CCG = compensation des charges excessives dues à des facteurs géo-topographiques; 
CCS = compensation des charges excessives dues à des facteurs socio-démographiques; A-C = domaines pauvreté,
vieillesse, intégration des étrangers; F = problématique des villes-centres</t>
  </si>
  <si>
    <t>Inpayment -
outpayment</t>
  </si>
  <si>
    <t>STR
index
after
RE</t>
  </si>
  <si>
    <t>Relevant
resident
population</t>
  </si>
  <si>
    <t>Resource
equalization</t>
  </si>
  <si>
    <t>Cohesion
fund</t>
  </si>
  <si>
    <t xml:space="preserve">RI = resource index; GCC = geographical/topographic cost compensation;
SCC = socio-demographic cost compensation; A-C = areas poverty, age, immigrant integration; F = core city issues
</t>
  </si>
  <si>
    <t>Année de référence</t>
  </si>
  <si>
    <t>Anno di riferimento</t>
  </si>
  <si>
    <t>Reference year</t>
  </si>
  <si>
    <t>Date de calcul</t>
  </si>
  <si>
    <t>Calculation date</t>
  </si>
  <si>
    <t>Code de calcul</t>
  </si>
  <si>
    <t>Calculation ID</t>
  </si>
  <si>
    <t>Calcolato il</t>
  </si>
  <si>
    <t>Codice calcolo</t>
  </si>
  <si>
    <t>07.05.2018</t>
  </si>
  <si>
    <t>FA2019-18127105219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</si>
</sst>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 ;\-0.0_ ;0.0_ ;@_ "/>
    <numFmt numFmtId="165" formatCode="#,##0_ ;\-#,##0_ ;0_ ;@_ "/>
  </numFmts>
  <fonts count="16" x14ac:knownFonts="1">
    <font>
      <sz val="1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sz val="8.5"/>
      <color rgb="FF00000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6" fillId="0" borderId="2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10" fillId="0" borderId="7" xfId="0" applyNumberFormat="1" applyFont="1" applyBorder="1" applyAlignment="1">
      <alignment vertical="center"/>
    </xf>
    <xf numFmtId="164" fontId="11" fillId="0" borderId="18" xfId="0" applyNumberFormat="1" applyFont="1" applyBorder="1" applyAlignment="1">
      <alignment vertical="center"/>
    </xf>
    <xf numFmtId="164" fontId="10" fillId="0" borderId="18" xfId="0" applyNumberFormat="1" applyFont="1" applyBorder="1" applyAlignment="1">
      <alignment vertical="center"/>
    </xf>
    <xf numFmtId="165" fontId="6" fillId="0" borderId="19" xfId="0" applyNumberFormat="1" applyFont="1" applyBorder="1" applyAlignment="1">
      <alignment vertical="center"/>
    </xf>
    <xf numFmtId="165" fontId="6" fillId="0" borderId="10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165" fontId="9" fillId="0" borderId="17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165" fontId="9" fillId="0" borderId="10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vertical="center"/>
    </xf>
    <xf numFmtId="165" fontId="1" fillId="0" borderId="1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5" fontId="1" fillId="3" borderId="22" xfId="0" applyNumberFormat="1" applyFont="1" applyFill="1" applyBorder="1" applyAlignment="1">
      <alignment vertical="center"/>
    </xf>
    <xf numFmtId="165" fontId="1" fillId="3" borderId="19" xfId="0" applyNumberFormat="1" applyFont="1" applyFill="1" applyBorder="1" applyAlignment="1">
      <alignment vertical="center"/>
    </xf>
    <xf numFmtId="165" fontId="6" fillId="3" borderId="19" xfId="0" applyNumberFormat="1" applyFont="1" applyFill="1" applyBorder="1" applyAlignment="1">
      <alignment vertical="center"/>
    </xf>
    <xf numFmtId="165" fontId="6" fillId="3" borderId="10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9" fillId="3" borderId="10" xfId="0" applyNumberFormat="1" applyFont="1" applyFill="1" applyBorder="1" applyAlignment="1">
      <alignment vertical="center"/>
    </xf>
    <xf numFmtId="165" fontId="9" fillId="3" borderId="11" xfId="0" applyNumberFormat="1" applyFont="1" applyFill="1" applyBorder="1" applyAlignment="1">
      <alignment horizontal="right" vertical="center" indent="1"/>
    </xf>
    <xf numFmtId="0" fontId="6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right" vertical="center" indent="1"/>
    </xf>
    <xf numFmtId="165" fontId="6" fillId="0" borderId="22" xfId="0" applyNumberFormat="1" applyFont="1" applyBorder="1" applyAlignment="1">
      <alignment horizontal="right" vertical="center" indent="1"/>
    </xf>
    <xf numFmtId="165" fontId="6" fillId="0" borderId="19" xfId="0" applyNumberFormat="1" applyFont="1" applyBorder="1" applyAlignment="1">
      <alignment horizontal="right" vertical="center" indent="1"/>
    </xf>
    <xf numFmtId="165" fontId="6" fillId="0" borderId="10" xfId="0" applyNumberFormat="1" applyFont="1" applyBorder="1" applyAlignment="1">
      <alignment horizontal="right" vertical="center" indent="1"/>
    </xf>
    <xf numFmtId="165" fontId="9" fillId="0" borderId="10" xfId="0" applyNumberFormat="1" applyFont="1" applyBorder="1" applyAlignment="1">
      <alignment horizontal="right" vertical="center" indent="1"/>
    </xf>
    <xf numFmtId="165" fontId="10" fillId="0" borderId="7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165" fontId="10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horizontal="right" vertical="center" indent="1"/>
    </xf>
    <xf numFmtId="165" fontId="6" fillId="3" borderId="22" xfId="0" applyNumberFormat="1" applyFont="1" applyFill="1" applyBorder="1" applyAlignment="1">
      <alignment horizontal="right" vertical="center" indent="1"/>
    </xf>
    <xf numFmtId="3" fontId="13" fillId="0" borderId="0" xfId="0" applyNumberFormat="1" applyFont="1" applyAlignment="1">
      <alignment horizontal="right"/>
    </xf>
    <xf numFmtId="165" fontId="6" fillId="3" borderId="19" xfId="0" applyNumberFormat="1" applyFont="1" applyFill="1" applyBorder="1" applyAlignment="1">
      <alignment horizontal="right" vertical="center" indent="1"/>
    </xf>
    <xf numFmtId="165" fontId="6" fillId="3" borderId="10" xfId="0" applyNumberFormat="1" applyFont="1" applyFill="1" applyBorder="1" applyAlignment="1">
      <alignment horizontal="right" vertical="center" indent="1"/>
    </xf>
    <xf numFmtId="165" fontId="9" fillId="3" borderId="10" xfId="0" applyNumberFormat="1" applyFont="1" applyFill="1" applyBorder="1" applyAlignment="1">
      <alignment horizontal="right" vertical="center" indent="1"/>
    </xf>
    <xf numFmtId="0" fontId="6" fillId="3" borderId="8" xfId="0" applyFont="1" applyFill="1" applyBorder="1" applyAlignment="1">
      <alignment horizontal="left" vertical="center"/>
    </xf>
    <xf numFmtId="165" fontId="10" fillId="3" borderId="8" xfId="0" applyNumberFormat="1" applyFont="1" applyFill="1" applyBorder="1" applyAlignment="1">
      <alignment vertical="center"/>
    </xf>
    <xf numFmtId="164" fontId="10" fillId="3" borderId="8" xfId="0" applyNumberFormat="1" applyFont="1" applyFill="1" applyBorder="1" applyAlignment="1">
      <alignment vertical="center"/>
    </xf>
    <xf numFmtId="165" fontId="6" fillId="3" borderId="8" xfId="0" applyNumberFormat="1" applyFont="1" applyFill="1" applyBorder="1" applyAlignment="1">
      <alignment horizontal="right" vertical="center" indent="1"/>
    </xf>
    <xf numFmtId="165" fontId="6" fillId="3" borderId="20" xfId="0" applyNumberFormat="1" applyFont="1" applyFill="1" applyBorder="1" applyAlignment="1">
      <alignment horizontal="right" vertical="center" indent="1"/>
    </xf>
    <xf numFmtId="165" fontId="6" fillId="3" borderId="21" xfId="0" applyNumberFormat="1" applyFont="1" applyFill="1" applyBorder="1" applyAlignment="1">
      <alignment horizontal="right" vertical="center" indent="1"/>
    </xf>
    <xf numFmtId="165" fontId="6" fillId="3" borderId="11" xfId="0" applyNumberFormat="1" applyFont="1" applyFill="1" applyBorder="1" applyAlignment="1">
      <alignment horizontal="right" vertical="center" indent="1"/>
    </xf>
    <xf numFmtId="0" fontId="9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4" borderId="18" xfId="0" applyFont="1" applyFill="1" applyBorder="1"/>
    <xf numFmtId="0" fontId="14" fillId="0" borderId="0" xfId="0" applyFont="1"/>
    <xf numFmtId="0" fontId="3" fillId="4" borderId="3" xfId="0" applyFont="1" applyFill="1" applyBorder="1"/>
    <xf numFmtId="0" fontId="3" fillId="5" borderId="18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/>
    </xf>
    <xf numFmtId="0" fontId="3" fillId="4" borderId="7" xfId="0" applyFont="1" applyFill="1" applyBorder="1"/>
    <xf numFmtId="0" fontId="4" fillId="4" borderId="18" xfId="0" applyFont="1" applyFill="1" applyBorder="1" applyAlignment="1">
      <alignment horizontal="left"/>
    </xf>
    <xf numFmtId="0" fontId="3" fillId="4" borderId="8" xfId="0" applyFont="1" applyFill="1" applyBorder="1"/>
    <xf numFmtId="0" fontId="15" fillId="0" borderId="0" xfId="0" applyFont="1"/>
    <xf numFmtId="1" fontId="3" fillId="7" borderId="18" xfId="0" applyNumberFormat="1" applyFont="1" applyFill="1" applyBorder="1" applyAlignment="1">
      <alignment horizontal="left"/>
    </xf>
    <xf numFmtId="0" fontId="3" fillId="7" borderId="8" xfId="0" applyFont="1" applyFill="1" applyBorder="1"/>
    <xf numFmtId="0" fontId="3" fillId="7" borderId="7" xfId="0" applyFont="1" applyFill="1" applyBorder="1"/>
    <xf numFmtId="0" fontId="3" fillId="7" borderId="3" xfId="0" applyFont="1" applyFill="1" applyBorder="1"/>
    <xf numFmtId="0" fontId="1" fillId="2" borderId="1" xfId="0" applyFont="1" applyFill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5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1029" name="Drop Down 5" hidden="1">
          <a:extLst>
            <a:ext uri="{63B3BB69-23CF-44E3-9099-C40C66FF867C}">
              <a14:compatExt xmlns:a14="http://schemas.microsoft.com/office/drawing/2010/main" spid="_x0000_s10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977900</xdr:colOff>
      <xdr:row>3</xdr:row>
      <xdr:rowOff>79375</xdr:rowOff>
    </xdr:to>
    <xdr:pic>
      <xdr:nvPicPr>
        <xdr:cNvPr id="7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E55"/>
  <sheetViews>
    <sheetView showGridLines="0" showRowColHeaders="0" tabSelected="1" zoomScaleNormal="100" workbookViewId="0">
      <selection activeCell="A80" sqref="A80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2" t="str">
        <f>DFIE!$B$10</f>
        <v>Eidgenössisches Finanzdepartement EFD</v>
      </c>
    </row>
    <row r="2" spans="2:5" x14ac:dyDescent="0.2">
      <c r="E2" s="3" t="str">
        <f>DFIE!$B$11</f>
        <v>Eidgenössische Finanzverwaltung EFV</v>
      </c>
    </row>
    <row r="7" spans="2:5" x14ac:dyDescent="0.2">
      <c r="B7" s="9" t="s">
        <v>105</v>
      </c>
    </row>
    <row r="8" spans="2:5" x14ac:dyDescent="0.2">
      <c r="B8" s="9" t="s">
        <v>106</v>
      </c>
    </row>
    <row r="9" spans="2:5" x14ac:dyDescent="0.2">
      <c r="B9" s="9" t="s">
        <v>107</v>
      </c>
    </row>
    <row r="10" spans="2:5" x14ac:dyDescent="0.2">
      <c r="B10" s="9" t="s">
        <v>108</v>
      </c>
    </row>
    <row r="13" spans="2:5" ht="21" customHeight="1" x14ac:dyDescent="0.25">
      <c r="B13" s="1" t="str">
        <f>DFIE!B12</f>
        <v>Finanzausgleich zwischen Bund und Kantonen</v>
      </c>
    </row>
    <row r="14" spans="2:5" ht="21" customHeight="1" x14ac:dyDescent="0.25">
      <c r="B14" s="1" t="str">
        <f>DFIE!B13</f>
        <v>Zahlungen 2019</v>
      </c>
    </row>
    <row r="18" spans="2:5" ht="20.25" customHeight="1" x14ac:dyDescent="0.2">
      <c r="B18" s="10" t="s">
        <v>120</v>
      </c>
      <c r="C18" s="91" t="str">
        <f>DFIE!B14</f>
        <v>Zahlungen in 1000 CHF</v>
      </c>
      <c r="D18" s="91"/>
      <c r="E18" s="91"/>
    </row>
    <row r="19" spans="2:5" ht="20.25" customHeight="1" x14ac:dyDescent="0.2">
      <c r="B19" s="10" t="s">
        <v>121</v>
      </c>
      <c r="C19" s="91" t="str">
        <f>DFIE!B15</f>
        <v>Zahlungen in Franken pro Einwohner</v>
      </c>
      <c r="D19" s="91"/>
      <c r="E19" s="91"/>
    </row>
    <row r="51" spans="2:5" x14ac:dyDescent="0.2">
      <c r="B51" s="8"/>
      <c r="C51" s="8"/>
      <c r="D51" s="8"/>
      <c r="E51" s="8"/>
    </row>
    <row r="53" spans="2:5" x14ac:dyDescent="0.2">
      <c r="B53" s="4"/>
      <c r="C53" s="4" t="str">
        <f>DFIE!$B$16</f>
        <v>Referenzjahr</v>
      </c>
      <c r="D53" s="5">
        <v>2019</v>
      </c>
    </row>
    <row r="54" spans="2:5" x14ac:dyDescent="0.2">
      <c r="B54" s="4"/>
      <c r="C54" s="4" t="str">
        <f>DFIE!$B$17</f>
        <v>Berechnungsdatum</v>
      </c>
      <c r="D54" s="6" t="s">
        <v>237</v>
      </c>
    </row>
    <row r="55" spans="2:5" x14ac:dyDescent="0.2">
      <c r="B55" s="4"/>
      <c r="C55" s="4" t="str">
        <f>DFIE!$B$18</f>
        <v>Berechnungs-ID</v>
      </c>
      <c r="D55" s="7" t="s">
        <v>238</v>
      </c>
    </row>
  </sheetData>
  <mergeCells count="2">
    <mergeCell ref="C18:E18"/>
    <mergeCell ref="C19:E19"/>
  </mergeCells>
  <conditionalFormatting sqref="D53:D55">
    <cfRule type="expression" dxfId="4" priority="1" stopIfTrue="1">
      <formula>ISBLANK(D53)</formula>
    </cfRule>
  </conditionalFormatting>
  <hyperlinks>
    <hyperlink ref="B18" location="TOTAL_1!A1" display="TOTAL_1"/>
    <hyperlink ref="B19" location="TOTAL_2!A1" display="TOTAL_2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X33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0.85546875" customWidth="1"/>
    <col min="3" max="3" width="7.140625" customWidth="1"/>
    <col min="4" max="8" width="10.7109375" customWidth="1"/>
    <col min="9" max="9" width="7.140625" customWidth="1"/>
    <col min="10" max="13" width="10.140625" customWidth="1"/>
    <col min="14" max="14" width="10.7109375" customWidth="1"/>
    <col min="15" max="17" width="10.28515625" customWidth="1"/>
    <col min="18" max="18" width="10.5703125" customWidth="1"/>
  </cols>
  <sheetData>
    <row r="1" spans="1:19" ht="18" customHeight="1" x14ac:dyDescent="0.25">
      <c r="B1" s="95" t="str">
        <f>DFIE!B19</f>
        <v>Zahlungen 2019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"/>
    </row>
    <row r="2" spans="1:19" ht="22.5" customHeight="1" x14ac:dyDescent="0.2">
      <c r="B2" s="36" t="str">
        <f>DFIE!B20</f>
        <v>in CHF 1'000; (+) Belastung Kanton; (-) Entlastung Kanton</v>
      </c>
    </row>
    <row r="3" spans="1:19" ht="15.75" customHeight="1" x14ac:dyDescent="0.2">
      <c r="A3" s="20"/>
      <c r="B3" s="11"/>
      <c r="C3" s="97" t="str">
        <f>DFIE!B22</f>
        <v>RI 2019</v>
      </c>
      <c r="D3" s="92" t="str">
        <f>DFIE!B21</f>
        <v>Ressourcenausgleich</v>
      </c>
      <c r="E3" s="93"/>
      <c r="F3" s="93"/>
      <c r="G3" s="93"/>
      <c r="H3" s="94"/>
      <c r="I3" s="97" t="str">
        <f>DFIE!B31</f>
        <v>Index
SSE
nach
RA</v>
      </c>
      <c r="J3" s="110" t="str">
        <f>DFIE!B32</f>
        <v>Lastenausgleich</v>
      </c>
      <c r="K3" s="111"/>
      <c r="L3" s="111"/>
      <c r="M3" s="103"/>
      <c r="N3" s="100" t="str">
        <f>DFIE!B37</f>
        <v>Total
RA + LA</v>
      </c>
      <c r="O3" s="110" t="str">
        <f>DFIE!B38</f>
        <v>Härteausgleich</v>
      </c>
      <c r="P3" s="111"/>
      <c r="Q3" s="103"/>
      <c r="R3" s="103" t="str">
        <f>DFIE!B42</f>
        <v>Total</v>
      </c>
    </row>
    <row r="4" spans="1:19" ht="15.75" customHeight="1" x14ac:dyDescent="0.2">
      <c r="A4" s="20"/>
      <c r="B4" s="13"/>
      <c r="C4" s="98"/>
      <c r="D4" s="108" t="str">
        <f>DFIE!B23</f>
        <v>horizontal</v>
      </c>
      <c r="E4" s="109"/>
      <c r="F4" s="19" t="str">
        <f>DFIE!B24</f>
        <v>vertikal</v>
      </c>
      <c r="G4" s="106" t="str">
        <f>DFIE!B25</f>
        <v>Total</v>
      </c>
      <c r="H4" s="107"/>
      <c r="I4" s="98"/>
      <c r="J4" s="112"/>
      <c r="K4" s="113"/>
      <c r="L4" s="113"/>
      <c r="M4" s="114"/>
      <c r="N4" s="101"/>
      <c r="O4" s="112"/>
      <c r="P4" s="113"/>
      <c r="Q4" s="114"/>
      <c r="R4" s="104"/>
    </row>
    <row r="5" spans="1:19" ht="42" customHeight="1" x14ac:dyDescent="0.2">
      <c r="A5" s="30"/>
      <c r="B5" s="14"/>
      <c r="C5" s="99"/>
      <c r="D5" s="18" t="str">
        <f>DFIE!B26</f>
        <v>Einzahlung</v>
      </c>
      <c r="E5" s="19" t="str">
        <f>DFIE!B27</f>
        <v>Auszahlung</v>
      </c>
      <c r="F5" s="19" t="str">
        <f>DFIE!B28</f>
        <v>Auszahlung</v>
      </c>
      <c r="G5" s="19" t="str">
        <f>DFIE!B29</f>
        <v>Einz. - Ausz.</v>
      </c>
      <c r="H5" s="17" t="str">
        <f>DFIE!B30</f>
        <v>Auszahlung</v>
      </c>
      <c r="I5" s="99"/>
      <c r="J5" s="37" t="str">
        <f>DFIE!B33</f>
        <v>GLA</v>
      </c>
      <c r="K5" s="38" t="str">
        <f>DFIE!B34</f>
        <v>SLA A-C</v>
      </c>
      <c r="L5" s="38" t="str">
        <f>DFIE!B35</f>
        <v>SLA F</v>
      </c>
      <c r="M5" s="17" t="str">
        <f>DFIE!B36</f>
        <v>Total</v>
      </c>
      <c r="N5" s="102"/>
      <c r="O5" s="18" t="str">
        <f>DFIE!B39</f>
        <v>Einzahlung</v>
      </c>
      <c r="P5" s="19" t="str">
        <f>DFIE!B40</f>
        <v>Auszahlung</v>
      </c>
      <c r="Q5" s="17" t="str">
        <f>DFIE!B41</f>
        <v>Total</v>
      </c>
      <c r="R5" s="105"/>
    </row>
    <row r="6" spans="1:19" ht="15" customHeight="1" x14ac:dyDescent="0.2">
      <c r="B6" s="16" t="s">
        <v>11</v>
      </c>
      <c r="C6" s="21">
        <v>120.50025231564901</v>
      </c>
      <c r="D6" s="39">
        <v>546882.55599999998</v>
      </c>
      <c r="E6" s="40">
        <v>0</v>
      </c>
      <c r="F6" s="40">
        <v>0</v>
      </c>
      <c r="G6" s="24">
        <f t="shared" ref="G6:G31" si="0">SUM(D6:F6)</f>
        <v>546882.55599999998</v>
      </c>
      <c r="H6" s="25">
        <f t="shared" ref="H6:H31" si="1">SUM(E6:F6)</f>
        <v>0</v>
      </c>
      <c r="I6" s="21">
        <v>116.2</v>
      </c>
      <c r="J6" s="39">
        <v>0</v>
      </c>
      <c r="K6" s="40">
        <v>-9317.8050000000003</v>
      </c>
      <c r="L6" s="40">
        <v>-66163.972999999998</v>
      </c>
      <c r="M6" s="25">
        <f t="shared" ref="M6:M31" si="2">SUM(J6:L6)</f>
        <v>-75481.777999999991</v>
      </c>
      <c r="N6" s="29">
        <f t="shared" ref="N6:N31" si="3">G6+M6</f>
        <v>471400.77799999999</v>
      </c>
      <c r="O6" s="39">
        <v>15774.748</v>
      </c>
      <c r="P6" s="40">
        <v>0</v>
      </c>
      <c r="Q6" s="25">
        <f t="shared" ref="Q6:Q31" si="4">O6+P6</f>
        <v>15774.748</v>
      </c>
      <c r="R6" s="31">
        <f t="shared" ref="R6:R31" si="5">N6+Q6</f>
        <v>487175.52600000001</v>
      </c>
    </row>
    <row r="7" spans="1:19" ht="15" customHeight="1" x14ac:dyDescent="0.2">
      <c r="B7" s="41" t="s">
        <v>12</v>
      </c>
      <c r="C7" s="42">
        <v>76.615144423483798</v>
      </c>
      <c r="D7" s="43">
        <v>0</v>
      </c>
      <c r="E7" s="44">
        <v>-454276.777</v>
      </c>
      <c r="F7" s="44">
        <v>-664326.98400000005</v>
      </c>
      <c r="G7" s="45">
        <f t="shared" si="0"/>
        <v>-1118603.7609999999</v>
      </c>
      <c r="H7" s="46">
        <f t="shared" si="1"/>
        <v>-1118603.7609999999</v>
      </c>
      <c r="I7" s="42">
        <v>89.2</v>
      </c>
      <c r="J7" s="43">
        <v>-28034.498</v>
      </c>
      <c r="K7" s="44">
        <v>-10985.028</v>
      </c>
      <c r="L7" s="44">
        <v>0</v>
      </c>
      <c r="M7" s="46">
        <f t="shared" si="2"/>
        <v>-39019.525999999998</v>
      </c>
      <c r="N7" s="47">
        <f t="shared" si="3"/>
        <v>-1157623.287</v>
      </c>
      <c r="O7" s="43">
        <v>12308.277</v>
      </c>
      <c r="P7" s="44">
        <v>-41707.728000000003</v>
      </c>
      <c r="Q7" s="46">
        <f t="shared" si="4"/>
        <v>-29399.451000000001</v>
      </c>
      <c r="R7" s="48">
        <f t="shared" si="5"/>
        <v>-1187022.7379999999</v>
      </c>
    </row>
    <row r="8" spans="1:19" ht="15" customHeight="1" x14ac:dyDescent="0.2">
      <c r="B8" s="16" t="s">
        <v>13</v>
      </c>
      <c r="C8" s="21">
        <v>88.953267971567698</v>
      </c>
      <c r="D8" s="39">
        <v>0</v>
      </c>
      <c r="E8" s="40">
        <v>-56929.373</v>
      </c>
      <c r="F8" s="40">
        <v>-83252.591</v>
      </c>
      <c r="G8" s="24">
        <f t="shared" si="0"/>
        <v>-140181.96400000001</v>
      </c>
      <c r="H8" s="25">
        <f t="shared" si="1"/>
        <v>-140181.96400000001</v>
      </c>
      <c r="I8" s="21">
        <v>93</v>
      </c>
      <c r="J8" s="39">
        <v>-6067.2330000000002</v>
      </c>
      <c r="K8" s="40">
        <v>0</v>
      </c>
      <c r="L8" s="40">
        <v>0</v>
      </c>
      <c r="M8" s="25">
        <f t="shared" si="2"/>
        <v>-6067.2330000000002</v>
      </c>
      <c r="N8" s="29">
        <f t="shared" si="3"/>
        <v>-146249.19700000001</v>
      </c>
      <c r="O8" s="39">
        <v>4462.6959999999999</v>
      </c>
      <c r="P8" s="40">
        <v>-18953.654999999999</v>
      </c>
      <c r="Q8" s="25">
        <f t="shared" si="4"/>
        <v>-14490.958999999999</v>
      </c>
      <c r="R8" s="31">
        <f t="shared" si="5"/>
        <v>-160740.15600000002</v>
      </c>
    </row>
    <row r="9" spans="1:19" ht="15" customHeight="1" x14ac:dyDescent="0.2">
      <c r="B9" s="41" t="s">
        <v>14</v>
      </c>
      <c r="C9" s="42">
        <v>70.115914841445303</v>
      </c>
      <c r="D9" s="43">
        <v>0</v>
      </c>
      <c r="E9" s="44">
        <v>-23687.741000000002</v>
      </c>
      <c r="F9" s="44">
        <v>-34640.567999999999</v>
      </c>
      <c r="G9" s="45">
        <f t="shared" si="0"/>
        <v>-58328.309000000001</v>
      </c>
      <c r="H9" s="46">
        <f t="shared" si="1"/>
        <v>-58328.309000000001</v>
      </c>
      <c r="I9" s="42">
        <v>88.3</v>
      </c>
      <c r="J9" s="43">
        <v>-11675.94</v>
      </c>
      <c r="K9" s="44">
        <v>0</v>
      </c>
      <c r="L9" s="44">
        <v>0</v>
      </c>
      <c r="M9" s="46">
        <f t="shared" si="2"/>
        <v>-11675.94</v>
      </c>
      <c r="N9" s="47">
        <f t="shared" si="3"/>
        <v>-70004.248999999996</v>
      </c>
      <c r="O9" s="43">
        <v>447.351</v>
      </c>
      <c r="P9" s="44">
        <v>0</v>
      </c>
      <c r="Q9" s="46">
        <f t="shared" si="4"/>
        <v>447.351</v>
      </c>
      <c r="R9" s="48">
        <f t="shared" si="5"/>
        <v>-69556.898000000001</v>
      </c>
    </row>
    <row r="10" spans="1:19" ht="15" customHeight="1" x14ac:dyDescent="0.2">
      <c r="B10" s="16" t="s">
        <v>15</v>
      </c>
      <c r="C10" s="21">
        <v>172.360412555648</v>
      </c>
      <c r="D10" s="39">
        <v>204375.42</v>
      </c>
      <c r="E10" s="40">
        <v>0</v>
      </c>
      <c r="F10" s="40">
        <v>0</v>
      </c>
      <c r="G10" s="24">
        <f t="shared" si="0"/>
        <v>204375.42</v>
      </c>
      <c r="H10" s="25">
        <f t="shared" si="1"/>
        <v>0</v>
      </c>
      <c r="I10" s="21">
        <v>157.19999999999999</v>
      </c>
      <c r="J10" s="39">
        <v>-6641.6229999999996</v>
      </c>
      <c r="K10" s="40">
        <v>0</v>
      </c>
      <c r="L10" s="40">
        <v>0</v>
      </c>
      <c r="M10" s="25">
        <f t="shared" si="2"/>
        <v>-6641.6229999999996</v>
      </c>
      <c r="N10" s="29">
        <f t="shared" si="3"/>
        <v>197733.79700000002</v>
      </c>
      <c r="O10" s="39">
        <v>1651.498</v>
      </c>
      <c r="P10" s="40">
        <v>0</v>
      </c>
      <c r="Q10" s="25">
        <f t="shared" si="4"/>
        <v>1651.498</v>
      </c>
      <c r="R10" s="31">
        <f t="shared" si="5"/>
        <v>199385.29500000001</v>
      </c>
    </row>
    <row r="11" spans="1:19" ht="15" customHeight="1" x14ac:dyDescent="0.2">
      <c r="B11" s="41" t="s">
        <v>16</v>
      </c>
      <c r="C11" s="42">
        <v>119.341756298582</v>
      </c>
      <c r="D11" s="43">
        <v>13180.634</v>
      </c>
      <c r="E11" s="44">
        <v>0</v>
      </c>
      <c r="F11" s="44">
        <v>0</v>
      </c>
      <c r="G11" s="45">
        <f t="shared" si="0"/>
        <v>13180.634</v>
      </c>
      <c r="H11" s="46">
        <f t="shared" si="1"/>
        <v>0</v>
      </c>
      <c r="I11" s="42">
        <v>115.3</v>
      </c>
      <c r="J11" s="43">
        <v>-6060.6189999999997</v>
      </c>
      <c r="K11" s="44">
        <v>0</v>
      </c>
      <c r="L11" s="44">
        <v>0</v>
      </c>
      <c r="M11" s="46">
        <f t="shared" si="2"/>
        <v>-6060.6189999999997</v>
      </c>
      <c r="N11" s="47">
        <f t="shared" si="3"/>
        <v>7120.0150000000003</v>
      </c>
      <c r="O11" s="43">
        <v>415.61</v>
      </c>
      <c r="P11" s="44">
        <v>0</v>
      </c>
      <c r="Q11" s="46">
        <f t="shared" si="4"/>
        <v>415.61</v>
      </c>
      <c r="R11" s="48">
        <f t="shared" si="5"/>
        <v>7535.625</v>
      </c>
    </row>
    <row r="12" spans="1:19" ht="15" customHeight="1" x14ac:dyDescent="0.2">
      <c r="B12" s="16" t="s">
        <v>17</v>
      </c>
      <c r="C12" s="21">
        <v>159.48943384682801</v>
      </c>
      <c r="D12" s="39">
        <v>46338.194000000003</v>
      </c>
      <c r="E12" s="40">
        <v>0</v>
      </c>
      <c r="F12" s="40">
        <v>0</v>
      </c>
      <c r="G12" s="24">
        <f t="shared" si="0"/>
        <v>46338.194000000003</v>
      </c>
      <c r="H12" s="25">
        <f t="shared" si="1"/>
        <v>0</v>
      </c>
      <c r="I12" s="21">
        <v>147</v>
      </c>
      <c r="J12" s="39">
        <v>-1279.617</v>
      </c>
      <c r="K12" s="40">
        <v>0</v>
      </c>
      <c r="L12" s="40">
        <v>0</v>
      </c>
      <c r="M12" s="25">
        <f t="shared" si="2"/>
        <v>-1279.617</v>
      </c>
      <c r="N12" s="29">
        <f t="shared" si="3"/>
        <v>45058.577000000005</v>
      </c>
      <c r="O12" s="39">
        <v>476.68900000000002</v>
      </c>
      <c r="P12" s="40">
        <v>0</v>
      </c>
      <c r="Q12" s="25">
        <f t="shared" si="4"/>
        <v>476.68900000000002</v>
      </c>
      <c r="R12" s="31">
        <f t="shared" si="5"/>
        <v>45535.266000000003</v>
      </c>
    </row>
    <row r="13" spans="1:19" ht="15" customHeight="1" x14ac:dyDescent="0.2">
      <c r="B13" s="41" t="s">
        <v>18</v>
      </c>
      <c r="C13" s="42">
        <v>71.191340664691396</v>
      </c>
      <c r="D13" s="43">
        <v>0</v>
      </c>
      <c r="E13" s="44">
        <v>-24781.084999999999</v>
      </c>
      <c r="F13" s="44">
        <v>-36239.457000000002</v>
      </c>
      <c r="G13" s="45">
        <f t="shared" si="0"/>
        <v>-61020.542000000001</v>
      </c>
      <c r="H13" s="46">
        <f t="shared" si="1"/>
        <v>-61020.542000000001</v>
      </c>
      <c r="I13" s="42">
        <v>88.4</v>
      </c>
      <c r="J13" s="43">
        <v>-5423.9279999999999</v>
      </c>
      <c r="K13" s="44">
        <v>0</v>
      </c>
      <c r="L13" s="44">
        <v>0</v>
      </c>
      <c r="M13" s="46">
        <f t="shared" si="2"/>
        <v>-5423.9279999999999</v>
      </c>
      <c r="N13" s="47">
        <f t="shared" si="3"/>
        <v>-66444.47</v>
      </c>
      <c r="O13" s="43">
        <v>495.18299999999999</v>
      </c>
      <c r="P13" s="44">
        <v>-6535.0060000000003</v>
      </c>
      <c r="Q13" s="46">
        <f t="shared" si="4"/>
        <v>-6039.8230000000003</v>
      </c>
      <c r="R13" s="48">
        <f t="shared" si="5"/>
        <v>-72484.293000000005</v>
      </c>
    </row>
    <row r="14" spans="1:19" ht="15" customHeight="1" x14ac:dyDescent="0.2">
      <c r="B14" s="16" t="s">
        <v>19</v>
      </c>
      <c r="C14" s="21">
        <v>247.656331406471</v>
      </c>
      <c r="D14" s="39">
        <v>328161.73</v>
      </c>
      <c r="E14" s="40">
        <v>0</v>
      </c>
      <c r="F14" s="40">
        <v>0</v>
      </c>
      <c r="G14" s="24">
        <f t="shared" si="0"/>
        <v>328161.73</v>
      </c>
      <c r="H14" s="25">
        <f t="shared" si="1"/>
        <v>0</v>
      </c>
      <c r="I14" s="21">
        <v>216.7</v>
      </c>
      <c r="J14" s="39">
        <v>0</v>
      </c>
      <c r="K14" s="40">
        <v>0</v>
      </c>
      <c r="L14" s="40">
        <v>0</v>
      </c>
      <c r="M14" s="25">
        <f t="shared" si="2"/>
        <v>0</v>
      </c>
      <c r="N14" s="29">
        <f t="shared" si="3"/>
        <v>328161.73</v>
      </c>
      <c r="O14" s="39">
        <v>1268.0840000000001</v>
      </c>
      <c r="P14" s="40">
        <v>0</v>
      </c>
      <c r="Q14" s="25">
        <f t="shared" si="4"/>
        <v>1268.0840000000001</v>
      </c>
      <c r="R14" s="31">
        <f t="shared" si="5"/>
        <v>329429.81399999995</v>
      </c>
    </row>
    <row r="15" spans="1:19" ht="15" customHeight="1" x14ac:dyDescent="0.2">
      <c r="B15" s="41" t="s">
        <v>20</v>
      </c>
      <c r="C15" s="42">
        <v>79.913961150061198</v>
      </c>
      <c r="D15" s="43">
        <v>0</v>
      </c>
      <c r="E15" s="44">
        <v>-107636.796</v>
      </c>
      <c r="F15" s="44">
        <v>-157406.30300000001</v>
      </c>
      <c r="G15" s="45">
        <f t="shared" si="0"/>
        <v>-265043.09900000005</v>
      </c>
      <c r="H15" s="46">
        <f t="shared" si="1"/>
        <v>-265043.09900000005</v>
      </c>
      <c r="I15" s="42">
        <v>89.9</v>
      </c>
      <c r="J15" s="43">
        <v>-8796.5769999999993</v>
      </c>
      <c r="K15" s="44">
        <v>0</v>
      </c>
      <c r="L15" s="44">
        <v>0</v>
      </c>
      <c r="M15" s="46">
        <f t="shared" si="2"/>
        <v>-8796.5769999999993</v>
      </c>
      <c r="N15" s="47">
        <f t="shared" si="3"/>
        <v>-273839.67600000004</v>
      </c>
      <c r="O15" s="43">
        <v>3064.279</v>
      </c>
      <c r="P15" s="44">
        <v>-109824.024</v>
      </c>
      <c r="Q15" s="46">
        <f t="shared" si="4"/>
        <v>-106759.74500000001</v>
      </c>
      <c r="R15" s="48">
        <f t="shared" si="5"/>
        <v>-380599.42100000003</v>
      </c>
    </row>
    <row r="16" spans="1:19" ht="15" customHeight="1" x14ac:dyDescent="0.2">
      <c r="B16" s="16" t="s">
        <v>21</v>
      </c>
      <c r="C16" s="21">
        <v>72.982232175509793</v>
      </c>
      <c r="D16" s="39">
        <v>0</v>
      </c>
      <c r="E16" s="40">
        <v>-147775.91</v>
      </c>
      <c r="F16" s="40">
        <v>-216105.092</v>
      </c>
      <c r="G16" s="24">
        <f t="shared" si="0"/>
        <v>-363881.00199999998</v>
      </c>
      <c r="H16" s="25">
        <f t="shared" si="1"/>
        <v>-363881.00199999998</v>
      </c>
      <c r="I16" s="21">
        <v>88.6</v>
      </c>
      <c r="J16" s="39">
        <v>0</v>
      </c>
      <c r="K16" s="40">
        <v>-6647.5820000000003</v>
      </c>
      <c r="L16" s="40">
        <v>0</v>
      </c>
      <c r="M16" s="25">
        <f t="shared" si="2"/>
        <v>-6647.5820000000003</v>
      </c>
      <c r="N16" s="29">
        <f t="shared" si="3"/>
        <v>-370528.58399999997</v>
      </c>
      <c r="O16" s="39">
        <v>3134.5540000000001</v>
      </c>
      <c r="P16" s="40">
        <v>0</v>
      </c>
      <c r="Q16" s="25">
        <f t="shared" si="4"/>
        <v>3134.5540000000001</v>
      </c>
      <c r="R16" s="31">
        <f t="shared" si="5"/>
        <v>-367394.02999999997</v>
      </c>
    </row>
    <row r="17" spans="2:18" ht="15" customHeight="1" x14ac:dyDescent="0.2">
      <c r="B17" s="41" t="s">
        <v>22</v>
      </c>
      <c r="C17" s="42">
        <v>149.454416686782</v>
      </c>
      <c r="D17" s="43">
        <v>175779.24400000001</v>
      </c>
      <c r="E17" s="44">
        <v>0</v>
      </c>
      <c r="F17" s="44">
        <v>0</v>
      </c>
      <c r="G17" s="45">
        <f t="shared" si="0"/>
        <v>175779.24400000001</v>
      </c>
      <c r="H17" s="46">
        <f t="shared" si="1"/>
        <v>0</v>
      </c>
      <c r="I17" s="42">
        <v>139.1</v>
      </c>
      <c r="J17" s="43">
        <v>0</v>
      </c>
      <c r="K17" s="44">
        <v>-35025.79</v>
      </c>
      <c r="L17" s="44">
        <v>-18210.577000000001</v>
      </c>
      <c r="M17" s="46">
        <f t="shared" si="2"/>
        <v>-53236.366999999998</v>
      </c>
      <c r="N17" s="47">
        <f t="shared" si="3"/>
        <v>122542.87700000001</v>
      </c>
      <c r="O17" s="43">
        <v>2486.7579999999998</v>
      </c>
      <c r="P17" s="44">
        <v>0</v>
      </c>
      <c r="Q17" s="46">
        <f t="shared" si="4"/>
        <v>2486.7579999999998</v>
      </c>
      <c r="R17" s="48">
        <f t="shared" si="5"/>
        <v>125029.63500000001</v>
      </c>
    </row>
    <row r="18" spans="2:18" ht="15" customHeight="1" x14ac:dyDescent="0.2">
      <c r="B18" s="16" t="s">
        <v>23</v>
      </c>
      <c r="C18" s="21">
        <v>96.803218732349805</v>
      </c>
      <c r="D18" s="39">
        <v>0</v>
      </c>
      <c r="E18" s="40">
        <v>-6175.8819999999996</v>
      </c>
      <c r="F18" s="40">
        <v>-9031.51</v>
      </c>
      <c r="G18" s="24">
        <f t="shared" si="0"/>
        <v>-15207.392</v>
      </c>
      <c r="H18" s="25">
        <f t="shared" si="1"/>
        <v>-15207.392</v>
      </c>
      <c r="I18" s="21">
        <v>97.4</v>
      </c>
      <c r="J18" s="39">
        <v>0</v>
      </c>
      <c r="K18" s="40">
        <v>-725.76900000000001</v>
      </c>
      <c r="L18" s="40">
        <v>0</v>
      </c>
      <c r="M18" s="25">
        <f t="shared" si="2"/>
        <v>-725.76900000000001</v>
      </c>
      <c r="N18" s="29">
        <f t="shared" si="3"/>
        <v>-15933.161</v>
      </c>
      <c r="O18" s="39">
        <v>3321.6729999999998</v>
      </c>
      <c r="P18" s="40">
        <v>0</v>
      </c>
      <c r="Q18" s="25">
        <f t="shared" si="4"/>
        <v>3321.6729999999998</v>
      </c>
      <c r="R18" s="31">
        <f t="shared" si="5"/>
        <v>-12611.488000000001</v>
      </c>
    </row>
    <row r="19" spans="2:18" ht="15" customHeight="1" x14ac:dyDescent="0.2">
      <c r="B19" s="41" t="s">
        <v>24</v>
      </c>
      <c r="C19" s="42">
        <v>91.679373181965104</v>
      </c>
      <c r="D19" s="43">
        <v>0</v>
      </c>
      <c r="E19" s="44">
        <v>-7480.0630000000001</v>
      </c>
      <c r="F19" s="44">
        <v>-10938.722</v>
      </c>
      <c r="G19" s="45">
        <f t="shared" si="0"/>
        <v>-18418.785</v>
      </c>
      <c r="H19" s="46">
        <f t="shared" si="1"/>
        <v>-18418.785</v>
      </c>
      <c r="I19" s="42">
        <v>94.3</v>
      </c>
      <c r="J19" s="43">
        <v>0</v>
      </c>
      <c r="K19" s="44">
        <v>-1718.527</v>
      </c>
      <c r="L19" s="44">
        <v>0</v>
      </c>
      <c r="M19" s="46">
        <f t="shared" si="2"/>
        <v>-1718.527</v>
      </c>
      <c r="N19" s="47">
        <f t="shared" si="3"/>
        <v>-20137.311999999998</v>
      </c>
      <c r="O19" s="43">
        <v>946.822</v>
      </c>
      <c r="P19" s="44">
        <v>0</v>
      </c>
      <c r="Q19" s="46">
        <f t="shared" si="4"/>
        <v>946.822</v>
      </c>
      <c r="R19" s="48">
        <f t="shared" si="5"/>
        <v>-19190.489999999998</v>
      </c>
    </row>
    <row r="20" spans="2:18" ht="15" customHeight="1" x14ac:dyDescent="0.2">
      <c r="B20" s="16" t="s">
        <v>25</v>
      </c>
      <c r="C20" s="21">
        <v>85.271328845800298</v>
      </c>
      <c r="D20" s="39">
        <v>0</v>
      </c>
      <c r="E20" s="40">
        <v>-12051.569</v>
      </c>
      <c r="F20" s="40">
        <v>-17624.019</v>
      </c>
      <c r="G20" s="24">
        <f t="shared" si="0"/>
        <v>-29675.588</v>
      </c>
      <c r="H20" s="25">
        <f t="shared" si="1"/>
        <v>-29675.588</v>
      </c>
      <c r="I20" s="21">
        <v>91.5</v>
      </c>
      <c r="J20" s="39">
        <v>-19431.327000000001</v>
      </c>
      <c r="K20" s="40">
        <v>0</v>
      </c>
      <c r="L20" s="40">
        <v>0</v>
      </c>
      <c r="M20" s="25">
        <f t="shared" si="2"/>
        <v>-19431.327000000001</v>
      </c>
      <c r="N20" s="29">
        <f t="shared" si="3"/>
        <v>-49106.915000000001</v>
      </c>
      <c r="O20" s="39">
        <v>689.85699999999997</v>
      </c>
      <c r="P20" s="40">
        <v>0</v>
      </c>
      <c r="Q20" s="25">
        <f t="shared" si="4"/>
        <v>689.85699999999997</v>
      </c>
      <c r="R20" s="31">
        <f t="shared" si="5"/>
        <v>-48417.058000000005</v>
      </c>
    </row>
    <row r="21" spans="2:18" ht="15" customHeight="1" x14ac:dyDescent="0.2">
      <c r="B21" s="41" t="s">
        <v>26</v>
      </c>
      <c r="C21" s="42">
        <v>88.847447730964504</v>
      </c>
      <c r="D21" s="43">
        <v>0</v>
      </c>
      <c r="E21" s="44">
        <v>-2322.3290000000002</v>
      </c>
      <c r="F21" s="44">
        <v>-3396.1370000000002</v>
      </c>
      <c r="G21" s="45">
        <f t="shared" si="0"/>
        <v>-5718.4660000000003</v>
      </c>
      <c r="H21" s="46">
        <f t="shared" si="1"/>
        <v>-5718.4660000000003</v>
      </c>
      <c r="I21" s="42">
        <v>92.9</v>
      </c>
      <c r="J21" s="43">
        <v>-8452.4709999999995</v>
      </c>
      <c r="K21" s="44">
        <v>0</v>
      </c>
      <c r="L21" s="44">
        <v>0</v>
      </c>
      <c r="M21" s="46">
        <f t="shared" si="2"/>
        <v>-8452.4709999999995</v>
      </c>
      <c r="N21" s="47">
        <f t="shared" si="3"/>
        <v>-14170.937</v>
      </c>
      <c r="O21" s="43">
        <v>189.07400000000001</v>
      </c>
      <c r="P21" s="44">
        <v>0</v>
      </c>
      <c r="Q21" s="46">
        <f t="shared" si="4"/>
        <v>189.07400000000001</v>
      </c>
      <c r="R21" s="48">
        <f t="shared" si="5"/>
        <v>-13981.862999999999</v>
      </c>
    </row>
    <row r="22" spans="2:18" ht="15" customHeight="1" x14ac:dyDescent="0.2">
      <c r="B22" s="16" t="s">
        <v>27</v>
      </c>
      <c r="C22" s="21">
        <v>78.831636511909807</v>
      </c>
      <c r="D22" s="39">
        <v>0</v>
      </c>
      <c r="E22" s="40">
        <v>-191697.28400000001</v>
      </c>
      <c r="F22" s="40">
        <v>-280334.99599999998</v>
      </c>
      <c r="G22" s="24">
        <f t="shared" si="0"/>
        <v>-472032.28</v>
      </c>
      <c r="H22" s="25">
        <f t="shared" si="1"/>
        <v>-472032.28</v>
      </c>
      <c r="I22" s="21">
        <v>89.6</v>
      </c>
      <c r="J22" s="39">
        <v>-2065.8710000000001</v>
      </c>
      <c r="K22" s="40">
        <v>0</v>
      </c>
      <c r="L22" s="40">
        <v>0</v>
      </c>
      <c r="M22" s="25">
        <f t="shared" si="2"/>
        <v>-2065.8710000000001</v>
      </c>
      <c r="N22" s="29">
        <f t="shared" si="3"/>
        <v>-474098.15100000001</v>
      </c>
      <c r="O22" s="39">
        <v>5793.8940000000002</v>
      </c>
      <c r="P22" s="40">
        <v>0</v>
      </c>
      <c r="Q22" s="25">
        <f t="shared" si="4"/>
        <v>5793.8940000000002</v>
      </c>
      <c r="R22" s="31">
        <f t="shared" si="5"/>
        <v>-468304.25699999998</v>
      </c>
    </row>
    <row r="23" spans="2:18" ht="15" customHeight="1" x14ac:dyDescent="0.2">
      <c r="B23" s="41" t="s">
        <v>28</v>
      </c>
      <c r="C23" s="42">
        <v>83.310043789628395</v>
      </c>
      <c r="D23" s="43">
        <v>0</v>
      </c>
      <c r="E23" s="44">
        <v>-54769.334999999999</v>
      </c>
      <c r="F23" s="44">
        <v>-80093.786999999997</v>
      </c>
      <c r="G23" s="45">
        <f t="shared" si="0"/>
        <v>-134863.122</v>
      </c>
      <c r="H23" s="46">
        <f t="shared" si="1"/>
        <v>-134863.122</v>
      </c>
      <c r="I23" s="42">
        <v>90.8</v>
      </c>
      <c r="J23" s="43">
        <v>-137661.89000000001</v>
      </c>
      <c r="K23" s="44">
        <v>0</v>
      </c>
      <c r="L23" s="44">
        <v>0</v>
      </c>
      <c r="M23" s="46">
        <f t="shared" si="2"/>
        <v>-137661.89000000001</v>
      </c>
      <c r="N23" s="47">
        <f t="shared" si="3"/>
        <v>-272525.01199999999</v>
      </c>
      <c r="O23" s="43">
        <v>2436.5770000000002</v>
      </c>
      <c r="P23" s="44">
        <v>0</v>
      </c>
      <c r="Q23" s="46">
        <f t="shared" si="4"/>
        <v>2436.5770000000002</v>
      </c>
      <c r="R23" s="48">
        <f t="shared" si="5"/>
        <v>-270088.435</v>
      </c>
    </row>
    <row r="24" spans="2:18" ht="15" customHeight="1" x14ac:dyDescent="0.2">
      <c r="B24" s="16" t="s">
        <v>29</v>
      </c>
      <c r="C24" s="21">
        <v>83.832540919189796</v>
      </c>
      <c r="D24" s="39">
        <v>0</v>
      </c>
      <c r="E24" s="40">
        <v>-165576.98699999999</v>
      </c>
      <c r="F24" s="40">
        <v>-242137.09899999999</v>
      </c>
      <c r="G24" s="24">
        <f t="shared" si="0"/>
        <v>-407714.08600000001</v>
      </c>
      <c r="H24" s="25">
        <f t="shared" si="1"/>
        <v>-407714.08600000001</v>
      </c>
      <c r="I24" s="21">
        <v>91</v>
      </c>
      <c r="J24" s="39">
        <v>0</v>
      </c>
      <c r="K24" s="40">
        <v>0</v>
      </c>
      <c r="L24" s="40">
        <v>0</v>
      </c>
      <c r="M24" s="25">
        <f t="shared" si="2"/>
        <v>0</v>
      </c>
      <c r="N24" s="29">
        <f t="shared" si="3"/>
        <v>-407714.08600000001</v>
      </c>
      <c r="O24" s="39">
        <v>6984.8580000000002</v>
      </c>
      <c r="P24" s="40">
        <v>0</v>
      </c>
      <c r="Q24" s="25">
        <f t="shared" si="4"/>
        <v>6984.8580000000002</v>
      </c>
      <c r="R24" s="31">
        <f t="shared" si="5"/>
        <v>-400729.228</v>
      </c>
    </row>
    <row r="25" spans="2:18" ht="15" customHeight="1" x14ac:dyDescent="0.2">
      <c r="B25" s="41" t="s">
        <v>30</v>
      </c>
      <c r="C25" s="42">
        <v>78.381676367037997</v>
      </c>
      <c r="D25" s="43">
        <v>0</v>
      </c>
      <c r="E25" s="44">
        <v>-105178.056</v>
      </c>
      <c r="F25" s="44">
        <v>-153810.682</v>
      </c>
      <c r="G25" s="45">
        <f t="shared" si="0"/>
        <v>-258988.73800000001</v>
      </c>
      <c r="H25" s="46">
        <f t="shared" si="1"/>
        <v>-258988.73800000001</v>
      </c>
      <c r="I25" s="42">
        <v>89.5</v>
      </c>
      <c r="J25" s="43">
        <v>-3776.3539999999998</v>
      </c>
      <c r="K25" s="44">
        <v>0</v>
      </c>
      <c r="L25" s="44">
        <v>0</v>
      </c>
      <c r="M25" s="46">
        <f t="shared" si="2"/>
        <v>-3776.3539999999998</v>
      </c>
      <c r="N25" s="47">
        <f t="shared" si="3"/>
        <v>-262765.092</v>
      </c>
      <c r="O25" s="43">
        <v>2938.8090000000002</v>
      </c>
      <c r="P25" s="44">
        <v>0</v>
      </c>
      <c r="Q25" s="46">
        <f t="shared" si="4"/>
        <v>2938.8090000000002</v>
      </c>
      <c r="R25" s="48">
        <f t="shared" si="5"/>
        <v>-259826.283</v>
      </c>
    </row>
    <row r="26" spans="2:18" ht="15" customHeight="1" x14ac:dyDescent="0.2">
      <c r="B26" s="16" t="s">
        <v>31</v>
      </c>
      <c r="C26" s="21">
        <v>97.147186264078996</v>
      </c>
      <c r="D26" s="39">
        <v>0</v>
      </c>
      <c r="E26" s="40">
        <v>-6470.8230000000003</v>
      </c>
      <c r="F26" s="40">
        <v>-9462.8259999999991</v>
      </c>
      <c r="G26" s="24">
        <f t="shared" si="0"/>
        <v>-15933.648999999999</v>
      </c>
      <c r="H26" s="25">
        <f t="shared" si="1"/>
        <v>-15933.648999999999</v>
      </c>
      <c r="I26" s="21">
        <v>97.7</v>
      </c>
      <c r="J26" s="39">
        <v>-14337.174000000001</v>
      </c>
      <c r="K26" s="40">
        <v>-16678.179</v>
      </c>
      <c r="L26" s="40">
        <v>0</v>
      </c>
      <c r="M26" s="25">
        <f t="shared" si="2"/>
        <v>-31015.353000000003</v>
      </c>
      <c r="N26" s="29">
        <f t="shared" si="3"/>
        <v>-46949.002</v>
      </c>
      <c r="O26" s="39">
        <v>3966.7449999999999</v>
      </c>
      <c r="P26" s="40">
        <v>0</v>
      </c>
      <c r="Q26" s="25">
        <f t="shared" si="4"/>
        <v>3966.7449999999999</v>
      </c>
      <c r="R26" s="31">
        <f t="shared" si="5"/>
        <v>-42982.256999999998</v>
      </c>
    </row>
    <row r="27" spans="2:18" ht="15" customHeight="1" x14ac:dyDescent="0.2">
      <c r="B27" s="41" t="s">
        <v>32</v>
      </c>
      <c r="C27" s="42">
        <v>99.611867182051895</v>
      </c>
      <c r="D27" s="43">
        <v>0</v>
      </c>
      <c r="E27" s="44">
        <v>-686.33199999999999</v>
      </c>
      <c r="F27" s="44">
        <v>-1003.681</v>
      </c>
      <c r="G27" s="45">
        <f t="shared" si="0"/>
        <v>-1690.0129999999999</v>
      </c>
      <c r="H27" s="46">
        <f t="shared" si="1"/>
        <v>-1690.0129999999999</v>
      </c>
      <c r="I27" s="42">
        <v>99.6</v>
      </c>
      <c r="J27" s="43">
        <v>-81.411000000000001</v>
      </c>
      <c r="K27" s="44">
        <v>-68497.418999999994</v>
      </c>
      <c r="L27" s="44">
        <v>-3744.2109999999998</v>
      </c>
      <c r="M27" s="46">
        <f t="shared" si="2"/>
        <v>-72323.040999999983</v>
      </c>
      <c r="N27" s="47">
        <f t="shared" si="3"/>
        <v>-74013.053999999989</v>
      </c>
      <c r="O27" s="43">
        <v>8116.7659999999996</v>
      </c>
      <c r="P27" s="44">
        <v>0</v>
      </c>
      <c r="Q27" s="46">
        <f t="shared" si="4"/>
        <v>8116.7659999999996</v>
      </c>
      <c r="R27" s="48">
        <f t="shared" si="5"/>
        <v>-65896.287999999986</v>
      </c>
    </row>
    <row r="28" spans="2:18" ht="15" customHeight="1" x14ac:dyDescent="0.2">
      <c r="B28" s="16" t="s">
        <v>33</v>
      </c>
      <c r="C28" s="21">
        <v>66.095679522394704</v>
      </c>
      <c r="D28" s="39">
        <v>0</v>
      </c>
      <c r="E28" s="40">
        <v>-265783.68400000001</v>
      </c>
      <c r="F28" s="40">
        <v>-388677.74400000001</v>
      </c>
      <c r="G28" s="24">
        <f t="shared" si="0"/>
        <v>-654461.42800000007</v>
      </c>
      <c r="H28" s="25">
        <f t="shared" si="1"/>
        <v>-654461.42800000007</v>
      </c>
      <c r="I28" s="21">
        <v>88.2</v>
      </c>
      <c r="J28" s="39">
        <v>-73881.244999999995</v>
      </c>
      <c r="K28" s="40">
        <v>-5401.0060000000003</v>
      </c>
      <c r="L28" s="40">
        <v>0</v>
      </c>
      <c r="M28" s="25">
        <f t="shared" si="2"/>
        <v>-79282.250999999989</v>
      </c>
      <c r="N28" s="29">
        <f t="shared" si="3"/>
        <v>-733743.679</v>
      </c>
      <c r="O28" s="39">
        <v>3527.8240000000001</v>
      </c>
      <c r="P28" s="40">
        <v>0</v>
      </c>
      <c r="Q28" s="25">
        <f t="shared" si="4"/>
        <v>3527.8240000000001</v>
      </c>
      <c r="R28" s="31">
        <f t="shared" si="5"/>
        <v>-730215.85499999998</v>
      </c>
    </row>
    <row r="29" spans="2:18" ht="15" customHeight="1" x14ac:dyDescent="0.2">
      <c r="B29" s="41" t="s">
        <v>34</v>
      </c>
      <c r="C29" s="42">
        <v>90.547248505320894</v>
      </c>
      <c r="D29" s="43">
        <v>0</v>
      </c>
      <c r="E29" s="44">
        <v>-20236.508999999998</v>
      </c>
      <c r="F29" s="44">
        <v>-29593.542000000001</v>
      </c>
      <c r="G29" s="45">
        <f t="shared" si="0"/>
        <v>-49830.050999999999</v>
      </c>
      <c r="H29" s="46">
        <f t="shared" si="1"/>
        <v>-49830.050999999999</v>
      </c>
      <c r="I29" s="42">
        <v>93.7</v>
      </c>
      <c r="J29" s="43">
        <v>-23556.864000000001</v>
      </c>
      <c r="K29" s="44">
        <v>-14570.723</v>
      </c>
      <c r="L29" s="44">
        <v>0</v>
      </c>
      <c r="M29" s="46">
        <f t="shared" si="2"/>
        <v>-38127.587</v>
      </c>
      <c r="N29" s="47">
        <f t="shared" si="3"/>
        <v>-87957.638000000006</v>
      </c>
      <c r="O29" s="43">
        <v>2153.056</v>
      </c>
      <c r="P29" s="44">
        <v>-87066.180999999997</v>
      </c>
      <c r="Q29" s="46">
        <f t="shared" si="4"/>
        <v>-84913.125</v>
      </c>
      <c r="R29" s="48">
        <f t="shared" si="5"/>
        <v>-172870.76300000001</v>
      </c>
    </row>
    <row r="30" spans="2:18" ht="15" customHeight="1" x14ac:dyDescent="0.2">
      <c r="B30" s="16" t="s">
        <v>35</v>
      </c>
      <c r="C30" s="21">
        <v>145.32811250149101</v>
      </c>
      <c r="D30" s="39">
        <v>398019.59299999999</v>
      </c>
      <c r="E30" s="40">
        <v>0</v>
      </c>
      <c r="F30" s="40">
        <v>0</v>
      </c>
      <c r="G30" s="24">
        <f t="shared" si="0"/>
        <v>398019.59299999999</v>
      </c>
      <c r="H30" s="25">
        <f t="shared" si="1"/>
        <v>0</v>
      </c>
      <c r="I30" s="21">
        <v>135.80000000000001</v>
      </c>
      <c r="J30" s="39">
        <v>0</v>
      </c>
      <c r="K30" s="40">
        <v>-71006.748999999996</v>
      </c>
      <c r="L30" s="40">
        <v>-32483.4</v>
      </c>
      <c r="M30" s="25">
        <f t="shared" si="2"/>
        <v>-103490.149</v>
      </c>
      <c r="N30" s="29">
        <f t="shared" si="3"/>
        <v>294529.44400000002</v>
      </c>
      <c r="O30" s="39">
        <v>5274.8159999999998</v>
      </c>
      <c r="P30" s="40">
        <v>0</v>
      </c>
      <c r="Q30" s="25">
        <f t="shared" si="4"/>
        <v>5274.8159999999998</v>
      </c>
      <c r="R30" s="31">
        <f t="shared" si="5"/>
        <v>299804.26</v>
      </c>
    </row>
    <row r="31" spans="2:18" ht="15" customHeight="1" x14ac:dyDescent="0.2">
      <c r="B31" s="41" t="s">
        <v>36</v>
      </c>
      <c r="C31" s="42">
        <v>65.233572767903297</v>
      </c>
      <c r="D31" s="43">
        <v>0</v>
      </c>
      <c r="E31" s="44">
        <v>-59220.836000000003</v>
      </c>
      <c r="F31" s="44">
        <v>-86603.589000000007</v>
      </c>
      <c r="G31" s="45">
        <f t="shared" si="0"/>
        <v>-145824.42500000002</v>
      </c>
      <c r="H31" s="46">
        <f t="shared" si="1"/>
        <v>-145824.42500000002</v>
      </c>
      <c r="I31" s="42">
        <v>88.2</v>
      </c>
      <c r="J31" s="43">
        <v>-4581.8419999999996</v>
      </c>
      <c r="K31" s="44">
        <v>-629.74599999999998</v>
      </c>
      <c r="L31" s="44">
        <v>0</v>
      </c>
      <c r="M31" s="46">
        <f t="shared" si="2"/>
        <v>-5211.5879999999997</v>
      </c>
      <c r="N31" s="47">
        <f t="shared" si="3"/>
        <v>-151036.01300000001</v>
      </c>
      <c r="O31" s="43">
        <v>872.38099999999997</v>
      </c>
      <c r="P31" s="44">
        <v>-15510.043</v>
      </c>
      <c r="Q31" s="46">
        <f t="shared" si="4"/>
        <v>-14637.662</v>
      </c>
      <c r="R31" s="48">
        <f t="shared" si="5"/>
        <v>-165673.67500000002</v>
      </c>
    </row>
    <row r="32" spans="2:18" ht="18.75" customHeight="1" x14ac:dyDescent="0.2">
      <c r="B32" s="33" t="str">
        <f>DFIE!B43</f>
        <v>Schweiz</v>
      </c>
      <c r="C32" s="22">
        <v>100</v>
      </c>
      <c r="D32" s="26">
        <f>SUM(D6:D31)</f>
        <v>1712737.3709999998</v>
      </c>
      <c r="E32" s="27">
        <f>SUM(E6:E31)</f>
        <v>-1712737.371</v>
      </c>
      <c r="F32" s="27">
        <f>SUM(F6:F31)</f>
        <v>-2504679.3290000004</v>
      </c>
      <c r="G32" s="27">
        <f>SUM(G6:G31)</f>
        <v>-2504679.3290000004</v>
      </c>
      <c r="H32" s="28">
        <f>SUM(H6:H31)</f>
        <v>-4217416.6999999993</v>
      </c>
      <c r="I32" s="23"/>
      <c r="J32" s="26">
        <f t="shared" ref="J32:R32" si="6">SUM(J6:J31)</f>
        <v>-361806.48400000005</v>
      </c>
      <c r="K32" s="27">
        <f t="shared" si="6"/>
        <v>-241204.323</v>
      </c>
      <c r="L32" s="27">
        <f t="shared" si="6"/>
        <v>-120602.16099999999</v>
      </c>
      <c r="M32" s="28">
        <f t="shared" si="6"/>
        <v>-723612.96799999988</v>
      </c>
      <c r="N32" s="32">
        <f t="shared" si="6"/>
        <v>-3228292.2969999998</v>
      </c>
      <c r="O32" s="26">
        <f t="shared" si="6"/>
        <v>93198.878999999972</v>
      </c>
      <c r="P32" s="27">
        <f t="shared" si="6"/>
        <v>-279596.63699999999</v>
      </c>
      <c r="Q32" s="28">
        <f t="shared" si="6"/>
        <v>-186397.75800000003</v>
      </c>
      <c r="R32" s="28">
        <f t="shared" si="6"/>
        <v>-3414690.0549999997</v>
      </c>
    </row>
    <row r="33" spans="1:24" ht="40.5" customHeight="1" x14ac:dyDescent="0.2">
      <c r="A33" s="34"/>
      <c r="B33" s="96" t="str">
        <f>DFIE!B44</f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35"/>
      <c r="T33" s="35"/>
      <c r="U33" s="35"/>
      <c r="V33" s="35"/>
      <c r="W33" s="35"/>
      <c r="X33" s="35"/>
    </row>
  </sheetData>
  <mergeCells count="11">
    <mergeCell ref="D3:H3"/>
    <mergeCell ref="B1:R1"/>
    <mergeCell ref="B33:R33"/>
    <mergeCell ref="C3:C5"/>
    <mergeCell ref="I3:I5"/>
    <mergeCell ref="N3:N5"/>
    <mergeCell ref="R3:R5"/>
    <mergeCell ref="G4:H4"/>
    <mergeCell ref="D4:E4"/>
    <mergeCell ref="O3:Q4"/>
    <mergeCell ref="J3:M4"/>
  </mergeCells>
  <conditionalFormatting sqref="C6:F31">
    <cfRule type="expression" dxfId="3" priority="2" stopIfTrue="1">
      <formula>ISBLANK(C6)</formula>
    </cfRule>
  </conditionalFormatting>
  <conditionalFormatting sqref="I6:L31">
    <cfRule type="expression" dxfId="2" priority="3" stopIfTrue="1">
      <formula>ISBLANK(I6)</formula>
    </cfRule>
  </conditionalFormatting>
  <conditionalFormatting sqref="O6:P31">
    <cfRule type="expression" dxfId="1" priority="4" stopIfTrue="1">
      <formula>ISBLANK(O6)</formula>
    </cfRule>
  </conditionalFormatting>
  <pageMargins left="0.62992125984251968" right="0.39370078740157483" top="0.98425196850393704" bottom="0.6692913385826772" header="0.51181102362204722" footer="0.39370078740157483"/>
  <pageSetup paperSize="9" scale="81" orientation="landscape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R31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5703125" customWidth="1"/>
    <col min="3" max="3" width="17.7109375" customWidth="1"/>
    <col min="4" max="4" width="7.140625" customWidth="1"/>
    <col min="5" max="5" width="13.5703125" customWidth="1"/>
    <col min="6" max="9" width="9.28515625" customWidth="1"/>
    <col min="10" max="10" width="15.42578125" customWidth="1"/>
    <col min="11" max="11" width="10.85546875" customWidth="1"/>
  </cols>
  <sheetData>
    <row r="1" spans="1:11" ht="18" customHeight="1" x14ac:dyDescent="0.25">
      <c r="B1" s="95" t="str">
        <f>DFIE!B71</f>
        <v>Zahlungen pro Einwohner 2019</v>
      </c>
      <c r="C1" s="95"/>
      <c r="D1" s="95"/>
      <c r="E1" s="95"/>
      <c r="F1" s="95"/>
      <c r="G1" s="95"/>
      <c r="H1" s="95"/>
      <c r="I1" s="95"/>
      <c r="J1" s="95"/>
      <c r="K1" s="95"/>
    </row>
    <row r="2" spans="1:11" ht="22.5" customHeight="1" x14ac:dyDescent="0.2">
      <c r="B2" s="36" t="str">
        <f>DFIE!B72</f>
        <v>in CHF; (+) Belastung Kanton; (-) Entlastung Kanton</v>
      </c>
      <c r="C2" s="64"/>
    </row>
    <row r="3" spans="1:11" ht="24" customHeight="1" x14ac:dyDescent="0.2">
      <c r="A3" s="20"/>
      <c r="B3" s="11"/>
      <c r="C3" s="117" t="str">
        <f>DFIE!B73</f>
        <v>Massgebende
Wohnbevölkerung</v>
      </c>
      <c r="D3" s="117" t="str">
        <f>DFIE!B74</f>
        <v>RI</v>
      </c>
      <c r="E3" s="100" t="str">
        <f>DFIE!B75</f>
        <v>Ressourcen-
ausgleich</v>
      </c>
      <c r="F3" s="92" t="str">
        <f>DFIE!B76</f>
        <v>Lastenausgleich</v>
      </c>
      <c r="G3" s="93"/>
      <c r="H3" s="93"/>
      <c r="I3" s="94"/>
      <c r="J3" s="100" t="str">
        <f>DFIE!B81</f>
        <v>Härte-
ausgleich</v>
      </c>
      <c r="K3" s="100" t="str">
        <f>DFIE!B82</f>
        <v>Total</v>
      </c>
    </row>
    <row r="4" spans="1:11" ht="30" customHeight="1" x14ac:dyDescent="0.2">
      <c r="A4" s="20"/>
      <c r="B4" s="51"/>
      <c r="C4" s="118"/>
      <c r="D4" s="118"/>
      <c r="E4" s="116"/>
      <c r="F4" s="52" t="str">
        <f>DFIE!B77</f>
        <v>GLA</v>
      </c>
      <c r="G4" s="53" t="str">
        <f>DFIE!B78</f>
        <v>SLA A-C</v>
      </c>
      <c r="H4" s="53" t="str">
        <f>DFIE!B79</f>
        <v>SLA F</v>
      </c>
      <c r="I4" s="15" t="str">
        <f>DFIE!B80</f>
        <v>Total</v>
      </c>
      <c r="J4" s="116"/>
      <c r="K4" s="116"/>
    </row>
    <row r="5" spans="1:11" ht="15" customHeight="1" x14ac:dyDescent="0.2">
      <c r="B5" s="50" t="str">
        <f>DFIE!B45</f>
        <v>Zürich</v>
      </c>
      <c r="C5" s="59">
        <v>1450187.16666667</v>
      </c>
      <c r="D5" s="21">
        <f>TOTAL_1!C6</f>
        <v>120.50025231564901</v>
      </c>
      <c r="E5" s="54">
        <f>TOTAL_1!G6/C5*1000</f>
        <v>377.11170569591906</v>
      </c>
      <c r="F5" s="55">
        <f>TOTAL_1!J6/TOTAL_2!$C5*1000</f>
        <v>0</v>
      </c>
      <c r="G5" s="56">
        <f>TOTAL_1!K6/TOTAL_2!$C5*1000</f>
        <v>-6.4252430404672909</v>
      </c>
      <c r="H5" s="56">
        <f>TOTAL_1!L6/TOTAL_2!$C5*1000</f>
        <v>-45.624436983593853</v>
      </c>
      <c r="I5" s="57">
        <f t="shared" ref="I5:I30" si="0">SUM(F5:H5)</f>
        <v>-52.049680024061146</v>
      </c>
      <c r="J5" s="54">
        <f>TOTAL_1!Q6/TOTAL_2!C5*1000</f>
        <v>10.877732449018337</v>
      </c>
      <c r="K5" s="58">
        <f>TOTAL_1!R6/TOTAL_2!C5*1000</f>
        <v>335.93975812087626</v>
      </c>
    </row>
    <row r="6" spans="1:11" ht="15" customHeight="1" x14ac:dyDescent="0.2">
      <c r="B6" s="60" t="str">
        <f>DFIE!B46</f>
        <v>Bern</v>
      </c>
      <c r="C6" s="61">
        <v>1013156.66666667</v>
      </c>
      <c r="D6" s="42">
        <f>TOTAL_1!C7</f>
        <v>76.615144423483798</v>
      </c>
      <c r="E6" s="62">
        <f>TOTAL_1!G7/C6*1000</f>
        <v>-1104.0777777046619</v>
      </c>
      <c r="F6" s="63">
        <f>TOTAL_1!J7/TOTAL_2!$C6*1000</f>
        <v>-27.670447150325458</v>
      </c>
      <c r="G6" s="65">
        <f>TOTAL_1!K7/TOTAL_2!$C6*1000</f>
        <v>-10.842378440978163</v>
      </c>
      <c r="H6" s="65">
        <f>TOTAL_1!L7/TOTAL_2!$C6*1000</f>
        <v>0</v>
      </c>
      <c r="I6" s="66">
        <f t="shared" si="0"/>
        <v>-38.512825591303624</v>
      </c>
      <c r="J6" s="62">
        <f>TOTAL_1!Q7/TOTAL_2!C6*1000</f>
        <v>-29.017675120991395</v>
      </c>
      <c r="K6" s="67">
        <f>TOTAL_1!R7/TOTAL_2!C6*1000</f>
        <v>-1171.6082784169569</v>
      </c>
    </row>
    <row r="7" spans="1:11" ht="15" customHeight="1" x14ac:dyDescent="0.2">
      <c r="B7" s="50" t="str">
        <f>DFIE!B47</f>
        <v>Luzern</v>
      </c>
      <c r="C7" s="59">
        <v>395831.66666666698</v>
      </c>
      <c r="D7" s="21">
        <f>TOTAL_1!C8</f>
        <v>88.953267971567698</v>
      </c>
      <c r="E7" s="54">
        <f>TOTAL_1!G8/C7*1000</f>
        <v>-354.14540019115844</v>
      </c>
      <c r="F7" s="55">
        <f>TOTAL_1!J8/TOTAL_2!$C7*1000</f>
        <v>-15.327811064467628</v>
      </c>
      <c r="G7" s="56">
        <f>TOTAL_1!K8/TOTAL_2!$C7*1000</f>
        <v>0</v>
      </c>
      <c r="H7" s="56">
        <f>TOTAL_1!L8/TOTAL_2!$C7*1000</f>
        <v>0</v>
      </c>
      <c r="I7" s="57">
        <f t="shared" si="0"/>
        <v>-15.327811064467628</v>
      </c>
      <c r="J7" s="54">
        <f>TOTAL_1!Q8/TOTAL_2!C7*1000</f>
        <v>-36.608892669021728</v>
      </c>
      <c r="K7" s="58">
        <f>TOTAL_1!R8/TOTAL_2!C7*1000</f>
        <v>-406.08210392464781</v>
      </c>
    </row>
    <row r="8" spans="1:11" ht="15" customHeight="1" x14ac:dyDescent="0.2">
      <c r="B8" s="60" t="str">
        <f>DFIE!B48</f>
        <v>Uri</v>
      </c>
      <c r="C8" s="61">
        <v>36425</v>
      </c>
      <c r="D8" s="42">
        <f>TOTAL_1!C9</f>
        <v>70.115914841445303</v>
      </c>
      <c r="E8" s="62">
        <f>TOTAL_1!G9/C8*1000</f>
        <v>-1601.3262594371997</v>
      </c>
      <c r="F8" s="63">
        <f>TOTAL_1!J9/TOTAL_2!$C8*1000</f>
        <v>-320.5474262182567</v>
      </c>
      <c r="G8" s="65">
        <f>TOTAL_1!K9/TOTAL_2!$C8*1000</f>
        <v>0</v>
      </c>
      <c r="H8" s="65">
        <f>TOTAL_1!L9/TOTAL_2!$C8*1000</f>
        <v>0</v>
      </c>
      <c r="I8" s="66">
        <f t="shared" si="0"/>
        <v>-320.5474262182567</v>
      </c>
      <c r="J8" s="62">
        <f>TOTAL_1!Q9/TOTAL_2!C8*1000</f>
        <v>12.281427590940289</v>
      </c>
      <c r="K8" s="67">
        <f>TOTAL_1!R9/TOTAL_2!C8*1000</f>
        <v>-1909.592258064516</v>
      </c>
    </row>
    <row r="9" spans="1:11" ht="15" customHeight="1" x14ac:dyDescent="0.2">
      <c r="B9" s="50" t="str">
        <f>DFIE!B49</f>
        <v>Schwyz</v>
      </c>
      <c r="C9" s="59">
        <v>153538.33333333299</v>
      </c>
      <c r="D9" s="21">
        <f>TOTAL_1!C10</f>
        <v>172.360412555648</v>
      </c>
      <c r="E9" s="54">
        <f>TOTAL_1!G10/C9*1000</f>
        <v>1331.1035463456496</v>
      </c>
      <c r="F9" s="55">
        <f>TOTAL_1!J10/TOTAL_2!$C9*1000</f>
        <v>-43.257099747077369</v>
      </c>
      <c r="G9" s="56">
        <f>TOTAL_1!K10/TOTAL_2!$C9*1000</f>
        <v>0</v>
      </c>
      <c r="H9" s="56">
        <f>TOTAL_1!L10/TOTAL_2!$C9*1000</f>
        <v>0</v>
      </c>
      <c r="I9" s="57">
        <f t="shared" si="0"/>
        <v>-43.257099747077369</v>
      </c>
      <c r="J9" s="54">
        <f>TOTAL_1!Q10/TOTAL_2!C9*1000</f>
        <v>10.756258480509777</v>
      </c>
      <c r="K9" s="58">
        <f>TOTAL_1!R10/TOTAL_2!C9*1000</f>
        <v>1298.6027050790819</v>
      </c>
    </row>
    <row r="10" spans="1:11" ht="15" customHeight="1" x14ac:dyDescent="0.2">
      <c r="B10" s="60" t="str">
        <f>DFIE!B50</f>
        <v>Obwalden</v>
      </c>
      <c r="C10" s="61">
        <v>37045</v>
      </c>
      <c r="D10" s="42">
        <f>TOTAL_1!C11</f>
        <v>119.341756298582</v>
      </c>
      <c r="E10" s="62">
        <f>TOTAL_1!G11/C10*1000</f>
        <v>355.80062086651373</v>
      </c>
      <c r="F10" s="63">
        <f>TOTAL_1!J11/TOTAL_2!$C10*1000</f>
        <v>-163.60153866918611</v>
      </c>
      <c r="G10" s="65">
        <f>TOTAL_1!K11/TOTAL_2!$C10*1000</f>
        <v>0</v>
      </c>
      <c r="H10" s="65">
        <f>TOTAL_1!L11/TOTAL_2!$C10*1000</f>
        <v>0</v>
      </c>
      <c r="I10" s="66">
        <f t="shared" si="0"/>
        <v>-163.60153866918611</v>
      </c>
      <c r="J10" s="62">
        <f>TOTAL_1!Q11/TOTAL_2!C10*1000</f>
        <v>11.219057902550952</v>
      </c>
      <c r="K10" s="67">
        <f>TOTAL_1!R11/TOTAL_2!C10*1000</f>
        <v>203.41814009987851</v>
      </c>
    </row>
    <row r="11" spans="1:11" ht="15" customHeight="1" x14ac:dyDescent="0.2">
      <c r="B11" s="50" t="str">
        <f>DFIE!B51</f>
        <v>Nidwalden</v>
      </c>
      <c r="C11" s="59">
        <v>42343.666666666701</v>
      </c>
      <c r="D11" s="21">
        <f>TOTAL_1!C12</f>
        <v>159.48943384682801</v>
      </c>
      <c r="E11" s="54">
        <f>TOTAL_1!G12/C11*1000</f>
        <v>1094.3358865158889</v>
      </c>
      <c r="F11" s="55">
        <f>TOTAL_1!J12/TOTAL_2!$C11*1000</f>
        <v>-30.219796742527389</v>
      </c>
      <c r="G11" s="56">
        <f>TOTAL_1!K12/TOTAL_2!$C11*1000</f>
        <v>0</v>
      </c>
      <c r="H11" s="56">
        <f>TOTAL_1!L12/TOTAL_2!$C11*1000</f>
        <v>0</v>
      </c>
      <c r="I11" s="57">
        <f t="shared" si="0"/>
        <v>-30.219796742527389</v>
      </c>
      <c r="J11" s="54">
        <f>TOTAL_1!Q12/TOTAL_2!C11*1000</f>
        <v>11.257622155221945</v>
      </c>
      <c r="K11" s="58">
        <f>TOTAL_1!R12/TOTAL_2!C11*1000</f>
        <v>1075.3737119285836</v>
      </c>
    </row>
    <row r="12" spans="1:11" ht="15" customHeight="1" x14ac:dyDescent="0.2">
      <c r="B12" s="60" t="str">
        <f>DFIE!B52</f>
        <v>Glarus</v>
      </c>
      <c r="C12" s="61">
        <v>40283.666666666701</v>
      </c>
      <c r="D12" s="42">
        <f>TOTAL_1!C13</f>
        <v>71.191340664691396</v>
      </c>
      <c r="E12" s="62">
        <f>TOTAL_1!G13/C12*1000</f>
        <v>-1514.771296886247</v>
      </c>
      <c r="F12" s="63">
        <f>TOTAL_1!J13/TOTAL_2!$C12*1000</f>
        <v>-134.64335421303909</v>
      </c>
      <c r="G12" s="65">
        <f>TOTAL_1!K13/TOTAL_2!$C12*1000</f>
        <v>0</v>
      </c>
      <c r="H12" s="65">
        <f>TOTAL_1!L13/TOTAL_2!$C12*1000</f>
        <v>0</v>
      </c>
      <c r="I12" s="66">
        <f t="shared" si="0"/>
        <v>-134.64335421303909</v>
      </c>
      <c r="J12" s="62">
        <f>TOTAL_1!Q13/TOTAL_2!C12*1000</f>
        <v>-149.93230506987931</v>
      </c>
      <c r="K12" s="67">
        <f>TOTAL_1!R13/TOTAL_2!C12*1000</f>
        <v>-1799.3469561691654</v>
      </c>
    </row>
    <row r="13" spans="1:11" ht="15" customHeight="1" x14ac:dyDescent="0.2">
      <c r="B13" s="50" t="str">
        <f>DFIE!B53</f>
        <v>Zug</v>
      </c>
      <c r="C13" s="59">
        <v>120816.16666666701</v>
      </c>
      <c r="D13" s="21">
        <f>TOTAL_1!C14</f>
        <v>247.656331406471</v>
      </c>
      <c r="E13" s="54">
        <f>TOTAL_1!G14/C13*1000</f>
        <v>2716.2071025262821</v>
      </c>
      <c r="F13" s="55">
        <f>TOTAL_1!J14/TOTAL_2!$C13*1000</f>
        <v>0</v>
      </c>
      <c r="G13" s="56">
        <f>TOTAL_1!K14/TOTAL_2!$C13*1000</f>
        <v>0</v>
      </c>
      <c r="H13" s="56">
        <f>TOTAL_1!L14/TOTAL_2!$C13*1000</f>
        <v>0</v>
      </c>
      <c r="I13" s="57">
        <f t="shared" si="0"/>
        <v>0</v>
      </c>
      <c r="J13" s="54">
        <f>TOTAL_1!Q14/TOTAL_2!C13*1000</f>
        <v>10.495979428801579</v>
      </c>
      <c r="K13" s="58">
        <f>TOTAL_1!R14/TOTAL_2!C13*1000</f>
        <v>2726.7030819550837</v>
      </c>
    </row>
    <row r="14" spans="1:11" ht="15" customHeight="1" x14ac:dyDescent="0.2">
      <c r="B14" s="60" t="str">
        <f>DFIE!B54</f>
        <v>Freiburg</v>
      </c>
      <c r="C14" s="61">
        <v>302305</v>
      </c>
      <c r="D14" s="42">
        <f>TOTAL_1!C15</f>
        <v>79.913961150061198</v>
      </c>
      <c r="E14" s="62">
        <f>TOTAL_1!G15/C14*1000</f>
        <v>-876.74070557880304</v>
      </c>
      <c r="F14" s="63">
        <f>TOTAL_1!J15/TOTAL_2!$C14*1000</f>
        <v>-29.09835100312598</v>
      </c>
      <c r="G14" s="65">
        <f>TOTAL_1!K15/TOTAL_2!$C14*1000</f>
        <v>0</v>
      </c>
      <c r="H14" s="65">
        <f>TOTAL_1!L15/TOTAL_2!$C14*1000</f>
        <v>0</v>
      </c>
      <c r="I14" s="66">
        <f t="shared" si="0"/>
        <v>-29.09835100312598</v>
      </c>
      <c r="J14" s="62">
        <f>TOTAL_1!Q15/TOTAL_2!C14*1000</f>
        <v>-353.15242883842478</v>
      </c>
      <c r="K14" s="67">
        <f>TOTAL_1!R15/TOTAL_2!C14*1000</f>
        <v>-1258.9914854203537</v>
      </c>
    </row>
    <row r="15" spans="1:11" ht="15" customHeight="1" x14ac:dyDescent="0.2">
      <c r="B15" s="50" t="str">
        <f>DFIE!B55</f>
        <v>Solothurn</v>
      </c>
      <c r="C15" s="59">
        <v>264772.83333333302</v>
      </c>
      <c r="D15" s="21">
        <f>TOTAL_1!C16</f>
        <v>72.982232175509793</v>
      </c>
      <c r="E15" s="54">
        <f>TOTAL_1!G16/C15*1000</f>
        <v>-1374.3139634793865</v>
      </c>
      <c r="F15" s="55">
        <f>TOTAL_1!J16/TOTAL_2!$C15*1000</f>
        <v>0</v>
      </c>
      <c r="G15" s="56">
        <f>TOTAL_1!K16/TOTAL_2!$C15*1000</f>
        <v>-25.106737410748995</v>
      </c>
      <c r="H15" s="56">
        <f>TOTAL_1!L16/TOTAL_2!$C15*1000</f>
        <v>0</v>
      </c>
      <c r="I15" s="57">
        <f t="shared" si="0"/>
        <v>-25.106737410748995</v>
      </c>
      <c r="J15" s="54">
        <f>TOTAL_1!Q16/TOTAL_2!C15*1000</f>
        <v>11.838654141883906</v>
      </c>
      <c r="K15" s="58">
        <f>TOTAL_1!R16/TOTAL_2!C15*1000</f>
        <v>-1387.5820467482517</v>
      </c>
    </row>
    <row r="16" spans="1:11" ht="15" customHeight="1" x14ac:dyDescent="0.2">
      <c r="B16" s="60" t="str">
        <f>DFIE!B56</f>
        <v>Basel-Stadt</v>
      </c>
      <c r="C16" s="61">
        <v>193219.83333333299</v>
      </c>
      <c r="D16" s="42">
        <f>TOTAL_1!C17</f>
        <v>149.454416686782</v>
      </c>
      <c r="E16" s="62">
        <f>TOTAL_1!G17/C16*1000</f>
        <v>909.7370646043081</v>
      </c>
      <c r="F16" s="63">
        <f>TOTAL_1!J17/TOTAL_2!$C16*1000</f>
        <v>0</v>
      </c>
      <c r="G16" s="65">
        <f>TOTAL_1!K17/TOTAL_2!$C16*1000</f>
        <v>-181.27429982601888</v>
      </c>
      <c r="H16" s="65">
        <f>TOTAL_1!L17/TOTAL_2!$C16*1000</f>
        <v>-94.24796971325425</v>
      </c>
      <c r="I16" s="66">
        <f t="shared" si="0"/>
        <v>-275.52226953927311</v>
      </c>
      <c r="J16" s="62">
        <f>TOTAL_1!Q17/TOTAL_2!C16*1000</f>
        <v>12.870097013850394</v>
      </c>
      <c r="K16" s="67">
        <f>TOTAL_1!R17/TOTAL_2!C16*1000</f>
        <v>647.08489207888545</v>
      </c>
    </row>
    <row r="17" spans="2:18" ht="15" customHeight="1" x14ac:dyDescent="0.2">
      <c r="B17" s="50" t="str">
        <f>DFIE!B57</f>
        <v>Basel-Landschaft</v>
      </c>
      <c r="C17" s="59">
        <v>281425</v>
      </c>
      <c r="D17" s="21">
        <f>TOTAL_1!C18</f>
        <v>96.803218732349805</v>
      </c>
      <c r="E17" s="54">
        <f>TOTAL_1!G18/C17*1000</f>
        <v>-54.037104024162744</v>
      </c>
      <c r="F17" s="55">
        <f>TOTAL_1!J18/TOTAL_2!$C17*1000</f>
        <v>0</v>
      </c>
      <c r="G17" s="56">
        <f>TOTAL_1!K18/TOTAL_2!$C17*1000</f>
        <v>-2.578907346539931</v>
      </c>
      <c r="H17" s="56">
        <f>TOTAL_1!L18/TOTAL_2!$C17*1000</f>
        <v>0</v>
      </c>
      <c r="I17" s="57">
        <f t="shared" si="0"/>
        <v>-2.578907346539931</v>
      </c>
      <c r="J17" s="54">
        <f>TOTAL_1!Q18/TOTAL_2!C17*1000</f>
        <v>11.803048769654435</v>
      </c>
      <c r="K17" s="58">
        <f>TOTAL_1!R18/TOTAL_2!C17*1000</f>
        <v>-44.812962601048241</v>
      </c>
    </row>
    <row r="18" spans="2:18" ht="15" customHeight="1" x14ac:dyDescent="0.2">
      <c r="B18" s="60" t="str">
        <f>DFIE!B58</f>
        <v>Schaffhausen</v>
      </c>
      <c r="C18" s="61">
        <v>79925.666666666701</v>
      </c>
      <c r="D18" s="42">
        <f>TOTAL_1!C19</f>
        <v>91.679373181965104</v>
      </c>
      <c r="E18" s="62">
        <f>TOTAL_1!G19/C18*1000</f>
        <v>-230.44893797153179</v>
      </c>
      <c r="F18" s="63">
        <f>TOTAL_1!J19/TOTAL_2!$C18*1000</f>
        <v>0</v>
      </c>
      <c r="G18" s="65">
        <f>TOTAL_1!K19/TOTAL_2!$C18*1000</f>
        <v>-21.501566038444047</v>
      </c>
      <c r="H18" s="65">
        <f>TOTAL_1!L19/TOTAL_2!$C18*1000</f>
        <v>0</v>
      </c>
      <c r="I18" s="66">
        <f t="shared" si="0"/>
        <v>-21.501566038444047</v>
      </c>
      <c r="J18" s="62">
        <f>TOTAL_1!Q19/TOTAL_2!C18*1000</f>
        <v>11.846282170516767</v>
      </c>
      <c r="K18" s="67">
        <f>TOTAL_1!R19/TOTAL_2!C18*1000</f>
        <v>-240.10422183945903</v>
      </c>
    </row>
    <row r="19" spans="2:18" ht="15" customHeight="1" x14ac:dyDescent="0.2">
      <c r="B19" s="50" t="str">
        <f>DFIE!B59</f>
        <v>Appenzell A.Rh.</v>
      </c>
      <c r="C19" s="59">
        <v>54175.5</v>
      </c>
      <c r="D19" s="21">
        <f>TOTAL_1!C20</f>
        <v>85.271328845800298</v>
      </c>
      <c r="E19" s="54">
        <f>TOTAL_1!G20/C19*1000</f>
        <v>-547.76768096279682</v>
      </c>
      <c r="F19" s="55">
        <f>TOTAL_1!J20/TOTAL_2!$C19*1000</f>
        <v>-358.67369936594957</v>
      </c>
      <c r="G19" s="56">
        <f>TOTAL_1!K20/TOTAL_2!$C19*1000</f>
        <v>0</v>
      </c>
      <c r="H19" s="56">
        <f>TOTAL_1!L20/TOTAL_2!$C19*1000</f>
        <v>0</v>
      </c>
      <c r="I19" s="57">
        <f t="shared" si="0"/>
        <v>-358.67369936594957</v>
      </c>
      <c r="J19" s="54">
        <f>TOTAL_1!Q20/TOTAL_2!C19*1000</f>
        <v>12.733744958514457</v>
      </c>
      <c r="K19" s="58">
        <f>TOTAL_1!R20/TOTAL_2!C19*1000</f>
        <v>-893.70763537023197</v>
      </c>
    </row>
    <row r="20" spans="2:18" ht="15" customHeight="1" x14ac:dyDescent="0.2">
      <c r="B20" s="60" t="str">
        <f>DFIE!B60</f>
        <v>Appenzell I.Rh.</v>
      </c>
      <c r="C20" s="61">
        <v>15915.5</v>
      </c>
      <c r="D20" s="42">
        <f>TOTAL_1!C21</f>
        <v>88.847447730964504</v>
      </c>
      <c r="E20" s="62">
        <f>TOTAL_1!G21/C20*1000</f>
        <v>-359.30168703465176</v>
      </c>
      <c r="F20" s="63">
        <f>TOTAL_1!J21/TOTAL_2!$C20*1000</f>
        <v>-531.08422606892645</v>
      </c>
      <c r="G20" s="65">
        <f>TOTAL_1!K21/TOTAL_2!$C20*1000</f>
        <v>0</v>
      </c>
      <c r="H20" s="65">
        <f>TOTAL_1!L21/TOTAL_2!$C20*1000</f>
        <v>0</v>
      </c>
      <c r="I20" s="66">
        <f t="shared" si="0"/>
        <v>-531.08422606892645</v>
      </c>
      <c r="J20" s="62">
        <f>TOTAL_1!Q21/TOTAL_2!C20*1000</f>
        <v>11.879865539882505</v>
      </c>
      <c r="K20" s="67">
        <f>TOTAL_1!R21/TOTAL_2!C20*1000</f>
        <v>-878.5060475636958</v>
      </c>
    </row>
    <row r="21" spans="2:18" ht="15" customHeight="1" x14ac:dyDescent="0.2">
      <c r="B21" s="50" t="str">
        <f>DFIE!B61</f>
        <v>St. Gallen</v>
      </c>
      <c r="C21" s="59">
        <v>497213</v>
      </c>
      <c r="D21" s="21">
        <f>TOTAL_1!C22</f>
        <v>78.831636511909807</v>
      </c>
      <c r="E21" s="54">
        <f>TOTAL_1!G22/C21*1000</f>
        <v>-949.35627185934402</v>
      </c>
      <c r="F21" s="55">
        <f>TOTAL_1!J22/TOTAL_2!$C21*1000</f>
        <v>-4.1549014205179677</v>
      </c>
      <c r="G21" s="56">
        <f>TOTAL_1!K22/TOTAL_2!$C21*1000</f>
        <v>0</v>
      </c>
      <c r="H21" s="56">
        <f>TOTAL_1!L22/TOTAL_2!$C21*1000</f>
        <v>0</v>
      </c>
      <c r="I21" s="57">
        <f t="shared" si="0"/>
        <v>-4.1549014205179677</v>
      </c>
      <c r="J21" s="54">
        <f>TOTAL_1!Q22/TOTAL_2!C21*1000</f>
        <v>11.652740374849412</v>
      </c>
      <c r="K21" s="58">
        <f>TOTAL_1!R22/TOTAL_2!C21*1000</f>
        <v>-941.85843290501248</v>
      </c>
    </row>
    <row r="22" spans="2:18" ht="15" customHeight="1" x14ac:dyDescent="0.2">
      <c r="B22" s="60" t="str">
        <f>DFIE!B62</f>
        <v>Graubünden</v>
      </c>
      <c r="C22" s="61">
        <v>203695.5</v>
      </c>
      <c r="D22" s="42">
        <f>TOTAL_1!C23</f>
        <v>83.310043789628395</v>
      </c>
      <c r="E22" s="62">
        <f>TOTAL_1!G23/C22*1000</f>
        <v>-662.08199002923482</v>
      </c>
      <c r="F22" s="63">
        <f>TOTAL_1!J23/TOTAL_2!$C22*1000</f>
        <v>-675.82194992034681</v>
      </c>
      <c r="G22" s="65">
        <f>TOTAL_1!K23/TOTAL_2!$C22*1000</f>
        <v>0</v>
      </c>
      <c r="H22" s="65">
        <f>TOTAL_1!L23/TOTAL_2!$C22*1000</f>
        <v>0</v>
      </c>
      <c r="I22" s="66">
        <f t="shared" si="0"/>
        <v>-675.82194992034681</v>
      </c>
      <c r="J22" s="62">
        <f>TOTAL_1!Q23/TOTAL_2!C22*1000</f>
        <v>11.961859736714853</v>
      </c>
      <c r="K22" s="67">
        <f>TOTAL_1!R23/TOTAL_2!C22*1000</f>
        <v>-1325.9420802128668</v>
      </c>
    </row>
    <row r="23" spans="2:18" ht="15" customHeight="1" x14ac:dyDescent="0.2">
      <c r="B23" s="50" t="str">
        <f>DFIE!B63</f>
        <v>Aargau</v>
      </c>
      <c r="C23" s="59">
        <v>646230.5</v>
      </c>
      <c r="D23" s="21">
        <f>TOTAL_1!C24</f>
        <v>83.832540919189796</v>
      </c>
      <c r="E23" s="54">
        <f>TOTAL_1!G24/C23*1000</f>
        <v>-630.9112398749362</v>
      </c>
      <c r="F23" s="55">
        <f>TOTAL_1!J24/TOTAL_2!$C23*1000</f>
        <v>0</v>
      </c>
      <c r="G23" s="56">
        <f>TOTAL_1!K24/TOTAL_2!$C23*1000</f>
        <v>0</v>
      </c>
      <c r="H23" s="56">
        <f>TOTAL_1!L24/TOTAL_2!$C23*1000</f>
        <v>0</v>
      </c>
      <c r="I23" s="57">
        <f t="shared" si="0"/>
        <v>0</v>
      </c>
      <c r="J23" s="54">
        <f>TOTAL_1!Q24/TOTAL_2!C23*1000</f>
        <v>10.808617049179821</v>
      </c>
      <c r="K23" s="58">
        <f>TOTAL_1!R24/TOTAL_2!C23*1000</f>
        <v>-620.1026228257565</v>
      </c>
    </row>
    <row r="24" spans="2:18" ht="15" customHeight="1" x14ac:dyDescent="0.2">
      <c r="B24" s="60" t="str">
        <f>DFIE!B64</f>
        <v>Thurgau</v>
      </c>
      <c r="C24" s="61">
        <v>264242</v>
      </c>
      <c r="D24" s="42">
        <f>TOTAL_1!C25</f>
        <v>78.381676367037997</v>
      </c>
      <c r="E24" s="62">
        <f>TOTAL_1!G25/C24*1000</f>
        <v>-980.11950409094698</v>
      </c>
      <c r="F24" s="63">
        <f>TOTAL_1!J25/TOTAL_2!$C24*1000</f>
        <v>-14.29127088048077</v>
      </c>
      <c r="G24" s="65">
        <f>TOTAL_1!K25/TOTAL_2!$C24*1000</f>
        <v>0</v>
      </c>
      <c r="H24" s="65">
        <f>TOTAL_1!L25/TOTAL_2!$C24*1000</f>
        <v>0</v>
      </c>
      <c r="I24" s="66">
        <f t="shared" si="0"/>
        <v>-14.29127088048077</v>
      </c>
      <c r="J24" s="62">
        <f>TOTAL_1!Q25/TOTAL_2!C24*1000</f>
        <v>11.121657420092189</v>
      </c>
      <c r="K24" s="67">
        <f>TOTAL_1!R25/TOTAL_2!C24*1000</f>
        <v>-983.28911755133549</v>
      </c>
    </row>
    <row r="25" spans="2:18" ht="15" customHeight="1" x14ac:dyDescent="0.2">
      <c r="B25" s="50" t="str">
        <f>DFIE!B65</f>
        <v>Tessin</v>
      </c>
      <c r="C25" s="59">
        <v>350414.33333333302</v>
      </c>
      <c r="D25" s="21">
        <f>TOTAL_1!C26</f>
        <v>97.147186264078996</v>
      </c>
      <c r="E25" s="54">
        <f>TOTAL_1!G26/C25*1000</f>
        <v>-45.470882564735312</v>
      </c>
      <c r="F25" s="55">
        <f>TOTAL_1!J26/TOTAL_2!$C25*1000</f>
        <v>-40.914918815155048</v>
      </c>
      <c r="G25" s="56">
        <f>TOTAL_1!K26/TOTAL_2!$C25*1000</f>
        <v>-47.595595880305545</v>
      </c>
      <c r="H25" s="56">
        <f>TOTAL_1!L26/TOTAL_2!$C25*1000</f>
        <v>0</v>
      </c>
      <c r="I25" s="57">
        <f t="shared" si="0"/>
        <v>-88.510514695460586</v>
      </c>
      <c r="J25" s="54">
        <f>TOTAL_1!Q26/TOTAL_2!C25*1000</f>
        <v>11.320156234096217</v>
      </c>
      <c r="K25" s="58">
        <f>TOTAL_1!R26/TOTAL_2!C25*1000</f>
        <v>-122.66124102609969</v>
      </c>
    </row>
    <row r="26" spans="2:18" ht="15" customHeight="1" x14ac:dyDescent="0.2">
      <c r="B26" s="60" t="str">
        <f>DFIE!B66</f>
        <v>Waadt</v>
      </c>
      <c r="C26" s="61">
        <v>764900.33333333302</v>
      </c>
      <c r="D26" s="42">
        <f>TOTAL_1!C27</f>
        <v>99.611867182051895</v>
      </c>
      <c r="E26" s="62">
        <f>TOTAL_1!G27/C26*1000</f>
        <v>-2.2094551752058336</v>
      </c>
      <c r="F26" s="63">
        <f>TOTAL_1!J27/TOTAL_2!$C26*1000</f>
        <v>-0.10643347433935842</v>
      </c>
      <c r="G26" s="65">
        <f>TOTAL_1!K27/TOTAL_2!$C26*1000</f>
        <v>-89.550776767866523</v>
      </c>
      <c r="H26" s="65">
        <f>TOTAL_1!L27/TOTAL_2!$C26*1000</f>
        <v>-4.895031204501155</v>
      </c>
      <c r="I26" s="66">
        <f t="shared" si="0"/>
        <v>-94.552241446707029</v>
      </c>
      <c r="J26" s="62">
        <f>TOTAL_1!Q27/TOTAL_2!C26*1000</f>
        <v>10.611534138870384</v>
      </c>
      <c r="K26" s="67">
        <f>TOTAL_1!R27/TOTAL_2!C26*1000</f>
        <v>-86.150162483042465</v>
      </c>
    </row>
    <row r="27" spans="2:18" ht="15" customHeight="1" x14ac:dyDescent="0.2">
      <c r="B27" s="50" t="str">
        <f>DFIE!B67</f>
        <v>Wallis</v>
      </c>
      <c r="C27" s="59">
        <v>337516.66666666698</v>
      </c>
      <c r="D27" s="21">
        <f>TOTAL_1!C28</f>
        <v>66.095679522394704</v>
      </c>
      <c r="E27" s="54">
        <f>TOTAL_1!G28/C27*1000</f>
        <v>-1939.0492163349941</v>
      </c>
      <c r="F27" s="55">
        <f>TOTAL_1!J28/TOTAL_2!$C27*1000</f>
        <v>-218.89658288479561</v>
      </c>
      <c r="G27" s="56">
        <f>TOTAL_1!K28/TOTAL_2!$C27*1000</f>
        <v>-16.002190509110648</v>
      </c>
      <c r="H27" s="56">
        <f>TOTAL_1!L28/TOTAL_2!$C27*1000</f>
        <v>0</v>
      </c>
      <c r="I27" s="57">
        <f t="shared" si="0"/>
        <v>-234.89877339390625</v>
      </c>
      <c r="J27" s="54">
        <f>TOTAL_1!Q28/TOTAL_2!C27*1000</f>
        <v>10.452295689101764</v>
      </c>
      <c r="K27" s="58">
        <f>TOTAL_1!R28/TOTAL_2!C27*1000</f>
        <v>-2163.4956940397983</v>
      </c>
    </row>
    <row r="28" spans="2:18" ht="15" customHeight="1" x14ac:dyDescent="0.2">
      <c r="B28" s="60" t="str">
        <f>DFIE!B68</f>
        <v>Neuenburg</v>
      </c>
      <c r="C28" s="61">
        <v>178204</v>
      </c>
      <c r="D28" s="42">
        <f>TOTAL_1!C29</f>
        <v>90.547248505320894</v>
      </c>
      <c r="E28" s="62">
        <f>TOTAL_1!G29/C28*1000</f>
        <v>-279.62363920001798</v>
      </c>
      <c r="F28" s="63">
        <f>TOTAL_1!J29/TOTAL_2!$C28*1000</f>
        <v>-132.19043343583758</v>
      </c>
      <c r="G28" s="65">
        <f>TOTAL_1!K29/TOTAL_2!$C28*1000</f>
        <v>-81.764286996924866</v>
      </c>
      <c r="H28" s="65">
        <f>TOTAL_1!L29/TOTAL_2!$C28*1000</f>
        <v>0</v>
      </c>
      <c r="I28" s="66">
        <f t="shared" si="0"/>
        <v>-213.95472043276243</v>
      </c>
      <c r="J28" s="62">
        <f>TOTAL_1!Q29/TOTAL_2!C28*1000</f>
        <v>-476.49393391843057</v>
      </c>
      <c r="K28" s="67">
        <f>TOTAL_1!R29/TOTAL_2!C28*1000</f>
        <v>-970.07229355121103</v>
      </c>
    </row>
    <row r="29" spans="2:18" ht="15" customHeight="1" x14ac:dyDescent="0.2">
      <c r="B29" s="50" t="str">
        <f>DFIE!B69</f>
        <v>Genf</v>
      </c>
      <c r="C29" s="59">
        <v>477338</v>
      </c>
      <c r="D29" s="21">
        <f>TOTAL_1!C30</f>
        <v>145.32811250149101</v>
      </c>
      <c r="E29" s="54">
        <f>TOTAL_1!G30/C29*1000</f>
        <v>833.83177748262233</v>
      </c>
      <c r="F29" s="55">
        <f>TOTAL_1!J30/TOTAL_2!$C29*1000</f>
        <v>0</v>
      </c>
      <c r="G29" s="56">
        <f>TOTAL_1!K30/TOTAL_2!$C29*1000</f>
        <v>-148.75570141074039</v>
      </c>
      <c r="H29" s="56">
        <f>TOTAL_1!L30/TOTAL_2!$C29*1000</f>
        <v>-68.051150337915701</v>
      </c>
      <c r="I29" s="57">
        <f t="shared" si="0"/>
        <v>-216.80685174865607</v>
      </c>
      <c r="J29" s="54">
        <f>TOTAL_1!Q30/TOTAL_2!C29*1000</f>
        <v>11.050484143311447</v>
      </c>
      <c r="K29" s="58">
        <f>TOTAL_1!R30/TOTAL_2!C29*1000</f>
        <v>628.07540987727771</v>
      </c>
    </row>
    <row r="30" spans="2:18" ht="15" customHeight="1" x14ac:dyDescent="0.2">
      <c r="B30" s="68" t="str">
        <f>DFIE!B70</f>
        <v>Jura</v>
      </c>
      <c r="C30" s="69">
        <v>72394.833333333299</v>
      </c>
      <c r="D30" s="70">
        <f>TOTAL_1!C31</f>
        <v>65.233572767903297</v>
      </c>
      <c r="E30" s="71">
        <f>TOTAL_1!G31/C30*1000</f>
        <v>-2014.2932621803134</v>
      </c>
      <c r="F30" s="72">
        <f>TOTAL_1!J31/TOTAL_2!$C30*1000</f>
        <v>-63.289627022186224</v>
      </c>
      <c r="G30" s="73">
        <f>TOTAL_1!K31/TOTAL_2!$C30*1000</f>
        <v>-8.6987699398437783</v>
      </c>
      <c r="H30" s="73">
        <f>TOTAL_1!L31/TOTAL_2!$C30*1000</f>
        <v>0</v>
      </c>
      <c r="I30" s="74">
        <f t="shared" si="0"/>
        <v>-71.988396962030009</v>
      </c>
      <c r="J30" s="71">
        <f>TOTAL_1!Q31/TOTAL_2!C30*1000</f>
        <v>-202.19208092658556</v>
      </c>
      <c r="K30" s="49">
        <f>TOTAL_1!R31/TOTAL_2!C30*1000</f>
        <v>-2288.4737400689291</v>
      </c>
    </row>
    <row r="31" spans="2:18" ht="40.5" customHeight="1" x14ac:dyDescent="0.2">
      <c r="B31" s="115" t="str">
        <f>DFIE!B83</f>
        <v>RI = Ressourcenindex; GLA = Geografisch-topografischer Lastenausgleich; 
SLA = Soziodemografischer Lastenausgleich; A-C = Bereiche Armut, Alter, Ausländerintegration; F = Kernstadtproblematik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2"/>
      <c r="M31" s="12"/>
      <c r="N31" s="12"/>
      <c r="O31" s="12"/>
      <c r="P31" s="12"/>
      <c r="Q31" s="12"/>
      <c r="R31" s="12"/>
    </row>
  </sheetData>
  <mergeCells count="8">
    <mergeCell ref="B1:K1"/>
    <mergeCell ref="B31:K31"/>
    <mergeCell ref="E3:E4"/>
    <mergeCell ref="C3:C4"/>
    <mergeCell ref="K3:K4"/>
    <mergeCell ref="J3:J4"/>
    <mergeCell ref="F3:I3"/>
    <mergeCell ref="D3:D4"/>
  </mergeCells>
  <conditionalFormatting sqref="C5:C30">
    <cfRule type="expression" dxfId="0" priority="1" stopIfTrue="1">
      <formula>ISBLANK(C5)</formula>
    </cfRule>
  </conditionalFormatting>
  <pageMargins left="0.78740157480314965" right="0.78740157480314965" top="0.98425196850393704" bottom="0.59055118110236227" header="0.51181102362204722" footer="0.51181102362204722"/>
  <pageSetup paperSize="9" scale="92" orientation="landscape"/>
  <headerFooter scaleWithDoc="0" alignWithMargins="0">
    <oddHeader>&amp;L&amp;F&amp;R&amp;A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J83"/>
  <sheetViews>
    <sheetView workbookViewId="0">
      <selection activeCell="I1" sqref="I1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</cols>
  <sheetData>
    <row r="1" spans="1:10" ht="12.75" customHeight="1" x14ac:dyDescent="0.2">
      <c r="B1" s="75" t="s">
        <v>73</v>
      </c>
      <c r="D1" s="78" t="s">
        <v>113</v>
      </c>
      <c r="G1" s="78" t="s">
        <v>70</v>
      </c>
    </row>
    <row r="2" spans="1:10" ht="12.75" customHeight="1" x14ac:dyDescent="0.2">
      <c r="B2" s="75" t="s">
        <v>129</v>
      </c>
      <c r="D2" s="80" t="s">
        <v>109</v>
      </c>
      <c r="E2" s="77"/>
      <c r="G2" s="87">
        <f>INTRO!D53</f>
        <v>2019</v>
      </c>
    </row>
    <row r="3" spans="1:10" ht="12.75" customHeight="1" x14ac:dyDescent="0.2">
      <c r="B3" s="75"/>
      <c r="D3" s="83" t="s">
        <v>110</v>
      </c>
      <c r="E3" s="77"/>
    </row>
    <row r="4" spans="1:10" ht="12" customHeight="1" x14ac:dyDescent="0.2">
      <c r="A4" s="4"/>
      <c r="B4" s="86" t="s">
        <v>125</v>
      </c>
      <c r="C4" s="77"/>
      <c r="D4" s="83" t="s">
        <v>111</v>
      </c>
      <c r="E4" s="77"/>
      <c r="F4" s="4"/>
      <c r="H4" s="4"/>
      <c r="J4" s="4"/>
    </row>
    <row r="5" spans="1:10" ht="12" customHeight="1" x14ac:dyDescent="0.2">
      <c r="B5" s="86" t="s">
        <v>126</v>
      </c>
      <c r="D5" s="85" t="s">
        <v>112</v>
      </c>
      <c r="E5" s="77"/>
    </row>
    <row r="6" spans="1:10" ht="12.75" customHeight="1" x14ac:dyDescent="0.2">
      <c r="B6" s="75"/>
      <c r="D6" s="82">
        <v>1</v>
      </c>
      <c r="E6" s="77"/>
    </row>
    <row r="7" spans="1:10" x14ac:dyDescent="0.2">
      <c r="B7" s="76"/>
      <c r="D7" s="79"/>
      <c r="E7" s="79"/>
    </row>
    <row r="8" spans="1:10" x14ac:dyDescent="0.2">
      <c r="B8" s="81">
        <f>ROW()</f>
        <v>8</v>
      </c>
      <c r="C8" s="77" t="s">
        <v>124</v>
      </c>
      <c r="D8" s="82">
        <v>1</v>
      </c>
      <c r="E8" s="82">
        <v>2</v>
      </c>
      <c r="F8" s="82">
        <v>3</v>
      </c>
      <c r="G8" s="82">
        <v>4</v>
      </c>
      <c r="H8" s="4" t="s">
        <v>124</v>
      </c>
    </row>
    <row r="9" spans="1:10" x14ac:dyDescent="0.2">
      <c r="A9" s="76"/>
      <c r="B9" s="84" t="str">
        <f>HLOOKUP($D$6,D8:G9,2,FALSE)</f>
        <v>Deutsch</v>
      </c>
      <c r="C9" s="77" t="s">
        <v>124</v>
      </c>
      <c r="D9" s="78" t="s">
        <v>109</v>
      </c>
      <c r="E9" s="78" t="s">
        <v>110</v>
      </c>
      <c r="F9" s="78" t="s">
        <v>111</v>
      </c>
      <c r="G9" s="78" t="s">
        <v>112</v>
      </c>
      <c r="H9" s="4" t="s">
        <v>124</v>
      </c>
    </row>
    <row r="10" spans="1:10" x14ac:dyDescent="0.2">
      <c r="B10" s="90" t="str">
        <f t="shared" ref="B10:B44" si="0">HLOOKUP($B$9,$D$9:$G$83,ROW()-$B$8,FALSE)</f>
        <v>Eidgenössisches Finanzdepartement EFD</v>
      </c>
      <c r="C10" s="77" t="s">
        <v>124</v>
      </c>
      <c r="D10" s="4" t="s">
        <v>116</v>
      </c>
      <c r="E10" s="4" t="s">
        <v>118</v>
      </c>
      <c r="F10" s="4" t="s">
        <v>157</v>
      </c>
      <c r="G10" s="4" t="s">
        <v>130</v>
      </c>
      <c r="H10" s="4" t="s">
        <v>124</v>
      </c>
    </row>
    <row r="11" spans="1:10" x14ac:dyDescent="0.2">
      <c r="B11" s="89" t="str">
        <f t="shared" si="0"/>
        <v>Eidgenössische Finanzverwaltung EFV</v>
      </c>
      <c r="C11" s="77" t="s">
        <v>124</v>
      </c>
      <c r="D11" s="4" t="s">
        <v>117</v>
      </c>
      <c r="E11" s="4" t="s">
        <v>119</v>
      </c>
      <c r="F11" s="4" t="s">
        <v>158</v>
      </c>
      <c r="G11" s="4" t="s">
        <v>148</v>
      </c>
      <c r="H11" s="4" t="s">
        <v>124</v>
      </c>
    </row>
    <row r="12" spans="1:10" x14ac:dyDescent="0.2">
      <c r="B12" s="89" t="str">
        <f t="shared" si="0"/>
        <v>Finanzausgleich zwischen Bund und Kantonen</v>
      </c>
      <c r="C12" s="77" t="s">
        <v>124</v>
      </c>
      <c r="D12" s="4" t="s">
        <v>114</v>
      </c>
      <c r="E12" s="4" t="s">
        <v>115</v>
      </c>
      <c r="F12" s="4" t="s">
        <v>159</v>
      </c>
      <c r="G12" s="4" t="s">
        <v>149</v>
      </c>
      <c r="H12" s="4" t="s">
        <v>124</v>
      </c>
    </row>
    <row r="13" spans="1:10" x14ac:dyDescent="0.2">
      <c r="B13" s="89" t="str">
        <f t="shared" si="0"/>
        <v>Zahlungen 2019</v>
      </c>
      <c r="C13" s="77" t="s">
        <v>124</v>
      </c>
      <c r="D13" s="4" t="str">
        <f>"Zahlungen " &amp; $G$2</f>
        <v>Zahlungen 2019</v>
      </c>
      <c r="E13" s="4" t="str">
        <f>"Paiements " &amp; $G$2</f>
        <v>Paiements 2019</v>
      </c>
      <c r="F13" s="4" t="str">
        <f>"Pagamenti " &amp; $G$2</f>
        <v>Pagamenti 2019</v>
      </c>
      <c r="G13" s="4" t="str">
        <f>"Payments "&amp;$G$2</f>
        <v>Payments 2019</v>
      </c>
      <c r="H13" s="4" t="s">
        <v>124</v>
      </c>
    </row>
    <row r="14" spans="1:10" x14ac:dyDescent="0.2">
      <c r="B14" s="89" t="str">
        <f t="shared" si="0"/>
        <v>Zahlungen in 1000 CHF</v>
      </c>
      <c r="C14" s="77" t="s">
        <v>124</v>
      </c>
      <c r="D14" s="4" t="s">
        <v>122</v>
      </c>
      <c r="E14" s="4" t="s">
        <v>154</v>
      </c>
      <c r="F14" s="4" t="s">
        <v>160</v>
      </c>
      <c r="G14" s="4" t="s">
        <v>150</v>
      </c>
      <c r="H14" s="4" t="s">
        <v>124</v>
      </c>
    </row>
    <row r="15" spans="1:10" x14ac:dyDescent="0.2">
      <c r="B15" s="88" t="str">
        <f t="shared" si="0"/>
        <v>Zahlungen in Franken pro Einwohner</v>
      </c>
      <c r="C15" s="77" t="s">
        <v>124</v>
      </c>
      <c r="D15" s="4" t="s">
        <v>123</v>
      </c>
      <c r="E15" s="4" t="s">
        <v>127</v>
      </c>
      <c r="F15" s="4" t="s">
        <v>161</v>
      </c>
      <c r="G15" s="4" t="s">
        <v>132</v>
      </c>
      <c r="H15" s="4" t="s">
        <v>124</v>
      </c>
    </row>
    <row r="16" spans="1:10" x14ac:dyDescent="0.2">
      <c r="B16" s="89" t="str">
        <f t="shared" si="0"/>
        <v>Referenzjahr</v>
      </c>
      <c r="C16" s="77"/>
      <c r="D16" s="4" t="s">
        <v>70</v>
      </c>
      <c r="E16" s="4" t="s">
        <v>228</v>
      </c>
      <c r="F16" s="4" t="s">
        <v>229</v>
      </c>
      <c r="G16" s="4" t="s">
        <v>230</v>
      </c>
    </row>
    <row r="17" spans="2:8" x14ac:dyDescent="0.2">
      <c r="B17" s="89" t="str">
        <f t="shared" si="0"/>
        <v>Berechnungsdatum</v>
      </c>
      <c r="C17" s="77"/>
      <c r="D17" s="4" t="s">
        <v>71</v>
      </c>
      <c r="E17" s="4" t="s">
        <v>231</v>
      </c>
      <c r="F17" s="4" t="s">
        <v>235</v>
      </c>
      <c r="G17" s="4" t="s">
        <v>232</v>
      </c>
    </row>
    <row r="18" spans="2:8" x14ac:dyDescent="0.2">
      <c r="B18" s="88" t="str">
        <f t="shared" si="0"/>
        <v>Berechnungs-ID</v>
      </c>
      <c r="C18" s="77"/>
      <c r="D18" s="4" t="s">
        <v>72</v>
      </c>
      <c r="E18" s="4" t="s">
        <v>233</v>
      </c>
      <c r="F18" s="4" t="s">
        <v>236</v>
      </c>
      <c r="G18" s="4" t="s">
        <v>234</v>
      </c>
    </row>
    <row r="19" spans="2:8" x14ac:dyDescent="0.2">
      <c r="B19" s="89" t="str">
        <f t="shared" si="0"/>
        <v>Zahlungen 2019</v>
      </c>
      <c r="C19" s="77" t="s">
        <v>124</v>
      </c>
      <c r="D19" s="4" t="str">
        <f>"Zahlungen "&amp;$G$2</f>
        <v>Zahlungen 2019</v>
      </c>
      <c r="E19" s="4" t="str">
        <f>"Paiements "&amp;$G$2</f>
        <v>Paiements 2019</v>
      </c>
      <c r="F19" s="4" t="str">
        <f>"Pagamenti "&amp;$G$2</f>
        <v>Pagamenti 2019</v>
      </c>
      <c r="G19" s="4" t="str">
        <f>"Payments "&amp;$G$2</f>
        <v>Payments 2019</v>
      </c>
      <c r="H19" s="4" t="s">
        <v>124</v>
      </c>
    </row>
    <row r="20" spans="2:8" x14ac:dyDescent="0.2">
      <c r="B20" s="89" t="str">
        <f t="shared" si="0"/>
        <v>in CHF 1'000; (+) Belastung Kanton; (-) Entlastung Kanton</v>
      </c>
      <c r="C20" s="77" t="s">
        <v>124</v>
      </c>
      <c r="D20" s="4" t="s">
        <v>0</v>
      </c>
      <c r="E20" s="4" t="s">
        <v>197</v>
      </c>
      <c r="F20" s="4" t="s">
        <v>205</v>
      </c>
      <c r="G20" s="4" t="s">
        <v>131</v>
      </c>
      <c r="H20" s="4" t="s">
        <v>124</v>
      </c>
    </row>
    <row r="21" spans="2:8" x14ac:dyDescent="0.2">
      <c r="B21" s="89" t="str">
        <f t="shared" si="0"/>
        <v>Ressourcenausgleich</v>
      </c>
      <c r="C21" s="77" t="s">
        <v>124</v>
      </c>
      <c r="D21" s="4" t="s">
        <v>64</v>
      </c>
      <c r="E21" s="4" t="s">
        <v>74</v>
      </c>
      <c r="F21" s="4" t="s">
        <v>162</v>
      </c>
      <c r="G21" s="4" t="s">
        <v>133</v>
      </c>
      <c r="H21" s="4" t="s">
        <v>124</v>
      </c>
    </row>
    <row r="22" spans="2:8" x14ac:dyDescent="0.2">
      <c r="B22" s="89" t="str">
        <f t="shared" si="0"/>
        <v>RI 2019</v>
      </c>
      <c r="C22" s="77" t="s">
        <v>124</v>
      </c>
      <c r="D22" s="4" t="str">
        <f>"RI " &amp; $G$2</f>
        <v>RI 2019</v>
      </c>
      <c r="E22" s="4" t="str">
        <f>"IR " &amp; $G$2</f>
        <v>IR 2019</v>
      </c>
      <c r="F22" s="4" t="str">
        <f>"IR " &amp; $G$2</f>
        <v>IR 2019</v>
      </c>
      <c r="G22" s="4" t="str">
        <f>"RI " &amp; $G$2</f>
        <v>RI 2019</v>
      </c>
      <c r="H22" s="4" t="s">
        <v>124</v>
      </c>
    </row>
    <row r="23" spans="2:8" x14ac:dyDescent="0.2">
      <c r="B23" s="89" t="str">
        <f t="shared" si="0"/>
        <v>horizontal</v>
      </c>
      <c r="C23" s="77" t="s">
        <v>124</v>
      </c>
      <c r="D23" s="4" t="s">
        <v>3</v>
      </c>
      <c r="E23" s="4" t="s">
        <v>155</v>
      </c>
      <c r="F23" s="4" t="s">
        <v>163</v>
      </c>
      <c r="G23" s="4" t="s">
        <v>134</v>
      </c>
      <c r="H23" s="4" t="s">
        <v>124</v>
      </c>
    </row>
    <row r="24" spans="2:8" x14ac:dyDescent="0.2">
      <c r="B24" s="89" t="str">
        <f t="shared" si="0"/>
        <v>vertikal</v>
      </c>
      <c r="C24" s="77" t="s">
        <v>124</v>
      </c>
      <c r="D24" s="4" t="s">
        <v>4</v>
      </c>
      <c r="E24" s="4" t="s">
        <v>156</v>
      </c>
      <c r="F24" s="4" t="s">
        <v>164</v>
      </c>
      <c r="G24" s="4" t="s">
        <v>137</v>
      </c>
      <c r="H24" s="4" t="s">
        <v>124</v>
      </c>
    </row>
    <row r="25" spans="2:8" x14ac:dyDescent="0.2">
      <c r="B25" s="89" t="str">
        <f t="shared" si="0"/>
        <v>Total</v>
      </c>
      <c r="C25" s="77" t="s">
        <v>124</v>
      </c>
      <c r="D25" s="4" t="s">
        <v>5</v>
      </c>
      <c r="E25" s="4" t="s">
        <v>5</v>
      </c>
      <c r="F25" s="4" t="s">
        <v>165</v>
      </c>
      <c r="G25" s="4" t="s">
        <v>5</v>
      </c>
      <c r="H25" s="4" t="s">
        <v>124</v>
      </c>
    </row>
    <row r="26" spans="2:8" x14ac:dyDescent="0.2">
      <c r="B26" s="89" t="str">
        <f t="shared" si="0"/>
        <v>Einzahlung</v>
      </c>
      <c r="C26" s="77" t="s">
        <v>124</v>
      </c>
      <c r="D26" s="4" t="s">
        <v>9</v>
      </c>
      <c r="E26" s="4" t="s">
        <v>207</v>
      </c>
      <c r="F26" s="4" t="s">
        <v>166</v>
      </c>
      <c r="G26" s="4" t="s">
        <v>135</v>
      </c>
      <c r="H26" s="4" t="s">
        <v>124</v>
      </c>
    </row>
    <row r="27" spans="2:8" x14ac:dyDescent="0.2">
      <c r="B27" s="89" t="str">
        <f t="shared" si="0"/>
        <v>Auszahlung</v>
      </c>
      <c r="C27" s="77" t="s">
        <v>124</v>
      </c>
      <c r="D27" s="4" t="s">
        <v>10</v>
      </c>
      <c r="E27" s="4" t="s">
        <v>208</v>
      </c>
      <c r="F27" s="4" t="s">
        <v>167</v>
      </c>
      <c r="G27" s="4" t="s">
        <v>136</v>
      </c>
      <c r="H27" s="4" t="s">
        <v>124</v>
      </c>
    </row>
    <row r="28" spans="2:8" x14ac:dyDescent="0.2">
      <c r="B28" s="89" t="str">
        <f t="shared" si="0"/>
        <v>Auszahlung</v>
      </c>
      <c r="C28" s="77" t="s">
        <v>124</v>
      </c>
      <c r="D28" s="4" t="s">
        <v>10</v>
      </c>
      <c r="E28" s="4" t="s">
        <v>208</v>
      </c>
      <c r="F28" s="4" t="s">
        <v>167</v>
      </c>
      <c r="G28" s="4" t="s">
        <v>136</v>
      </c>
      <c r="H28" s="4" t="s">
        <v>124</v>
      </c>
    </row>
    <row r="29" spans="2:8" x14ac:dyDescent="0.2">
      <c r="B29" s="89" t="str">
        <f t="shared" si="0"/>
        <v>Einz. - Ausz.</v>
      </c>
      <c r="C29" s="77" t="s">
        <v>124</v>
      </c>
      <c r="D29" s="4" t="s">
        <v>200</v>
      </c>
      <c r="E29" s="4" t="s">
        <v>209</v>
      </c>
      <c r="F29" s="4" t="s">
        <v>215</v>
      </c>
      <c r="G29" s="4" t="s">
        <v>222</v>
      </c>
      <c r="H29" s="4" t="s">
        <v>124</v>
      </c>
    </row>
    <row r="30" spans="2:8" x14ac:dyDescent="0.2">
      <c r="B30" s="89" t="str">
        <f t="shared" si="0"/>
        <v>Auszahlung</v>
      </c>
      <c r="C30" s="77" t="s">
        <v>124</v>
      </c>
      <c r="D30" s="4" t="s">
        <v>10</v>
      </c>
      <c r="E30" s="4" t="s">
        <v>210</v>
      </c>
      <c r="F30" s="4" t="s">
        <v>167</v>
      </c>
      <c r="G30" s="4" t="s">
        <v>136</v>
      </c>
      <c r="H30" s="4" t="s">
        <v>124</v>
      </c>
    </row>
    <row r="31" spans="2:8" ht="11.25" customHeight="1" x14ac:dyDescent="0.2">
      <c r="B31" s="89" t="str">
        <f t="shared" si="0"/>
        <v>Index
SSE
nach
RA</v>
      </c>
      <c r="C31" s="77" t="s">
        <v>124</v>
      </c>
      <c r="D31" s="4" t="s">
        <v>199</v>
      </c>
      <c r="E31" s="4" t="s">
        <v>211</v>
      </c>
      <c r="F31" s="4" t="s">
        <v>216</v>
      </c>
      <c r="G31" s="4" t="s">
        <v>223</v>
      </c>
      <c r="H31" s="4" t="s">
        <v>124</v>
      </c>
    </row>
    <row r="32" spans="2:8" x14ac:dyDescent="0.2">
      <c r="B32" s="89" t="str">
        <f t="shared" si="0"/>
        <v>Lastenausgleich</v>
      </c>
      <c r="C32" s="77" t="s">
        <v>124</v>
      </c>
      <c r="D32" s="4" t="s">
        <v>65</v>
      </c>
      <c r="E32" s="4" t="s">
        <v>75</v>
      </c>
      <c r="F32" s="4" t="s">
        <v>168</v>
      </c>
      <c r="G32" s="4" t="s">
        <v>143</v>
      </c>
      <c r="H32" s="4" t="s">
        <v>124</v>
      </c>
    </row>
    <row r="33" spans="2:8" x14ac:dyDescent="0.2">
      <c r="B33" s="89" t="str">
        <f t="shared" si="0"/>
        <v>GLA</v>
      </c>
      <c r="C33" s="77" t="s">
        <v>124</v>
      </c>
      <c r="D33" s="4" t="s">
        <v>6</v>
      </c>
      <c r="E33" s="4" t="s">
        <v>76</v>
      </c>
      <c r="F33" s="4" t="s">
        <v>169</v>
      </c>
      <c r="G33" s="4" t="s">
        <v>138</v>
      </c>
      <c r="H33" s="4" t="s">
        <v>124</v>
      </c>
    </row>
    <row r="34" spans="2:8" x14ac:dyDescent="0.2">
      <c r="B34" s="89" t="str">
        <f t="shared" si="0"/>
        <v>SLA A-C</v>
      </c>
      <c r="C34" s="77" t="s">
        <v>124</v>
      </c>
      <c r="D34" s="4" t="s">
        <v>7</v>
      </c>
      <c r="E34" s="4" t="s">
        <v>77</v>
      </c>
      <c r="F34" s="4" t="s">
        <v>170</v>
      </c>
      <c r="G34" s="4" t="s">
        <v>139</v>
      </c>
      <c r="H34" s="4" t="s">
        <v>124</v>
      </c>
    </row>
    <row r="35" spans="2:8" x14ac:dyDescent="0.2">
      <c r="B35" s="89" t="str">
        <f t="shared" si="0"/>
        <v>SLA F</v>
      </c>
      <c r="C35" s="77" t="s">
        <v>124</v>
      </c>
      <c r="D35" s="4" t="s">
        <v>8</v>
      </c>
      <c r="E35" s="4" t="s">
        <v>78</v>
      </c>
      <c r="F35" s="4" t="s">
        <v>171</v>
      </c>
      <c r="G35" s="4" t="s">
        <v>140</v>
      </c>
      <c r="H35" s="4" t="s">
        <v>124</v>
      </c>
    </row>
    <row r="36" spans="2:8" x14ac:dyDescent="0.2">
      <c r="B36" s="89" t="str">
        <f t="shared" si="0"/>
        <v>Total</v>
      </c>
      <c r="C36" s="77" t="s">
        <v>124</v>
      </c>
      <c r="D36" s="4" t="s">
        <v>5</v>
      </c>
      <c r="E36" s="4" t="s">
        <v>5</v>
      </c>
      <c r="F36" s="4" t="s">
        <v>165</v>
      </c>
      <c r="G36" s="4" t="s">
        <v>5</v>
      </c>
      <c r="H36" s="4" t="s">
        <v>124</v>
      </c>
    </row>
    <row r="37" spans="2:8" x14ac:dyDescent="0.2">
      <c r="B37" s="89" t="str">
        <f t="shared" si="0"/>
        <v>Total
RA + LA</v>
      </c>
      <c r="C37" s="77" t="s">
        <v>124</v>
      </c>
      <c r="D37" s="4" t="s">
        <v>1</v>
      </c>
      <c r="E37" s="4" t="s">
        <v>79</v>
      </c>
      <c r="F37" s="4" t="s">
        <v>172</v>
      </c>
      <c r="G37" s="4" t="s">
        <v>141</v>
      </c>
      <c r="H37" s="4" t="s">
        <v>124</v>
      </c>
    </row>
    <row r="38" spans="2:8" x14ac:dyDescent="0.2">
      <c r="B38" s="89" t="str">
        <f t="shared" si="0"/>
        <v>Härteausgleich</v>
      </c>
      <c r="C38" s="77" t="s">
        <v>124</v>
      </c>
      <c r="D38" s="4" t="s">
        <v>2</v>
      </c>
      <c r="E38" s="4" t="s">
        <v>80</v>
      </c>
      <c r="F38" s="4" t="s">
        <v>204</v>
      </c>
      <c r="G38" s="4" t="s">
        <v>142</v>
      </c>
      <c r="H38" s="4" t="s">
        <v>124</v>
      </c>
    </row>
    <row r="39" spans="2:8" x14ac:dyDescent="0.2">
      <c r="B39" s="89" t="str">
        <f t="shared" si="0"/>
        <v>Einzahlung</v>
      </c>
      <c r="C39" s="77" t="s">
        <v>124</v>
      </c>
      <c r="D39" s="4" t="s">
        <v>9</v>
      </c>
      <c r="E39" s="4" t="s">
        <v>207</v>
      </c>
      <c r="F39" s="4" t="s">
        <v>166</v>
      </c>
      <c r="G39" s="4" t="s">
        <v>135</v>
      </c>
      <c r="H39" s="4" t="s">
        <v>124</v>
      </c>
    </row>
    <row r="40" spans="2:8" x14ac:dyDescent="0.2">
      <c r="B40" s="89" t="str">
        <f t="shared" si="0"/>
        <v>Auszahlung</v>
      </c>
      <c r="C40" s="77" t="s">
        <v>124</v>
      </c>
      <c r="D40" s="4" t="s">
        <v>10</v>
      </c>
      <c r="E40" s="4" t="s">
        <v>208</v>
      </c>
      <c r="F40" s="4" t="s">
        <v>167</v>
      </c>
      <c r="G40" s="4" t="s">
        <v>136</v>
      </c>
      <c r="H40" s="4" t="s">
        <v>124</v>
      </c>
    </row>
    <row r="41" spans="2:8" x14ac:dyDescent="0.2">
      <c r="B41" s="89" t="str">
        <f t="shared" si="0"/>
        <v>Total</v>
      </c>
      <c r="C41" s="77" t="s">
        <v>124</v>
      </c>
      <c r="D41" s="4" t="s">
        <v>5</v>
      </c>
      <c r="E41" s="4" t="s">
        <v>5</v>
      </c>
      <c r="F41" s="4" t="s">
        <v>165</v>
      </c>
      <c r="G41" s="4" t="s">
        <v>5</v>
      </c>
      <c r="H41" s="4" t="s">
        <v>124</v>
      </c>
    </row>
    <row r="42" spans="2:8" x14ac:dyDescent="0.2">
      <c r="B42" s="89" t="str">
        <f t="shared" si="0"/>
        <v>Total</v>
      </c>
      <c r="C42" s="77" t="s">
        <v>124</v>
      </c>
      <c r="D42" s="4" t="s">
        <v>5</v>
      </c>
      <c r="E42" s="4" t="s">
        <v>5</v>
      </c>
      <c r="F42" s="4" t="s">
        <v>165</v>
      </c>
      <c r="G42" s="4" t="s">
        <v>5</v>
      </c>
      <c r="H42" s="4" t="s">
        <v>124</v>
      </c>
    </row>
    <row r="43" spans="2:8" x14ac:dyDescent="0.2">
      <c r="B43" s="89" t="str">
        <f t="shared" si="0"/>
        <v>Schweiz</v>
      </c>
      <c r="C43" s="77" t="s">
        <v>124</v>
      </c>
      <c r="D43" s="4" t="s">
        <v>69</v>
      </c>
      <c r="E43" s="4" t="s">
        <v>81</v>
      </c>
      <c r="F43" s="4" t="s">
        <v>173</v>
      </c>
      <c r="G43" s="4" t="s">
        <v>144</v>
      </c>
      <c r="H43" s="4" t="s">
        <v>124</v>
      </c>
    </row>
    <row r="44" spans="2:8" x14ac:dyDescent="0.2">
      <c r="B44" s="88" t="str">
        <f t="shared" si="0"/>
        <v>RI = Ressourcenindex; RA = Ressourcenausgleich; SSE = Standardisierter Steuerertrag; LA = Lastenausgleich; GLA = Geografisch-topografischer Lastenausgleich; 
SLA = Soziodemografischer Lastenausgleich; A-C = Bereiche Armut, Alter, Ausländerintegration; F = Kernstadtproblematik</v>
      </c>
      <c r="C44" s="77" t="s">
        <v>124</v>
      </c>
      <c r="D44" s="4" t="s">
        <v>66</v>
      </c>
      <c r="E44" s="4" t="s">
        <v>128</v>
      </c>
      <c r="F44" s="4" t="s">
        <v>174</v>
      </c>
      <c r="G44" s="4" t="s">
        <v>151</v>
      </c>
      <c r="H44" s="4" t="s">
        <v>124</v>
      </c>
    </row>
    <row r="45" spans="2:8" x14ac:dyDescent="0.2">
      <c r="B45" s="89" t="str">
        <f t="shared" ref="B45:B76" si="1">HLOOKUP($B$9,$D$9:$G$83,ROW()-$B$8,FALSE)</f>
        <v>Zürich</v>
      </c>
      <c r="C45" s="77" t="s">
        <v>124</v>
      </c>
      <c r="D45" s="4" t="s">
        <v>38</v>
      </c>
      <c r="E45" s="4" t="s">
        <v>82</v>
      </c>
      <c r="F45" s="4" t="s">
        <v>175</v>
      </c>
      <c r="G45" s="4" t="s">
        <v>82</v>
      </c>
      <c r="H45" s="4" t="s">
        <v>124</v>
      </c>
    </row>
    <row r="46" spans="2:8" x14ac:dyDescent="0.2">
      <c r="B46" s="89" t="str">
        <f t="shared" si="1"/>
        <v>Bern</v>
      </c>
      <c r="C46" s="77" t="s">
        <v>124</v>
      </c>
      <c r="D46" s="4" t="s">
        <v>39</v>
      </c>
      <c r="E46" s="4" t="s">
        <v>83</v>
      </c>
      <c r="F46" s="4" t="s">
        <v>176</v>
      </c>
      <c r="G46" s="4" t="s">
        <v>39</v>
      </c>
      <c r="H46" s="4" t="s">
        <v>124</v>
      </c>
    </row>
    <row r="47" spans="2:8" x14ac:dyDescent="0.2">
      <c r="B47" s="89" t="str">
        <f t="shared" si="1"/>
        <v>Luzern</v>
      </c>
      <c r="C47" s="77" t="s">
        <v>124</v>
      </c>
      <c r="D47" s="4" t="s">
        <v>40</v>
      </c>
      <c r="E47" s="4" t="s">
        <v>84</v>
      </c>
      <c r="F47" s="4" t="s">
        <v>177</v>
      </c>
      <c r="G47" s="4" t="s">
        <v>40</v>
      </c>
      <c r="H47" s="4" t="s">
        <v>124</v>
      </c>
    </row>
    <row r="48" spans="2:8" x14ac:dyDescent="0.2">
      <c r="B48" s="89" t="str">
        <f t="shared" si="1"/>
        <v>Uri</v>
      </c>
      <c r="C48" s="77" t="s">
        <v>124</v>
      </c>
      <c r="D48" s="4" t="s">
        <v>41</v>
      </c>
      <c r="E48" s="4" t="s">
        <v>41</v>
      </c>
      <c r="F48" s="4" t="s">
        <v>41</v>
      </c>
      <c r="G48" s="4" t="s">
        <v>41</v>
      </c>
      <c r="H48" s="4" t="s">
        <v>124</v>
      </c>
    </row>
    <row r="49" spans="2:8" x14ac:dyDescent="0.2">
      <c r="B49" s="89" t="str">
        <f t="shared" si="1"/>
        <v>Schwyz</v>
      </c>
      <c r="C49" s="77" t="s">
        <v>124</v>
      </c>
      <c r="D49" s="4" t="s">
        <v>42</v>
      </c>
      <c r="E49" s="4" t="s">
        <v>42</v>
      </c>
      <c r="F49" s="4" t="s">
        <v>178</v>
      </c>
      <c r="G49" s="4" t="s">
        <v>42</v>
      </c>
      <c r="H49" s="4" t="s">
        <v>124</v>
      </c>
    </row>
    <row r="50" spans="2:8" x14ac:dyDescent="0.2">
      <c r="B50" s="89" t="str">
        <f t="shared" si="1"/>
        <v>Obwalden</v>
      </c>
      <c r="C50" s="77" t="s">
        <v>124</v>
      </c>
      <c r="D50" s="4" t="s">
        <v>43</v>
      </c>
      <c r="E50" s="4" t="s">
        <v>85</v>
      </c>
      <c r="F50" s="4" t="s">
        <v>179</v>
      </c>
      <c r="G50" s="4" t="s">
        <v>43</v>
      </c>
      <c r="H50" s="4" t="s">
        <v>124</v>
      </c>
    </row>
    <row r="51" spans="2:8" x14ac:dyDescent="0.2">
      <c r="B51" s="89" t="str">
        <f t="shared" si="1"/>
        <v>Nidwalden</v>
      </c>
      <c r="C51" s="77" t="s">
        <v>124</v>
      </c>
      <c r="D51" s="4" t="s">
        <v>44</v>
      </c>
      <c r="E51" s="4" t="s">
        <v>86</v>
      </c>
      <c r="F51" s="4" t="s">
        <v>180</v>
      </c>
      <c r="G51" s="4" t="s">
        <v>44</v>
      </c>
      <c r="H51" s="4" t="s">
        <v>124</v>
      </c>
    </row>
    <row r="52" spans="2:8" x14ac:dyDescent="0.2">
      <c r="B52" s="89" t="str">
        <f t="shared" si="1"/>
        <v>Glarus</v>
      </c>
      <c r="C52" s="77" t="s">
        <v>124</v>
      </c>
      <c r="D52" s="4" t="s">
        <v>45</v>
      </c>
      <c r="E52" s="4" t="s">
        <v>87</v>
      </c>
      <c r="F52" s="4" t="s">
        <v>181</v>
      </c>
      <c r="G52" s="4" t="s">
        <v>45</v>
      </c>
      <c r="H52" s="4" t="s">
        <v>124</v>
      </c>
    </row>
    <row r="53" spans="2:8" x14ac:dyDescent="0.2">
      <c r="B53" s="89" t="str">
        <f t="shared" si="1"/>
        <v>Zug</v>
      </c>
      <c r="C53" s="77" t="s">
        <v>124</v>
      </c>
      <c r="D53" s="4" t="s">
        <v>46</v>
      </c>
      <c r="E53" s="4" t="s">
        <v>88</v>
      </c>
      <c r="F53" s="4" t="s">
        <v>182</v>
      </c>
      <c r="G53" s="4" t="s">
        <v>46</v>
      </c>
      <c r="H53" s="4" t="s">
        <v>124</v>
      </c>
    </row>
    <row r="54" spans="2:8" x14ac:dyDescent="0.2">
      <c r="B54" s="89" t="str">
        <f t="shared" si="1"/>
        <v>Freiburg</v>
      </c>
      <c r="C54" s="77" t="s">
        <v>124</v>
      </c>
      <c r="D54" s="4" t="s">
        <v>47</v>
      </c>
      <c r="E54" s="4" t="s">
        <v>89</v>
      </c>
      <c r="F54" s="4" t="s">
        <v>183</v>
      </c>
      <c r="G54" s="4" t="s">
        <v>89</v>
      </c>
      <c r="H54" s="4" t="s">
        <v>124</v>
      </c>
    </row>
    <row r="55" spans="2:8" x14ac:dyDescent="0.2">
      <c r="B55" s="89" t="str">
        <f t="shared" si="1"/>
        <v>Solothurn</v>
      </c>
      <c r="C55" s="77" t="s">
        <v>124</v>
      </c>
      <c r="D55" s="4" t="s">
        <v>48</v>
      </c>
      <c r="E55" s="4" t="s">
        <v>90</v>
      </c>
      <c r="F55" s="4" t="s">
        <v>184</v>
      </c>
      <c r="G55" s="4" t="s">
        <v>48</v>
      </c>
      <c r="H55" s="4" t="s">
        <v>124</v>
      </c>
    </row>
    <row r="56" spans="2:8" x14ac:dyDescent="0.2">
      <c r="B56" s="89" t="str">
        <f t="shared" si="1"/>
        <v>Basel-Stadt</v>
      </c>
      <c r="C56" s="77" t="s">
        <v>124</v>
      </c>
      <c r="D56" s="4" t="s">
        <v>49</v>
      </c>
      <c r="E56" s="4" t="s">
        <v>91</v>
      </c>
      <c r="F56" s="4" t="s">
        <v>185</v>
      </c>
      <c r="G56" s="4" t="s">
        <v>152</v>
      </c>
      <c r="H56" s="4" t="s">
        <v>124</v>
      </c>
    </row>
    <row r="57" spans="2:8" x14ac:dyDescent="0.2">
      <c r="B57" s="89" t="str">
        <f t="shared" si="1"/>
        <v>Basel-Landschaft</v>
      </c>
      <c r="C57" s="77" t="s">
        <v>124</v>
      </c>
      <c r="D57" s="4" t="s">
        <v>50</v>
      </c>
      <c r="E57" s="4" t="s">
        <v>92</v>
      </c>
      <c r="F57" s="4" t="s">
        <v>186</v>
      </c>
      <c r="G57" s="4" t="s">
        <v>153</v>
      </c>
      <c r="H57" s="4" t="s">
        <v>124</v>
      </c>
    </row>
    <row r="58" spans="2:8" x14ac:dyDescent="0.2">
      <c r="B58" s="89" t="str">
        <f t="shared" si="1"/>
        <v>Schaffhausen</v>
      </c>
      <c r="C58" s="77" t="s">
        <v>124</v>
      </c>
      <c r="D58" s="4" t="s">
        <v>51</v>
      </c>
      <c r="E58" s="4" t="s">
        <v>93</v>
      </c>
      <c r="F58" s="4" t="s">
        <v>187</v>
      </c>
      <c r="G58" s="4" t="s">
        <v>51</v>
      </c>
      <c r="H58" s="4" t="s">
        <v>124</v>
      </c>
    </row>
    <row r="59" spans="2:8" x14ac:dyDescent="0.2">
      <c r="B59" s="89" t="str">
        <f t="shared" si="1"/>
        <v>Appenzell A.Rh.</v>
      </c>
      <c r="C59" s="77" t="s">
        <v>124</v>
      </c>
      <c r="D59" s="4" t="s">
        <v>52</v>
      </c>
      <c r="E59" s="4" t="s">
        <v>94</v>
      </c>
      <c r="F59" s="4" t="s">
        <v>188</v>
      </c>
      <c r="G59" s="4" t="s">
        <v>52</v>
      </c>
      <c r="H59" s="4" t="s">
        <v>124</v>
      </c>
    </row>
    <row r="60" spans="2:8" x14ac:dyDescent="0.2">
      <c r="B60" s="89" t="str">
        <f t="shared" si="1"/>
        <v>Appenzell I.Rh.</v>
      </c>
      <c r="C60" s="77" t="s">
        <v>124</v>
      </c>
      <c r="D60" s="4" t="s">
        <v>53</v>
      </c>
      <c r="E60" s="4" t="s">
        <v>95</v>
      </c>
      <c r="F60" s="4" t="s">
        <v>189</v>
      </c>
      <c r="G60" s="4" t="s">
        <v>53</v>
      </c>
      <c r="H60" s="4" t="s">
        <v>124</v>
      </c>
    </row>
    <row r="61" spans="2:8" x14ac:dyDescent="0.2">
      <c r="B61" s="89" t="str">
        <f t="shared" si="1"/>
        <v>St. Gallen</v>
      </c>
      <c r="C61" s="77" t="s">
        <v>124</v>
      </c>
      <c r="D61" s="4" t="s">
        <v>54</v>
      </c>
      <c r="E61" s="4" t="s">
        <v>96</v>
      </c>
      <c r="F61" s="4" t="s">
        <v>190</v>
      </c>
      <c r="G61" s="4" t="s">
        <v>54</v>
      </c>
      <c r="H61" s="4" t="s">
        <v>124</v>
      </c>
    </row>
    <row r="62" spans="2:8" x14ac:dyDescent="0.2">
      <c r="B62" s="89" t="str">
        <f t="shared" si="1"/>
        <v>Graubünden</v>
      </c>
      <c r="C62" s="77" t="s">
        <v>124</v>
      </c>
      <c r="D62" s="4" t="s">
        <v>55</v>
      </c>
      <c r="E62" s="4" t="s">
        <v>97</v>
      </c>
      <c r="F62" s="4" t="s">
        <v>191</v>
      </c>
      <c r="G62" s="4" t="s">
        <v>55</v>
      </c>
      <c r="H62" s="4" t="s">
        <v>124</v>
      </c>
    </row>
    <row r="63" spans="2:8" x14ac:dyDescent="0.2">
      <c r="B63" s="89" t="str">
        <f t="shared" si="1"/>
        <v>Aargau</v>
      </c>
      <c r="C63" s="77" t="s">
        <v>124</v>
      </c>
      <c r="D63" s="4" t="s">
        <v>56</v>
      </c>
      <c r="E63" s="4" t="s">
        <v>98</v>
      </c>
      <c r="F63" s="4" t="s">
        <v>192</v>
      </c>
      <c r="G63" s="4" t="s">
        <v>56</v>
      </c>
      <c r="H63" s="4" t="s">
        <v>124</v>
      </c>
    </row>
    <row r="64" spans="2:8" x14ac:dyDescent="0.2">
      <c r="B64" s="89" t="str">
        <f t="shared" si="1"/>
        <v>Thurgau</v>
      </c>
      <c r="C64" s="77" t="s">
        <v>124</v>
      </c>
      <c r="D64" s="4" t="s">
        <v>57</v>
      </c>
      <c r="E64" s="4" t="s">
        <v>99</v>
      </c>
      <c r="F64" s="4" t="s">
        <v>193</v>
      </c>
      <c r="G64" s="4" t="s">
        <v>57</v>
      </c>
      <c r="H64" s="4" t="s">
        <v>124</v>
      </c>
    </row>
    <row r="65" spans="2:8" x14ac:dyDescent="0.2">
      <c r="B65" s="89" t="str">
        <f t="shared" si="1"/>
        <v>Tessin</v>
      </c>
      <c r="C65" s="77" t="s">
        <v>124</v>
      </c>
      <c r="D65" s="4" t="s">
        <v>58</v>
      </c>
      <c r="E65" s="4" t="s">
        <v>58</v>
      </c>
      <c r="F65" s="4" t="s">
        <v>145</v>
      </c>
      <c r="G65" s="4" t="s">
        <v>145</v>
      </c>
      <c r="H65" s="4" t="s">
        <v>124</v>
      </c>
    </row>
    <row r="66" spans="2:8" x14ac:dyDescent="0.2">
      <c r="B66" s="89" t="str">
        <f t="shared" si="1"/>
        <v>Waadt</v>
      </c>
      <c r="C66" s="77" t="s">
        <v>124</v>
      </c>
      <c r="D66" s="4" t="s">
        <v>59</v>
      </c>
      <c r="E66" s="4" t="s">
        <v>100</v>
      </c>
      <c r="F66" s="4" t="s">
        <v>100</v>
      </c>
      <c r="G66" s="4" t="s">
        <v>100</v>
      </c>
      <c r="H66" s="4" t="s">
        <v>124</v>
      </c>
    </row>
    <row r="67" spans="2:8" x14ac:dyDescent="0.2">
      <c r="B67" s="89" t="str">
        <f t="shared" si="1"/>
        <v>Wallis</v>
      </c>
      <c r="C67" s="77" t="s">
        <v>124</v>
      </c>
      <c r="D67" s="4" t="s">
        <v>60</v>
      </c>
      <c r="E67" s="4" t="s">
        <v>101</v>
      </c>
      <c r="F67" s="4" t="s">
        <v>194</v>
      </c>
      <c r="G67" s="4" t="s">
        <v>101</v>
      </c>
      <c r="H67" s="4" t="s">
        <v>124</v>
      </c>
    </row>
    <row r="68" spans="2:8" x14ac:dyDescent="0.2">
      <c r="B68" s="89" t="str">
        <f t="shared" si="1"/>
        <v>Neuenburg</v>
      </c>
      <c r="C68" s="77" t="s">
        <v>124</v>
      </c>
      <c r="D68" s="4" t="s">
        <v>61</v>
      </c>
      <c r="E68" s="4" t="s">
        <v>102</v>
      </c>
      <c r="F68" s="4" t="s">
        <v>102</v>
      </c>
      <c r="G68" s="4" t="s">
        <v>102</v>
      </c>
      <c r="H68" s="4" t="s">
        <v>124</v>
      </c>
    </row>
    <row r="69" spans="2:8" x14ac:dyDescent="0.2">
      <c r="B69" s="89" t="str">
        <f t="shared" si="1"/>
        <v>Genf</v>
      </c>
      <c r="C69" s="77" t="s">
        <v>124</v>
      </c>
      <c r="D69" s="4" t="s">
        <v>62</v>
      </c>
      <c r="E69" s="4" t="s">
        <v>103</v>
      </c>
      <c r="F69" s="4" t="s">
        <v>195</v>
      </c>
      <c r="G69" s="4" t="s">
        <v>146</v>
      </c>
      <c r="H69" s="4" t="s">
        <v>124</v>
      </c>
    </row>
    <row r="70" spans="2:8" x14ac:dyDescent="0.2">
      <c r="B70" s="89" t="str">
        <f t="shared" si="1"/>
        <v>Jura</v>
      </c>
      <c r="C70" s="77" t="s">
        <v>124</v>
      </c>
      <c r="D70" s="4" t="s">
        <v>63</v>
      </c>
      <c r="E70" s="4" t="s">
        <v>63</v>
      </c>
      <c r="F70" s="4" t="s">
        <v>196</v>
      </c>
      <c r="G70" s="4" t="s">
        <v>63</v>
      </c>
      <c r="H70" s="4" t="s">
        <v>124</v>
      </c>
    </row>
    <row r="71" spans="2:8" x14ac:dyDescent="0.2">
      <c r="B71" s="89" t="str">
        <f t="shared" si="1"/>
        <v>Zahlungen pro Einwohner 2019</v>
      </c>
      <c r="C71" s="77" t="s">
        <v>124</v>
      </c>
      <c r="D71" s="4" t="str">
        <f>"Zahlungen pro Einwohner " &amp;$G$2</f>
        <v>Zahlungen pro Einwohner 2019</v>
      </c>
      <c r="E71" s="4" t="str">
        <f>"Paiements par habitant " &amp;$G$2</f>
        <v>Paiements par habitant 2019</v>
      </c>
      <c r="F71" s="4" t="str">
        <f>"Pagamenti per abitante " &amp;$G$2</f>
        <v>Pagamenti per abitante 2019</v>
      </c>
      <c r="G71" s="4" t="str">
        <f>"Payments per capita " &amp;$G$2</f>
        <v>Payments per capita 2019</v>
      </c>
      <c r="H71" s="4" t="s">
        <v>124</v>
      </c>
    </row>
    <row r="72" spans="2:8" x14ac:dyDescent="0.2">
      <c r="B72" s="89" t="str">
        <f t="shared" si="1"/>
        <v>in CHF; (+) Belastung Kanton; (-) Entlastung Kanton</v>
      </c>
      <c r="C72" s="77" t="s">
        <v>124</v>
      </c>
      <c r="D72" s="4" t="s">
        <v>37</v>
      </c>
      <c r="E72" s="4" t="s">
        <v>198</v>
      </c>
      <c r="F72" s="4" t="s">
        <v>206</v>
      </c>
      <c r="G72" s="4" t="s">
        <v>147</v>
      </c>
      <c r="H72" s="4" t="s">
        <v>124</v>
      </c>
    </row>
    <row r="73" spans="2:8" x14ac:dyDescent="0.2">
      <c r="B73" s="89" t="str">
        <f t="shared" si="1"/>
        <v>Massgebende
Wohnbevölkerung</v>
      </c>
      <c r="C73" s="77" t="s">
        <v>124</v>
      </c>
      <c r="D73" s="4" t="s">
        <v>201</v>
      </c>
      <c r="E73" s="4" t="s">
        <v>212</v>
      </c>
      <c r="F73" s="4" t="s">
        <v>217</v>
      </c>
      <c r="G73" s="4" t="s">
        <v>224</v>
      </c>
      <c r="H73" s="4" t="s">
        <v>124</v>
      </c>
    </row>
    <row r="74" spans="2:8" x14ac:dyDescent="0.2">
      <c r="B74" s="89" t="str">
        <f t="shared" si="1"/>
        <v>RI</v>
      </c>
      <c r="C74" s="77" t="s">
        <v>124</v>
      </c>
      <c r="D74" s="4" t="s">
        <v>67</v>
      </c>
      <c r="E74" s="4" t="s">
        <v>104</v>
      </c>
      <c r="F74" s="4" t="s">
        <v>104</v>
      </c>
      <c r="G74" s="4" t="s">
        <v>67</v>
      </c>
      <c r="H74" s="4" t="s">
        <v>124</v>
      </c>
    </row>
    <row r="75" spans="2:8" x14ac:dyDescent="0.2">
      <c r="B75" s="89" t="str">
        <f t="shared" si="1"/>
        <v>Ressourcen-
ausgleich</v>
      </c>
      <c r="C75" s="77" t="s">
        <v>124</v>
      </c>
      <c r="D75" s="4" t="s">
        <v>202</v>
      </c>
      <c r="E75" s="4" t="s">
        <v>213</v>
      </c>
      <c r="F75" s="4" t="s">
        <v>218</v>
      </c>
      <c r="G75" s="4" t="s">
        <v>225</v>
      </c>
      <c r="H75" s="4" t="s">
        <v>124</v>
      </c>
    </row>
    <row r="76" spans="2:8" x14ac:dyDescent="0.2">
      <c r="B76" s="89" t="str">
        <f t="shared" si="1"/>
        <v>Lastenausgleich</v>
      </c>
      <c r="C76" s="77" t="s">
        <v>124</v>
      </c>
      <c r="D76" s="4" t="s">
        <v>65</v>
      </c>
      <c r="E76" s="4" t="s">
        <v>75</v>
      </c>
      <c r="F76" s="4" t="s">
        <v>168</v>
      </c>
      <c r="G76" s="4" t="s">
        <v>143</v>
      </c>
      <c r="H76" s="4" t="s">
        <v>124</v>
      </c>
    </row>
    <row r="77" spans="2:8" x14ac:dyDescent="0.2">
      <c r="B77" s="89" t="str">
        <f t="shared" ref="B77:B83" si="2">HLOOKUP($B$9,$D$9:$G$83,ROW()-$B$8,FALSE)</f>
        <v>GLA</v>
      </c>
      <c r="C77" s="77" t="s">
        <v>124</v>
      </c>
      <c r="D77" s="4" t="s">
        <v>6</v>
      </c>
      <c r="E77" s="4" t="s">
        <v>76</v>
      </c>
      <c r="F77" s="4" t="s">
        <v>169</v>
      </c>
      <c r="G77" s="4" t="s">
        <v>138</v>
      </c>
      <c r="H77" s="4" t="s">
        <v>124</v>
      </c>
    </row>
    <row r="78" spans="2:8" x14ac:dyDescent="0.2">
      <c r="B78" s="89" t="str">
        <f t="shared" si="2"/>
        <v>SLA A-C</v>
      </c>
      <c r="C78" s="77" t="s">
        <v>124</v>
      </c>
      <c r="D78" s="4" t="s">
        <v>7</v>
      </c>
      <c r="E78" s="4" t="s">
        <v>77</v>
      </c>
      <c r="F78" s="4" t="s">
        <v>170</v>
      </c>
      <c r="G78" s="4" t="s">
        <v>139</v>
      </c>
      <c r="H78" s="4" t="s">
        <v>124</v>
      </c>
    </row>
    <row r="79" spans="2:8" x14ac:dyDescent="0.2">
      <c r="B79" s="89" t="str">
        <f t="shared" si="2"/>
        <v>SLA F</v>
      </c>
      <c r="C79" s="77" t="s">
        <v>124</v>
      </c>
      <c r="D79" s="4" t="s">
        <v>8</v>
      </c>
      <c r="E79" s="4" t="s">
        <v>78</v>
      </c>
      <c r="F79" s="4" t="s">
        <v>171</v>
      </c>
      <c r="G79" s="4" t="s">
        <v>140</v>
      </c>
      <c r="H79" s="4" t="s">
        <v>124</v>
      </c>
    </row>
    <row r="80" spans="2:8" x14ac:dyDescent="0.2">
      <c r="B80" s="89" t="str">
        <f t="shared" si="2"/>
        <v>Total</v>
      </c>
      <c r="C80" s="77" t="s">
        <v>124</v>
      </c>
      <c r="D80" s="4" t="s">
        <v>5</v>
      </c>
      <c r="E80" s="4" t="s">
        <v>5</v>
      </c>
      <c r="F80" s="4" t="s">
        <v>165</v>
      </c>
      <c r="G80" s="4" t="s">
        <v>5</v>
      </c>
      <c r="H80" s="4" t="s">
        <v>124</v>
      </c>
    </row>
    <row r="81" spans="2:8" x14ac:dyDescent="0.2">
      <c r="B81" s="89" t="str">
        <f t="shared" si="2"/>
        <v>Härte-
ausgleich</v>
      </c>
      <c r="C81" s="77" t="s">
        <v>124</v>
      </c>
      <c r="D81" s="4" t="s">
        <v>203</v>
      </c>
      <c r="E81" s="4" t="s">
        <v>214</v>
      </c>
      <c r="F81" s="4" t="s">
        <v>219</v>
      </c>
      <c r="G81" s="4" t="s">
        <v>226</v>
      </c>
      <c r="H81" s="4" t="s">
        <v>124</v>
      </c>
    </row>
    <row r="82" spans="2:8" x14ac:dyDescent="0.2">
      <c r="B82" s="89" t="str">
        <f t="shared" si="2"/>
        <v>Total</v>
      </c>
      <c r="C82" s="77" t="s">
        <v>124</v>
      </c>
      <c r="D82" s="4" t="s">
        <v>5</v>
      </c>
      <c r="E82" s="4" t="s">
        <v>5</v>
      </c>
      <c r="F82" s="4" t="s">
        <v>165</v>
      </c>
      <c r="G82" s="4" t="s">
        <v>5</v>
      </c>
      <c r="H82" s="4" t="s">
        <v>124</v>
      </c>
    </row>
    <row r="83" spans="2:8" x14ac:dyDescent="0.2">
      <c r="B83" s="88" t="str">
        <f t="shared" si="2"/>
        <v>RI = Ressourcenindex; GLA = Geografisch-topografischer Lastenausgleich; 
SLA = Soziodemografischer Lastenausgleich; A-C = Bereiche Armut, Alter, Ausländerintegration; F = Kernstadtproblematik</v>
      </c>
      <c r="C83" s="77" t="s">
        <v>124</v>
      </c>
      <c r="D83" s="4" t="s">
        <v>68</v>
      </c>
      <c r="E83" s="4" t="s">
        <v>221</v>
      </c>
      <c r="F83" s="4" t="s">
        <v>220</v>
      </c>
      <c r="G83" s="4" t="s">
        <v>227</v>
      </c>
      <c r="H83" s="4" t="s">
        <v>124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INTRO</vt:lpstr>
      <vt:lpstr>TOTAL_1</vt:lpstr>
      <vt:lpstr>TOTAL_2</vt:lpstr>
      <vt:lpstr>TOTAL_1!Druckbereich</vt:lpstr>
      <vt:lpstr>TOTAL_2!Druckbereich</vt:lpstr>
      <vt:lpstr>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2018-05-28T12:58:05Z</dcterms:modified>
</cp:coreProperties>
</file>