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Fbr-daten\FBR-FA\01_Allgemeines\PR\Homepage\2019\Datenbank\Dateien\Tabellen\"/>
    </mc:Choice>
  </mc:AlternateContent>
  <bookViews>
    <workbookView xWindow="0" yWindow="0" windowWidth="13125" windowHeight="6105"/>
  </bookViews>
  <sheets>
    <sheet name="INTRO" sheetId="30" r:id="rId1"/>
    <sheet name="TOTAL" sheetId="26" r:id="rId2"/>
    <sheet name="NP" sheetId="10" r:id="rId3"/>
    <sheet name="QS" sheetId="16" r:id="rId4"/>
    <sheet name="VERM" sheetId="12" r:id="rId5"/>
    <sheet name="JP" sheetId="27" r:id="rId6"/>
    <sheet name="REP" sheetId="13" r:id="rId7"/>
    <sheet name="ASG" sheetId="15" r:id="rId8"/>
    <sheet name="BEV" sheetId="18" r:id="rId9"/>
    <sheet name="RP" sheetId="19" r:id="rId10"/>
    <sheet name="SST" sheetId="28" r:id="rId11"/>
    <sheet name="AUSZ" sheetId="6" r:id="rId12"/>
    <sheet name="DOT" sheetId="21" r:id="rId13"/>
    <sheet name="EINZ" sheetId="22" r:id="rId14"/>
    <sheet name="SSE" sheetId="24" r:id="rId15"/>
    <sheet name="DFIE" sheetId="29" state="veryHidden" r:id="rId16"/>
  </sheets>
  <definedNames>
    <definedName name="_xlnm.Print_Area" localSheetId="7">ASG!$A$1:$I$91</definedName>
    <definedName name="_xlnm.Print_Area" localSheetId="11">AUSZ!$B$1:$J$35</definedName>
    <definedName name="_xlnm.Print_Area" localSheetId="8">BEV!$B$1:$F$35</definedName>
    <definedName name="_xlnm.Print_Area" localSheetId="12">DOT!$B$1:$F$7</definedName>
    <definedName name="_xlnm.Print_Area" localSheetId="13">EINZ!$B$1:$G$35</definedName>
    <definedName name="_xlnm.Print_Area" localSheetId="5">JP!$A$1:$I$91</definedName>
    <definedName name="_xlnm.Print_Area" localSheetId="2">NP!$A$1:$I$91</definedName>
    <definedName name="_xlnm.Print_Area" localSheetId="3">QS!$A$1:$AB$91</definedName>
    <definedName name="_xlnm.Print_Area" localSheetId="6">REP!$A$1:$J$91</definedName>
    <definedName name="_xlnm.Print_Area" localSheetId="9">RP!$B$1:$I$38</definedName>
    <definedName name="_xlnm.Print_Area" localSheetId="14">SSE!$B$1:$I$37</definedName>
    <definedName name="_xlnm.Print_Area" localSheetId="10">SST!$B$1:$I$14</definedName>
    <definedName name="_xlnm.Print_Area" localSheetId="1">TOTAL!$A$1:$F$36</definedName>
    <definedName name="_xlnm.Print_Area" localSheetId="4">VERM!$B$1:$V$36</definedName>
    <definedName name="_xlnm.Print_Titles" localSheetId="7">ASG!$1:$8</definedName>
    <definedName name="_xlnm.Print_Titles" localSheetId="5">JP!$1:$8</definedName>
    <definedName name="_xlnm.Print_Titles" localSheetId="2">NP!$1:$8</definedName>
    <definedName name="_xlnm.Print_Titles" localSheetId="3">QS!$1:$8</definedName>
    <definedName name="_xlnm.Print_Titles" localSheetId="6">REP!$1:$8</definedName>
    <definedName name="solver_adj" localSheetId="11" hidden="1">AUSZ!#REF!</definedName>
    <definedName name="solver_cvg" localSheetId="11" hidden="1">0.0001</definedName>
    <definedName name="solver_drv" localSheetId="11" hidden="1">1</definedName>
    <definedName name="solver_est" localSheetId="11" hidden="1">1</definedName>
    <definedName name="solver_itr" localSheetId="11" hidden="1">100</definedName>
    <definedName name="solver_lhs1" localSheetId="11" hidden="1">AUSZ!#REF!</definedName>
    <definedName name="solver_lin" localSheetId="11" hidden="1">2</definedName>
    <definedName name="solver_neg" localSheetId="11" hidden="1">2</definedName>
    <definedName name="solver_num" localSheetId="11" hidden="1">1</definedName>
    <definedName name="solver_nwt" localSheetId="11" hidden="1">1</definedName>
    <definedName name="solver_opt" localSheetId="11" hidden="1">AUSZ!#REF!</definedName>
    <definedName name="solver_pre" localSheetId="11" hidden="1">0.00000000000001</definedName>
    <definedName name="solver_rel1" localSheetId="11" hidden="1">2</definedName>
    <definedName name="solver_rhs1" localSheetId="11" hidden="1">AUSZ!#REF!</definedName>
    <definedName name="solver_scl" localSheetId="11" hidden="1">2</definedName>
    <definedName name="solver_sho" localSheetId="11" hidden="1">2</definedName>
    <definedName name="solver_tim" localSheetId="11" hidden="1">100</definedName>
    <definedName name="solver_tol" localSheetId="11" hidden="1">0.05</definedName>
    <definedName name="solver_typ" localSheetId="11" hidden="1">1</definedName>
    <definedName name="solver_val" localSheetId="11" hidden="1">0</definedName>
  </definedNames>
  <calcPr calcId="162913"/>
</workbook>
</file>

<file path=xl/calcChain.xml><?xml version="1.0" encoding="utf-8"?>
<calcChain xmlns="http://schemas.openxmlformats.org/spreadsheetml/2006/main">
  <c r="D211" i="29" l="1"/>
  <c r="B184" i="29"/>
  <c r="F173" i="29"/>
  <c r="E170" i="29"/>
  <c r="D167" i="29"/>
  <c r="G160" i="29"/>
  <c r="G144" i="29"/>
  <c r="F125" i="29"/>
  <c r="G120" i="29"/>
  <c r="G112" i="29"/>
  <c r="D111" i="29"/>
  <c r="F109" i="29"/>
  <c r="F101" i="29"/>
  <c r="F97" i="29"/>
  <c r="E86" i="29"/>
  <c r="B80" i="29"/>
  <c r="E70" i="29"/>
  <c r="B68" i="29"/>
  <c r="B60" i="29"/>
  <c r="B45" i="29"/>
  <c r="B26" i="24" s="1"/>
  <c r="B40" i="29"/>
  <c r="B21" i="24" s="1"/>
  <c r="B35" i="29"/>
  <c r="B16" i="24" s="1"/>
  <c r="B24" i="29"/>
  <c r="B20" i="29"/>
  <c r="B16" i="29"/>
  <c r="F13" i="29"/>
  <c r="D13" i="29"/>
  <c r="B12" i="29"/>
  <c r="B9" i="29"/>
  <c r="B8" i="29"/>
  <c r="B220" i="29" s="1"/>
  <c r="G2" i="29"/>
  <c r="E218" i="29" s="1"/>
  <c r="C35" i="24"/>
  <c r="E20" i="24"/>
  <c r="E12" i="24"/>
  <c r="D7" i="24"/>
  <c r="B26" i="22"/>
  <c r="B21" i="22"/>
  <c r="B16" i="22"/>
  <c r="E5" i="21"/>
  <c r="D5" i="21"/>
  <c r="C35" i="6"/>
  <c r="B26" i="6"/>
  <c r="B21" i="6"/>
  <c r="B16" i="6"/>
  <c r="J15" i="6"/>
  <c r="J16" i="6" s="1"/>
  <c r="H9" i="28"/>
  <c r="D9" i="28"/>
  <c r="H8" i="28"/>
  <c r="G8" i="28"/>
  <c r="G9" i="28" s="1"/>
  <c r="F8" i="28"/>
  <c r="F9" i="28" s="1"/>
  <c r="D8" i="28"/>
  <c r="D6" i="28"/>
  <c r="C6" i="28"/>
  <c r="D5" i="28"/>
  <c r="D4" i="28"/>
  <c r="H3" i="28"/>
  <c r="I3" i="28" s="1"/>
  <c r="G3" i="28"/>
  <c r="F3" i="28"/>
  <c r="B26" i="19"/>
  <c r="B21" i="19"/>
  <c r="G20" i="19"/>
  <c r="D20" i="22" s="1"/>
  <c r="G18" i="19"/>
  <c r="G16" i="19"/>
  <c r="B16" i="19"/>
  <c r="G14" i="19"/>
  <c r="G12" i="19"/>
  <c r="D12" i="22" s="1"/>
  <c r="G10" i="19"/>
  <c r="F8" i="19"/>
  <c r="E8" i="19"/>
  <c r="D8" i="19"/>
  <c r="C8" i="19"/>
  <c r="E35" i="18"/>
  <c r="D35" i="18"/>
  <c r="C35" i="18"/>
  <c r="F34" i="18"/>
  <c r="G34" i="19" s="1"/>
  <c r="F33" i="18"/>
  <c r="G33" i="19" s="1"/>
  <c r="F32" i="18"/>
  <c r="G32" i="19" s="1"/>
  <c r="F31" i="18"/>
  <c r="G31" i="19" s="1"/>
  <c r="F30" i="18"/>
  <c r="G30" i="19" s="1"/>
  <c r="F29" i="18"/>
  <c r="G29" i="19" s="1"/>
  <c r="F28" i="18"/>
  <c r="G28" i="19" s="1"/>
  <c r="F27" i="18"/>
  <c r="G27" i="19" s="1"/>
  <c r="F26" i="18"/>
  <c r="G26" i="19" s="1"/>
  <c r="B26" i="18"/>
  <c r="F25" i="18"/>
  <c r="G25" i="19" s="1"/>
  <c r="F24" i="18"/>
  <c r="G24" i="19" s="1"/>
  <c r="F23" i="18"/>
  <c r="G23" i="19" s="1"/>
  <c r="F22" i="18"/>
  <c r="G22" i="19" s="1"/>
  <c r="F21" i="18"/>
  <c r="G21" i="19" s="1"/>
  <c r="B21" i="18"/>
  <c r="F20" i="18"/>
  <c r="F19" i="18"/>
  <c r="G19" i="19" s="1"/>
  <c r="F18" i="18"/>
  <c r="F17" i="18"/>
  <c r="G17" i="19" s="1"/>
  <c r="F16" i="18"/>
  <c r="B16" i="18"/>
  <c r="F15" i="18"/>
  <c r="G15" i="19" s="1"/>
  <c r="F14" i="18"/>
  <c r="F13" i="18"/>
  <c r="G13" i="19" s="1"/>
  <c r="F12" i="18"/>
  <c r="F11" i="18"/>
  <c r="G11" i="19" s="1"/>
  <c r="F10" i="18"/>
  <c r="F9" i="18"/>
  <c r="F7" i="18"/>
  <c r="E7" i="18"/>
  <c r="D7" i="18"/>
  <c r="C7" i="18"/>
  <c r="B82" i="15"/>
  <c r="B77" i="15"/>
  <c r="B72" i="15"/>
  <c r="B54" i="15"/>
  <c r="B49" i="15"/>
  <c r="B44" i="15"/>
  <c r="E37" i="15"/>
  <c r="E31" i="15"/>
  <c r="C29" i="15"/>
  <c r="B26" i="15"/>
  <c r="B21" i="15"/>
  <c r="F16" i="15"/>
  <c r="B16" i="15"/>
  <c r="H8" i="15"/>
  <c r="G8" i="15"/>
  <c r="F8" i="15"/>
  <c r="E8" i="15"/>
  <c r="D8" i="15"/>
  <c r="C8" i="15"/>
  <c r="F91" i="13"/>
  <c r="D91" i="13"/>
  <c r="C91" i="13"/>
  <c r="E90" i="13"/>
  <c r="E89" i="13"/>
  <c r="E88" i="13"/>
  <c r="E87" i="13"/>
  <c r="E86" i="13"/>
  <c r="E85" i="13"/>
  <c r="E84" i="13"/>
  <c r="E83" i="13"/>
  <c r="E82" i="13"/>
  <c r="B82" i="13"/>
  <c r="E81" i="13"/>
  <c r="E80" i="13"/>
  <c r="E79" i="13"/>
  <c r="E78" i="13"/>
  <c r="E77" i="13"/>
  <c r="B77" i="13"/>
  <c r="E76" i="13"/>
  <c r="E75" i="13"/>
  <c r="E74" i="13"/>
  <c r="E73" i="13"/>
  <c r="E72" i="13"/>
  <c r="B72" i="13"/>
  <c r="E71" i="13"/>
  <c r="E70" i="13"/>
  <c r="E69" i="13"/>
  <c r="E68" i="13"/>
  <c r="E67" i="13"/>
  <c r="E66" i="13"/>
  <c r="E65" i="13"/>
  <c r="F63" i="13"/>
  <c r="D63" i="13"/>
  <c r="C63" i="13"/>
  <c r="E62" i="13"/>
  <c r="E61" i="13"/>
  <c r="E60" i="13"/>
  <c r="E59" i="13"/>
  <c r="E58" i="13"/>
  <c r="E57" i="13"/>
  <c r="E56" i="13"/>
  <c r="E55" i="13"/>
  <c r="E54" i="13"/>
  <c r="B54" i="13"/>
  <c r="E53" i="13"/>
  <c r="E52" i="13"/>
  <c r="E51" i="13"/>
  <c r="E50" i="13"/>
  <c r="E49" i="13"/>
  <c r="B49" i="13"/>
  <c r="E48" i="13"/>
  <c r="E47" i="13"/>
  <c r="E46" i="13"/>
  <c r="E45" i="13"/>
  <c r="E44" i="13"/>
  <c r="B44" i="13"/>
  <c r="E43" i="13"/>
  <c r="E42" i="13"/>
  <c r="E41" i="13"/>
  <c r="E40" i="13"/>
  <c r="E39" i="13"/>
  <c r="E38" i="13"/>
  <c r="E37" i="13"/>
  <c r="F35" i="13"/>
  <c r="D35" i="13"/>
  <c r="C35" i="13"/>
  <c r="E34" i="13"/>
  <c r="E33" i="13"/>
  <c r="E32" i="13"/>
  <c r="E31" i="13"/>
  <c r="E30" i="13"/>
  <c r="E29" i="13"/>
  <c r="E28" i="13"/>
  <c r="E27" i="13"/>
  <c r="E26" i="13"/>
  <c r="B26" i="13"/>
  <c r="E25" i="13"/>
  <c r="E24" i="13"/>
  <c r="E23" i="13"/>
  <c r="E22" i="13"/>
  <c r="E21" i="13"/>
  <c r="B21" i="13"/>
  <c r="E20" i="13"/>
  <c r="E19" i="13"/>
  <c r="E18" i="13"/>
  <c r="E17" i="13"/>
  <c r="E16" i="13"/>
  <c r="B16" i="13"/>
  <c r="E15" i="13"/>
  <c r="E14" i="13"/>
  <c r="E13" i="13"/>
  <c r="E12" i="13"/>
  <c r="E11" i="13"/>
  <c r="E10" i="13"/>
  <c r="E9" i="13"/>
  <c r="I8" i="13"/>
  <c r="G8" i="13"/>
  <c r="F8" i="13"/>
  <c r="E8" i="13"/>
  <c r="D8" i="13"/>
  <c r="C8" i="13"/>
  <c r="D91" i="27"/>
  <c r="C91" i="27"/>
  <c r="E90" i="27"/>
  <c r="F90" i="15" s="1"/>
  <c r="E89" i="27"/>
  <c r="F89" i="15" s="1"/>
  <c r="E88" i="27"/>
  <c r="F88" i="15" s="1"/>
  <c r="E87" i="27"/>
  <c r="F87" i="15" s="1"/>
  <c r="E86" i="27"/>
  <c r="F86" i="15" s="1"/>
  <c r="E85" i="27"/>
  <c r="F85" i="15" s="1"/>
  <c r="E84" i="27"/>
  <c r="F84" i="15" s="1"/>
  <c r="E83" i="27"/>
  <c r="F83" i="15" s="1"/>
  <c r="E82" i="27"/>
  <c r="F82" i="15" s="1"/>
  <c r="B82" i="27"/>
  <c r="E81" i="27"/>
  <c r="F81" i="15" s="1"/>
  <c r="E80" i="27"/>
  <c r="F80" i="15" s="1"/>
  <c r="E79" i="27"/>
  <c r="F79" i="15" s="1"/>
  <c r="E78" i="27"/>
  <c r="F78" i="15" s="1"/>
  <c r="E77" i="27"/>
  <c r="F77" i="15" s="1"/>
  <c r="B77" i="27"/>
  <c r="E76" i="27"/>
  <c r="F76" i="15" s="1"/>
  <c r="E75" i="27"/>
  <c r="F75" i="15" s="1"/>
  <c r="E74" i="27"/>
  <c r="F74" i="15" s="1"/>
  <c r="E73" i="27"/>
  <c r="F73" i="15" s="1"/>
  <c r="E72" i="27"/>
  <c r="F72" i="15" s="1"/>
  <c r="B72" i="27"/>
  <c r="E71" i="27"/>
  <c r="F71" i="15" s="1"/>
  <c r="E70" i="27"/>
  <c r="F70" i="15" s="1"/>
  <c r="E69" i="27"/>
  <c r="F69" i="15" s="1"/>
  <c r="E68" i="27"/>
  <c r="F68" i="15" s="1"/>
  <c r="I67" i="27"/>
  <c r="E67" i="27"/>
  <c r="F67" i="15" s="1"/>
  <c r="I66" i="27"/>
  <c r="E66" i="27"/>
  <c r="F66" i="15" s="1"/>
  <c r="I65" i="27"/>
  <c r="E65" i="27"/>
  <c r="F65" i="15" s="1"/>
  <c r="D63" i="27"/>
  <c r="C63" i="27"/>
  <c r="E62" i="27"/>
  <c r="F62" i="15" s="1"/>
  <c r="E61" i="27"/>
  <c r="F61" i="15" s="1"/>
  <c r="E60" i="27"/>
  <c r="F60" i="15" s="1"/>
  <c r="E59" i="27"/>
  <c r="F59" i="15" s="1"/>
  <c r="E58" i="27"/>
  <c r="F58" i="15" s="1"/>
  <c r="E57" i="27"/>
  <c r="F57" i="15" s="1"/>
  <c r="E56" i="27"/>
  <c r="F56" i="15" s="1"/>
  <c r="E55" i="27"/>
  <c r="F55" i="15" s="1"/>
  <c r="E54" i="27"/>
  <c r="F54" i="15" s="1"/>
  <c r="B54" i="27"/>
  <c r="E53" i="27"/>
  <c r="F53" i="15" s="1"/>
  <c r="E52" i="27"/>
  <c r="F52" i="15" s="1"/>
  <c r="E51" i="27"/>
  <c r="F51" i="15" s="1"/>
  <c r="E50" i="27"/>
  <c r="F50" i="15" s="1"/>
  <c r="E49" i="27"/>
  <c r="F49" i="15" s="1"/>
  <c r="B49" i="27"/>
  <c r="E48" i="27"/>
  <c r="F48" i="15" s="1"/>
  <c r="E47" i="27"/>
  <c r="F47" i="15" s="1"/>
  <c r="E46" i="27"/>
  <c r="F46" i="15" s="1"/>
  <c r="E45" i="27"/>
  <c r="F45" i="15" s="1"/>
  <c r="E44" i="27"/>
  <c r="F44" i="15" s="1"/>
  <c r="B44" i="27"/>
  <c r="E43" i="27"/>
  <c r="F43" i="15" s="1"/>
  <c r="E42" i="27"/>
  <c r="F42" i="15" s="1"/>
  <c r="E41" i="27"/>
  <c r="F41" i="15" s="1"/>
  <c r="E40" i="27"/>
  <c r="F40" i="15" s="1"/>
  <c r="I39" i="27"/>
  <c r="E39" i="27"/>
  <c r="F39" i="15" s="1"/>
  <c r="I38" i="27"/>
  <c r="E38" i="27"/>
  <c r="F38" i="15" s="1"/>
  <c r="I37" i="27"/>
  <c r="E37" i="27"/>
  <c r="F37" i="15" s="1"/>
  <c r="D35" i="27"/>
  <c r="C35" i="27"/>
  <c r="E34" i="27"/>
  <c r="F34" i="15" s="1"/>
  <c r="E33" i="27"/>
  <c r="F33" i="15" s="1"/>
  <c r="E32" i="27"/>
  <c r="F32" i="15" s="1"/>
  <c r="E31" i="27"/>
  <c r="F31" i="15" s="1"/>
  <c r="E30" i="27"/>
  <c r="F30" i="15" s="1"/>
  <c r="E29" i="27"/>
  <c r="F29" i="15" s="1"/>
  <c r="E28" i="27"/>
  <c r="F28" i="15" s="1"/>
  <c r="E27" i="27"/>
  <c r="F27" i="15" s="1"/>
  <c r="E26" i="27"/>
  <c r="F26" i="15" s="1"/>
  <c r="B26" i="27"/>
  <c r="E25" i="27"/>
  <c r="F25" i="15" s="1"/>
  <c r="E24" i="27"/>
  <c r="F24" i="15" s="1"/>
  <c r="E23" i="27"/>
  <c r="F23" i="15" s="1"/>
  <c r="E22" i="27"/>
  <c r="F22" i="15" s="1"/>
  <c r="E21" i="27"/>
  <c r="F21" i="15" s="1"/>
  <c r="B21" i="27"/>
  <c r="E20" i="27"/>
  <c r="F20" i="15" s="1"/>
  <c r="E19" i="27"/>
  <c r="F19" i="15" s="1"/>
  <c r="E18" i="27"/>
  <c r="F18" i="15" s="1"/>
  <c r="E17" i="27"/>
  <c r="F17" i="15" s="1"/>
  <c r="E16" i="27"/>
  <c r="B16" i="27"/>
  <c r="E15" i="27"/>
  <c r="F15" i="15" s="1"/>
  <c r="E14" i="27"/>
  <c r="F14" i="15" s="1"/>
  <c r="E13" i="27"/>
  <c r="F13" i="15" s="1"/>
  <c r="E12" i="27"/>
  <c r="F12" i="15" s="1"/>
  <c r="E11" i="27"/>
  <c r="F11" i="15" s="1"/>
  <c r="E10" i="27"/>
  <c r="F10" i="15" s="1"/>
  <c r="E9" i="27"/>
  <c r="E8" i="27"/>
  <c r="D8" i="27"/>
  <c r="C8" i="27"/>
  <c r="I35" i="12"/>
  <c r="F35" i="12"/>
  <c r="C35" i="12"/>
  <c r="G34" i="12"/>
  <c r="E62" i="15" s="1"/>
  <c r="D34" i="12"/>
  <c r="E34" i="15" s="1"/>
  <c r="G33" i="12"/>
  <c r="E61" i="15" s="1"/>
  <c r="D33" i="12"/>
  <c r="E33" i="15" s="1"/>
  <c r="G32" i="12"/>
  <c r="E60" i="15" s="1"/>
  <c r="D32" i="12"/>
  <c r="E32" i="15" s="1"/>
  <c r="G31" i="12"/>
  <c r="E59" i="15" s="1"/>
  <c r="D31" i="12"/>
  <c r="G30" i="12"/>
  <c r="E58" i="15" s="1"/>
  <c r="D30" i="12"/>
  <c r="E30" i="15" s="1"/>
  <c r="G29" i="12"/>
  <c r="E57" i="15" s="1"/>
  <c r="D29" i="12"/>
  <c r="E29" i="15" s="1"/>
  <c r="G28" i="12"/>
  <c r="E56" i="15" s="1"/>
  <c r="D28" i="12"/>
  <c r="E28" i="15" s="1"/>
  <c r="G27" i="12"/>
  <c r="E55" i="15" s="1"/>
  <c r="D27" i="12"/>
  <c r="E27" i="15" s="1"/>
  <c r="G26" i="12"/>
  <c r="E54" i="15" s="1"/>
  <c r="D26" i="12"/>
  <c r="E26" i="15" s="1"/>
  <c r="B26" i="12"/>
  <c r="G25" i="12"/>
  <c r="E53" i="15" s="1"/>
  <c r="D25" i="12"/>
  <c r="E25" i="15" s="1"/>
  <c r="G24" i="12"/>
  <c r="E52" i="15" s="1"/>
  <c r="D24" i="12"/>
  <c r="E24" i="15" s="1"/>
  <c r="G23" i="12"/>
  <c r="E51" i="15" s="1"/>
  <c r="D23" i="12"/>
  <c r="E23" i="15" s="1"/>
  <c r="U22" i="12"/>
  <c r="V22" i="12" s="1"/>
  <c r="T22" i="12"/>
  <c r="S22" i="12"/>
  <c r="N22" i="12"/>
  <c r="G22" i="12"/>
  <c r="E50" i="15" s="1"/>
  <c r="D22" i="12"/>
  <c r="E22" i="15" s="1"/>
  <c r="R21" i="12"/>
  <c r="Q21" i="12"/>
  <c r="P21" i="12"/>
  <c r="N21" i="12"/>
  <c r="G21" i="12"/>
  <c r="E49" i="15" s="1"/>
  <c r="D21" i="12"/>
  <c r="E21" i="15" s="1"/>
  <c r="B21" i="12"/>
  <c r="N20" i="12"/>
  <c r="G20" i="12"/>
  <c r="E48" i="15" s="1"/>
  <c r="D20" i="12"/>
  <c r="E20" i="15" s="1"/>
  <c r="N19" i="12"/>
  <c r="G19" i="12"/>
  <c r="E47" i="15" s="1"/>
  <c r="D19" i="12"/>
  <c r="E19" i="15" s="1"/>
  <c r="G18" i="12"/>
  <c r="E46" i="15" s="1"/>
  <c r="D18" i="12"/>
  <c r="E18" i="15" s="1"/>
  <c r="G17" i="12"/>
  <c r="E45" i="15" s="1"/>
  <c r="D17" i="12"/>
  <c r="E17" i="15" s="1"/>
  <c r="V16" i="12"/>
  <c r="V25" i="12" s="1"/>
  <c r="N16" i="12"/>
  <c r="G16" i="12"/>
  <c r="E44" i="15" s="1"/>
  <c r="D16" i="12"/>
  <c r="E16" i="15" s="1"/>
  <c r="B16" i="12"/>
  <c r="N15" i="12"/>
  <c r="G15" i="12"/>
  <c r="E43" i="15" s="1"/>
  <c r="D15" i="12"/>
  <c r="E15" i="15" s="1"/>
  <c r="U14" i="12"/>
  <c r="U15" i="12" s="1"/>
  <c r="T14" i="12"/>
  <c r="T15" i="12" s="1"/>
  <c r="S14" i="12"/>
  <c r="S15" i="12" s="1"/>
  <c r="R14" i="12"/>
  <c r="R15" i="12" s="1"/>
  <c r="Q14" i="12"/>
  <c r="Q15" i="12" s="1"/>
  <c r="P14" i="12"/>
  <c r="P15" i="12" s="1"/>
  <c r="V15" i="12" s="1"/>
  <c r="N14" i="12"/>
  <c r="G14" i="12"/>
  <c r="E42" i="15" s="1"/>
  <c r="D14" i="12"/>
  <c r="E14" i="15" s="1"/>
  <c r="G13" i="12"/>
  <c r="E41" i="15" s="1"/>
  <c r="D13" i="12"/>
  <c r="E13" i="15" s="1"/>
  <c r="N12" i="12"/>
  <c r="G12" i="12"/>
  <c r="E40" i="15" s="1"/>
  <c r="D12" i="12"/>
  <c r="E12" i="15" s="1"/>
  <c r="N11" i="12"/>
  <c r="G11" i="12"/>
  <c r="E39" i="15" s="1"/>
  <c r="D11" i="12"/>
  <c r="E11" i="15" s="1"/>
  <c r="N10" i="12"/>
  <c r="G10" i="12"/>
  <c r="E38" i="15" s="1"/>
  <c r="D10" i="12"/>
  <c r="E10" i="15" s="1"/>
  <c r="G9" i="12"/>
  <c r="D9" i="12"/>
  <c r="J8" i="12"/>
  <c r="I8" i="12"/>
  <c r="G8" i="12"/>
  <c r="F8" i="12"/>
  <c r="D8" i="12"/>
  <c r="C8" i="12"/>
  <c r="U7" i="12"/>
  <c r="T7" i="12"/>
  <c r="S7" i="12"/>
  <c r="R7" i="12"/>
  <c r="Q7" i="12"/>
  <c r="P7" i="12"/>
  <c r="Z91" i="16"/>
  <c r="I91" i="16"/>
  <c r="H91" i="16"/>
  <c r="G91" i="16"/>
  <c r="F91" i="16"/>
  <c r="J91" i="16" s="1"/>
  <c r="E91" i="16"/>
  <c r="D91" i="16"/>
  <c r="C91" i="16"/>
  <c r="J90" i="16"/>
  <c r="T89" i="16"/>
  <c r="J89" i="16"/>
  <c r="J88" i="16"/>
  <c r="V87" i="16"/>
  <c r="J87" i="16"/>
  <c r="J86" i="16"/>
  <c r="T85" i="16"/>
  <c r="J85" i="16"/>
  <c r="V84" i="16"/>
  <c r="J84" i="16"/>
  <c r="V83" i="16"/>
  <c r="J83" i="16"/>
  <c r="T82" i="16"/>
  <c r="P82" i="16"/>
  <c r="N82" i="16"/>
  <c r="V90" i="16" s="1"/>
  <c r="J82" i="16"/>
  <c r="B82" i="16"/>
  <c r="V81" i="16"/>
  <c r="J81" i="16"/>
  <c r="V80" i="16"/>
  <c r="N80" i="16"/>
  <c r="T88" i="16" s="1"/>
  <c r="J80" i="16"/>
  <c r="V79" i="16"/>
  <c r="J79" i="16"/>
  <c r="V78" i="16"/>
  <c r="T78" i="16"/>
  <c r="J78" i="16"/>
  <c r="V77" i="16"/>
  <c r="P77" i="16"/>
  <c r="J77" i="16"/>
  <c r="B77" i="16"/>
  <c r="V76" i="16"/>
  <c r="T76" i="16"/>
  <c r="J76" i="16"/>
  <c r="V75" i="16"/>
  <c r="T75" i="16"/>
  <c r="J75" i="16"/>
  <c r="V74" i="16"/>
  <c r="T74" i="16"/>
  <c r="J74" i="16"/>
  <c r="V73" i="16"/>
  <c r="T73" i="16"/>
  <c r="J73" i="16"/>
  <c r="V72" i="16"/>
  <c r="T72" i="16"/>
  <c r="P72" i="16"/>
  <c r="J72" i="16"/>
  <c r="B72" i="16"/>
  <c r="V71" i="16"/>
  <c r="T71" i="16"/>
  <c r="J71" i="16"/>
  <c r="V70" i="16"/>
  <c r="T70" i="16"/>
  <c r="J70" i="16"/>
  <c r="V69" i="16"/>
  <c r="T69" i="16"/>
  <c r="J69" i="16"/>
  <c r="V68" i="16"/>
  <c r="T68" i="16"/>
  <c r="J68" i="16"/>
  <c r="V67" i="16"/>
  <c r="T67" i="16"/>
  <c r="J67" i="16"/>
  <c r="V66" i="16"/>
  <c r="T66" i="16"/>
  <c r="J66" i="16"/>
  <c r="V65" i="16"/>
  <c r="T65" i="16"/>
  <c r="J65" i="16"/>
  <c r="Z63" i="16"/>
  <c r="I63" i="16"/>
  <c r="H63" i="16"/>
  <c r="G63" i="16"/>
  <c r="F63" i="16"/>
  <c r="E63" i="16"/>
  <c r="J63" i="16" s="1"/>
  <c r="D63" i="16"/>
  <c r="C63" i="16"/>
  <c r="V62" i="16"/>
  <c r="J62" i="16"/>
  <c r="W61" i="16"/>
  <c r="S61" i="16"/>
  <c r="J61" i="16"/>
  <c r="T60" i="16"/>
  <c r="J60" i="16"/>
  <c r="Q59" i="16"/>
  <c r="J59" i="16"/>
  <c r="V58" i="16"/>
  <c r="J58" i="16"/>
  <c r="W57" i="16"/>
  <c r="S57" i="16"/>
  <c r="J57" i="16"/>
  <c r="T56" i="16"/>
  <c r="J56" i="16"/>
  <c r="V55" i="16"/>
  <c r="Q55" i="16"/>
  <c r="J55" i="16"/>
  <c r="V54" i="16"/>
  <c r="S54" i="16"/>
  <c r="P54" i="16"/>
  <c r="J54" i="16"/>
  <c r="B54" i="16"/>
  <c r="W53" i="16"/>
  <c r="S53" i="16"/>
  <c r="J53" i="16"/>
  <c r="T52" i="16"/>
  <c r="Q52" i="16"/>
  <c r="J52" i="16"/>
  <c r="V51" i="16"/>
  <c r="Q51" i="16"/>
  <c r="J51" i="16"/>
  <c r="V50" i="16"/>
  <c r="S50" i="16"/>
  <c r="N50" i="16"/>
  <c r="W60" i="16" s="1"/>
  <c r="J50" i="16"/>
  <c r="V49" i="16"/>
  <c r="T49" i="16"/>
  <c r="Q49" i="16"/>
  <c r="P49" i="16"/>
  <c r="N49" i="16"/>
  <c r="V61" i="16" s="1"/>
  <c r="J49" i="16"/>
  <c r="B49" i="16"/>
  <c r="W48" i="16"/>
  <c r="V48" i="16"/>
  <c r="S48" i="16"/>
  <c r="N48" i="16"/>
  <c r="J48" i="16"/>
  <c r="W47" i="16"/>
  <c r="V47" i="16"/>
  <c r="S47" i="16"/>
  <c r="N47" i="16"/>
  <c r="T59" i="16" s="1"/>
  <c r="J47" i="16"/>
  <c r="V46" i="16"/>
  <c r="U46" i="16"/>
  <c r="Q46" i="16"/>
  <c r="N46" i="16"/>
  <c r="S60" i="16" s="1"/>
  <c r="J46" i="16"/>
  <c r="W45" i="16"/>
  <c r="V45" i="16"/>
  <c r="T45" i="16"/>
  <c r="S45" i="16"/>
  <c r="N45" i="16"/>
  <c r="R62" i="16" s="1"/>
  <c r="J45" i="16"/>
  <c r="V44" i="16"/>
  <c r="U44" i="16"/>
  <c r="S44" i="16"/>
  <c r="Q44" i="16"/>
  <c r="P44" i="16"/>
  <c r="N44" i="16"/>
  <c r="Q62" i="16" s="1"/>
  <c r="J44" i="16"/>
  <c r="B44" i="16"/>
  <c r="W43" i="16"/>
  <c r="V43" i="16"/>
  <c r="T43" i="16"/>
  <c r="S43" i="16"/>
  <c r="Q43" i="16"/>
  <c r="J43" i="16"/>
  <c r="W42" i="16"/>
  <c r="V42" i="16"/>
  <c r="T42" i="16"/>
  <c r="S42" i="16"/>
  <c r="Q42" i="16"/>
  <c r="J42" i="16"/>
  <c r="V41" i="16"/>
  <c r="T41" i="16"/>
  <c r="S41" i="16"/>
  <c r="Q41" i="16"/>
  <c r="J41" i="16"/>
  <c r="W40" i="16"/>
  <c r="V40" i="16"/>
  <c r="S40" i="16"/>
  <c r="R40" i="16"/>
  <c r="Q40" i="16"/>
  <c r="J40" i="16"/>
  <c r="W39" i="16"/>
  <c r="V39" i="16"/>
  <c r="T39" i="16"/>
  <c r="S39" i="16"/>
  <c r="Q39" i="16"/>
  <c r="J39" i="16"/>
  <c r="W38" i="16"/>
  <c r="V38" i="16"/>
  <c r="U38" i="16"/>
  <c r="S38" i="16"/>
  <c r="Q38" i="16"/>
  <c r="J38" i="16"/>
  <c r="W37" i="16"/>
  <c r="V37" i="16"/>
  <c r="T37" i="16"/>
  <c r="S37" i="16"/>
  <c r="Q37" i="16"/>
  <c r="J37" i="16"/>
  <c r="Z35" i="16"/>
  <c r="I35" i="16"/>
  <c r="H35" i="16"/>
  <c r="G35" i="16"/>
  <c r="F35" i="16"/>
  <c r="J35" i="16" s="1"/>
  <c r="E35" i="16"/>
  <c r="D35" i="16"/>
  <c r="C35" i="16"/>
  <c r="W34" i="16"/>
  <c r="S34" i="16"/>
  <c r="J34" i="16"/>
  <c r="T33" i="16"/>
  <c r="J33" i="16"/>
  <c r="U32" i="16"/>
  <c r="J32" i="16"/>
  <c r="V31" i="16"/>
  <c r="R31" i="16"/>
  <c r="J31" i="16"/>
  <c r="W30" i="16"/>
  <c r="S30" i="16"/>
  <c r="J30" i="16"/>
  <c r="T29" i="16"/>
  <c r="J29" i="16"/>
  <c r="U28" i="16"/>
  <c r="J28" i="16"/>
  <c r="V27" i="16"/>
  <c r="R27" i="16"/>
  <c r="J27" i="16"/>
  <c r="W26" i="16"/>
  <c r="S26" i="16"/>
  <c r="P26" i="16"/>
  <c r="J26" i="16"/>
  <c r="B26" i="16"/>
  <c r="U25" i="16"/>
  <c r="T25" i="16"/>
  <c r="J25" i="16"/>
  <c r="V24" i="16"/>
  <c r="U24" i="16"/>
  <c r="J24" i="16"/>
  <c r="V23" i="16"/>
  <c r="R23" i="16"/>
  <c r="J23" i="16"/>
  <c r="W22" i="16"/>
  <c r="S22" i="16"/>
  <c r="N22" i="16"/>
  <c r="J22" i="16"/>
  <c r="V21" i="16"/>
  <c r="U21" i="16"/>
  <c r="R21" i="16"/>
  <c r="Q21" i="16"/>
  <c r="P21" i="16"/>
  <c r="N21" i="16"/>
  <c r="V34" i="16" s="1"/>
  <c r="J21" i="16"/>
  <c r="B21" i="16"/>
  <c r="V20" i="16"/>
  <c r="U20" i="16"/>
  <c r="T20" i="16"/>
  <c r="N20" i="16"/>
  <c r="U31" i="16" s="1"/>
  <c r="J20" i="16"/>
  <c r="V19" i="16"/>
  <c r="U19" i="16"/>
  <c r="S19" i="16"/>
  <c r="N19" i="16"/>
  <c r="J19" i="16"/>
  <c r="V18" i="16"/>
  <c r="U18" i="16"/>
  <c r="R18" i="16"/>
  <c r="N18" i="16"/>
  <c r="S33" i="16" s="1"/>
  <c r="J18" i="16"/>
  <c r="V17" i="16"/>
  <c r="U17" i="16"/>
  <c r="T17" i="16"/>
  <c r="N17" i="16"/>
  <c r="R34" i="16" s="1"/>
  <c r="J17" i="16"/>
  <c r="W16" i="16"/>
  <c r="V16" i="16"/>
  <c r="U16" i="16"/>
  <c r="S16" i="16"/>
  <c r="R16" i="16"/>
  <c r="P16" i="16"/>
  <c r="N16" i="16"/>
  <c r="J16" i="16"/>
  <c r="B16" i="16"/>
  <c r="V15" i="16"/>
  <c r="U15" i="16"/>
  <c r="T15" i="16"/>
  <c r="R15" i="16"/>
  <c r="Q15" i="16"/>
  <c r="J15" i="16"/>
  <c r="V14" i="16"/>
  <c r="U14" i="16"/>
  <c r="T14" i="16"/>
  <c r="R14" i="16"/>
  <c r="Q14" i="16"/>
  <c r="J14" i="16"/>
  <c r="V13" i="16"/>
  <c r="U13" i="16"/>
  <c r="R13" i="16"/>
  <c r="Q13" i="16"/>
  <c r="J13" i="16"/>
  <c r="W12" i="16"/>
  <c r="V12" i="16"/>
  <c r="U12" i="16"/>
  <c r="T12" i="16"/>
  <c r="S12" i="16"/>
  <c r="X12" i="16" s="1"/>
  <c r="Y12" i="16" s="1"/>
  <c r="R12" i="16"/>
  <c r="J12" i="16"/>
  <c r="V11" i="16"/>
  <c r="U11" i="16"/>
  <c r="T11" i="16"/>
  <c r="S11" i="16"/>
  <c r="R11" i="16"/>
  <c r="Q11" i="16"/>
  <c r="J11" i="16"/>
  <c r="W10" i="16"/>
  <c r="V10" i="16"/>
  <c r="U10" i="16"/>
  <c r="T10" i="16"/>
  <c r="S10" i="16"/>
  <c r="R10" i="16"/>
  <c r="X10" i="16" s="1"/>
  <c r="Y10" i="16" s="1"/>
  <c r="AA10" i="16" s="1"/>
  <c r="D10" i="15" s="1"/>
  <c r="Q10" i="16"/>
  <c r="J10" i="16"/>
  <c r="W9" i="16"/>
  <c r="V9" i="16"/>
  <c r="U9" i="16"/>
  <c r="T9" i="16"/>
  <c r="S9" i="16"/>
  <c r="R9" i="16"/>
  <c r="Q9" i="16"/>
  <c r="J9" i="16"/>
  <c r="AA8" i="16"/>
  <c r="Y8" i="16"/>
  <c r="X8" i="16"/>
  <c r="W8" i="16"/>
  <c r="V8" i="16"/>
  <c r="U8" i="16"/>
  <c r="T8" i="16"/>
  <c r="S8" i="16"/>
  <c r="R8" i="16"/>
  <c r="Q8" i="16"/>
  <c r="D91" i="10"/>
  <c r="C91" i="10"/>
  <c r="E90" i="10"/>
  <c r="E89" i="10"/>
  <c r="E88" i="10"/>
  <c r="E87" i="10"/>
  <c r="E86" i="10"/>
  <c r="E85" i="10"/>
  <c r="E84" i="10"/>
  <c r="E83" i="10"/>
  <c r="E82" i="10"/>
  <c r="B82" i="10"/>
  <c r="E81" i="10"/>
  <c r="E80" i="10"/>
  <c r="E79" i="10"/>
  <c r="E78" i="10"/>
  <c r="E77" i="10"/>
  <c r="B77" i="10"/>
  <c r="E76" i="10"/>
  <c r="E75" i="10"/>
  <c r="E74" i="10"/>
  <c r="C74" i="15" s="1"/>
  <c r="E73" i="10"/>
  <c r="E72" i="10"/>
  <c r="B72" i="10"/>
  <c r="E71" i="10"/>
  <c r="E70" i="10"/>
  <c r="C70" i="15" s="1"/>
  <c r="E69" i="10"/>
  <c r="E68" i="10"/>
  <c r="E67" i="10"/>
  <c r="E66" i="10"/>
  <c r="C66" i="15" s="1"/>
  <c r="H65" i="10"/>
  <c r="E65" i="10"/>
  <c r="E91" i="10" s="1"/>
  <c r="D63" i="10"/>
  <c r="C63" i="10"/>
  <c r="E62" i="10"/>
  <c r="E61" i="10"/>
  <c r="E60" i="10"/>
  <c r="E59" i="10"/>
  <c r="E58" i="10"/>
  <c r="E57" i="10"/>
  <c r="E56" i="10"/>
  <c r="E55" i="10"/>
  <c r="E54" i="10"/>
  <c r="B54" i="10"/>
  <c r="E53" i="10"/>
  <c r="E52" i="10"/>
  <c r="E51" i="10"/>
  <c r="E50" i="10"/>
  <c r="E49" i="10"/>
  <c r="B49" i="10"/>
  <c r="E48" i="10"/>
  <c r="E47" i="10"/>
  <c r="E46" i="10"/>
  <c r="E45" i="10"/>
  <c r="C45" i="15" s="1"/>
  <c r="E44" i="10"/>
  <c r="B44" i="10"/>
  <c r="E43" i="10"/>
  <c r="E42" i="10"/>
  <c r="E41" i="10"/>
  <c r="E40" i="10"/>
  <c r="E39" i="10"/>
  <c r="E38" i="10"/>
  <c r="H37" i="10"/>
  <c r="E37" i="10"/>
  <c r="D35" i="10"/>
  <c r="C35" i="10"/>
  <c r="E34" i="10"/>
  <c r="E33" i="10"/>
  <c r="E32" i="10"/>
  <c r="C32" i="15" s="1"/>
  <c r="E31" i="10"/>
  <c r="E30" i="10"/>
  <c r="E29" i="10"/>
  <c r="E28" i="10"/>
  <c r="C28" i="15" s="1"/>
  <c r="E27" i="10"/>
  <c r="E26" i="10"/>
  <c r="B26" i="10"/>
  <c r="E25" i="10"/>
  <c r="C25" i="15" s="1"/>
  <c r="E24" i="10"/>
  <c r="C24" i="15" s="1"/>
  <c r="E23" i="10"/>
  <c r="E22" i="10"/>
  <c r="E21" i="10"/>
  <c r="B21" i="10"/>
  <c r="E20" i="10"/>
  <c r="E19" i="10"/>
  <c r="E18" i="10"/>
  <c r="E17" i="10"/>
  <c r="E16" i="10"/>
  <c r="B16" i="10"/>
  <c r="E15" i="10"/>
  <c r="E14" i="10"/>
  <c r="E13" i="10"/>
  <c r="C13" i="15" s="1"/>
  <c r="E12" i="10"/>
  <c r="E11" i="10"/>
  <c r="E10" i="10"/>
  <c r="H9" i="10"/>
  <c r="E9" i="10"/>
  <c r="C9" i="15" s="1"/>
  <c r="E8" i="10"/>
  <c r="D8" i="10"/>
  <c r="C6" i="10"/>
  <c r="C35" i="26"/>
  <c r="B26" i="26"/>
  <c r="B21" i="26"/>
  <c r="B16" i="26"/>
  <c r="C28" i="30"/>
  <c r="C24" i="30"/>
  <c r="C20" i="30"/>
  <c r="B13" i="30"/>
  <c r="U19" i="12" l="1"/>
  <c r="N73" i="16"/>
  <c r="N74" i="16" s="1"/>
  <c r="X11" i="16"/>
  <c r="Y11" i="16" s="1"/>
  <c r="AA11" i="16" s="1"/>
  <c r="D11" i="15" s="1"/>
  <c r="C10" i="15"/>
  <c r="G10" i="13"/>
  <c r="H10" i="13" s="1"/>
  <c r="C12" i="15"/>
  <c r="C14" i="15"/>
  <c r="C16" i="15"/>
  <c r="C18" i="15"/>
  <c r="C20" i="15"/>
  <c r="C22" i="15"/>
  <c r="C26" i="15"/>
  <c r="C30" i="15"/>
  <c r="C34" i="15"/>
  <c r="E35" i="10"/>
  <c r="S19" i="12" s="1"/>
  <c r="C39" i="15"/>
  <c r="C41" i="15"/>
  <c r="C43" i="15"/>
  <c r="C47" i="15"/>
  <c r="C49" i="15"/>
  <c r="C51" i="15"/>
  <c r="C53" i="15"/>
  <c r="C55" i="15"/>
  <c r="C57" i="15"/>
  <c r="C59" i="15"/>
  <c r="C61" i="15"/>
  <c r="C68" i="15"/>
  <c r="C72" i="15"/>
  <c r="C76" i="15"/>
  <c r="C78" i="15"/>
  <c r="C80" i="15"/>
  <c r="C82" i="15"/>
  <c r="C84" i="15"/>
  <c r="C86" i="15"/>
  <c r="C88" i="15"/>
  <c r="C90" i="15"/>
  <c r="X34" i="16"/>
  <c r="Y34" i="16" s="1"/>
  <c r="AA34" i="16" s="1"/>
  <c r="D34" i="15" s="1"/>
  <c r="U62" i="16"/>
  <c r="U58" i="16"/>
  <c r="U54" i="16"/>
  <c r="U50" i="16"/>
  <c r="U47" i="16"/>
  <c r="U40" i="16"/>
  <c r="U61" i="16"/>
  <c r="U57" i="16"/>
  <c r="U53" i="16"/>
  <c r="U48" i="16"/>
  <c r="U45" i="16"/>
  <c r="U43" i="16"/>
  <c r="U42" i="16"/>
  <c r="U39" i="16"/>
  <c r="U60" i="16"/>
  <c r="U56" i="16"/>
  <c r="U52" i="16"/>
  <c r="U49" i="16"/>
  <c r="U41" i="16"/>
  <c r="U37" i="16"/>
  <c r="U51" i="16"/>
  <c r="U55" i="16"/>
  <c r="R58" i="16"/>
  <c r="X58" i="16" s="1"/>
  <c r="Y58" i="16" s="1"/>
  <c r="AA58" i="16" s="1"/>
  <c r="D58" i="15" s="1"/>
  <c r="E9" i="15"/>
  <c r="E35" i="15" s="1"/>
  <c r="D35" i="12"/>
  <c r="F9" i="15"/>
  <c r="F35" i="15" s="1"/>
  <c r="E35" i="27"/>
  <c r="E63" i="27"/>
  <c r="I10" i="13"/>
  <c r="G10" i="15" s="1"/>
  <c r="C37" i="15"/>
  <c r="X40" i="16"/>
  <c r="Y40" i="16" s="1"/>
  <c r="AA40" i="16" s="1"/>
  <c r="D40" i="15" s="1"/>
  <c r="R61" i="16"/>
  <c r="X61" i="16" s="1"/>
  <c r="Y61" i="16" s="1"/>
  <c r="AA61" i="16" s="1"/>
  <c r="D61" i="15" s="1"/>
  <c r="R57" i="16"/>
  <c r="R53" i="16"/>
  <c r="R48" i="16"/>
  <c r="R45" i="16"/>
  <c r="X45" i="16" s="1"/>
  <c r="Y45" i="16" s="1"/>
  <c r="R43" i="16"/>
  <c r="X43" i="16" s="1"/>
  <c r="Y43" i="16" s="1"/>
  <c r="AA43" i="16" s="1"/>
  <c r="D43" i="15" s="1"/>
  <c r="R42" i="16"/>
  <c r="X42" i="16" s="1"/>
  <c r="Y42" i="16" s="1"/>
  <c r="AA42" i="16" s="1"/>
  <c r="D42" i="15" s="1"/>
  <c r="R39" i="16"/>
  <c r="X39" i="16" s="1"/>
  <c r="Y39" i="16" s="1"/>
  <c r="AA39" i="16" s="1"/>
  <c r="D39" i="15" s="1"/>
  <c r="R60" i="16"/>
  <c r="X60" i="16" s="1"/>
  <c r="Y60" i="16" s="1"/>
  <c r="R56" i="16"/>
  <c r="R52" i="16"/>
  <c r="R49" i="16"/>
  <c r="R41" i="16"/>
  <c r="X41" i="16" s="1"/>
  <c r="Y41" i="16" s="1"/>
  <c r="AA41" i="16" s="1"/>
  <c r="D41" i="15" s="1"/>
  <c r="R37" i="16"/>
  <c r="R59" i="16"/>
  <c r="R55" i="16"/>
  <c r="R51" i="16"/>
  <c r="X51" i="16" s="1"/>
  <c r="Y51" i="16" s="1"/>
  <c r="AA51" i="16" s="1"/>
  <c r="D51" i="15" s="1"/>
  <c r="R46" i="16"/>
  <c r="R44" i="16"/>
  <c r="R38" i="16"/>
  <c r="X38" i="16" s="1"/>
  <c r="Y38" i="16" s="1"/>
  <c r="AA38" i="16" s="1"/>
  <c r="D38" i="15" s="1"/>
  <c r="C65" i="15"/>
  <c r="W33" i="16"/>
  <c r="W29" i="16"/>
  <c r="W25" i="16"/>
  <c r="W20" i="16"/>
  <c r="W17" i="16"/>
  <c r="W15" i="16"/>
  <c r="W14" i="16"/>
  <c r="W35" i="16" s="1"/>
  <c r="W11" i="16"/>
  <c r="W32" i="16"/>
  <c r="W28" i="16"/>
  <c r="W24" i="16"/>
  <c r="W21" i="16"/>
  <c r="W13" i="16"/>
  <c r="W31" i="16"/>
  <c r="W27" i="16"/>
  <c r="W23" i="16"/>
  <c r="W18" i="16"/>
  <c r="U59" i="16"/>
  <c r="G35" i="12"/>
  <c r="C11" i="15"/>
  <c r="G11" i="13"/>
  <c r="H11" i="13" s="1"/>
  <c r="I11" i="13" s="1"/>
  <c r="G11" i="15" s="1"/>
  <c r="C15" i="15"/>
  <c r="C17" i="15"/>
  <c r="C19" i="15"/>
  <c r="C21" i="15"/>
  <c r="C23" i="15"/>
  <c r="C27" i="15"/>
  <c r="C31" i="15"/>
  <c r="C33" i="15"/>
  <c r="C38" i="15"/>
  <c r="G38" i="13"/>
  <c r="H38" i="13" s="1"/>
  <c r="I38" i="13" s="1"/>
  <c r="G38" i="15" s="1"/>
  <c r="C40" i="15"/>
  <c r="C42" i="15"/>
  <c r="G42" i="13"/>
  <c r="H42" i="13" s="1"/>
  <c r="I42" i="13" s="1"/>
  <c r="G42" i="15" s="1"/>
  <c r="C44" i="15"/>
  <c r="C46" i="15"/>
  <c r="C48" i="15"/>
  <c r="C50" i="15"/>
  <c r="C52" i="15"/>
  <c r="C54" i="15"/>
  <c r="C56" i="15"/>
  <c r="C58" i="15"/>
  <c r="G58" i="13"/>
  <c r="H58" i="13" s="1"/>
  <c r="I58" i="13" s="1"/>
  <c r="G58" i="15" s="1"/>
  <c r="C60" i="15"/>
  <c r="C62" i="15"/>
  <c r="E63" i="10"/>
  <c r="T19" i="12" s="1"/>
  <c r="C67" i="15"/>
  <c r="C69" i="15"/>
  <c r="C71" i="15"/>
  <c r="C73" i="15"/>
  <c r="C75" i="15"/>
  <c r="C77" i="15"/>
  <c r="C79" i="15"/>
  <c r="C81" i="15"/>
  <c r="C83" i="15"/>
  <c r="C85" i="15"/>
  <c r="C87" i="15"/>
  <c r="C89" i="15"/>
  <c r="X9" i="16"/>
  <c r="Q31" i="16"/>
  <c r="Q27" i="16"/>
  <c r="Q23" i="16"/>
  <c r="Q18" i="16"/>
  <c r="Q16" i="16"/>
  <c r="Q34" i="16"/>
  <c r="Q30" i="16"/>
  <c r="Q26" i="16"/>
  <c r="Q22" i="16"/>
  <c r="Q19" i="16"/>
  <c r="Q12" i="16"/>
  <c r="AA12" i="16" s="1"/>
  <c r="Q33" i="16"/>
  <c r="Q29" i="16"/>
  <c r="Q25" i="16"/>
  <c r="Q20" i="16"/>
  <c r="Q17" i="16"/>
  <c r="T32" i="16"/>
  <c r="T28" i="16"/>
  <c r="T24" i="16"/>
  <c r="T21" i="16"/>
  <c r="T13" i="16"/>
  <c r="T35" i="16" s="1"/>
  <c r="T31" i="16"/>
  <c r="T27" i="16"/>
  <c r="T23" i="16"/>
  <c r="T18" i="16"/>
  <c r="T16" i="16"/>
  <c r="X16" i="16" s="1"/>
  <c r="Y16" i="16" s="1"/>
  <c r="AA16" i="16" s="1"/>
  <c r="T34" i="16"/>
  <c r="T30" i="16"/>
  <c r="T26" i="16"/>
  <c r="T22" i="16"/>
  <c r="T19" i="16"/>
  <c r="W19" i="16"/>
  <c r="X23" i="16"/>
  <c r="Y23" i="16" s="1"/>
  <c r="AA23" i="16" s="1"/>
  <c r="D23" i="15" s="1"/>
  <c r="Q24" i="16"/>
  <c r="Q28" i="16"/>
  <c r="X31" i="16"/>
  <c r="Y31" i="16" s="1"/>
  <c r="AA31" i="16" s="1"/>
  <c r="D31" i="15" s="1"/>
  <c r="Q32" i="16"/>
  <c r="R47" i="16"/>
  <c r="R50" i="16"/>
  <c r="R54" i="16"/>
  <c r="X54" i="16" s="1"/>
  <c r="Y54" i="16" s="1"/>
  <c r="AA54" i="16" s="1"/>
  <c r="D54" i="15" s="1"/>
  <c r="F63" i="15"/>
  <c r="E35" i="13"/>
  <c r="E63" i="15"/>
  <c r="D18" i="22"/>
  <c r="E18" i="24"/>
  <c r="S18" i="16"/>
  <c r="X18" i="16" s="1"/>
  <c r="Y18" i="16" s="1"/>
  <c r="AA18" i="16" s="1"/>
  <c r="S23" i="16"/>
  <c r="R24" i="16"/>
  <c r="S27" i="16"/>
  <c r="X27" i="16" s="1"/>
  <c r="Y27" i="16" s="1"/>
  <c r="AA27" i="16" s="1"/>
  <c r="R28" i="16"/>
  <c r="X28" i="16" s="1"/>
  <c r="Y28" i="16" s="1"/>
  <c r="AA28" i="16" s="1"/>
  <c r="D28" i="15" s="1"/>
  <c r="V28" i="16"/>
  <c r="U29" i="16"/>
  <c r="S31" i="16"/>
  <c r="R32" i="16"/>
  <c r="X32" i="16" s="1"/>
  <c r="Y32" i="16" s="1"/>
  <c r="AA32" i="16" s="1"/>
  <c r="D32" i="15" s="1"/>
  <c r="V32" i="16"/>
  <c r="U33" i="16"/>
  <c r="T48" i="16"/>
  <c r="W50" i="16"/>
  <c r="T53" i="16"/>
  <c r="W54" i="16"/>
  <c r="Q56" i="16"/>
  <c r="T57" i="16"/>
  <c r="S58" i="16"/>
  <c r="W58" i="16"/>
  <c r="V59" i="16"/>
  <c r="Q60" i="16"/>
  <c r="T61" i="16"/>
  <c r="S62" i="16"/>
  <c r="X62" i="16" s="1"/>
  <c r="Y62" i="16" s="1"/>
  <c r="AA62" i="16" s="1"/>
  <c r="W62" i="16"/>
  <c r="T81" i="16"/>
  <c r="T86" i="16"/>
  <c r="V88" i="16"/>
  <c r="T90" i="16"/>
  <c r="E91" i="13"/>
  <c r="S13" i="16"/>
  <c r="X13" i="16" s="1"/>
  <c r="Y13" i="16" s="1"/>
  <c r="AA13" i="16" s="1"/>
  <c r="R17" i="16"/>
  <c r="R20" i="16"/>
  <c r="S21" i="16"/>
  <c r="X21" i="16" s="1"/>
  <c r="Y21" i="16" s="1"/>
  <c r="AA21" i="16" s="1"/>
  <c r="U22" i="16"/>
  <c r="U35" i="16" s="1"/>
  <c r="S24" i="16"/>
  <c r="R25" i="16"/>
  <c r="V25" i="16"/>
  <c r="V35" i="16" s="1"/>
  <c r="U26" i="16"/>
  <c r="S28" i="16"/>
  <c r="R29" i="16"/>
  <c r="V29" i="16"/>
  <c r="U30" i="16"/>
  <c r="S32" i="16"/>
  <c r="R33" i="16"/>
  <c r="V33" i="16"/>
  <c r="U34" i="16"/>
  <c r="T40" i="16"/>
  <c r="W44" i="16"/>
  <c r="Q45" i="16"/>
  <c r="Q63" i="16" s="1"/>
  <c r="S46" i="16"/>
  <c r="S63" i="16" s="1"/>
  <c r="W46" i="16"/>
  <c r="T47" i="16"/>
  <c r="Q48" i="16"/>
  <c r="T50" i="16"/>
  <c r="S51" i="16"/>
  <c r="W51" i="16"/>
  <c r="V52" i="16"/>
  <c r="V63" i="16" s="1"/>
  <c r="Q53" i="16"/>
  <c r="T54" i="16"/>
  <c r="S55" i="16"/>
  <c r="W55" i="16"/>
  <c r="V56" i="16"/>
  <c r="Q57" i="16"/>
  <c r="T58" i="16"/>
  <c r="S59" i="16"/>
  <c r="W59" i="16"/>
  <c r="V60" i="16"/>
  <c r="Q61" i="16"/>
  <c r="T62" i="16"/>
  <c r="T80" i="16"/>
  <c r="V82" i="16"/>
  <c r="V91" i="16" s="1"/>
  <c r="T83" i="16"/>
  <c r="V85" i="16"/>
  <c r="T87" i="16"/>
  <c r="V89" i="16"/>
  <c r="E63" i="13"/>
  <c r="E10" i="24"/>
  <c r="D10" i="22"/>
  <c r="S14" i="16"/>
  <c r="S15" i="16"/>
  <c r="X15" i="16" s="1"/>
  <c r="Y15" i="16" s="1"/>
  <c r="AA15" i="16" s="1"/>
  <c r="D15" i="15" s="1"/>
  <c r="S17" i="16"/>
  <c r="R19" i="16"/>
  <c r="S20" i="16"/>
  <c r="R22" i="16"/>
  <c r="X22" i="16" s="1"/>
  <c r="Y22" i="16" s="1"/>
  <c r="AA22" i="16" s="1"/>
  <c r="D22" i="15" s="1"/>
  <c r="V22" i="16"/>
  <c r="U23" i="16"/>
  <c r="S25" i="16"/>
  <c r="R26" i="16"/>
  <c r="X26" i="16" s="1"/>
  <c r="Y26" i="16" s="1"/>
  <c r="AA26" i="16" s="1"/>
  <c r="D26" i="15" s="1"/>
  <c r="V26" i="16"/>
  <c r="U27" i="16"/>
  <c r="S29" i="16"/>
  <c r="R30" i="16"/>
  <c r="X30" i="16" s="1"/>
  <c r="Y30" i="16" s="1"/>
  <c r="AA30" i="16" s="1"/>
  <c r="D30" i="15" s="1"/>
  <c r="V30" i="16"/>
  <c r="T38" i="16"/>
  <c r="W41" i="16"/>
  <c r="W63" i="16" s="1"/>
  <c r="T44" i="16"/>
  <c r="T63" i="16" s="1"/>
  <c r="T46" i="16"/>
  <c r="Q47" i="16"/>
  <c r="S49" i="16"/>
  <c r="W49" i="16"/>
  <c r="Q50" i="16"/>
  <c r="T51" i="16"/>
  <c r="S52" i="16"/>
  <c r="W52" i="16"/>
  <c r="V53" i="16"/>
  <c r="Q54" i="16"/>
  <c r="T55" i="16"/>
  <c r="S56" i="16"/>
  <c r="W56" i="16"/>
  <c r="V57" i="16"/>
  <c r="Q58" i="16"/>
  <c r="T77" i="16"/>
  <c r="T91" i="16" s="1"/>
  <c r="T79" i="16"/>
  <c r="T84" i="16"/>
  <c r="V86" i="16"/>
  <c r="F91" i="15"/>
  <c r="E91" i="27"/>
  <c r="E11" i="24"/>
  <c r="D11" i="22"/>
  <c r="E15" i="24"/>
  <c r="D15" i="22"/>
  <c r="E21" i="24"/>
  <c r="D21" i="22"/>
  <c r="E25" i="24"/>
  <c r="D25" i="22"/>
  <c r="E19" i="24"/>
  <c r="D19" i="22"/>
  <c r="E29" i="24"/>
  <c r="D29" i="22"/>
  <c r="E33" i="24"/>
  <c r="D33" i="22"/>
  <c r="E16" i="24"/>
  <c r="D16" i="22"/>
  <c r="F35" i="18"/>
  <c r="I11" i="28" s="1"/>
  <c r="G9" i="19"/>
  <c r="E13" i="24"/>
  <c r="D13" i="22"/>
  <c r="E23" i="24"/>
  <c r="D23" i="22"/>
  <c r="E14" i="24"/>
  <c r="D14" i="22"/>
  <c r="E17" i="24"/>
  <c r="D17" i="22"/>
  <c r="E27" i="24"/>
  <c r="D27" i="22"/>
  <c r="E31" i="24"/>
  <c r="D31" i="22"/>
  <c r="E22" i="24"/>
  <c r="D22" i="22"/>
  <c r="E24" i="24"/>
  <c r="D24" i="22"/>
  <c r="E26" i="24"/>
  <c r="D26" i="22"/>
  <c r="E28" i="24"/>
  <c r="D28" i="22"/>
  <c r="E30" i="24"/>
  <c r="D30" i="22"/>
  <c r="E32" i="24"/>
  <c r="D32" i="22"/>
  <c r="E34" i="24"/>
  <c r="D34" i="22"/>
  <c r="I9" i="28"/>
  <c r="I12" i="28" s="1"/>
  <c r="B29" i="29"/>
  <c r="B52" i="29"/>
  <c r="B72" i="29"/>
  <c r="A2" i="26" s="1"/>
  <c r="B92" i="29"/>
  <c r="B132" i="29"/>
  <c r="M15" i="12" s="1"/>
  <c r="B156" i="29"/>
  <c r="F7" i="13" s="1"/>
  <c r="B192" i="29"/>
  <c r="B1" i="6" s="1"/>
  <c r="B76" i="29"/>
  <c r="D7" i="26" s="1"/>
  <c r="B116" i="29"/>
  <c r="Z6" i="16" s="1"/>
  <c r="B140" i="29"/>
  <c r="M25" i="12" s="1"/>
  <c r="B196" i="29"/>
  <c r="F7" i="6" s="1"/>
  <c r="B216" i="29"/>
  <c r="G7" i="22" s="1"/>
  <c r="B180" i="29"/>
  <c r="H38" i="19" s="1"/>
  <c r="B227" i="29"/>
  <c r="B37" i="24" s="1"/>
  <c r="B223" i="29"/>
  <c r="G7" i="24" s="1"/>
  <c r="B219" i="29"/>
  <c r="C7" i="24" s="1"/>
  <c r="B215" i="29"/>
  <c r="F7" i="22" s="1"/>
  <c r="B211" i="29"/>
  <c r="B1" i="22" s="1"/>
  <c r="B207" i="29"/>
  <c r="F3" i="21" s="1"/>
  <c r="B203" i="29"/>
  <c r="I16" i="6" s="1"/>
  <c r="B199" i="29"/>
  <c r="I11" i="6" s="1"/>
  <c r="B195" i="29"/>
  <c r="E7" i="6" s="1"/>
  <c r="B191" i="29"/>
  <c r="C14" i="28" s="1"/>
  <c r="B187" i="29"/>
  <c r="C9" i="28" s="1"/>
  <c r="B183" i="29"/>
  <c r="C5" i="28" s="1"/>
  <c r="B179" i="29"/>
  <c r="B38" i="19" s="1"/>
  <c r="B175" i="29"/>
  <c r="G7" i="19" s="1"/>
  <c r="B171" i="29"/>
  <c r="C7" i="19" s="1"/>
  <c r="B167" i="29"/>
  <c r="B1" i="18" s="1"/>
  <c r="B163" i="29"/>
  <c r="E7" i="15" s="1"/>
  <c r="B159" i="29"/>
  <c r="I7" i="13" s="1"/>
  <c r="B155" i="29"/>
  <c r="E7" i="13" s="1"/>
  <c r="B151" i="29"/>
  <c r="H11" i="27" s="1"/>
  <c r="B147" i="29"/>
  <c r="E7" i="27" s="1"/>
  <c r="B143" i="29"/>
  <c r="L30" i="12" s="1"/>
  <c r="B139" i="29"/>
  <c r="M24" i="12" s="1"/>
  <c r="B135" i="29"/>
  <c r="M19" i="12" s="1"/>
  <c r="B131" i="29"/>
  <c r="M14" i="12" s="1"/>
  <c r="B127" i="29"/>
  <c r="M10" i="12" s="1"/>
  <c r="B123" i="29"/>
  <c r="B119" i="29"/>
  <c r="AA5" i="16" s="1"/>
  <c r="B115" i="29"/>
  <c r="Y7" i="16" s="1"/>
  <c r="B111" i="29"/>
  <c r="M48" i="16" s="1"/>
  <c r="B107" i="29"/>
  <c r="B103" i="29"/>
  <c r="L72" i="16" s="1"/>
  <c r="B91" i="29"/>
  <c r="B87" i="29"/>
  <c r="C3" i="16" s="1"/>
  <c r="B83" i="29"/>
  <c r="E6" i="10" s="1"/>
  <c r="B75" i="29"/>
  <c r="C7" i="26" s="1"/>
  <c r="B71" i="29"/>
  <c r="B67" i="29"/>
  <c r="C46" i="30" s="1"/>
  <c r="B63" i="29"/>
  <c r="B59" i="29"/>
  <c r="B55" i="29"/>
  <c r="B51" i="29"/>
  <c r="B226" i="29"/>
  <c r="I6" i="24" s="1"/>
  <c r="B222" i="29"/>
  <c r="F7" i="24" s="1"/>
  <c r="B214" i="29"/>
  <c r="E7" i="22" s="1"/>
  <c r="B210" i="29"/>
  <c r="B7" i="21" s="1"/>
  <c r="B206" i="29"/>
  <c r="E3" i="21" s="1"/>
  <c r="B202" i="29"/>
  <c r="I15" i="6" s="1"/>
  <c r="B198" i="29"/>
  <c r="I10" i="6" s="1"/>
  <c r="B194" i="29"/>
  <c r="D7" i="6" s="1"/>
  <c r="B190" i="29"/>
  <c r="C13" i="28" s="1"/>
  <c r="B186" i="29"/>
  <c r="C8" i="28" s="1"/>
  <c r="B182" i="29"/>
  <c r="C4" i="28" s="1"/>
  <c r="B178" i="29"/>
  <c r="I6" i="19" s="1"/>
  <c r="B174" i="29"/>
  <c r="F7" i="19" s="1"/>
  <c r="B170" i="29"/>
  <c r="B1" i="19" s="1"/>
  <c r="B166" i="29"/>
  <c r="H7" i="15" s="1"/>
  <c r="B162" i="29"/>
  <c r="D7" i="15" s="1"/>
  <c r="B158" i="29"/>
  <c r="H7" i="13" s="1"/>
  <c r="B154" i="29"/>
  <c r="D7" i="13" s="1"/>
  <c r="B150" i="29"/>
  <c r="H10" i="27" s="1"/>
  <c r="B146" i="29"/>
  <c r="D7" i="27" s="1"/>
  <c r="B142" i="29"/>
  <c r="V7" i="12" s="1"/>
  <c r="B138" i="29"/>
  <c r="M22" i="12" s="1"/>
  <c r="B134" i="29"/>
  <c r="M18" i="12" s="1"/>
  <c r="B130" i="29"/>
  <c r="M13" i="12" s="1"/>
  <c r="B126" i="29"/>
  <c r="M9" i="12" s="1"/>
  <c r="B122" i="29"/>
  <c r="B118" i="29"/>
  <c r="Q3" i="16" s="1"/>
  <c r="B114" i="29"/>
  <c r="X7" i="16" s="1"/>
  <c r="B106" i="29"/>
  <c r="B102" i="29"/>
  <c r="L71" i="16" s="1"/>
  <c r="B98" i="29"/>
  <c r="B94" i="29"/>
  <c r="B90" i="29"/>
  <c r="B82" i="29"/>
  <c r="D7" i="10" s="1"/>
  <c r="B78" i="29"/>
  <c r="B36" i="26" s="1"/>
  <c r="B74" i="29"/>
  <c r="B6" i="26" s="1"/>
  <c r="B66" i="29"/>
  <c r="C45" i="30" s="1"/>
  <c r="B62" i="29"/>
  <c r="B58" i="29"/>
  <c r="B54" i="29"/>
  <c r="B50" i="29"/>
  <c r="B46" i="29"/>
  <c r="B42" i="29"/>
  <c r="B38" i="29"/>
  <c r="B34" i="29"/>
  <c r="B30" i="29"/>
  <c r="B26" i="29"/>
  <c r="C30" i="30" s="1"/>
  <c r="B13" i="29"/>
  <c r="B14" i="30" s="1"/>
  <c r="G13" i="29"/>
  <c r="B17" i="29"/>
  <c r="C21" i="30" s="1"/>
  <c r="B21" i="29"/>
  <c r="C25" i="30" s="1"/>
  <c r="B25" i="29"/>
  <c r="C29" i="30" s="1"/>
  <c r="B31" i="29"/>
  <c r="B36" i="29"/>
  <c r="B41" i="29"/>
  <c r="B47" i="29"/>
  <c r="B53" i="29"/>
  <c r="B61" i="29"/>
  <c r="B69" i="29"/>
  <c r="F70" i="29"/>
  <c r="B77" i="29"/>
  <c r="E8" i="26" s="1"/>
  <c r="B81" i="29"/>
  <c r="C7" i="10" s="1"/>
  <c r="F86" i="29"/>
  <c r="B93" i="29"/>
  <c r="D96" i="29"/>
  <c r="B96" i="29" s="1"/>
  <c r="L38" i="16" s="1"/>
  <c r="G97" i="29"/>
  <c r="D100" i="29"/>
  <c r="B100" i="29" s="1"/>
  <c r="L41" i="16" s="1"/>
  <c r="G101" i="29"/>
  <c r="D108" i="29"/>
  <c r="B108" i="29" s="1"/>
  <c r="G109" i="29"/>
  <c r="E111" i="29"/>
  <c r="B117" i="29"/>
  <c r="AA6" i="16" s="1"/>
  <c r="B121" i="29"/>
  <c r="G125" i="29"/>
  <c r="B133" i="29"/>
  <c r="M16" i="12" s="1"/>
  <c r="B141" i="29"/>
  <c r="M27" i="12" s="1"/>
  <c r="B145" i="29"/>
  <c r="C7" i="27" s="1"/>
  <c r="D152" i="29"/>
  <c r="B152" i="29" s="1"/>
  <c r="B1" i="13" s="1"/>
  <c r="B157" i="29"/>
  <c r="G7" i="13" s="1"/>
  <c r="B161" i="29"/>
  <c r="C7" i="15" s="1"/>
  <c r="E167" i="29"/>
  <c r="F170" i="29"/>
  <c r="D172" i="29"/>
  <c r="B172" i="29" s="1"/>
  <c r="D7" i="19" s="1"/>
  <c r="G173" i="29"/>
  <c r="B181" i="29"/>
  <c r="B1" i="28" s="1"/>
  <c r="B185" i="29"/>
  <c r="C7" i="28" s="1"/>
  <c r="D192" i="29"/>
  <c r="B197" i="29"/>
  <c r="G7" i="6" s="1"/>
  <c r="D204" i="29"/>
  <c r="B204" i="29" s="1"/>
  <c r="B1" i="21" s="1"/>
  <c r="D208" i="29"/>
  <c r="B208" i="29" s="1"/>
  <c r="B4" i="21" s="1"/>
  <c r="E211" i="29"/>
  <c r="B217" i="29"/>
  <c r="G6" i="22" s="1"/>
  <c r="B221" i="29"/>
  <c r="E7" i="24" s="1"/>
  <c r="B10" i="29"/>
  <c r="E1" i="30" s="1"/>
  <c r="B14" i="29"/>
  <c r="C17" i="30" s="1"/>
  <c r="B18" i="29"/>
  <c r="C22" i="30" s="1"/>
  <c r="B22" i="29"/>
  <c r="C26" i="30" s="1"/>
  <c r="B27" i="29"/>
  <c r="C31" i="30" s="1"/>
  <c r="B32" i="29"/>
  <c r="B37" i="29"/>
  <c r="B43" i="29"/>
  <c r="B48" i="29"/>
  <c r="B56" i="29"/>
  <c r="B64" i="29"/>
  <c r="F69" i="29"/>
  <c r="D71" i="29"/>
  <c r="F73" i="29"/>
  <c r="D79" i="29"/>
  <c r="B79" i="29" s="1"/>
  <c r="B1" i="10" s="1"/>
  <c r="B84" i="29"/>
  <c r="H6" i="10" s="1"/>
  <c r="B88" i="29"/>
  <c r="D95" i="29"/>
  <c r="B95" i="29" s="1"/>
  <c r="L10" i="16" s="1"/>
  <c r="G96" i="29"/>
  <c r="D99" i="29"/>
  <c r="B99" i="29" s="1"/>
  <c r="L13" i="16" s="1"/>
  <c r="G100" i="29"/>
  <c r="B104" i="29"/>
  <c r="L73" i="16" s="1"/>
  <c r="G108" i="29"/>
  <c r="E110" i="29"/>
  <c r="F113" i="29"/>
  <c r="B124" i="29"/>
  <c r="B6" i="12" s="1"/>
  <c r="B128" i="29"/>
  <c r="M11" i="12" s="1"/>
  <c r="B136" i="29"/>
  <c r="M20" i="12" s="1"/>
  <c r="B148" i="29"/>
  <c r="H7" i="27" s="1"/>
  <c r="G152" i="29"/>
  <c r="B164" i="29"/>
  <c r="F7" i="15" s="1"/>
  <c r="B168" i="29"/>
  <c r="C6" i="18" s="1"/>
  <c r="D171" i="29"/>
  <c r="G172" i="29"/>
  <c r="B176" i="29"/>
  <c r="H7" i="19" s="1"/>
  <c r="F181" i="29"/>
  <c r="B188" i="29"/>
  <c r="C11" i="28" s="1"/>
  <c r="G192" i="29"/>
  <c r="B200" i="29"/>
  <c r="I12" i="6" s="1"/>
  <c r="G204" i="29"/>
  <c r="G208" i="29"/>
  <c r="B212" i="29"/>
  <c r="C7" i="22" s="1"/>
  <c r="B224" i="29"/>
  <c r="H7" i="24" s="1"/>
  <c r="D218" i="29"/>
  <c r="B218" i="29" s="1"/>
  <c r="B1" i="24" s="1"/>
  <c r="G211" i="29"/>
  <c r="F208" i="29"/>
  <c r="F204" i="29"/>
  <c r="F192" i="29"/>
  <c r="E181" i="29"/>
  <c r="E173" i="29"/>
  <c r="F172" i="29"/>
  <c r="G171" i="29"/>
  <c r="D170" i="29"/>
  <c r="G167" i="29"/>
  <c r="F160" i="29"/>
  <c r="F152" i="29"/>
  <c r="F144" i="29"/>
  <c r="E125" i="29"/>
  <c r="F120" i="29"/>
  <c r="E113" i="29"/>
  <c r="F112" i="29"/>
  <c r="G111" i="29"/>
  <c r="D110" i="29"/>
  <c r="B110" i="29" s="1"/>
  <c r="E109" i="29"/>
  <c r="F108" i="29"/>
  <c r="E101" i="29"/>
  <c r="F100" i="29"/>
  <c r="G99" i="29"/>
  <c r="E97" i="29"/>
  <c r="F96" i="29"/>
  <c r="G95" i="29"/>
  <c r="D86" i="29"/>
  <c r="B86" i="29" s="1"/>
  <c r="B1" i="16" s="1"/>
  <c r="P1" i="16" s="1"/>
  <c r="G79" i="29"/>
  <c r="E73" i="29"/>
  <c r="G71" i="29"/>
  <c r="D70" i="29"/>
  <c r="B70" i="29" s="1"/>
  <c r="E69" i="29"/>
  <c r="G218" i="29"/>
  <c r="F211" i="29"/>
  <c r="E208" i="29"/>
  <c r="E204" i="29"/>
  <c r="E192" i="29"/>
  <c r="D181" i="29"/>
  <c r="D173" i="29"/>
  <c r="B173" i="29" s="1"/>
  <c r="E7" i="19" s="1"/>
  <c r="E172" i="29"/>
  <c r="F171" i="29"/>
  <c r="G170" i="29"/>
  <c r="F167" i="29"/>
  <c r="E160" i="29"/>
  <c r="E152" i="29"/>
  <c r="E144" i="29"/>
  <c r="D125" i="29"/>
  <c r="E120" i="29"/>
  <c r="D113" i="29"/>
  <c r="B113" i="29" s="1"/>
  <c r="M81" i="16" s="1"/>
  <c r="E112" i="29"/>
  <c r="F111" i="29"/>
  <c r="G110" i="29"/>
  <c r="D109" i="29"/>
  <c r="E108" i="29"/>
  <c r="D101" i="29"/>
  <c r="B101" i="29" s="1"/>
  <c r="L69" i="16" s="1"/>
  <c r="E100" i="29"/>
  <c r="F99" i="29"/>
  <c r="D97" i="29"/>
  <c r="E96" i="29"/>
  <c r="F95" i="29"/>
  <c r="G86" i="29"/>
  <c r="F79" i="29"/>
  <c r="D73" i="29"/>
  <c r="B73" i="29" s="1"/>
  <c r="A3" i="26" s="1"/>
  <c r="F71" i="29"/>
  <c r="G70" i="29"/>
  <c r="D69" i="29"/>
  <c r="B11" i="29"/>
  <c r="E2" i="30" s="1"/>
  <c r="E13" i="29"/>
  <c r="B15" i="29"/>
  <c r="C19" i="30" s="1"/>
  <c r="B19" i="29"/>
  <c r="C23" i="30" s="1"/>
  <c r="B23" i="29"/>
  <c r="C27" i="30" s="1"/>
  <c r="B28" i="29"/>
  <c r="B33" i="29"/>
  <c r="B39" i="29"/>
  <c r="B44" i="29"/>
  <c r="B49" i="29"/>
  <c r="B57" i="29"/>
  <c r="B65" i="29"/>
  <c r="C44" i="30" s="1"/>
  <c r="G69" i="29"/>
  <c r="E71" i="29"/>
  <c r="G73" i="29"/>
  <c r="E79" i="29"/>
  <c r="B85" i="29"/>
  <c r="H8" i="10" s="1"/>
  <c r="B89" i="29"/>
  <c r="E95" i="29"/>
  <c r="B97" i="29"/>
  <c r="L66" i="16" s="1"/>
  <c r="E99" i="29"/>
  <c r="B105" i="29"/>
  <c r="L74" i="16" s="1"/>
  <c r="B109" i="29"/>
  <c r="M20" i="16" s="1"/>
  <c r="F110" i="29"/>
  <c r="D112" i="29"/>
  <c r="B112" i="29" s="1"/>
  <c r="G113" i="29"/>
  <c r="D120" i="29"/>
  <c r="B120" i="29" s="1"/>
  <c r="B1" i="12" s="1"/>
  <c r="B125" i="29"/>
  <c r="L3" i="12" s="1"/>
  <c r="B129" i="29"/>
  <c r="M12" i="12" s="1"/>
  <c r="B137" i="29"/>
  <c r="M21" i="12" s="1"/>
  <c r="D144" i="29"/>
  <c r="B144" i="29" s="1"/>
  <c r="B1" i="27" s="1"/>
  <c r="B149" i="29"/>
  <c r="H9" i="27" s="1"/>
  <c r="B153" i="29"/>
  <c r="C7" i="13" s="1"/>
  <c r="D160" i="29"/>
  <c r="B160" i="29" s="1"/>
  <c r="B1" i="15" s="1"/>
  <c r="B165" i="29"/>
  <c r="G7" i="15" s="1"/>
  <c r="B169" i="29"/>
  <c r="F6" i="18" s="1"/>
  <c r="E171" i="29"/>
  <c r="B177" i="29"/>
  <c r="I7" i="19" s="1"/>
  <c r="G181" i="29"/>
  <c r="B189" i="29"/>
  <c r="C12" i="28" s="1"/>
  <c r="B193" i="29"/>
  <c r="C7" i="6" s="1"/>
  <c r="B201" i="29"/>
  <c r="I14" i="6" s="1"/>
  <c r="B205" i="29"/>
  <c r="D3" i="21" s="1"/>
  <c r="B209" i="29"/>
  <c r="B5" i="21" s="1"/>
  <c r="B213" i="29"/>
  <c r="D7" i="22" s="1"/>
  <c r="F218" i="29"/>
  <c r="B225" i="29"/>
  <c r="I7" i="24" s="1"/>
  <c r="D62" i="15" l="1"/>
  <c r="G62" i="13"/>
  <c r="H62" i="13" s="1"/>
  <c r="I62" i="13" s="1"/>
  <c r="G62" i="15" s="1"/>
  <c r="M82" i="16"/>
  <c r="M80" i="16"/>
  <c r="A37" i="15"/>
  <c r="A37" i="13"/>
  <c r="F3" i="12"/>
  <c r="AB37" i="16"/>
  <c r="A37" i="27"/>
  <c r="A37" i="16"/>
  <c r="A37" i="10"/>
  <c r="M19" i="16"/>
  <c r="M21" i="16"/>
  <c r="D13" i="15"/>
  <c r="G13" i="13"/>
  <c r="H13" i="13" s="1"/>
  <c r="I13" i="13" s="1"/>
  <c r="G13" i="15" s="1"/>
  <c r="D12" i="15"/>
  <c r="H12" i="15" s="1"/>
  <c r="C12" i="19" s="1"/>
  <c r="G12" i="13"/>
  <c r="H12" i="13" s="1"/>
  <c r="I12" i="13" s="1"/>
  <c r="G12" i="15" s="1"/>
  <c r="M49" i="16"/>
  <c r="M47" i="16"/>
  <c r="D21" i="15"/>
  <c r="H21" i="15" s="1"/>
  <c r="C21" i="19" s="1"/>
  <c r="G21" i="13"/>
  <c r="H21" i="13" s="1"/>
  <c r="I21" i="13" s="1"/>
  <c r="G21" i="15" s="1"/>
  <c r="H28" i="15"/>
  <c r="C28" i="19" s="1"/>
  <c r="D18" i="15"/>
  <c r="H18" i="15" s="1"/>
  <c r="C18" i="19" s="1"/>
  <c r="G18" i="13"/>
  <c r="H18" i="13" s="1"/>
  <c r="I18" i="13" s="1"/>
  <c r="G18" i="15" s="1"/>
  <c r="D16" i="15"/>
  <c r="G16" i="13"/>
  <c r="H16" i="13" s="1"/>
  <c r="I16" i="13" s="1"/>
  <c r="G16" i="15" s="1"/>
  <c r="H16" i="15" s="1"/>
  <c r="C16" i="19" s="1"/>
  <c r="D27" i="15"/>
  <c r="H27" i="15" s="1"/>
  <c r="C27" i="19" s="1"/>
  <c r="G27" i="13"/>
  <c r="H27" i="13" s="1"/>
  <c r="I27" i="13" s="1"/>
  <c r="G27" i="15" s="1"/>
  <c r="H37" i="27"/>
  <c r="H65" i="27"/>
  <c r="B25" i="24"/>
  <c r="B25" i="22"/>
  <c r="B25" i="6"/>
  <c r="B25" i="18"/>
  <c r="B25" i="19"/>
  <c r="B53" i="15"/>
  <c r="B81" i="15"/>
  <c r="B25" i="15"/>
  <c r="B25" i="13"/>
  <c r="B53" i="13"/>
  <c r="B81" i="13"/>
  <c r="B53" i="16"/>
  <c r="B25" i="27"/>
  <c r="B25" i="16"/>
  <c r="B53" i="27"/>
  <c r="B25" i="12"/>
  <c r="P81" i="16"/>
  <c r="B81" i="16"/>
  <c r="P53" i="16"/>
  <c r="B81" i="27"/>
  <c r="B81" i="10"/>
  <c r="B25" i="10"/>
  <c r="B25" i="26"/>
  <c r="P25" i="16"/>
  <c r="B53" i="10"/>
  <c r="B24" i="24"/>
  <c r="B24" i="6"/>
  <c r="B52" i="15"/>
  <c r="B24" i="18"/>
  <c r="B80" i="15"/>
  <c r="B24" i="13"/>
  <c r="B24" i="22"/>
  <c r="B52" i="13"/>
  <c r="B24" i="19"/>
  <c r="B80" i="13"/>
  <c r="B52" i="27"/>
  <c r="P24" i="16"/>
  <c r="B24" i="15"/>
  <c r="B80" i="27"/>
  <c r="B24" i="12"/>
  <c r="P80" i="16"/>
  <c r="B80" i="16"/>
  <c r="B52" i="16"/>
  <c r="B24" i="16"/>
  <c r="B52" i="10"/>
  <c r="B24" i="26"/>
  <c r="B24" i="27"/>
  <c r="B24" i="10"/>
  <c r="P52" i="16"/>
  <c r="B80" i="10"/>
  <c r="B22" i="24"/>
  <c r="B22" i="22"/>
  <c r="B22" i="6"/>
  <c r="B78" i="15"/>
  <c r="B22" i="18"/>
  <c r="B50" i="13"/>
  <c r="B22" i="19"/>
  <c r="B50" i="15"/>
  <c r="B22" i="15"/>
  <c r="B78" i="13"/>
  <c r="B50" i="27"/>
  <c r="B50" i="16"/>
  <c r="B22" i="13"/>
  <c r="B78" i="27"/>
  <c r="B78" i="16"/>
  <c r="P50" i="16"/>
  <c r="B22" i="16"/>
  <c r="P78" i="16"/>
  <c r="P22" i="16"/>
  <c r="B22" i="12"/>
  <c r="B50" i="10"/>
  <c r="B22" i="26"/>
  <c r="B22" i="10"/>
  <c r="B22" i="27"/>
  <c r="B78" i="10"/>
  <c r="M76" i="16"/>
  <c r="M43" i="16"/>
  <c r="M15" i="16"/>
  <c r="J7" i="12"/>
  <c r="D7" i="12"/>
  <c r="G7" i="12"/>
  <c r="A65" i="15"/>
  <c r="A65" i="16"/>
  <c r="A65" i="27"/>
  <c r="A65" i="13"/>
  <c r="AB65" i="16"/>
  <c r="I3" i="12"/>
  <c r="A65" i="10"/>
  <c r="AA60" i="16"/>
  <c r="AA45" i="16"/>
  <c r="G41" i="13"/>
  <c r="H41" i="13" s="1"/>
  <c r="I41" i="13" s="1"/>
  <c r="G41" i="15" s="1"/>
  <c r="B18" i="24"/>
  <c r="B18" i="6"/>
  <c r="B74" i="15"/>
  <c r="B18" i="18"/>
  <c r="B18" i="22"/>
  <c r="B18" i="19"/>
  <c r="B46" i="15"/>
  <c r="B46" i="13"/>
  <c r="B18" i="15"/>
  <c r="B74" i="13"/>
  <c r="B46" i="27"/>
  <c r="P46" i="16"/>
  <c r="B18" i="16"/>
  <c r="B74" i="27"/>
  <c r="P18" i="16"/>
  <c r="B18" i="13"/>
  <c r="B18" i="27"/>
  <c r="B74" i="16"/>
  <c r="B46" i="10"/>
  <c r="B18" i="26"/>
  <c r="B18" i="10"/>
  <c r="B18" i="12"/>
  <c r="B46" i="16"/>
  <c r="P74" i="16"/>
  <c r="B74" i="10"/>
  <c r="D8" i="6"/>
  <c r="D11" i="28"/>
  <c r="D8" i="22"/>
  <c r="C8" i="18"/>
  <c r="E8" i="24"/>
  <c r="F8" i="18"/>
  <c r="E8" i="18"/>
  <c r="G8" i="19"/>
  <c r="D8" i="18"/>
  <c r="C8" i="10"/>
  <c r="B27" i="24"/>
  <c r="B27" i="22"/>
  <c r="B27" i="6"/>
  <c r="B27" i="18"/>
  <c r="B27" i="19"/>
  <c r="B83" i="15"/>
  <c r="B83" i="13"/>
  <c r="B55" i="15"/>
  <c r="B27" i="15"/>
  <c r="B27" i="13"/>
  <c r="B83" i="16"/>
  <c r="P55" i="16"/>
  <c r="B27" i="27"/>
  <c r="P83" i="16"/>
  <c r="P27" i="16"/>
  <c r="B55" i="27"/>
  <c r="B55" i="16"/>
  <c r="B55" i="13"/>
  <c r="B83" i="27"/>
  <c r="B83" i="10"/>
  <c r="B27" i="10"/>
  <c r="B27" i="26"/>
  <c r="B27" i="12"/>
  <c r="B27" i="16"/>
  <c r="B55" i="10"/>
  <c r="I8" i="24"/>
  <c r="C8" i="24"/>
  <c r="C8" i="6"/>
  <c r="C8" i="22"/>
  <c r="I8" i="19"/>
  <c r="W7" i="16"/>
  <c r="I7" i="16"/>
  <c r="F8" i="24"/>
  <c r="D8" i="24"/>
  <c r="G8" i="22"/>
  <c r="H8" i="24"/>
  <c r="F8" i="22"/>
  <c r="D12" i="28"/>
  <c r="H8" i="19"/>
  <c r="G8" i="24"/>
  <c r="G8" i="6"/>
  <c r="D13" i="28"/>
  <c r="C4" i="21"/>
  <c r="F8" i="6"/>
  <c r="I8" i="16"/>
  <c r="E8" i="16"/>
  <c r="I8" i="10"/>
  <c r="H8" i="16"/>
  <c r="D8" i="16"/>
  <c r="G8" i="16"/>
  <c r="C8" i="16"/>
  <c r="J8" i="16"/>
  <c r="F8" i="16"/>
  <c r="T7" i="16"/>
  <c r="F7" i="16"/>
  <c r="J14" i="6"/>
  <c r="X14" i="16"/>
  <c r="Y14" i="16" s="1"/>
  <c r="AA14" i="16" s="1"/>
  <c r="X33" i="16"/>
  <c r="Y33" i="16" s="1"/>
  <c r="AA33" i="16" s="1"/>
  <c r="X25" i="16"/>
  <c r="Y25" i="16" s="1"/>
  <c r="AA25" i="16" s="1"/>
  <c r="X50" i="16"/>
  <c r="Y50" i="16" s="1"/>
  <c r="AA50" i="16" s="1"/>
  <c r="Y9" i="16"/>
  <c r="H58" i="15"/>
  <c r="D30" i="19" s="1"/>
  <c r="H42" i="15"/>
  <c r="D14" i="19" s="1"/>
  <c r="G31" i="13"/>
  <c r="H31" i="13" s="1"/>
  <c r="I31" i="13" s="1"/>
  <c r="G31" i="15" s="1"/>
  <c r="C91" i="15"/>
  <c r="X48" i="16"/>
  <c r="Y48" i="16" s="1"/>
  <c r="AA48" i="16" s="1"/>
  <c r="G32" i="13"/>
  <c r="H32" i="13" s="1"/>
  <c r="I32" i="13" s="1"/>
  <c r="G32" i="15" s="1"/>
  <c r="H32" i="15" s="1"/>
  <c r="C32" i="19" s="1"/>
  <c r="H41" i="15"/>
  <c r="D13" i="19" s="1"/>
  <c r="L76" i="16"/>
  <c r="L43" i="16"/>
  <c r="B6" i="16"/>
  <c r="L15" i="16"/>
  <c r="P6" i="16"/>
  <c r="B14" i="24"/>
  <c r="B14" i="6"/>
  <c r="B14" i="22"/>
  <c r="B70" i="15"/>
  <c r="B14" i="18"/>
  <c r="B42" i="13"/>
  <c r="B14" i="15"/>
  <c r="B70" i="13"/>
  <c r="B14" i="19"/>
  <c r="B14" i="13"/>
  <c r="B42" i="27"/>
  <c r="B42" i="16"/>
  <c r="B70" i="27"/>
  <c r="P70" i="16"/>
  <c r="B14" i="16"/>
  <c r="P42" i="16"/>
  <c r="P14" i="16"/>
  <c r="B14" i="12"/>
  <c r="B70" i="16"/>
  <c r="B42" i="10"/>
  <c r="B14" i="26"/>
  <c r="B42" i="15"/>
  <c r="B14" i="27"/>
  <c r="B70" i="10"/>
  <c r="B14" i="10"/>
  <c r="B6" i="24"/>
  <c r="E3" i="28"/>
  <c r="B6" i="22"/>
  <c r="B5" i="18"/>
  <c r="B6" i="19"/>
  <c r="B5" i="12"/>
  <c r="B6" i="13"/>
  <c r="O8" i="12"/>
  <c r="B6" i="27"/>
  <c r="B5" i="16"/>
  <c r="P5" i="16"/>
  <c r="B5" i="10"/>
  <c r="B13" i="24"/>
  <c r="B13" i="6"/>
  <c r="B13" i="18"/>
  <c r="B13" i="19"/>
  <c r="B41" i="15"/>
  <c r="B13" i="15"/>
  <c r="B41" i="13"/>
  <c r="B69" i="15"/>
  <c r="B69" i="13"/>
  <c r="P13" i="16"/>
  <c r="B13" i="13"/>
  <c r="B13" i="27"/>
  <c r="B13" i="12"/>
  <c r="B69" i="16"/>
  <c r="B41" i="27"/>
  <c r="P69" i="16"/>
  <c r="B41" i="16"/>
  <c r="P41" i="16"/>
  <c r="B13" i="16"/>
  <c r="B69" i="10"/>
  <c r="B13" i="10"/>
  <c r="B13" i="26"/>
  <c r="B69" i="27"/>
  <c r="B41" i="10"/>
  <c r="B13" i="22"/>
  <c r="V7" i="16"/>
  <c r="H7" i="16"/>
  <c r="B34" i="24"/>
  <c r="B34" i="22"/>
  <c r="B34" i="6"/>
  <c r="B90" i="15"/>
  <c r="B34" i="18"/>
  <c r="B62" i="15"/>
  <c r="B62" i="13"/>
  <c r="B34" i="15"/>
  <c r="B90" i="13"/>
  <c r="B34" i="19"/>
  <c r="B62" i="27"/>
  <c r="B90" i="16"/>
  <c r="B34" i="16"/>
  <c r="B34" i="13"/>
  <c r="B90" i="27"/>
  <c r="P62" i="16"/>
  <c r="P90" i="16"/>
  <c r="P34" i="16"/>
  <c r="B34" i="27"/>
  <c r="B62" i="16"/>
  <c r="B62" i="10"/>
  <c r="B34" i="26"/>
  <c r="B34" i="10"/>
  <c r="B34" i="12"/>
  <c r="B90" i="10"/>
  <c r="B12" i="24"/>
  <c r="B12" i="22"/>
  <c r="B12" i="6"/>
  <c r="B40" i="15"/>
  <c r="B12" i="18"/>
  <c r="B68" i="15"/>
  <c r="B12" i="19"/>
  <c r="B40" i="13"/>
  <c r="B40" i="27"/>
  <c r="P68" i="16"/>
  <c r="B12" i="16"/>
  <c r="B68" i="13"/>
  <c r="B68" i="27"/>
  <c r="P40" i="16"/>
  <c r="B12" i="13"/>
  <c r="B68" i="16"/>
  <c r="B12" i="12"/>
  <c r="B12" i="15"/>
  <c r="P12" i="16"/>
  <c r="B40" i="10"/>
  <c r="B12" i="26"/>
  <c r="B12" i="27"/>
  <c r="B40" i="16"/>
  <c r="B68" i="10"/>
  <c r="B12" i="10"/>
  <c r="B15" i="24"/>
  <c r="B15" i="6"/>
  <c r="B15" i="22"/>
  <c r="B15" i="18"/>
  <c r="B15" i="19"/>
  <c r="B71" i="15"/>
  <c r="B43" i="15"/>
  <c r="B71" i="13"/>
  <c r="B15" i="15"/>
  <c r="B15" i="13"/>
  <c r="B15" i="16"/>
  <c r="B15" i="27"/>
  <c r="B43" i="13"/>
  <c r="B43" i="27"/>
  <c r="B71" i="16"/>
  <c r="P43" i="16"/>
  <c r="B71" i="27"/>
  <c r="B43" i="16"/>
  <c r="B71" i="10"/>
  <c r="B15" i="10"/>
  <c r="B15" i="26"/>
  <c r="B15" i="12"/>
  <c r="P71" i="16"/>
  <c r="P15" i="16"/>
  <c r="B43" i="10"/>
  <c r="B31" i="24"/>
  <c r="B31" i="22"/>
  <c r="B31" i="6"/>
  <c r="B31" i="18"/>
  <c r="B31" i="19"/>
  <c r="B87" i="15"/>
  <c r="B87" i="13"/>
  <c r="B59" i="15"/>
  <c r="B31" i="15"/>
  <c r="B31" i="13"/>
  <c r="P59" i="16"/>
  <c r="B31" i="27"/>
  <c r="P87" i="16"/>
  <c r="P31" i="16"/>
  <c r="B59" i="27"/>
  <c r="B59" i="16"/>
  <c r="B31" i="12"/>
  <c r="B87" i="10"/>
  <c r="B31" i="10"/>
  <c r="B31" i="26"/>
  <c r="B87" i="16"/>
  <c r="B59" i="13"/>
  <c r="B87" i="27"/>
  <c r="B31" i="16"/>
  <c r="B59" i="10"/>
  <c r="L67" i="16"/>
  <c r="L39" i="16"/>
  <c r="L11" i="16"/>
  <c r="D7" i="28"/>
  <c r="C7" i="21"/>
  <c r="C5" i="21"/>
  <c r="D14" i="28"/>
  <c r="N24" i="12"/>
  <c r="N13" i="12"/>
  <c r="N25" i="12"/>
  <c r="N27" i="12"/>
  <c r="X19" i="16"/>
  <c r="Y19" i="16" s="1"/>
  <c r="AA19" i="16" s="1"/>
  <c r="X17" i="16"/>
  <c r="Y17" i="16" s="1"/>
  <c r="AA17" i="16" s="1"/>
  <c r="X24" i="16"/>
  <c r="Y24" i="16" s="1"/>
  <c r="AA24" i="16" s="1"/>
  <c r="X47" i="16"/>
  <c r="Y47" i="16" s="1"/>
  <c r="AA47" i="16" s="1"/>
  <c r="G15" i="13"/>
  <c r="H15" i="13" s="1"/>
  <c r="I15" i="13" s="1"/>
  <c r="G15" i="15" s="1"/>
  <c r="H15" i="15" s="1"/>
  <c r="C15" i="19" s="1"/>
  <c r="H11" i="15"/>
  <c r="C11" i="19" s="1"/>
  <c r="X44" i="16"/>
  <c r="Y44" i="16" s="1"/>
  <c r="AA44" i="16" s="1"/>
  <c r="X59" i="16"/>
  <c r="Y59" i="16" s="1"/>
  <c r="AA59" i="16" s="1"/>
  <c r="X52" i="16"/>
  <c r="Y52" i="16" s="1"/>
  <c r="AA52" i="16" s="1"/>
  <c r="X53" i="16"/>
  <c r="Y53" i="16" s="1"/>
  <c r="AA53" i="16" s="1"/>
  <c r="G39" i="13"/>
  <c r="H39" i="13" s="1"/>
  <c r="I39" i="13" s="1"/>
  <c r="G39" i="15" s="1"/>
  <c r="H39" i="15" s="1"/>
  <c r="D11" i="19" s="1"/>
  <c r="H34" i="15"/>
  <c r="C34" i="19" s="1"/>
  <c r="G22" i="13"/>
  <c r="H22" i="13" s="1"/>
  <c r="I22" i="13" s="1"/>
  <c r="G22" i="15" s="1"/>
  <c r="Q35" i="16"/>
  <c r="N79" i="16"/>
  <c r="N77" i="16"/>
  <c r="N83" i="16"/>
  <c r="N81" i="16"/>
  <c r="N78" i="16"/>
  <c r="F7" i="12"/>
  <c r="I7" i="12"/>
  <c r="C7" i="12"/>
  <c r="A9" i="15"/>
  <c r="A9" i="27"/>
  <c r="C3" i="12"/>
  <c r="A9" i="13"/>
  <c r="AB9" i="16"/>
  <c r="A9" i="16"/>
  <c r="A9" i="10"/>
  <c r="B23" i="24"/>
  <c r="B23" i="22"/>
  <c r="B23" i="6"/>
  <c r="B23" i="18"/>
  <c r="B79" i="15"/>
  <c r="B23" i="19"/>
  <c r="B79" i="13"/>
  <c r="B51" i="15"/>
  <c r="B23" i="15"/>
  <c r="B23" i="13"/>
  <c r="B51" i="13"/>
  <c r="P79" i="16"/>
  <c r="P51" i="16"/>
  <c r="B23" i="27"/>
  <c r="B23" i="12"/>
  <c r="P23" i="16"/>
  <c r="B51" i="27"/>
  <c r="B51" i="16"/>
  <c r="B79" i="10"/>
  <c r="B23" i="10"/>
  <c r="B23" i="26"/>
  <c r="B79" i="27"/>
  <c r="B79" i="16"/>
  <c r="B23" i="16"/>
  <c r="B51" i="10"/>
  <c r="B8" i="24"/>
  <c r="B8" i="22"/>
  <c r="C3" i="21"/>
  <c r="B8" i="6"/>
  <c r="D3" i="28"/>
  <c r="B8" i="19"/>
  <c r="B8" i="18"/>
  <c r="B8" i="15"/>
  <c r="B8" i="13"/>
  <c r="B8" i="27"/>
  <c r="B8" i="12"/>
  <c r="N8" i="12"/>
  <c r="B8" i="10"/>
  <c r="P8" i="16"/>
  <c r="B8" i="16"/>
  <c r="S7" i="16"/>
  <c r="E7" i="16"/>
  <c r="B5" i="22"/>
  <c r="B6" i="6"/>
  <c r="B5" i="24"/>
  <c r="B4" i="18"/>
  <c r="B5" i="19"/>
  <c r="B6" i="15"/>
  <c r="B4" i="12"/>
  <c r="B5" i="13"/>
  <c r="P4" i="16"/>
  <c r="B4" i="10"/>
  <c r="B4" i="16"/>
  <c r="B5" i="27"/>
  <c r="H39" i="27"/>
  <c r="H67" i="27"/>
  <c r="B10" i="24"/>
  <c r="B10" i="22"/>
  <c r="B66" i="15"/>
  <c r="B10" i="18"/>
  <c r="B10" i="19"/>
  <c r="B38" i="13"/>
  <c r="B38" i="15"/>
  <c r="B10" i="15"/>
  <c r="B66" i="13"/>
  <c r="B10" i="6"/>
  <c r="B10" i="13"/>
  <c r="B38" i="27"/>
  <c r="P38" i="16"/>
  <c r="B66" i="27"/>
  <c r="B10" i="27"/>
  <c r="B66" i="16"/>
  <c r="B10" i="12"/>
  <c r="B10" i="16"/>
  <c r="B38" i="16"/>
  <c r="P10" i="16"/>
  <c r="B38" i="10"/>
  <c r="B10" i="26"/>
  <c r="B10" i="10"/>
  <c r="P66" i="16"/>
  <c r="B66" i="10"/>
  <c r="E9" i="24"/>
  <c r="E35" i="24" s="1"/>
  <c r="D9" i="22"/>
  <c r="D35" i="22" s="1"/>
  <c r="G35" i="19"/>
  <c r="G54" i="13"/>
  <c r="H54" i="13" s="1"/>
  <c r="I54" i="13" s="1"/>
  <c r="G54" i="15" s="1"/>
  <c r="H31" i="15"/>
  <c r="C31" i="19" s="1"/>
  <c r="G30" i="13"/>
  <c r="H30" i="13" s="1"/>
  <c r="I30" i="13" s="1"/>
  <c r="G30" i="15" s="1"/>
  <c r="H30" i="15" s="1"/>
  <c r="C30" i="19" s="1"/>
  <c r="B20" i="24"/>
  <c r="B20" i="22"/>
  <c r="B20" i="6"/>
  <c r="B48" i="15"/>
  <c r="B20" i="18"/>
  <c r="B76" i="15"/>
  <c r="B20" i="19"/>
  <c r="B20" i="13"/>
  <c r="B48" i="13"/>
  <c r="B48" i="27"/>
  <c r="B20" i="15"/>
  <c r="B76" i="13"/>
  <c r="B76" i="27"/>
  <c r="B20" i="12"/>
  <c r="P76" i="16"/>
  <c r="P48" i="16"/>
  <c r="B48" i="16"/>
  <c r="P20" i="16"/>
  <c r="B48" i="10"/>
  <c r="B20" i="26"/>
  <c r="B76" i="10"/>
  <c r="B20" i="10"/>
  <c r="B20" i="27"/>
  <c r="B76" i="16"/>
  <c r="B20" i="16"/>
  <c r="J7" i="16"/>
  <c r="D8" i="26"/>
  <c r="B17" i="24"/>
  <c r="B17" i="22"/>
  <c r="B17" i="6"/>
  <c r="B17" i="18"/>
  <c r="B17" i="19"/>
  <c r="B45" i="15"/>
  <c r="B17" i="15"/>
  <c r="B45" i="13"/>
  <c r="B73" i="15"/>
  <c r="B73" i="13"/>
  <c r="B17" i="13"/>
  <c r="B17" i="27"/>
  <c r="B45" i="16"/>
  <c r="B45" i="27"/>
  <c r="P73" i="16"/>
  <c r="B73" i="16"/>
  <c r="P45" i="16"/>
  <c r="B73" i="27"/>
  <c r="B17" i="16"/>
  <c r="B17" i="12"/>
  <c r="P17" i="16"/>
  <c r="B73" i="10"/>
  <c r="B17" i="10"/>
  <c r="B17" i="26"/>
  <c r="B45" i="10"/>
  <c r="B11" i="24"/>
  <c r="B11" i="6"/>
  <c r="B11" i="18"/>
  <c r="B11" i="19"/>
  <c r="B67" i="15"/>
  <c r="B11" i="22"/>
  <c r="B67" i="13"/>
  <c r="B39" i="15"/>
  <c r="B11" i="15"/>
  <c r="B39" i="27"/>
  <c r="B67" i="16"/>
  <c r="B67" i="27"/>
  <c r="B11" i="12"/>
  <c r="P67" i="16"/>
  <c r="B39" i="16"/>
  <c r="B39" i="13"/>
  <c r="B11" i="27"/>
  <c r="P39" i="16"/>
  <c r="B11" i="13"/>
  <c r="B67" i="10"/>
  <c r="B11" i="10"/>
  <c r="B11" i="26"/>
  <c r="B11" i="16"/>
  <c r="P11" i="16"/>
  <c r="B39" i="10"/>
  <c r="N15" i="16"/>
  <c r="N76" i="16"/>
  <c r="N43" i="16"/>
  <c r="J5" i="12"/>
  <c r="G5" i="12"/>
  <c r="D5" i="12"/>
  <c r="U7" i="16"/>
  <c r="G7" i="16"/>
  <c r="X29" i="16"/>
  <c r="Y29" i="16" s="1"/>
  <c r="AA29" i="16" s="1"/>
  <c r="X20" i="16"/>
  <c r="Y20" i="16" s="1"/>
  <c r="AA20" i="16" s="1"/>
  <c r="G28" i="13"/>
  <c r="H28" i="13" s="1"/>
  <c r="I28" i="13" s="1"/>
  <c r="G28" i="15" s="1"/>
  <c r="H62" i="15"/>
  <c r="D34" i="19" s="1"/>
  <c r="H54" i="15"/>
  <c r="D26" i="19" s="1"/>
  <c r="H38" i="15"/>
  <c r="D10" i="19" s="1"/>
  <c r="X55" i="16"/>
  <c r="Y55" i="16" s="1"/>
  <c r="AA55" i="16" s="1"/>
  <c r="X49" i="16"/>
  <c r="Y49" i="16" s="1"/>
  <c r="AA49" i="16" s="1"/>
  <c r="C63" i="15"/>
  <c r="R35" i="16"/>
  <c r="G61" i="13"/>
  <c r="H61" i="13" s="1"/>
  <c r="I61" i="13" s="1"/>
  <c r="G61" i="15" s="1"/>
  <c r="H61" i="15" s="1"/>
  <c r="D33" i="19" s="1"/>
  <c r="G34" i="13"/>
  <c r="H34" i="13" s="1"/>
  <c r="I34" i="13" s="1"/>
  <c r="G34" i="15" s="1"/>
  <c r="S35" i="16"/>
  <c r="R7" i="16"/>
  <c r="D7" i="16"/>
  <c r="B30" i="24"/>
  <c r="B30" i="22"/>
  <c r="B30" i="6"/>
  <c r="B86" i="15"/>
  <c r="B30" i="18"/>
  <c r="B58" i="15"/>
  <c r="B30" i="19"/>
  <c r="B58" i="13"/>
  <c r="B30" i="15"/>
  <c r="B86" i="13"/>
  <c r="B58" i="27"/>
  <c r="B30" i="12"/>
  <c r="B86" i="16"/>
  <c r="B30" i="16"/>
  <c r="B30" i="13"/>
  <c r="B86" i="27"/>
  <c r="P58" i="16"/>
  <c r="P86" i="16"/>
  <c r="P30" i="16"/>
  <c r="B58" i="16"/>
  <c r="B58" i="10"/>
  <c r="B30" i="26"/>
  <c r="B30" i="10"/>
  <c r="B30" i="27"/>
  <c r="B86" i="10"/>
  <c r="B9" i="24"/>
  <c r="B9" i="6"/>
  <c r="B9" i="18"/>
  <c r="B9" i="22"/>
  <c r="B9" i="19"/>
  <c r="B37" i="15"/>
  <c r="B9" i="15"/>
  <c r="B65" i="15"/>
  <c r="B37" i="13"/>
  <c r="B65" i="13"/>
  <c r="B37" i="27"/>
  <c r="B9" i="27"/>
  <c r="B9" i="12"/>
  <c r="B65" i="16"/>
  <c r="B9" i="13"/>
  <c r="B65" i="27"/>
  <c r="B37" i="16"/>
  <c r="P65" i="16"/>
  <c r="P37" i="16"/>
  <c r="P9" i="16"/>
  <c r="B37" i="10"/>
  <c r="B9" i="26"/>
  <c r="B9" i="16"/>
  <c r="B65" i="10"/>
  <c r="B9" i="10"/>
  <c r="Q7" i="16"/>
  <c r="C7" i="16"/>
  <c r="B29" i="24"/>
  <c r="B29" i="22"/>
  <c r="B29" i="6"/>
  <c r="B29" i="18"/>
  <c r="B29" i="19"/>
  <c r="B57" i="15"/>
  <c r="B85" i="15"/>
  <c r="B29" i="15"/>
  <c r="B29" i="13"/>
  <c r="B57" i="13"/>
  <c r="B85" i="13"/>
  <c r="B29" i="12"/>
  <c r="B57" i="16"/>
  <c r="B29" i="27"/>
  <c r="B85" i="16"/>
  <c r="B29" i="16"/>
  <c r="B57" i="27"/>
  <c r="P57" i="16"/>
  <c r="P29" i="16"/>
  <c r="B85" i="27"/>
  <c r="P85" i="16"/>
  <c r="B85" i="10"/>
  <c r="B29" i="10"/>
  <c r="B29" i="26"/>
  <c r="B57" i="10"/>
  <c r="B28" i="24"/>
  <c r="B28" i="22"/>
  <c r="B28" i="6"/>
  <c r="B56" i="15"/>
  <c r="B28" i="18"/>
  <c r="B84" i="15"/>
  <c r="B28" i="19"/>
  <c r="B28" i="13"/>
  <c r="B56" i="13"/>
  <c r="B56" i="27"/>
  <c r="B28" i="12"/>
  <c r="P84" i="16"/>
  <c r="P28" i="16"/>
  <c r="B28" i="15"/>
  <c r="B84" i="27"/>
  <c r="B56" i="16"/>
  <c r="B84" i="16"/>
  <c r="B28" i="16"/>
  <c r="B28" i="27"/>
  <c r="B56" i="10"/>
  <c r="B28" i="26"/>
  <c r="B28" i="10"/>
  <c r="P56" i="16"/>
  <c r="B84" i="13"/>
  <c r="B84" i="10"/>
  <c r="B19" i="24"/>
  <c r="B19" i="22"/>
  <c r="B19" i="6"/>
  <c r="B19" i="18"/>
  <c r="B19" i="19"/>
  <c r="B75" i="15"/>
  <c r="B75" i="13"/>
  <c r="B47" i="15"/>
  <c r="B19" i="15"/>
  <c r="B19" i="13"/>
  <c r="B75" i="16"/>
  <c r="B47" i="13"/>
  <c r="B19" i="27"/>
  <c r="P47" i="16"/>
  <c r="B47" i="16"/>
  <c r="B47" i="27"/>
  <c r="B19" i="12"/>
  <c r="P75" i="16"/>
  <c r="P19" i="16"/>
  <c r="B19" i="16"/>
  <c r="B75" i="27"/>
  <c r="B75" i="10"/>
  <c r="B19" i="10"/>
  <c r="B19" i="26"/>
  <c r="B47" i="10"/>
  <c r="B35" i="24"/>
  <c r="B35" i="22"/>
  <c r="B35" i="6"/>
  <c r="B35" i="18"/>
  <c r="B35" i="19"/>
  <c r="B91" i="15"/>
  <c r="B91" i="13"/>
  <c r="B35" i="15"/>
  <c r="B35" i="13"/>
  <c r="B35" i="27"/>
  <c r="P63" i="16"/>
  <c r="B63" i="15"/>
  <c r="B63" i="27"/>
  <c r="P91" i="16"/>
  <c r="B63" i="16"/>
  <c r="P35" i="16"/>
  <c r="B63" i="13"/>
  <c r="B91" i="27"/>
  <c r="B35" i="12"/>
  <c r="B91" i="10"/>
  <c r="B35" i="10"/>
  <c r="B35" i="26"/>
  <c r="B35" i="16"/>
  <c r="B91" i="16"/>
  <c r="B63" i="10"/>
  <c r="H38" i="27"/>
  <c r="H66" i="27"/>
  <c r="B32" i="24"/>
  <c r="B32" i="6"/>
  <c r="B60" i="15"/>
  <c r="B32" i="22"/>
  <c r="B32" i="18"/>
  <c r="B88" i="15"/>
  <c r="B32" i="13"/>
  <c r="B60" i="13"/>
  <c r="B60" i="27"/>
  <c r="P88" i="16"/>
  <c r="P32" i="16"/>
  <c r="B88" i="27"/>
  <c r="B60" i="16"/>
  <c r="B32" i="19"/>
  <c r="B32" i="15"/>
  <c r="B88" i="16"/>
  <c r="B32" i="16"/>
  <c r="B88" i="13"/>
  <c r="B32" i="12"/>
  <c r="B60" i="10"/>
  <c r="B32" i="26"/>
  <c r="B32" i="27"/>
  <c r="B32" i="10"/>
  <c r="P60" i="16"/>
  <c r="B88" i="10"/>
  <c r="B33" i="24"/>
  <c r="B33" i="22"/>
  <c r="B33" i="6"/>
  <c r="B33" i="18"/>
  <c r="B33" i="19"/>
  <c r="B61" i="15"/>
  <c r="B33" i="15"/>
  <c r="B33" i="13"/>
  <c r="B89" i="15"/>
  <c r="B61" i="13"/>
  <c r="B89" i="13"/>
  <c r="B61" i="16"/>
  <c r="B33" i="27"/>
  <c r="B89" i="16"/>
  <c r="B33" i="16"/>
  <c r="B61" i="27"/>
  <c r="P61" i="16"/>
  <c r="P33" i="16"/>
  <c r="P89" i="16"/>
  <c r="B89" i="10"/>
  <c r="B33" i="10"/>
  <c r="B33" i="26"/>
  <c r="B89" i="27"/>
  <c r="B33" i="12"/>
  <c r="B61" i="10"/>
  <c r="G40" i="13"/>
  <c r="H40" i="13" s="1"/>
  <c r="I40" i="13" s="1"/>
  <c r="G40" i="15" s="1"/>
  <c r="H40" i="15" s="1"/>
  <c r="D12" i="19" s="1"/>
  <c r="G23" i="13"/>
  <c r="H23" i="13" s="1"/>
  <c r="I23" i="13" s="1"/>
  <c r="G23" i="15" s="1"/>
  <c r="H23" i="15" s="1"/>
  <c r="C23" i="19" s="1"/>
  <c r="C35" i="15"/>
  <c r="X46" i="16"/>
  <c r="Y46" i="16" s="1"/>
  <c r="AA46" i="16" s="1"/>
  <c r="R63" i="16"/>
  <c r="X37" i="16"/>
  <c r="X56" i="16"/>
  <c r="Y56" i="16" s="1"/>
  <c r="AA56" i="16" s="1"/>
  <c r="X57" i="16"/>
  <c r="Y57" i="16" s="1"/>
  <c r="AA57" i="16" s="1"/>
  <c r="U63" i="16"/>
  <c r="G51" i="13"/>
  <c r="H51" i="13" s="1"/>
  <c r="I51" i="13" s="1"/>
  <c r="G51" i="15" s="1"/>
  <c r="H51" i="15" s="1"/>
  <c r="D23" i="19" s="1"/>
  <c r="G43" i="13"/>
  <c r="H43" i="13" s="1"/>
  <c r="I43" i="13" s="1"/>
  <c r="G43" i="15" s="1"/>
  <c r="H43" i="15" s="1"/>
  <c r="D15" i="19" s="1"/>
  <c r="G26" i="13"/>
  <c r="H26" i="13" s="1"/>
  <c r="I26" i="13" s="1"/>
  <c r="G26" i="15" s="1"/>
  <c r="H26" i="15" s="1"/>
  <c r="C26" i="19" s="1"/>
  <c r="H22" i="15"/>
  <c r="C22" i="19" s="1"/>
  <c r="H10" i="15"/>
  <c r="C10" i="19" s="1"/>
  <c r="D29" i="15" l="1"/>
  <c r="G29" i="13"/>
  <c r="H29" i="13" s="1"/>
  <c r="I29" i="13" s="1"/>
  <c r="G29" i="15" s="1"/>
  <c r="Q87" i="16"/>
  <c r="Q83" i="16"/>
  <c r="Q80" i="16"/>
  <c r="Q72" i="16"/>
  <c r="Q70" i="16"/>
  <c r="Q67" i="16"/>
  <c r="Q90" i="16"/>
  <c r="Q86" i="16"/>
  <c r="Q81" i="16"/>
  <c r="Q78" i="16"/>
  <c r="Q76" i="16"/>
  <c r="Q75" i="16"/>
  <c r="Q73" i="16"/>
  <c r="Q69" i="16"/>
  <c r="Q65" i="16"/>
  <c r="Q89" i="16"/>
  <c r="Q85" i="16"/>
  <c r="Q82" i="16"/>
  <c r="Q74" i="16"/>
  <c r="Q71" i="16"/>
  <c r="Q66" i="16"/>
  <c r="Q79" i="16"/>
  <c r="Q77" i="16"/>
  <c r="Q68" i="16"/>
  <c r="Q88" i="16"/>
  <c r="Q84" i="16"/>
  <c r="D48" i="15"/>
  <c r="G48" i="13"/>
  <c r="H48" i="13" s="1"/>
  <c r="I48" i="13" s="1"/>
  <c r="G48" i="15" s="1"/>
  <c r="D14" i="15"/>
  <c r="G14" i="13"/>
  <c r="H14" i="13" s="1"/>
  <c r="I14" i="13" s="1"/>
  <c r="G14" i="15" s="1"/>
  <c r="X63" i="16"/>
  <c r="Y37" i="16"/>
  <c r="D55" i="15"/>
  <c r="G55" i="13"/>
  <c r="H55" i="13" s="1"/>
  <c r="I55" i="13" s="1"/>
  <c r="G55" i="15" s="1"/>
  <c r="D17" i="15"/>
  <c r="H17" i="15" s="1"/>
  <c r="C17" i="19" s="1"/>
  <c r="G17" i="13"/>
  <c r="H17" i="13" s="1"/>
  <c r="I17" i="13" s="1"/>
  <c r="G17" i="15" s="1"/>
  <c r="D50" i="15"/>
  <c r="G50" i="13"/>
  <c r="H50" i="13" s="1"/>
  <c r="I50" i="13" s="1"/>
  <c r="G50" i="15" s="1"/>
  <c r="U87" i="16"/>
  <c r="U83" i="16"/>
  <c r="U80" i="16"/>
  <c r="U72" i="16"/>
  <c r="U70" i="16"/>
  <c r="U67" i="16"/>
  <c r="U90" i="16"/>
  <c r="U86" i="16"/>
  <c r="U81" i="16"/>
  <c r="U78" i="16"/>
  <c r="U76" i="16"/>
  <c r="U75" i="16"/>
  <c r="U73" i="16"/>
  <c r="U69" i="16"/>
  <c r="U65" i="16"/>
  <c r="U89" i="16"/>
  <c r="U85" i="16"/>
  <c r="U82" i="16"/>
  <c r="U74" i="16"/>
  <c r="U71" i="16"/>
  <c r="U66" i="16"/>
  <c r="U88" i="16"/>
  <c r="U84" i="16"/>
  <c r="U77" i="16"/>
  <c r="U68" i="16"/>
  <c r="U79" i="16"/>
  <c r="D44" i="15"/>
  <c r="G44" i="13"/>
  <c r="H44" i="13" s="1"/>
  <c r="I44" i="13" s="1"/>
  <c r="G44" i="15" s="1"/>
  <c r="D19" i="15"/>
  <c r="G19" i="13"/>
  <c r="H19" i="13" s="1"/>
  <c r="I19" i="13" s="1"/>
  <c r="G19" i="15" s="1"/>
  <c r="D25" i="15"/>
  <c r="G25" i="13"/>
  <c r="H25" i="13" s="1"/>
  <c r="I25" i="13" s="1"/>
  <c r="G25" i="15" s="1"/>
  <c r="H13" i="15"/>
  <c r="C13" i="19" s="1"/>
  <c r="D56" i="15"/>
  <c r="G56" i="13"/>
  <c r="H56" i="13" s="1"/>
  <c r="I56" i="13" s="1"/>
  <c r="G56" i="15" s="1"/>
  <c r="D49" i="15"/>
  <c r="G49" i="13"/>
  <c r="H49" i="13" s="1"/>
  <c r="I49" i="13" s="1"/>
  <c r="G49" i="15" s="1"/>
  <c r="D52" i="15"/>
  <c r="H52" i="15" s="1"/>
  <c r="D24" i="19" s="1"/>
  <c r="G52" i="13"/>
  <c r="H52" i="13" s="1"/>
  <c r="I52" i="13" s="1"/>
  <c r="G52" i="15" s="1"/>
  <c r="D24" i="15"/>
  <c r="G24" i="13"/>
  <c r="H24" i="13" s="1"/>
  <c r="I24" i="13" s="1"/>
  <c r="G24" i="15" s="1"/>
  <c r="X35" i="16"/>
  <c r="D60" i="15"/>
  <c r="G60" i="13"/>
  <c r="H60" i="13" s="1"/>
  <c r="I60" i="13" s="1"/>
  <c r="G60" i="15" s="1"/>
  <c r="R90" i="16"/>
  <c r="R86" i="16"/>
  <c r="X86" i="16" s="1"/>
  <c r="Y86" i="16" s="1"/>
  <c r="R81" i="16"/>
  <c r="R78" i="16"/>
  <c r="R76" i="16"/>
  <c r="R75" i="16"/>
  <c r="X75" i="16" s="1"/>
  <c r="Y75" i="16" s="1"/>
  <c r="AA75" i="16" s="1"/>
  <c r="R73" i="16"/>
  <c r="R69" i="16"/>
  <c r="R65" i="16"/>
  <c r="R89" i="16"/>
  <c r="R85" i="16"/>
  <c r="R82" i="16"/>
  <c r="R74" i="16"/>
  <c r="R71" i="16"/>
  <c r="R66" i="16"/>
  <c r="R88" i="16"/>
  <c r="R84" i="16"/>
  <c r="R79" i="16"/>
  <c r="R77" i="16"/>
  <c r="R68" i="16"/>
  <c r="R87" i="16"/>
  <c r="R80" i="16"/>
  <c r="X80" i="16" s="1"/>
  <c r="Y80" i="16" s="1"/>
  <c r="AA80" i="16" s="1"/>
  <c r="R67" i="16"/>
  <c r="R72" i="16"/>
  <c r="R70" i="16"/>
  <c r="R83" i="16"/>
  <c r="S89" i="16"/>
  <c r="S85" i="16"/>
  <c r="S82" i="16"/>
  <c r="S74" i="16"/>
  <c r="S71" i="16"/>
  <c r="S66" i="16"/>
  <c r="S88" i="16"/>
  <c r="S84" i="16"/>
  <c r="S79" i="16"/>
  <c r="S77" i="16"/>
  <c r="S68" i="16"/>
  <c r="S87" i="16"/>
  <c r="S83" i="16"/>
  <c r="S80" i="16"/>
  <c r="S72" i="16"/>
  <c r="S70" i="16"/>
  <c r="S67" i="16"/>
  <c r="S81" i="16"/>
  <c r="S65" i="16"/>
  <c r="S90" i="16"/>
  <c r="S86" i="16"/>
  <c r="S73" i="16"/>
  <c r="S69" i="16"/>
  <c r="S76" i="16"/>
  <c r="S78" i="16"/>
  <c r="S75" i="16"/>
  <c r="D59" i="15"/>
  <c r="G59" i="13"/>
  <c r="H59" i="13" s="1"/>
  <c r="I59" i="13" s="1"/>
  <c r="G59" i="15" s="1"/>
  <c r="D57" i="15"/>
  <c r="G57" i="13"/>
  <c r="H57" i="13" s="1"/>
  <c r="I57" i="13" s="1"/>
  <c r="G57" i="15" s="1"/>
  <c r="D46" i="15"/>
  <c r="H46" i="15" s="1"/>
  <c r="D18" i="19" s="1"/>
  <c r="G46" i="13"/>
  <c r="H46" i="13" s="1"/>
  <c r="I46" i="13" s="1"/>
  <c r="G46" i="15" s="1"/>
  <c r="D20" i="15"/>
  <c r="G20" i="13"/>
  <c r="H20" i="13" s="1"/>
  <c r="I20" i="13" s="1"/>
  <c r="G20" i="15" s="1"/>
  <c r="W89" i="16"/>
  <c r="W85" i="16"/>
  <c r="W82" i="16"/>
  <c r="W74" i="16"/>
  <c r="W71" i="16"/>
  <c r="W66" i="16"/>
  <c r="W88" i="16"/>
  <c r="W84" i="16"/>
  <c r="W79" i="16"/>
  <c r="W77" i="16"/>
  <c r="W68" i="16"/>
  <c r="W87" i="16"/>
  <c r="W83" i="16"/>
  <c r="W80" i="16"/>
  <c r="W72" i="16"/>
  <c r="W70" i="16"/>
  <c r="W67" i="16"/>
  <c r="W90" i="16"/>
  <c r="W86" i="16"/>
  <c r="W76" i="16"/>
  <c r="W65" i="16"/>
  <c r="W78" i="16"/>
  <c r="W75" i="16"/>
  <c r="W81" i="16"/>
  <c r="W73" i="16"/>
  <c r="W69" i="16"/>
  <c r="D53" i="15"/>
  <c r="G53" i="13"/>
  <c r="H53" i="13" s="1"/>
  <c r="I53" i="13" s="1"/>
  <c r="G53" i="15" s="1"/>
  <c r="D47" i="15"/>
  <c r="G47" i="13"/>
  <c r="H47" i="13" s="1"/>
  <c r="I47" i="13" s="1"/>
  <c r="G47" i="15" s="1"/>
  <c r="Y35" i="16"/>
  <c r="AA9" i="16"/>
  <c r="D33" i="15"/>
  <c r="G33" i="13"/>
  <c r="H33" i="13" s="1"/>
  <c r="I33" i="13" s="1"/>
  <c r="G33" i="15" s="1"/>
  <c r="D45" i="15"/>
  <c r="G45" i="13"/>
  <c r="H45" i="13" s="1"/>
  <c r="I45" i="13" s="1"/>
  <c r="G45" i="15" s="1"/>
  <c r="H45" i="15" l="1"/>
  <c r="D17" i="19" s="1"/>
  <c r="H59" i="15"/>
  <c r="D31" i="19" s="1"/>
  <c r="S91" i="16"/>
  <c r="X87" i="16"/>
  <c r="Y87" i="16" s="1"/>
  <c r="AA87" i="16" s="1"/>
  <c r="X74" i="16"/>
  <c r="Y74" i="16" s="1"/>
  <c r="AA74" i="16" s="1"/>
  <c r="X76" i="16"/>
  <c r="Y76" i="16" s="1"/>
  <c r="AA76" i="16" s="1"/>
  <c r="X90" i="16"/>
  <c r="Y90" i="16" s="1"/>
  <c r="AA90" i="16" s="1"/>
  <c r="H25" i="15"/>
  <c r="C25" i="19" s="1"/>
  <c r="U91" i="16"/>
  <c r="H48" i="15"/>
  <c r="D20" i="19" s="1"/>
  <c r="H53" i="15"/>
  <c r="D25" i="19" s="1"/>
  <c r="H20" i="15"/>
  <c r="C20" i="19" s="1"/>
  <c r="H57" i="15"/>
  <c r="D29" i="19" s="1"/>
  <c r="X72" i="16"/>
  <c r="Y72" i="16" s="1"/>
  <c r="AA72" i="16" s="1"/>
  <c r="X68" i="16"/>
  <c r="Y68" i="16" s="1"/>
  <c r="AA68" i="16" s="1"/>
  <c r="X88" i="16"/>
  <c r="Y88" i="16" s="1"/>
  <c r="AA88" i="16" s="1"/>
  <c r="X82" i="16"/>
  <c r="Y82" i="16" s="1"/>
  <c r="AA82" i="16" s="1"/>
  <c r="X69" i="16"/>
  <c r="Y69" i="16" s="1"/>
  <c r="AA69" i="16" s="1"/>
  <c r="X78" i="16"/>
  <c r="Y78" i="16" s="1"/>
  <c r="AA78" i="16" s="1"/>
  <c r="H24" i="15"/>
  <c r="C24" i="19" s="1"/>
  <c r="H50" i="15"/>
  <c r="D22" i="19" s="1"/>
  <c r="H55" i="15"/>
  <c r="D27" i="19" s="1"/>
  <c r="D9" i="15"/>
  <c r="AA35" i="16"/>
  <c r="S20" i="12" s="1"/>
  <c r="S21" i="12" s="1"/>
  <c r="G9" i="13"/>
  <c r="W91" i="16"/>
  <c r="X83" i="16"/>
  <c r="Y83" i="16" s="1"/>
  <c r="AA83" i="16" s="1"/>
  <c r="D80" i="15"/>
  <c r="G80" i="13"/>
  <c r="H80" i="13" s="1"/>
  <c r="I80" i="13" s="1"/>
  <c r="G80" i="15" s="1"/>
  <c r="X79" i="16"/>
  <c r="Y79" i="16" s="1"/>
  <c r="AA79" i="16" s="1"/>
  <c r="X71" i="16"/>
  <c r="Y71" i="16" s="1"/>
  <c r="AA71" i="16" s="1"/>
  <c r="X89" i="16"/>
  <c r="Y89" i="16" s="1"/>
  <c r="AA89" i="16" s="1"/>
  <c r="D75" i="15"/>
  <c r="G75" i="13"/>
  <c r="H75" i="13" s="1"/>
  <c r="I75" i="13" s="1"/>
  <c r="G75" i="15" s="1"/>
  <c r="AA86" i="16"/>
  <c r="X70" i="16"/>
  <c r="Y70" i="16" s="1"/>
  <c r="AA70" i="16" s="1"/>
  <c r="X84" i="16"/>
  <c r="Y84" i="16" s="1"/>
  <c r="AA84" i="16" s="1"/>
  <c r="R91" i="16"/>
  <c r="X65" i="16"/>
  <c r="H56" i="15"/>
  <c r="D28" i="19" s="1"/>
  <c r="H44" i="15"/>
  <c r="D16" i="19" s="1"/>
  <c r="Q91" i="16"/>
  <c r="H29" i="15"/>
  <c r="C29" i="19" s="1"/>
  <c r="H33" i="15"/>
  <c r="C33" i="19" s="1"/>
  <c r="H47" i="15"/>
  <c r="D19" i="19" s="1"/>
  <c r="X67" i="16"/>
  <c r="Y67" i="16" s="1"/>
  <c r="AA67" i="16" s="1"/>
  <c r="X77" i="16"/>
  <c r="Y77" i="16" s="1"/>
  <c r="AA77" i="16" s="1"/>
  <c r="X66" i="16"/>
  <c r="Y66" i="16" s="1"/>
  <c r="AA66" i="16" s="1"/>
  <c r="X85" i="16"/>
  <c r="Y85" i="16" s="1"/>
  <c r="AA85" i="16" s="1"/>
  <c r="X73" i="16"/>
  <c r="Y73" i="16" s="1"/>
  <c r="AA73" i="16" s="1"/>
  <c r="X81" i="16"/>
  <c r="Y81" i="16" s="1"/>
  <c r="AA81" i="16" s="1"/>
  <c r="H60" i="15"/>
  <c r="D32" i="19" s="1"/>
  <c r="H49" i="15"/>
  <c r="D21" i="19" s="1"/>
  <c r="H19" i="15"/>
  <c r="C19" i="19" s="1"/>
  <c r="Y63" i="16"/>
  <c r="AA37" i="16"/>
  <c r="H14" i="15"/>
  <c r="C14" i="19" s="1"/>
  <c r="D67" i="15" l="1"/>
  <c r="G67" i="13"/>
  <c r="H67" i="13" s="1"/>
  <c r="I67" i="13" s="1"/>
  <c r="G67" i="15" s="1"/>
  <c r="D71" i="15"/>
  <c r="G71" i="13"/>
  <c r="H71" i="13" s="1"/>
  <c r="I71" i="13" s="1"/>
  <c r="G71" i="15" s="1"/>
  <c r="D35" i="15"/>
  <c r="D68" i="15"/>
  <c r="G68" i="13"/>
  <c r="H68" i="13" s="1"/>
  <c r="I68" i="13" s="1"/>
  <c r="G68" i="15" s="1"/>
  <c r="D90" i="15"/>
  <c r="G90" i="13"/>
  <c r="H90" i="13" s="1"/>
  <c r="I90" i="13" s="1"/>
  <c r="G90" i="15" s="1"/>
  <c r="D72" i="15"/>
  <c r="G72" i="13"/>
  <c r="H72" i="13" s="1"/>
  <c r="I72" i="13" s="1"/>
  <c r="G72" i="15" s="1"/>
  <c r="D76" i="15"/>
  <c r="G76" i="13"/>
  <c r="H76" i="13" s="1"/>
  <c r="I76" i="13" s="1"/>
  <c r="G76" i="15" s="1"/>
  <c r="D66" i="15"/>
  <c r="G66" i="13"/>
  <c r="H66" i="13" s="1"/>
  <c r="I66" i="13" s="1"/>
  <c r="G66" i="15" s="1"/>
  <c r="D70" i="15"/>
  <c r="G70" i="13"/>
  <c r="H70" i="13" s="1"/>
  <c r="I70" i="13" s="1"/>
  <c r="G70" i="15" s="1"/>
  <c r="G35" i="13"/>
  <c r="H35" i="13" s="1"/>
  <c r="H9" i="13"/>
  <c r="I9" i="13" s="1"/>
  <c r="D82" i="15"/>
  <c r="G82" i="13"/>
  <c r="H82" i="13" s="1"/>
  <c r="I82" i="13" s="1"/>
  <c r="G82" i="15" s="1"/>
  <c r="D74" i="15"/>
  <c r="G74" i="13"/>
  <c r="H74" i="13" s="1"/>
  <c r="I74" i="13" s="1"/>
  <c r="G74" i="15" s="1"/>
  <c r="D73" i="15"/>
  <c r="G73" i="13"/>
  <c r="H73" i="13" s="1"/>
  <c r="I73" i="13" s="1"/>
  <c r="G73" i="15" s="1"/>
  <c r="D86" i="15"/>
  <c r="G86" i="13"/>
  <c r="H86" i="13" s="1"/>
  <c r="I86" i="13" s="1"/>
  <c r="G86" i="15" s="1"/>
  <c r="D83" i="15"/>
  <c r="G83" i="13"/>
  <c r="H83" i="13" s="1"/>
  <c r="I83" i="13" s="1"/>
  <c r="G83" i="15" s="1"/>
  <c r="D78" i="15"/>
  <c r="G78" i="13"/>
  <c r="H78" i="13" s="1"/>
  <c r="I78" i="13" s="1"/>
  <c r="G78" i="15" s="1"/>
  <c r="D37" i="15"/>
  <c r="AA63" i="16"/>
  <c r="T20" i="12" s="1"/>
  <c r="T21" i="12" s="1"/>
  <c r="G37" i="13"/>
  <c r="D85" i="15"/>
  <c r="G85" i="13"/>
  <c r="H85" i="13" s="1"/>
  <c r="I85" i="13" s="1"/>
  <c r="G85" i="15" s="1"/>
  <c r="D84" i="15"/>
  <c r="G84" i="13"/>
  <c r="H84" i="13" s="1"/>
  <c r="I84" i="13" s="1"/>
  <c r="G84" i="15" s="1"/>
  <c r="D79" i="15"/>
  <c r="G79" i="13"/>
  <c r="H79" i="13" s="1"/>
  <c r="I79" i="13" s="1"/>
  <c r="G79" i="15" s="1"/>
  <c r="D69" i="15"/>
  <c r="G69" i="13"/>
  <c r="H69" i="13" s="1"/>
  <c r="I69" i="13" s="1"/>
  <c r="G69" i="15" s="1"/>
  <c r="D81" i="15"/>
  <c r="G81" i="13"/>
  <c r="H81" i="13" s="1"/>
  <c r="I81" i="13" s="1"/>
  <c r="G81" i="15" s="1"/>
  <c r="D77" i="15"/>
  <c r="G77" i="13"/>
  <c r="H77" i="13" s="1"/>
  <c r="I77" i="13" s="1"/>
  <c r="G77" i="15" s="1"/>
  <c r="Y65" i="16"/>
  <c r="X91" i="16"/>
  <c r="D89" i="15"/>
  <c r="G89" i="13"/>
  <c r="H89" i="13" s="1"/>
  <c r="I89" i="13" s="1"/>
  <c r="G89" i="15" s="1"/>
  <c r="D88" i="15"/>
  <c r="G88" i="13"/>
  <c r="H88" i="13" s="1"/>
  <c r="I88" i="13" s="1"/>
  <c r="G88" i="15" s="1"/>
  <c r="D87" i="15"/>
  <c r="G87" i="13"/>
  <c r="H87" i="13" s="1"/>
  <c r="I87" i="13" s="1"/>
  <c r="G87" i="15" s="1"/>
  <c r="AA65" i="16" l="1"/>
  <c r="Y91" i="16"/>
  <c r="D63" i="15"/>
  <c r="G63" i="13"/>
  <c r="H63" i="13" s="1"/>
  <c r="H37" i="13"/>
  <c r="I37" i="13" s="1"/>
  <c r="I35" i="13"/>
  <c r="G9" i="15"/>
  <c r="D65" i="15" l="1"/>
  <c r="AA91" i="16"/>
  <c r="U20" i="12" s="1"/>
  <c r="U21" i="12" s="1"/>
  <c r="V21" i="12" s="1"/>
  <c r="V24" i="12" s="1"/>
  <c r="V27" i="12" s="1"/>
  <c r="J6" i="12" s="1"/>
  <c r="G65" i="13"/>
  <c r="G35" i="15"/>
  <c r="H9" i="15"/>
  <c r="G37" i="15"/>
  <c r="I63" i="13"/>
  <c r="G91" i="13" l="1"/>
  <c r="H91" i="13" s="1"/>
  <c r="H65" i="13"/>
  <c r="I65" i="13" s="1"/>
  <c r="G63" i="15"/>
  <c r="H37" i="15"/>
  <c r="J34" i="12"/>
  <c r="E90" i="15" s="1"/>
  <c r="H90" i="15" s="1"/>
  <c r="E34" i="19" s="1"/>
  <c r="F34" i="19" s="1"/>
  <c r="H34" i="19" s="1"/>
  <c r="J33" i="12"/>
  <c r="E89" i="15" s="1"/>
  <c r="H89" i="15" s="1"/>
  <c r="E33" i="19" s="1"/>
  <c r="F33" i="19" s="1"/>
  <c r="H33" i="19" s="1"/>
  <c r="J32" i="12"/>
  <c r="E88" i="15" s="1"/>
  <c r="H88" i="15" s="1"/>
  <c r="E32" i="19" s="1"/>
  <c r="F32" i="19" s="1"/>
  <c r="H32" i="19" s="1"/>
  <c r="J31" i="12"/>
  <c r="E87" i="15" s="1"/>
  <c r="H87" i="15" s="1"/>
  <c r="E31" i="19" s="1"/>
  <c r="F31" i="19" s="1"/>
  <c r="H31" i="19" s="1"/>
  <c r="J27" i="12"/>
  <c r="E83" i="15" s="1"/>
  <c r="H83" i="15" s="1"/>
  <c r="E27" i="19" s="1"/>
  <c r="F27" i="19" s="1"/>
  <c r="H27" i="19" s="1"/>
  <c r="J26" i="12"/>
  <c r="E82" i="15" s="1"/>
  <c r="H82" i="15" s="1"/>
  <c r="E26" i="19" s="1"/>
  <c r="F26" i="19" s="1"/>
  <c r="H26" i="19" s="1"/>
  <c r="J22" i="12"/>
  <c r="E78" i="15" s="1"/>
  <c r="H78" i="15" s="1"/>
  <c r="E22" i="19" s="1"/>
  <c r="F22" i="19" s="1"/>
  <c r="H22" i="19" s="1"/>
  <c r="J18" i="12"/>
  <c r="E74" i="15" s="1"/>
  <c r="H74" i="15" s="1"/>
  <c r="E18" i="19" s="1"/>
  <c r="F18" i="19" s="1"/>
  <c r="H18" i="19" s="1"/>
  <c r="J17" i="12"/>
  <c r="E73" i="15" s="1"/>
  <c r="H73" i="15" s="1"/>
  <c r="E17" i="19" s="1"/>
  <c r="F17" i="19" s="1"/>
  <c r="H17" i="19" s="1"/>
  <c r="J15" i="12"/>
  <c r="E71" i="15" s="1"/>
  <c r="H71" i="15" s="1"/>
  <c r="E15" i="19" s="1"/>
  <c r="F15" i="19" s="1"/>
  <c r="H15" i="19" s="1"/>
  <c r="J14" i="12"/>
  <c r="E70" i="15" s="1"/>
  <c r="H70" i="15" s="1"/>
  <c r="E14" i="19" s="1"/>
  <c r="F14" i="19" s="1"/>
  <c r="H14" i="19" s="1"/>
  <c r="J12" i="12"/>
  <c r="E68" i="15" s="1"/>
  <c r="H68" i="15" s="1"/>
  <c r="E12" i="19" s="1"/>
  <c r="F12" i="19" s="1"/>
  <c r="H12" i="19" s="1"/>
  <c r="J10" i="12"/>
  <c r="E66" i="15" s="1"/>
  <c r="H66" i="15" s="1"/>
  <c r="E10" i="19" s="1"/>
  <c r="F10" i="19" s="1"/>
  <c r="H10" i="19" s="1"/>
  <c r="J30" i="12"/>
  <c r="E86" i="15" s="1"/>
  <c r="H86" i="15" s="1"/>
  <c r="E30" i="19" s="1"/>
  <c r="F30" i="19" s="1"/>
  <c r="H30" i="19" s="1"/>
  <c r="J29" i="12"/>
  <c r="E85" i="15" s="1"/>
  <c r="H85" i="15" s="1"/>
  <c r="E29" i="19" s="1"/>
  <c r="F29" i="19" s="1"/>
  <c r="H29" i="19" s="1"/>
  <c r="J28" i="12"/>
  <c r="E84" i="15" s="1"/>
  <c r="H84" i="15" s="1"/>
  <c r="E28" i="19" s="1"/>
  <c r="F28" i="19" s="1"/>
  <c r="H28" i="19" s="1"/>
  <c r="J21" i="12"/>
  <c r="E77" i="15" s="1"/>
  <c r="H77" i="15" s="1"/>
  <c r="E21" i="19" s="1"/>
  <c r="F21" i="19" s="1"/>
  <c r="H21" i="19" s="1"/>
  <c r="J9" i="12"/>
  <c r="J24" i="12"/>
  <c r="E80" i="15" s="1"/>
  <c r="H80" i="15" s="1"/>
  <c r="E24" i="19" s="1"/>
  <c r="F24" i="19" s="1"/>
  <c r="H24" i="19" s="1"/>
  <c r="J23" i="12"/>
  <c r="E79" i="15" s="1"/>
  <c r="H79" i="15" s="1"/>
  <c r="E23" i="19" s="1"/>
  <c r="F23" i="19" s="1"/>
  <c r="H23" i="19" s="1"/>
  <c r="J20" i="12"/>
  <c r="E76" i="15" s="1"/>
  <c r="H76" i="15" s="1"/>
  <c r="E20" i="19" s="1"/>
  <c r="F20" i="19" s="1"/>
  <c r="H20" i="19" s="1"/>
  <c r="J13" i="12"/>
  <c r="E69" i="15" s="1"/>
  <c r="H69" i="15" s="1"/>
  <c r="E13" i="19" s="1"/>
  <c r="F13" i="19" s="1"/>
  <c r="H13" i="19" s="1"/>
  <c r="J11" i="12"/>
  <c r="E67" i="15" s="1"/>
  <c r="H67" i="15" s="1"/>
  <c r="E11" i="19" s="1"/>
  <c r="F11" i="19" s="1"/>
  <c r="H11" i="19" s="1"/>
  <c r="J19" i="12"/>
  <c r="E75" i="15" s="1"/>
  <c r="H75" i="15" s="1"/>
  <c r="E19" i="19" s="1"/>
  <c r="F19" i="19" s="1"/>
  <c r="H19" i="19" s="1"/>
  <c r="J16" i="12"/>
  <c r="E72" i="15" s="1"/>
  <c r="H72" i="15" s="1"/>
  <c r="E16" i="19" s="1"/>
  <c r="F16" i="19" s="1"/>
  <c r="H16" i="19" s="1"/>
  <c r="J25" i="12"/>
  <c r="E81" i="15" s="1"/>
  <c r="H81" i="15" s="1"/>
  <c r="E25" i="19" s="1"/>
  <c r="F25" i="19" s="1"/>
  <c r="H25" i="19" s="1"/>
  <c r="C9" i="19"/>
  <c r="H35" i="15"/>
  <c r="D91" i="15"/>
  <c r="D9" i="19" l="1"/>
  <c r="H63" i="15"/>
  <c r="C35" i="19"/>
  <c r="C38" i="19" s="1" a="1"/>
  <c r="C38" i="19" s="1"/>
  <c r="E65" i="15"/>
  <c r="J35" i="12"/>
  <c r="G65" i="15"/>
  <c r="G91" i="15" s="1"/>
  <c r="I91" i="13"/>
  <c r="E91" i="15" l="1"/>
  <c r="H65" i="15"/>
  <c r="D38" i="19" a="1"/>
  <c r="D38" i="19" s="1"/>
  <c r="D35" i="19"/>
  <c r="H91" i="15" l="1"/>
  <c r="E9" i="19"/>
  <c r="E35" i="19" l="1"/>
  <c r="E38" i="19" a="1"/>
  <c r="E38" i="19" s="1"/>
  <c r="F9" i="19"/>
  <c r="H9" i="19" l="1"/>
  <c r="F35" i="19"/>
  <c r="H35" i="19" s="1"/>
  <c r="C35" i="22" l="1"/>
  <c r="I13" i="28"/>
  <c r="I14" i="28" s="1"/>
  <c r="D19" i="24"/>
  <c r="F19" i="24" s="1"/>
  <c r="D28" i="24"/>
  <c r="F28" i="24" s="1"/>
  <c r="D18" i="24"/>
  <c r="F18" i="24" s="1"/>
  <c r="I24" i="19"/>
  <c r="I14" i="19"/>
  <c r="I32" i="19"/>
  <c r="I13" i="19"/>
  <c r="I30" i="19"/>
  <c r="I26" i="19"/>
  <c r="I20" i="19"/>
  <c r="I10" i="19"/>
  <c r="D27" i="24"/>
  <c r="F27" i="24" s="1"/>
  <c r="I19" i="19"/>
  <c r="I28" i="19"/>
  <c r="I18" i="19"/>
  <c r="D11" i="24"/>
  <c r="F11" i="24" s="1"/>
  <c r="D29" i="24"/>
  <c r="F29" i="24" s="1"/>
  <c r="D22" i="24"/>
  <c r="F22" i="24" s="1"/>
  <c r="I25" i="19"/>
  <c r="D15" i="24"/>
  <c r="F15" i="24" s="1"/>
  <c r="I33" i="19"/>
  <c r="D16" i="24"/>
  <c r="F16" i="24" s="1"/>
  <c r="D21" i="24"/>
  <c r="F21" i="24" s="1"/>
  <c r="D17" i="24"/>
  <c r="F17" i="24" s="1"/>
  <c r="D34" i="24"/>
  <c r="F34" i="24" s="1"/>
  <c r="D23" i="24"/>
  <c r="F23" i="24" s="1"/>
  <c r="D12" i="24"/>
  <c r="F12" i="24" s="1"/>
  <c r="I31" i="19"/>
  <c r="D33" i="24"/>
  <c r="F33" i="24" s="1"/>
  <c r="I21" i="19"/>
  <c r="I34" i="19"/>
  <c r="I12" i="19"/>
  <c r="D31" i="24"/>
  <c r="F31" i="24" s="1"/>
  <c r="D24" i="24"/>
  <c r="F24" i="24" s="1"/>
  <c r="D14" i="24"/>
  <c r="F14" i="24" s="1"/>
  <c r="D32" i="24"/>
  <c r="F32" i="24" s="1"/>
  <c r="D13" i="24"/>
  <c r="F13" i="24" s="1"/>
  <c r="D30" i="24"/>
  <c r="F30" i="24" s="1"/>
  <c r="D26" i="24"/>
  <c r="F26" i="24" s="1"/>
  <c r="I11" i="19"/>
  <c r="I29" i="19"/>
  <c r="I22" i="19"/>
  <c r="D25" i="24"/>
  <c r="F25" i="24" s="1"/>
  <c r="I15" i="19"/>
  <c r="I16" i="19"/>
  <c r="I17" i="19"/>
  <c r="I23" i="19"/>
  <c r="D20" i="24"/>
  <c r="F20" i="24" s="1"/>
  <c r="D10" i="24"/>
  <c r="F10" i="24" s="1"/>
  <c r="I27" i="19"/>
  <c r="D9" i="24"/>
  <c r="I9" i="19"/>
  <c r="C17" i="24" l="1"/>
  <c r="C17" i="22"/>
  <c r="E17" i="22" s="1"/>
  <c r="C17" i="6"/>
  <c r="C17" i="26"/>
  <c r="C21" i="22"/>
  <c r="E21" i="22" s="1"/>
  <c r="C21" i="24"/>
  <c r="C21" i="6"/>
  <c r="C21" i="26"/>
  <c r="C20" i="24"/>
  <c r="C20" i="22"/>
  <c r="E20" i="22" s="1"/>
  <c r="C20" i="6"/>
  <c r="C20" i="26"/>
  <c r="C16" i="24"/>
  <c r="C16" i="22"/>
  <c r="E16" i="22" s="1"/>
  <c r="C16" i="6"/>
  <c r="C16" i="26"/>
  <c r="C29" i="24"/>
  <c r="C29" i="22"/>
  <c r="E29" i="22" s="1"/>
  <c r="C29" i="6"/>
  <c r="C29" i="26"/>
  <c r="C33" i="24"/>
  <c r="C33" i="22"/>
  <c r="E33" i="22" s="1"/>
  <c r="C33" i="6"/>
  <c r="C33" i="26"/>
  <c r="C19" i="22"/>
  <c r="E19" i="22" s="1"/>
  <c r="C19" i="24"/>
  <c r="C19" i="6"/>
  <c r="C19" i="26"/>
  <c r="C26" i="24"/>
  <c r="C26" i="22"/>
  <c r="E26" i="22" s="1"/>
  <c r="C26" i="6"/>
  <c r="C26" i="26"/>
  <c r="C14" i="24"/>
  <c r="C14" i="22"/>
  <c r="E14" i="22" s="1"/>
  <c r="C14" i="6"/>
  <c r="C14" i="26"/>
  <c r="C22" i="24"/>
  <c r="C22" i="6"/>
  <c r="C22" i="22"/>
  <c r="E22" i="22" s="1"/>
  <c r="C22" i="26"/>
  <c r="C28" i="24"/>
  <c r="C28" i="22"/>
  <c r="E28" i="22" s="1"/>
  <c r="C28" i="6"/>
  <c r="C28" i="26"/>
  <c r="C32" i="24"/>
  <c r="C32" i="6"/>
  <c r="C32" i="22"/>
  <c r="E32" i="22" s="1"/>
  <c r="C32" i="26"/>
  <c r="C9" i="6"/>
  <c r="I38" i="19"/>
  <c r="C9" i="22"/>
  <c r="E9" i="22" s="1"/>
  <c r="C9" i="24"/>
  <c r="C9" i="26"/>
  <c r="C15" i="24"/>
  <c r="C15" i="22"/>
  <c r="E15" i="22" s="1"/>
  <c r="C15" i="6"/>
  <c r="C15" i="26"/>
  <c r="C11" i="22"/>
  <c r="E11" i="22" s="1"/>
  <c r="C11" i="24"/>
  <c r="C11" i="6"/>
  <c r="C11" i="26"/>
  <c r="C12" i="22"/>
  <c r="E12" i="22" s="1"/>
  <c r="C12" i="6"/>
  <c r="C12" i="24"/>
  <c r="C12" i="26"/>
  <c r="C31" i="24"/>
  <c r="C31" i="6"/>
  <c r="C31" i="22"/>
  <c r="E31" i="22" s="1"/>
  <c r="C31" i="26"/>
  <c r="C30" i="24"/>
  <c r="C30" i="6"/>
  <c r="C30" i="26"/>
  <c r="C30" i="22"/>
  <c r="E30" i="22" s="1"/>
  <c r="C24" i="24"/>
  <c r="C24" i="6"/>
  <c r="C24" i="22"/>
  <c r="E24" i="22" s="1"/>
  <c r="C24" i="26"/>
  <c r="C27" i="24"/>
  <c r="C27" i="22"/>
  <c r="E27" i="22" s="1"/>
  <c r="C27" i="26"/>
  <c r="C27" i="6"/>
  <c r="F9" i="24"/>
  <c r="D35" i="24"/>
  <c r="F35" i="24" s="1"/>
  <c r="C23" i="24"/>
  <c r="C23" i="22"/>
  <c r="E23" i="22" s="1"/>
  <c r="C23" i="6"/>
  <c r="C23" i="26"/>
  <c r="C34" i="24"/>
  <c r="C34" i="22"/>
  <c r="E34" i="22" s="1"/>
  <c r="C34" i="6"/>
  <c r="C34" i="26"/>
  <c r="C25" i="24"/>
  <c r="C25" i="22"/>
  <c r="E25" i="22" s="1"/>
  <c r="C25" i="6"/>
  <c r="C25" i="26"/>
  <c r="C18" i="24"/>
  <c r="C18" i="6"/>
  <c r="C18" i="22"/>
  <c r="E18" i="22" s="1"/>
  <c r="C18" i="26"/>
  <c r="C10" i="22"/>
  <c r="E10" i="22" s="1"/>
  <c r="C10" i="24"/>
  <c r="C10" i="6"/>
  <c r="C10" i="26"/>
  <c r="C13" i="6"/>
  <c r="C13" i="22"/>
  <c r="E13" i="22" s="1"/>
  <c r="C13" i="24"/>
  <c r="C13" i="26"/>
  <c r="G12" i="24" l="1"/>
  <c r="D32" i="6"/>
  <c r="F32" i="6" s="1"/>
  <c r="G32" i="6" s="1"/>
  <c r="E32" i="6"/>
  <c r="D24" i="6"/>
  <c r="F24" i="6" s="1"/>
  <c r="G24" i="6" s="1"/>
  <c r="G24" i="24" s="1"/>
  <c r="D30" i="6"/>
  <c r="F30" i="6" s="1"/>
  <c r="G30" i="6" s="1"/>
  <c r="E31" i="6"/>
  <c r="D31" i="6"/>
  <c r="F31" i="6" s="1"/>
  <c r="G31" i="6" s="1"/>
  <c r="E12" i="6"/>
  <c r="D12" i="6"/>
  <c r="F12" i="6" s="1"/>
  <c r="G12" i="6" s="1"/>
  <c r="E11" i="6"/>
  <c r="D11" i="6"/>
  <c r="F11" i="6" s="1"/>
  <c r="G11" i="6" s="1"/>
  <c r="E15" i="6"/>
  <c r="D15" i="6"/>
  <c r="F15" i="6" s="1"/>
  <c r="G15" i="6" s="1"/>
  <c r="E9" i="6"/>
  <c r="D9" i="6"/>
  <c r="F9" i="6" s="1"/>
  <c r="G9" i="6" s="1"/>
  <c r="G32" i="24"/>
  <c r="D22" i="6"/>
  <c r="F22" i="6" s="1"/>
  <c r="G22" i="6" s="1"/>
  <c r="E14" i="6"/>
  <c r="D14" i="6"/>
  <c r="F14" i="6" s="1"/>
  <c r="G14" i="6" s="1"/>
  <c r="D26" i="6"/>
  <c r="F26" i="6" s="1"/>
  <c r="G26" i="6" s="1"/>
  <c r="E19" i="6"/>
  <c r="D19" i="6"/>
  <c r="F19" i="6" s="1"/>
  <c r="G19" i="6" s="1"/>
  <c r="E17" i="6"/>
  <c r="D17" i="6"/>
  <c r="F17" i="6" s="1"/>
  <c r="G17" i="6" s="1"/>
  <c r="E21" i="6"/>
  <c r="D21" i="6"/>
  <c r="F21" i="6" s="1"/>
  <c r="G21" i="6" s="1"/>
  <c r="G21" i="24" s="1"/>
  <c r="G34" i="24"/>
  <c r="G31" i="24"/>
  <c r="G11" i="24"/>
  <c r="C37" i="24"/>
  <c r="G22" i="24"/>
  <c r="G19" i="24"/>
  <c r="E33" i="6"/>
  <c r="D33" i="6"/>
  <c r="F33" i="6" s="1"/>
  <c r="G33" i="6" s="1"/>
  <c r="E29" i="6"/>
  <c r="D29" i="6"/>
  <c r="F29" i="6" s="1"/>
  <c r="G29" i="6" s="1"/>
  <c r="E16" i="6"/>
  <c r="D16" i="6"/>
  <c r="F16" i="6" s="1"/>
  <c r="G16" i="6" s="1"/>
  <c r="G16" i="24" s="1"/>
  <c r="D13" i="6"/>
  <c r="F13" i="6" s="1"/>
  <c r="G13" i="6" s="1"/>
  <c r="E13" i="6"/>
  <c r="D34" i="6"/>
  <c r="F34" i="6" s="1"/>
  <c r="G34" i="6" s="1"/>
  <c r="E34" i="6"/>
  <c r="D10" i="6"/>
  <c r="F10" i="6" s="1"/>
  <c r="G10" i="6" s="1"/>
  <c r="D25" i="6"/>
  <c r="F25" i="6" s="1"/>
  <c r="G25" i="6" s="1"/>
  <c r="D18" i="6"/>
  <c r="F18" i="6" s="1"/>
  <c r="G18" i="6" s="1"/>
  <c r="G18" i="24" s="1"/>
  <c r="E23" i="6"/>
  <c r="D23" i="6"/>
  <c r="F23" i="6" s="1"/>
  <c r="G23" i="6" s="1"/>
  <c r="D27" i="6"/>
  <c r="F27" i="6" s="1"/>
  <c r="G27" i="6" s="1"/>
  <c r="E35" i="22"/>
  <c r="D28" i="6"/>
  <c r="F28" i="6" s="1"/>
  <c r="G28" i="6" s="1"/>
  <c r="E28" i="6"/>
  <c r="G26" i="24"/>
  <c r="D20" i="6"/>
  <c r="F20" i="6" s="1"/>
  <c r="G20" i="6" s="1"/>
  <c r="E20" i="6"/>
  <c r="E24" i="26" l="1"/>
  <c r="H24" i="24"/>
  <c r="I24" i="24" s="1"/>
  <c r="E16" i="26"/>
  <c r="H16" i="24"/>
  <c r="I16" i="24" s="1"/>
  <c r="E21" i="26"/>
  <c r="H21" i="24"/>
  <c r="I21" i="24" s="1"/>
  <c r="E18" i="26"/>
  <c r="H18" i="24"/>
  <c r="I18" i="24" s="1"/>
  <c r="E32" i="26"/>
  <c r="H32" i="24"/>
  <c r="I32" i="24" s="1"/>
  <c r="E27" i="6"/>
  <c r="E18" i="6"/>
  <c r="E25" i="6"/>
  <c r="E19" i="26"/>
  <c r="H19" i="24"/>
  <c r="I19" i="24" s="1"/>
  <c r="E11" i="26"/>
  <c r="H11" i="24"/>
  <c r="I11" i="24" s="1"/>
  <c r="G27" i="24"/>
  <c r="G29" i="24"/>
  <c r="E26" i="6"/>
  <c r="E22" i="6"/>
  <c r="G35" i="6"/>
  <c r="F4" i="21" s="1"/>
  <c r="E24" i="6"/>
  <c r="E26" i="26"/>
  <c r="H26" i="24"/>
  <c r="I26" i="24" s="1"/>
  <c r="E22" i="26"/>
  <c r="H22" i="24"/>
  <c r="I22" i="24" s="1"/>
  <c r="E31" i="26"/>
  <c r="H31" i="24"/>
  <c r="I31" i="24" s="1"/>
  <c r="E34" i="26"/>
  <c r="H34" i="24"/>
  <c r="I34" i="24" s="1"/>
  <c r="E12" i="26"/>
  <c r="H12" i="24"/>
  <c r="I12" i="24" s="1"/>
  <c r="G10" i="24"/>
  <c r="E10" i="6"/>
  <c r="G30" i="24"/>
  <c r="G28" i="24"/>
  <c r="E30" i="6"/>
  <c r="G23" i="24"/>
  <c r="G25" i="24"/>
  <c r="E30" i="26" l="1"/>
  <c r="H30" i="24"/>
  <c r="I30" i="24" s="1"/>
  <c r="E10" i="26"/>
  <c r="H10" i="24"/>
  <c r="I10" i="24" s="1"/>
  <c r="E25" i="26"/>
  <c r="H25" i="24"/>
  <c r="I25" i="24" s="1"/>
  <c r="E29" i="26"/>
  <c r="H29" i="24"/>
  <c r="I29" i="24" s="1"/>
  <c r="E23" i="26"/>
  <c r="H23" i="24"/>
  <c r="I23" i="24" s="1"/>
  <c r="E28" i="26"/>
  <c r="H28" i="24"/>
  <c r="I28" i="24" s="1"/>
  <c r="E4" i="21"/>
  <c r="D4" i="21"/>
  <c r="E27" i="26"/>
  <c r="H27" i="24"/>
  <c r="I27" i="24" s="1"/>
  <c r="G31" i="22" l="1"/>
  <c r="G30" i="22"/>
  <c r="G23" i="22"/>
  <c r="G22" i="22"/>
  <c r="G17" i="22"/>
  <c r="G16" i="22"/>
  <c r="G14" i="22"/>
  <c r="G12" i="22"/>
  <c r="G10" i="22"/>
  <c r="G29" i="22"/>
  <c r="G28" i="22"/>
  <c r="G21" i="22"/>
  <c r="G34" i="22"/>
  <c r="G27" i="22"/>
  <c r="G26" i="22"/>
  <c r="G20" i="22"/>
  <c r="G15" i="22"/>
  <c r="G13" i="22"/>
  <c r="G11" i="22"/>
  <c r="G9" i="22"/>
  <c r="G32" i="22"/>
  <c r="G25" i="22"/>
  <c r="G19" i="22"/>
  <c r="G24" i="22"/>
  <c r="G18" i="22"/>
  <c r="G33" i="22"/>
  <c r="F18" i="22" l="1"/>
  <c r="D18" i="26"/>
  <c r="F24" i="22"/>
  <c r="D24" i="26"/>
  <c r="G35" i="22"/>
  <c r="F9" i="22"/>
  <c r="G9" i="24"/>
  <c r="D9" i="26"/>
  <c r="F20" i="22"/>
  <c r="G20" i="24"/>
  <c r="D20" i="26"/>
  <c r="F21" i="22"/>
  <c r="D21" i="26"/>
  <c r="F12" i="22"/>
  <c r="D12" i="26"/>
  <c r="F22" i="22"/>
  <c r="D22" i="26"/>
  <c r="F19" i="22"/>
  <c r="D19" i="26"/>
  <c r="F11" i="22"/>
  <c r="D11" i="26"/>
  <c r="F26" i="22"/>
  <c r="D26" i="26"/>
  <c r="F28" i="22"/>
  <c r="D28" i="26"/>
  <c r="F14" i="22"/>
  <c r="G14" i="24"/>
  <c r="D14" i="26"/>
  <c r="F23" i="22"/>
  <c r="D23" i="26"/>
  <c r="F33" i="22"/>
  <c r="G33" i="24"/>
  <c r="D33" i="26"/>
  <c r="F25" i="22"/>
  <c r="D25" i="26"/>
  <c r="F13" i="22"/>
  <c r="G13" i="24"/>
  <c r="D13" i="26"/>
  <c r="F27" i="22"/>
  <c r="D27" i="26"/>
  <c r="F29" i="22"/>
  <c r="D29" i="26"/>
  <c r="F16" i="22"/>
  <c r="D16" i="26"/>
  <c r="F30" i="22"/>
  <c r="D30" i="26"/>
  <c r="F32" i="22"/>
  <c r="D32" i="26"/>
  <c r="F15" i="22"/>
  <c r="G15" i="24"/>
  <c r="D15" i="26"/>
  <c r="F34" i="22"/>
  <c r="D34" i="26"/>
  <c r="F10" i="22"/>
  <c r="D10" i="26"/>
  <c r="F17" i="22"/>
  <c r="G17" i="24"/>
  <c r="D17" i="26"/>
  <c r="F31" i="22"/>
  <c r="D31" i="26"/>
  <c r="E33" i="26" l="1"/>
  <c r="H33" i="24"/>
  <c r="I33" i="24" s="1"/>
  <c r="D35" i="26"/>
  <c r="E14" i="26"/>
  <c r="H14" i="24"/>
  <c r="I14" i="24" s="1"/>
  <c r="E9" i="26"/>
  <c r="H9" i="24"/>
  <c r="I9" i="24" s="1"/>
  <c r="E15" i="26"/>
  <c r="H15" i="24"/>
  <c r="I15" i="24" s="1"/>
  <c r="E20" i="26"/>
  <c r="H20" i="24"/>
  <c r="I20" i="24" s="1"/>
  <c r="E17" i="26"/>
  <c r="H17" i="24"/>
  <c r="I17" i="24" s="1"/>
  <c r="E13" i="26"/>
  <c r="H13" i="24"/>
  <c r="I13" i="24" s="1"/>
  <c r="I37" i="24" l="1"/>
</calcChain>
</file>

<file path=xl/sharedStrings.xml><?xml version="1.0" encoding="utf-8"?>
<sst xmlns="http://schemas.openxmlformats.org/spreadsheetml/2006/main" count="1348" uniqueCount="725">
  <si>
    <t>Massgebende Wohnbevölkerung</t>
  </si>
  <si>
    <t>Einheit</t>
  </si>
  <si>
    <t>Zürich</t>
  </si>
  <si>
    <t>Bern</t>
  </si>
  <si>
    <t>Luzern</t>
  </si>
  <si>
    <t>Uri</t>
  </si>
  <si>
    <t>Schwyz</t>
  </si>
  <si>
    <t>Obwalden</t>
  </si>
  <si>
    <t>Nidwalden</t>
  </si>
  <si>
    <t>Glarus</t>
  </si>
  <si>
    <t>Zug</t>
  </si>
  <si>
    <t>Freiburg</t>
  </si>
  <si>
    <t>Solothurn</t>
  </si>
  <si>
    <t>Basel-Stadt</t>
  </si>
  <si>
    <t>Basel-Landschaft</t>
  </si>
  <si>
    <t>Schaffhausen</t>
  </si>
  <si>
    <t>Appenzell A.Rh.</t>
  </si>
  <si>
    <t>Appenzell I.Rh.</t>
  </si>
  <si>
    <t>St. Gallen</t>
  </si>
  <si>
    <t>Graubünden</t>
  </si>
  <si>
    <t>Aargau</t>
  </si>
  <si>
    <t>Thurgau</t>
  </si>
  <si>
    <t>Tessin</t>
  </si>
  <si>
    <t>Waadt</t>
  </si>
  <si>
    <t>Wallis</t>
  </si>
  <si>
    <t>Neuenburg</t>
  </si>
  <si>
    <t>Genf</t>
  </si>
  <si>
    <t>Jura</t>
  </si>
  <si>
    <t>Total</t>
  </si>
  <si>
    <t>Spalte</t>
  </si>
  <si>
    <t>C</t>
  </si>
  <si>
    <t>D</t>
  </si>
  <si>
    <t>E</t>
  </si>
  <si>
    <t>H</t>
  </si>
  <si>
    <t>I</t>
  </si>
  <si>
    <t>J</t>
  </si>
  <si>
    <t>Formel</t>
  </si>
  <si>
    <t>CHF 1'000</t>
  </si>
  <si>
    <t>CHF</t>
  </si>
  <si>
    <t>in CHF 1'000</t>
  </si>
  <si>
    <t>Schweiz</t>
  </si>
  <si>
    <t>Minimum</t>
  </si>
  <si>
    <t>G</t>
  </si>
  <si>
    <t>F</t>
  </si>
  <si>
    <t>Faktor Alpha</t>
  </si>
  <si>
    <t>Reinvermögen</t>
  </si>
  <si>
    <t>Massgebende Steuerbemessungs-grundlage DBSt</t>
  </si>
  <si>
    <t>Saldo</t>
  </si>
  <si>
    <t>Erhalten von
anderen
Kantonen</t>
  </si>
  <si>
    <t>Zu Gunsten
anderer
Kantone</t>
  </si>
  <si>
    <t>T</t>
  </si>
  <si>
    <t>S</t>
  </si>
  <si>
    <t>R</t>
  </si>
  <si>
    <t>ASG Total</t>
  </si>
  <si>
    <t>Referenzjahr</t>
  </si>
  <si>
    <t>Kategorie</t>
  </si>
  <si>
    <t>A2</t>
  </si>
  <si>
    <t>D2</t>
  </si>
  <si>
    <t>F2</t>
  </si>
  <si>
    <t>F3</t>
  </si>
  <si>
    <t>I2</t>
  </si>
  <si>
    <t>U</t>
  </si>
  <si>
    <t>Y</t>
  </si>
  <si>
    <t>(C + D + E) / 3</t>
  </si>
  <si>
    <t>F / G * 1000</t>
  </si>
  <si>
    <t>Punkte</t>
  </si>
  <si>
    <t>Prozent</t>
  </si>
  <si>
    <t>γ</t>
  </si>
  <si>
    <t>Ausgleichszahlungen</t>
  </si>
  <si>
    <t>Pro Einwohner</t>
  </si>
  <si>
    <t>Berechnungsdatum</t>
  </si>
  <si>
    <t>Berechnungs-ID</t>
  </si>
  <si>
    <t>Q</t>
  </si>
  <si>
    <t>V</t>
  </si>
  <si>
    <t>W</t>
  </si>
  <si>
    <t>X</t>
  </si>
  <si>
    <t>Faktor Delta</t>
  </si>
  <si>
    <t>E = C + D</t>
  </si>
  <si>
    <t>(C - 100) * D</t>
  </si>
  <si>
    <t>G / D</t>
  </si>
  <si>
    <t>D / E</t>
  </si>
  <si>
    <t>F + G</t>
  </si>
  <si>
    <t>A    Primäreinkommen der privaten Haushalte</t>
  </si>
  <si>
    <t>B    Massgebendes Einkommen</t>
  </si>
  <si>
    <t>Beta-Faktoren</t>
  </si>
  <si>
    <t>Holdinggesellschaften</t>
  </si>
  <si>
    <t>Domizilgesellschaften</t>
  </si>
  <si>
    <t>Gemischte Gesellschaften</t>
  </si>
  <si>
    <t>D-C</t>
  </si>
  <si>
    <t>G / F</t>
  </si>
  <si>
    <t>H * E</t>
  </si>
  <si>
    <t>(1 - 0.125) γ</t>
  </si>
  <si>
    <t>(1 - 0.4) γ</t>
  </si>
  <si>
    <t xml:space="preserve">I </t>
  </si>
  <si>
    <t>Formel für Gewicht</t>
  </si>
  <si>
    <t>Zahlungen im</t>
  </si>
  <si>
    <t>H / H[Schweiz] * 100</t>
  </si>
  <si>
    <t>Anzahl</t>
  </si>
  <si>
    <t>Dotation/E[Schweiz]*E</t>
  </si>
  <si>
    <t>Index SSE
nach
Ausgleich</t>
  </si>
  <si>
    <t>H / F[Schweiz]</t>
  </si>
  <si>
    <t>Steuerpflichtige</t>
  </si>
  <si>
    <t>Mittlere ständige und nichtständige Wohnbevölkerung</t>
  </si>
  <si>
    <t>Bemessungsjahr</t>
  </si>
  <si>
    <t>D - (I / 1000 * C)</t>
  </si>
  <si>
    <t>Bruttoeinkommen</t>
  </si>
  <si>
    <t>Gewicht (ω)</t>
  </si>
  <si>
    <t>C * ω</t>
  </si>
  <si>
    <t>D * ω</t>
  </si>
  <si>
    <t>E * ω</t>
  </si>
  <si>
    <t>F * ω</t>
  </si>
  <si>
    <t>G * ω</t>
  </si>
  <si>
    <t>H * ω</t>
  </si>
  <si>
    <t>I * ω</t>
  </si>
  <si>
    <t>Z</t>
  </si>
  <si>
    <t>R+S+T+U+V+W</t>
  </si>
  <si>
    <t>X * Delta</t>
  </si>
  <si>
    <t>Ressourcen-
index</t>
  </si>
  <si>
    <t>A</t>
  </si>
  <si>
    <t>B</t>
  </si>
  <si>
    <t>Massgebender Gewinn
der juristischen Personen</t>
  </si>
  <si>
    <t>Auszahlung</t>
  </si>
  <si>
    <t>Auszahlung
pro Einwohner</t>
  </si>
  <si>
    <t>Einzahlung</t>
  </si>
  <si>
    <t>Die Berechnung des Ressourcenausgleichs wird im technischen Bericht detailliert beschrieben:
www.efv.admin.ch → Themen  → Finanzausgleich  → Dokumentation</t>
  </si>
  <si>
    <t>(+) Einzahlungen; (-) Auszahlungen in CHF</t>
  </si>
  <si>
    <t>Progressionsmass p</t>
  </si>
  <si>
    <t>Beschriftung der Tabellen</t>
  </si>
  <si>
    <t>Sprache</t>
  </si>
  <si>
    <t>Auswahl der Sprache</t>
  </si>
  <si>
    <t>Deutsch</t>
  </si>
  <si>
    <t>Français</t>
  </si>
  <si>
    <t xml:space="preserve">Die Sprache wird über das Steuerelement auf dem </t>
  </si>
  <si>
    <t>Italiano</t>
  </si>
  <si>
    <t>Tabellenblatt "INTRO" ausgewählt.</t>
  </si>
  <si>
    <t>English</t>
  </si>
  <si>
    <t xml:space="preserve"> </t>
  </si>
  <si>
    <t>Eidgenössisches Finanzdepartement EFD</t>
  </si>
  <si>
    <t>Département fédéral des finances DFF</t>
  </si>
  <si>
    <t>Eidgenössische Finanzverwaltung EFV</t>
  </si>
  <si>
    <t>Administration fédérale des finances AFF</t>
  </si>
  <si>
    <t>Finanzausgleich zwischen Bund und Kantonen</t>
  </si>
  <si>
    <t>Péréquation financière entre la Confédération et les cantons</t>
  </si>
  <si>
    <t>Suisse</t>
  </si>
  <si>
    <t>Zurich</t>
  </si>
  <si>
    <t>Berne</t>
  </si>
  <si>
    <t>Lucerne</t>
  </si>
  <si>
    <t>Obwald</t>
  </si>
  <si>
    <t>Nidwald</t>
  </si>
  <si>
    <t>Glaris</t>
  </si>
  <si>
    <t>Zoug</t>
  </si>
  <si>
    <t>Fribourg</t>
  </si>
  <si>
    <t>Soleure</t>
  </si>
  <si>
    <t>Bâle-Ville</t>
  </si>
  <si>
    <t>Bâle-Campagne</t>
  </si>
  <si>
    <t>Schaffhouse</t>
  </si>
  <si>
    <t>Appenzell Rh.-Ext.</t>
  </si>
  <si>
    <t>Appenzell Rh.-Int.</t>
  </si>
  <si>
    <t>St-Gall</t>
  </si>
  <si>
    <t>Grisons</t>
  </si>
  <si>
    <t>Argovie</t>
  </si>
  <si>
    <t>Thurgovie</t>
  </si>
  <si>
    <t>Vaud</t>
  </si>
  <si>
    <t>Valais</t>
  </si>
  <si>
    <t>Neuchâtel</t>
  </si>
  <si>
    <t>Genève</t>
  </si>
  <si>
    <t>Wählen Sie Ihre Sprache</t>
  </si>
  <si>
    <t>Choisissez votre langue</t>
  </si>
  <si>
    <t>Selezionare la vostra lingua</t>
  </si>
  <si>
    <t>Choose your language</t>
  </si>
  <si>
    <t>TOTAL</t>
  </si>
  <si>
    <t>NP</t>
  </si>
  <si>
    <t>QS</t>
  </si>
  <si>
    <t>VERM</t>
  </si>
  <si>
    <t>JP</t>
  </si>
  <si>
    <t>REP</t>
  </si>
  <si>
    <t>ASG</t>
  </si>
  <si>
    <t>BEV</t>
  </si>
  <si>
    <t>RP</t>
  </si>
  <si>
    <t>DOT</t>
  </si>
  <si>
    <t>EINZ</t>
  </si>
  <si>
    <t>AUSZ</t>
  </si>
  <si>
    <t>SSE</t>
  </si>
  <si>
    <t>SST</t>
  </si>
  <si>
    <t>Einkommen natürlicher Personen</t>
  </si>
  <si>
    <t>Quellenbesteuerte Einkommen natürlicher Personen</t>
  </si>
  <si>
    <t>Vermögen natürlicher Personen</t>
  </si>
  <si>
    <t>Gewinne juristischer Personen</t>
  </si>
  <si>
    <t>Steuerrepartitionen</t>
  </si>
  <si>
    <t>Berechnung Ressourcenpotenzial und -index</t>
  </si>
  <si>
    <t>Einzahlungen der ressourcenstarken Kantone</t>
  </si>
  <si>
    <t>Auszahlungen an die ressourcenschwachen Kantone</t>
  </si>
  <si>
    <t>C    Gamma (B / A)</t>
  </si>
  <si>
    <t>Ressourcen-
potenzial</t>
  </si>
  <si>
    <t>Grenzgänger
Total</t>
  </si>
  <si>
    <t>Revenu des personnes physiques</t>
  </si>
  <si>
    <t>Fortune des personnes physiques</t>
  </si>
  <si>
    <t>Bénéfice des personnes morales</t>
  </si>
  <si>
    <t>Répartitions fiscales</t>
  </si>
  <si>
    <t>Montants versés par les cantons à fort potentiel de ressources</t>
  </si>
  <si>
    <t>Montants reçus par les cantons à faible potentiel de ressources</t>
  </si>
  <si>
    <t>Taux fiscal standardisé</t>
  </si>
  <si>
    <t>Übersicht über die Zahlungen im Ressourcenausgleich</t>
  </si>
  <si>
    <t>Aggregierte Steuerbemessungsgrundlage</t>
  </si>
  <si>
    <t>Assiette fiscale agrégée</t>
  </si>
  <si>
    <t>Calcul du potentiel de ressources et de l'indice des ressources</t>
  </si>
  <si>
    <t>Standardisierter Steuerertrag</t>
  </si>
  <si>
    <t>Standardisierter Steuersatz</t>
  </si>
  <si>
    <t>Wealth</t>
  </si>
  <si>
    <t>Profit of legal entities</t>
  </si>
  <si>
    <t>Standardized tax revenue</t>
  </si>
  <si>
    <t>Standardized tax rate</t>
  </si>
  <si>
    <t>Ticino</t>
  </si>
  <si>
    <t>Geneva</t>
  </si>
  <si>
    <t>Switzerland</t>
  </si>
  <si>
    <t>Column</t>
  </si>
  <si>
    <t>Formula</t>
  </si>
  <si>
    <t>Category</t>
  </si>
  <si>
    <t>Unit</t>
  </si>
  <si>
    <t>CHF 1,000</t>
  </si>
  <si>
    <t>Points</t>
  </si>
  <si>
    <t>Reference year</t>
  </si>
  <si>
    <t>Assessment year</t>
  </si>
  <si>
    <t>Colonne</t>
  </si>
  <si>
    <t>Formule</t>
  </si>
  <si>
    <t>Catégorie</t>
  </si>
  <si>
    <t>Unité</t>
  </si>
  <si>
    <t>Nombre</t>
  </si>
  <si>
    <t>Année de référence</t>
  </si>
  <si>
    <t>Année de calcul</t>
  </si>
  <si>
    <t>Paiements compensatoires</t>
  </si>
  <si>
    <t>Par habitant</t>
  </si>
  <si>
    <t>Salaires bruts</t>
  </si>
  <si>
    <t>Facteur delta</t>
  </si>
  <si>
    <t>A    Revenu primaire des ménages privés</t>
  </si>
  <si>
    <t>B    Revenu déterminant</t>
  </si>
  <si>
    <t>Formule pour pondération</t>
  </si>
  <si>
    <t>Pondération (ω)</t>
  </si>
  <si>
    <t>Revenu déterminant pour l'imposition à la source</t>
  </si>
  <si>
    <t>Fortune nette</t>
  </si>
  <si>
    <t>Facteur alpha</t>
  </si>
  <si>
    <t>Facteurs bêta</t>
  </si>
  <si>
    <t>Sociétés holding</t>
  </si>
  <si>
    <t>Sociétés de domicile</t>
  </si>
  <si>
    <t>Sociétés mixtes</t>
  </si>
  <si>
    <t>Solde</t>
  </si>
  <si>
    <t>AFA totale</t>
  </si>
  <si>
    <t>H / H[Suisse] * 100</t>
  </si>
  <si>
    <t>Dotation/E[Suisse]*E</t>
  </si>
  <si>
    <t>H / F[Suisse]</t>
  </si>
  <si>
    <t>Delta factor</t>
  </si>
  <si>
    <t>A    Primary income of households</t>
  </si>
  <si>
    <t>B    Relevant income</t>
  </si>
  <si>
    <t>Relevant income taxed at source</t>
  </si>
  <si>
    <t>Net wealth</t>
  </si>
  <si>
    <t>Alpha factor</t>
  </si>
  <si>
    <t>Beta factors</t>
  </si>
  <si>
    <t>Balance</t>
  </si>
  <si>
    <t>Total ATB</t>
  </si>
  <si>
    <t>Relevant resident population</t>
  </si>
  <si>
    <t>H / H[Switzerland] * 100</t>
  </si>
  <si>
    <t>H / F[Switzerland]</t>
  </si>
  <si>
    <t>Federal Department of Finance FDF</t>
  </si>
  <si>
    <t>AA</t>
  </si>
  <si>
    <t>(Q + Y) oder Z</t>
  </si>
  <si>
    <t>Federal Finance Administration FFA</t>
  </si>
  <si>
    <t>Fiscal equalization between the Confederation and the cantons</t>
  </si>
  <si>
    <t>Overview of resource equalization payments</t>
  </si>
  <si>
    <t>Income of natural persons</t>
  </si>
  <si>
    <t>Income of natural persons taxed at source</t>
  </si>
  <si>
    <t>Tax repartitions</t>
  </si>
  <si>
    <t>Aggregated tax base</t>
  </si>
  <si>
    <t>Resource potential and resource index calculation</t>
  </si>
  <si>
    <t>Inpayments of financially strong cantons</t>
  </si>
  <si>
    <t>Outpayments to financially weak cantons</t>
  </si>
  <si>
    <t>Basel Stadt</t>
  </si>
  <si>
    <t>Basel Landschaft</t>
  </si>
  <si>
    <t>Number</t>
  </si>
  <si>
    <t>Percent</t>
  </si>
  <si>
    <t>Calculation date</t>
  </si>
  <si>
    <t>Calculation ID</t>
  </si>
  <si>
    <t>Payments in</t>
  </si>
  <si>
    <t>(+) inpayments; (-) outpayments in CHF</t>
  </si>
  <si>
    <t>Equalization payments</t>
  </si>
  <si>
    <t>Per capita</t>
  </si>
  <si>
    <t>Gross income</t>
  </si>
  <si>
    <t>in CHF 1,000</t>
  </si>
  <si>
    <t>Weighting formula</t>
  </si>
  <si>
    <t>Weighting (ω)</t>
  </si>
  <si>
    <t>Holding companies</t>
  </si>
  <si>
    <t>Domiciliary companies</t>
  </si>
  <si>
    <t>Mixed companies</t>
  </si>
  <si>
    <t>Average permanent and non-permanent resident population</t>
  </si>
  <si>
    <t>Inpayment</t>
  </si>
  <si>
    <t>Outpayment</t>
  </si>
  <si>
    <t>Progression rate p</t>
  </si>
  <si>
    <t>Aperçu des paiements au titre de la péréquation des ressources</t>
  </si>
  <si>
    <t>Revenu pour l’imposition à la source des personnes physiques</t>
  </si>
  <si>
    <t>Population résidante déterminante</t>
  </si>
  <si>
    <t>Recettes fiscales standardisées</t>
  </si>
  <si>
    <t>Date de calcul</t>
  </si>
  <si>
    <t>Code de calcul</t>
  </si>
  <si>
    <t>Paiements au titre de la</t>
  </si>
  <si>
    <t>Contribuables</t>
  </si>
  <si>
    <t>Dipartimento federale delle finanze DFF</t>
  </si>
  <si>
    <t>Amministrazione federale delle finanze AFF</t>
  </si>
  <si>
    <t>Perequazione finanziaria tra Confederazione e Cantoni</t>
  </si>
  <si>
    <t>Panoramica dei pagamenti nella perequazione delle risorse</t>
  </si>
  <si>
    <t>Reddito delle persone fisiche</t>
  </si>
  <si>
    <t>Reddito tassato alla fonte delle persone fisiche</t>
  </si>
  <si>
    <t>Sostanza delle persone fisiche</t>
  </si>
  <si>
    <t>Utili delle persone giuridiche</t>
  </si>
  <si>
    <t>Riparti fiscali</t>
  </si>
  <si>
    <t>Base imponibile aggregata</t>
  </si>
  <si>
    <t>Popolazione residente determinante</t>
  </si>
  <si>
    <t>Calcolo del potenziale e dell'indice delle risorse</t>
  </si>
  <si>
    <t>Contributi dei Cantoni finanziariamente forti</t>
  </si>
  <si>
    <t>Versamenti ai Cantoni finanziariamente deboli</t>
  </si>
  <si>
    <t>Gettito fiscale standardizzato</t>
  </si>
  <si>
    <t>Aliquota d'imposizione standardizzata</t>
  </si>
  <si>
    <t>Zurigo</t>
  </si>
  <si>
    <t>Berna</t>
  </si>
  <si>
    <t>Lucerna</t>
  </si>
  <si>
    <t>Svitto</t>
  </si>
  <si>
    <t>Obvaldo</t>
  </si>
  <si>
    <t>Nidvaldo</t>
  </si>
  <si>
    <t>Glarona</t>
  </si>
  <si>
    <t>Zugo</t>
  </si>
  <si>
    <t>Friburgo</t>
  </si>
  <si>
    <t>Soletta</t>
  </si>
  <si>
    <t>Basilea Città</t>
  </si>
  <si>
    <t>Basilea Campagna</t>
  </si>
  <si>
    <t>Sciaffusa</t>
  </si>
  <si>
    <t>Appenzello Esterno</t>
  </si>
  <si>
    <t>Appenzello Interno</t>
  </si>
  <si>
    <t>San Gallo</t>
  </si>
  <si>
    <t>Grigioni</t>
  </si>
  <si>
    <t>Argovia</t>
  </si>
  <si>
    <t>Turgovia</t>
  </si>
  <si>
    <t>Vallese</t>
  </si>
  <si>
    <t>Ginevra</t>
  </si>
  <si>
    <t>Giura</t>
  </si>
  <si>
    <t>Svizzera</t>
  </si>
  <si>
    <t>Colonna</t>
  </si>
  <si>
    <t>Categoria</t>
  </si>
  <si>
    <t>Unità</t>
  </si>
  <si>
    <t>CHF 1000</t>
  </si>
  <si>
    <t>Numero</t>
  </si>
  <si>
    <t>Punti</t>
  </si>
  <si>
    <t>Percento</t>
  </si>
  <si>
    <t>Totale</t>
  </si>
  <si>
    <t>Anno di calcolo</t>
  </si>
  <si>
    <t>Pagamenti nella</t>
  </si>
  <si>
    <t>(+) Contributi; (-) Versamenti in CHF</t>
  </si>
  <si>
    <t>Versamenti di compensazione</t>
  </si>
  <si>
    <t>Per abitante</t>
  </si>
  <si>
    <t>Contribuenti</t>
  </si>
  <si>
    <t>Reddito lordo</t>
  </si>
  <si>
    <t>Fattore delta</t>
  </si>
  <si>
    <t>in CHF 1000</t>
  </si>
  <si>
    <t>A    Reddito primario delle economie domestiche private</t>
  </si>
  <si>
    <t>B    Reddito determinante</t>
  </si>
  <si>
    <t>Formula di ponderazione</t>
  </si>
  <si>
    <t>Ponderazione (ω)</t>
  </si>
  <si>
    <t>Reddito determinante tassato alla fonte</t>
  </si>
  <si>
    <t>Sostanza netta</t>
  </si>
  <si>
    <t>Fattore alfa</t>
  </si>
  <si>
    <t>Fattori beta</t>
  </si>
  <si>
    <t>Società holding</t>
  </si>
  <si>
    <t>Società di domicilio</t>
  </si>
  <si>
    <t>Società miste</t>
  </si>
  <si>
    <t>Somma</t>
  </si>
  <si>
    <t>Totale BIA</t>
  </si>
  <si>
    <t>H / H[Svizzera] * 100</t>
  </si>
  <si>
    <t>Contributo</t>
  </si>
  <si>
    <t>Dotazione/E[Svizzera]*E</t>
  </si>
  <si>
    <t>Versamento</t>
  </si>
  <si>
    <t>H / F[Svizzera]</t>
  </si>
  <si>
    <t>Minimo</t>
  </si>
  <si>
    <t>Anno di riferimento</t>
  </si>
  <si>
    <t>Calcolato il</t>
  </si>
  <si>
    <t>Codice calcolo</t>
  </si>
  <si>
    <t>En CHF 1'000</t>
  </si>
  <si>
    <t>(+) Montants versés; (-) Montants reçus en francs</t>
  </si>
  <si>
    <t>%</t>
  </si>
  <si>
    <t>Steuerbares Einkommen
der Steuerpflichtigen</t>
  </si>
  <si>
    <t>Gebietsansässige
Ausländer und
ausländische
Verwaltungsräte</t>
  </si>
  <si>
    <t>Vollständig
besteuerte
Grenzgänger</t>
  </si>
  <si>
    <t>Begrenzt
besteuerte
Grenzgänger
aus Österreich</t>
  </si>
  <si>
    <t>Begrenzt
besteuerte
Grenzgänger
aus Deutschland</t>
  </si>
  <si>
    <t>Begrenzt besteuerte
Grenzgänger aus
Frankreich mit
Besteuerung durch
den Kanton Genf</t>
  </si>
  <si>
    <t>Begrenzt besteuerte
Grenzgänger aus
Frankreich mit
Besteuerung durch
Frankreich</t>
  </si>
  <si>
    <t>Begrenzt
besteuerte
Grenzgänger
aus Italien</t>
  </si>
  <si>
    <t>Ergebnis auf
der Basis der
Bruttolöhne
(Grenzgänger)</t>
  </si>
  <si>
    <t>Ergebnis auf
der Basis
geschätzter
Daten</t>
  </si>
  <si>
    <t>Massgebende
quellenbesteuerte
Einkommen</t>
  </si>
  <si>
    <t>Massgebendes
Vermögen</t>
  </si>
  <si>
    <t>Massgebender Gewinn
ordentlich besteuerter
Unternehmen</t>
  </si>
  <si>
    <t>Massgebender Gewinn
von Gesellschaften mit
besonderem Steuerstatus</t>
  </si>
  <si>
    <t>Ablieferungen DBSt
an die ESTV</t>
  </si>
  <si>
    <t>Gewichtungs-
faktor</t>
  </si>
  <si>
    <t>Massgebende
Steuerrepartitionen</t>
  </si>
  <si>
    <t>Massgebendes
Einkommen der
natürlichen
Personen</t>
  </si>
  <si>
    <t>Massgebendes
quellenbesteuertes
Einkommen</t>
  </si>
  <si>
    <t>Massgebender
Gewinn der
juristischen
Personen</t>
  </si>
  <si>
    <t>Massgebende
Steuer-
repartitionen</t>
  </si>
  <si>
    <t>Massgebende
Wohnbevölkerung</t>
  </si>
  <si>
    <t>Ressourcen-
potenzial pro
Einwohner</t>
  </si>
  <si>
    <t>Vertikaler
Ressourcenausgleich
(VRA)</t>
  </si>
  <si>
    <t>Ausgleich
Total</t>
  </si>
  <si>
    <t>Massgebende
Wohn-
bevölkerung</t>
  </si>
  <si>
    <t>Summe der
gewichteten
Abweichungen</t>
  </si>
  <si>
    <t>Einzahlung
pro Einwohner</t>
  </si>
  <si>
    <t>Standardisierter
Steuerertrag
(SSE)</t>
  </si>
  <si>
    <t>Standardisierter
Steuerertrag pro
Einwohner vor
Ausgleich</t>
  </si>
  <si>
    <t>Ressourcen-
ausgleich pro
Einwohner</t>
  </si>
  <si>
    <t>Standardisierter
Steuerertrag pro
Einwohner nach
Ausgleich</t>
  </si>
  <si>
    <t>In favor of
other cantons</t>
  </si>
  <si>
    <t>Received from
other cantons</t>
  </si>
  <si>
    <t>Relevant direct
federal tax base</t>
  </si>
  <si>
    <t>Revenu imposable
des contribuables</t>
  </si>
  <si>
    <t>Revenu
déterminant
des personnes
physiques</t>
  </si>
  <si>
    <t>Étrangers résidants
et conseillers
d'administration
étrangers</t>
  </si>
  <si>
    <t>Frontaliers
imposés de
façon illimitée</t>
  </si>
  <si>
    <t>Frontaliers
autrichiens
assujettis de
façon limitée</t>
  </si>
  <si>
    <t xml:space="preserve">Frontaliers
allemands
assujettis de
façon limitée </t>
  </si>
  <si>
    <t>Frontaliers français
assujettis de façon
limitée, imposés
par la France</t>
  </si>
  <si>
    <t xml:space="preserve">Frontaliers
italiens
assujettis de
façon limitée </t>
  </si>
  <si>
    <t>Frontaliers français
assujettis de façon
limitée, imposés
par le canton
de Genève</t>
  </si>
  <si>
    <t>Résultat sur
la base des
salaires bruts
(frontaliers)</t>
  </si>
  <si>
    <t>Revenu
déterminant
pour l'imposition
à la source</t>
  </si>
  <si>
    <t>Résultat sur
la base de
données
estimées</t>
  </si>
  <si>
    <t>Massgebende quellenbesteuerte Einkommen</t>
  </si>
  <si>
    <t>Fortune
déterminante</t>
  </si>
  <si>
    <t>Sostanza
determinante</t>
  </si>
  <si>
    <t>Relevant
wealth</t>
  </si>
  <si>
    <t>Bénéfice déterminant
des sociétés imposées
ordinairement</t>
  </si>
  <si>
    <t>Bénéfice déterminant
des sociétés à statut
fiscal spécial</t>
  </si>
  <si>
    <t>Bénéfice déterminant
des personnes
morales</t>
  </si>
  <si>
    <t>Au profit
d'autres cantons</t>
  </si>
  <si>
    <t>Reçu
d'autres cantons</t>
  </si>
  <si>
    <t>Versements
à l'AFF au
titre de l'IFD</t>
  </si>
  <si>
    <t>Assiette fiscale
déterminante
pour l'IFD</t>
  </si>
  <si>
    <t>Facteur de
pondération</t>
  </si>
  <si>
    <t>Répartitions
fiscales
déterminantes</t>
  </si>
  <si>
    <t>Bénéfice
déterminant
des personnes
morales</t>
  </si>
  <si>
    <t>Population
résidante
déterminante</t>
  </si>
  <si>
    <t>Potentiel de
ressources</t>
  </si>
  <si>
    <t>Potentiel de
ressources
par habitant</t>
  </si>
  <si>
    <t>Indice des
ressources</t>
  </si>
  <si>
    <t>Péréquation
verticale des
ressources (PVR)</t>
  </si>
  <si>
    <t>Péréquation
horizontale des
ressources (PHR)</t>
  </si>
  <si>
    <t>Péréquation
totale</t>
  </si>
  <si>
    <t>Somme
des écarts
pondérés</t>
  </si>
  <si>
    <t>Montant versé,
par habitant</t>
  </si>
  <si>
    <t>Montant
versé</t>
  </si>
  <si>
    <t>Montant reçu,
par habitant</t>
  </si>
  <si>
    <t>Montant
reçu</t>
  </si>
  <si>
    <t>Force de progression (p)</t>
  </si>
  <si>
    <t>Recettes fiscales
standardisées
(RFS)</t>
  </si>
  <si>
    <t>Recettes fiscales
standardisées par
habitant, avant
péréquation</t>
  </si>
  <si>
    <t>Péréquation
des ressources
par habitant</t>
  </si>
  <si>
    <t>Recettes fiscales
standardisées par
habitant, après
péréquation</t>
  </si>
  <si>
    <t>Indice RFS
après
péréquation</t>
  </si>
  <si>
    <t>Population résidante permanente
et non permanente moyenne</t>
  </si>
  <si>
    <t>Le calcul de la péréquation des ressources est décrit en détail dans la documentation technique:
www.efv.admin.ch → Thèmes  → Péréquation financière  → Documentation</t>
  </si>
  <si>
    <t>Indice delle
risorse</t>
  </si>
  <si>
    <t>Reddito imponibile
dei contribuenti</t>
  </si>
  <si>
    <t>Resource
index</t>
  </si>
  <si>
    <t>Il calcolo della perequazione delle risorse è descritto in modo dettagliato nel rapporto tecnico:
www.efv.admin.ch → Temi  → Perequazione finanziaria  → Documentazione</t>
  </si>
  <si>
    <t>The calculation of resource equalization is described in detail in the technical report:
www.efv.admin.ch → Topics → Fiscal equalization → Documentation</t>
  </si>
  <si>
    <t>Stranieri residenti
e consiglieri di
amministrazione
stranieri</t>
  </si>
  <si>
    <t xml:space="preserve">Frontalieri
tassati
integralmente </t>
  </si>
  <si>
    <t xml:space="preserve">Frontalieri
dell'Austria
tassati
limitatamente </t>
  </si>
  <si>
    <t>Frontalieri della
Francia tassati
limitatamente, con 
imposizione nel
Cantone di Ginevra</t>
  </si>
  <si>
    <t>Frontalieri della
Germania tassati
limitatamente</t>
  </si>
  <si>
    <t>Frontalieri della
Francia tassati
limitatamente, con
imposizione in
Francia</t>
  </si>
  <si>
    <t>Frontalieri
dell'Italia tassati
limitatamente</t>
  </si>
  <si>
    <t>Totale
frontalieri</t>
  </si>
  <si>
    <t>Risultato
sulla base dei
salari lordi
(frontalieri)</t>
  </si>
  <si>
    <t>Reddito
determinante
tassato alla fonte</t>
  </si>
  <si>
    <t>Utile determinante delle
imprese tassate secondo
la procedura ordinaria</t>
  </si>
  <si>
    <t>Utile determinante delle
società con statuto
fiscale speciale</t>
  </si>
  <si>
    <t>Utile determinante
delle persone giuridiche</t>
  </si>
  <si>
    <t>A favore di
altri Cantoni</t>
  </si>
  <si>
    <t>Ricevuto da
altri Cantoni</t>
  </si>
  <si>
    <t>Versamenti
dell'IFD all'AFC</t>
  </si>
  <si>
    <t>Fattore di
ponderazione</t>
  </si>
  <si>
    <t>Riparti fiscali
determinanti</t>
  </si>
  <si>
    <t>Reddito
determinante
delle persone
fisiche</t>
  </si>
  <si>
    <t>Utile
determinante
delle persone
giuridiche</t>
  </si>
  <si>
    <t>Popolazione residente permanente
e non permanente media</t>
  </si>
  <si>
    <t>Popolazione
residente
determinante</t>
  </si>
  <si>
    <t>Potenziale
di risorse</t>
  </si>
  <si>
    <t>Potenziale
di risorse
per abitante</t>
  </si>
  <si>
    <t>Indice
delle risorse</t>
  </si>
  <si>
    <t>Perequazione
verticale delle
risorse (PVR)</t>
  </si>
  <si>
    <t>Perequazione
orizzontale delle
risorse (POR)</t>
  </si>
  <si>
    <t>Totale
perequazione</t>
  </si>
  <si>
    <t>Somma delle
divergenze
ponderate</t>
  </si>
  <si>
    <t>Contributo
per abitante</t>
  </si>
  <si>
    <t>Versamento
per abitante</t>
  </si>
  <si>
    <t>Gettito fiscale
standardizzato
(GFS)</t>
  </si>
  <si>
    <t>Gettito fiscale
standardizzato per
abitante prima della
compensazione</t>
  </si>
  <si>
    <t>Compensazione
delle risorse
per abitante</t>
  </si>
  <si>
    <t>Gettito fiscale
standardizzato per
abitante dopo la
compensazione</t>
  </si>
  <si>
    <t>Indice GFS
dopo la
compensazione</t>
  </si>
  <si>
    <t>Taxable income
of taxpayers</t>
  </si>
  <si>
    <t>Number
of taxpayers</t>
  </si>
  <si>
    <t>Relevant income
of natural persons</t>
  </si>
  <si>
    <t>Resident foreigners
and foreign boards
of directors</t>
  </si>
  <si>
    <t>Fully taxed
cross-border
commuters</t>
  </si>
  <si>
    <t>Cross-border
commuters with
limited taxation
from Austria</t>
  </si>
  <si>
    <t>Cross-border
commuters with
limited taxation
from Germany</t>
  </si>
  <si>
    <t>Cross-border
commuters with
limited taxation from
France subject to
taxation by France</t>
  </si>
  <si>
    <t>Cross-border
commuters with
limited taxation from
France subject to
taxation by the
canton of Geneva</t>
  </si>
  <si>
    <t>Cross-border
commuters with
limited taxation
from Italy</t>
  </si>
  <si>
    <t>Total
cross-border
commuters</t>
  </si>
  <si>
    <t>Result based on
gross wages
(cross-border commuters)</t>
  </si>
  <si>
    <t>Risultato
sulla base di
dati stimati</t>
  </si>
  <si>
    <t>Result based on
estimated data</t>
  </si>
  <si>
    <t>Relevant income
taxed at source</t>
  </si>
  <si>
    <t>Relevant profits
of legal entities
taxed normally</t>
  </si>
  <si>
    <t>Relevant profits
of legal entities</t>
  </si>
  <si>
    <t>Relevant profits
of legal entities with
a special tax status</t>
  </si>
  <si>
    <t>Direct federal tax
deliveries to the FTA</t>
  </si>
  <si>
    <t>Weighting
factor</t>
  </si>
  <si>
    <t>Relevant tax
repartitions</t>
  </si>
  <si>
    <t>Relevant
income of
natural persons</t>
  </si>
  <si>
    <t>Relevant profit
of legal entities</t>
  </si>
  <si>
    <t>Relevant resident
population</t>
  </si>
  <si>
    <t>Resource
potential</t>
  </si>
  <si>
    <t>Resource potential
per capita</t>
  </si>
  <si>
    <t>Vertical resource
equalization
(VRE)</t>
  </si>
  <si>
    <t>Horizontal resource
equalization
(HRE)</t>
  </si>
  <si>
    <t>Total
equalization</t>
  </si>
  <si>
    <t>Relevant
resident
population</t>
  </si>
  <si>
    <t>Sum of the
weighted
deviations</t>
  </si>
  <si>
    <t>Inpayment
per capita</t>
  </si>
  <si>
    <t>Endowm./E[Swi]*E</t>
  </si>
  <si>
    <t>Outpayment
per capita</t>
  </si>
  <si>
    <t>Standardized
tax revenue
(STR)</t>
  </si>
  <si>
    <t>Standardized tax
revenue per capita
before equalization</t>
  </si>
  <si>
    <t>Resource
equalization
per capita</t>
  </si>
  <si>
    <t>Standardized tax
revenue per capita
after equalization</t>
  </si>
  <si>
    <t>STR index
after
equalization</t>
  </si>
  <si>
    <t>(Q + Y) ou Z</t>
  </si>
  <si>
    <t>(Q + Y) or Z</t>
  </si>
  <si>
    <t>(Q + Y) o Z</t>
  </si>
  <si>
    <t>Frontaliers,
total</t>
  </si>
  <si>
    <t>Base imponibile
aggregata deter-
minante per l'IFD</t>
  </si>
  <si>
    <t>L</t>
  </si>
  <si>
    <t>Horizontaler
Ressourcenausgleich
(HRA)</t>
  </si>
  <si>
    <t>Steuerpflichtige mit steuerbarem Einkommen
grösser oder gleich dem Freibetrag</t>
  </si>
  <si>
    <t>Freibetrag pro
steuerpflichtige Person</t>
  </si>
  <si>
    <t>Franchise par
contribuable</t>
  </si>
  <si>
    <t>Franchigia per
contribuente</t>
  </si>
  <si>
    <t>Contribuables dont le revenu imposable est
supérieur ou égal à la franchise</t>
  </si>
  <si>
    <t>Contribuenti con reddito imponibile
uguale o superiore alla franchigia</t>
  </si>
  <si>
    <t>Taxpayers whose taxable income is
equal to or higher than the threshold</t>
  </si>
  <si>
    <t>Threshold per
taxpayer</t>
  </si>
  <si>
    <t>Alpha</t>
  </si>
  <si>
    <t>alpha</t>
  </si>
  <si>
    <t>alfa</t>
  </si>
  <si>
    <t>Mittelwert</t>
  </si>
  <si>
    <t>T-9</t>
  </si>
  <si>
    <t>T-8</t>
  </si>
  <si>
    <t>T-7</t>
  </si>
  <si>
    <t>T-6</t>
  </si>
  <si>
    <t>T-5</t>
  </si>
  <si>
    <t>T-4</t>
  </si>
  <si>
    <t>Fiskaleinnahmen</t>
  </si>
  <si>
    <t>A + B + E</t>
  </si>
  <si>
    <t>Fiskaleinnahmen Einkommen</t>
  </si>
  <si>
    <t>Daten Finanzausgleich</t>
  </si>
  <si>
    <t>Massgebende Einkommen der natürlichen Personen</t>
  </si>
  <si>
    <t>H + I</t>
  </si>
  <si>
    <t>Massgebende Einkommen</t>
  </si>
  <si>
    <t>K</t>
  </si>
  <si>
    <t>F / J</t>
  </si>
  <si>
    <t>Ausschöpfung der Einkommen</t>
  </si>
  <si>
    <t>M</t>
  </si>
  <si>
    <t>G / K</t>
  </si>
  <si>
    <t>Ausschöpfung der Vermögen</t>
  </si>
  <si>
    <t>M / L</t>
  </si>
  <si>
    <t>C * D</t>
  </si>
  <si>
    <t>Einkommenssteuern natürliche Personen *</t>
  </si>
  <si>
    <t>Quellensteuern natürliche Personen *</t>
  </si>
  <si>
    <t>Vermögenssteuern natürliche Personen *</t>
  </si>
  <si>
    <t>* Fiskaleinnahmen der Kantone und Gemeinden</t>
  </si>
  <si>
    <t>Kantonsanteil</t>
  </si>
  <si>
    <t>Direkte Bundessteuer (DBSt) natürliche Personen</t>
  </si>
  <si>
    <t>Anteil der Kantone an DBSt natürliche Personen</t>
  </si>
  <si>
    <t xml:space="preserve"> I</t>
  </si>
  <si>
    <t>N</t>
  </si>
  <si>
    <t>Steuereinnahmen der Kantone und Gemeinden</t>
  </si>
  <si>
    <t>Debitorenverluste auf Steuereinnahmen</t>
  </si>
  <si>
    <t>Einnahmen direkte Bundessteuer (DBSt)</t>
  </si>
  <si>
    <t>Anteil der Kantone an DBSt</t>
  </si>
  <si>
    <t>Standardisierte Steuererträge (SSE)</t>
  </si>
  <si>
    <t>Standardisierte Steuererträge pro Kopf</t>
  </si>
  <si>
    <t>Ressourcenpotenzial pro Kopf</t>
  </si>
  <si>
    <t>Standardisierter Steuersatz (SST)</t>
  </si>
  <si>
    <t>Recettes fiscales des cantons et communes</t>
  </si>
  <si>
    <t>Pertes sur débiteurs, recettes fiscales</t>
  </si>
  <si>
    <t>Recettes de l'impôt fédéral direct (IFD)</t>
  </si>
  <si>
    <t>Total des recettes fiscales standardisées (RFS)</t>
  </si>
  <si>
    <t>Recettes fiscales standardisées (RFS) par habitant</t>
  </si>
  <si>
    <t>Potentiel de ressources par habitant</t>
  </si>
  <si>
    <t>Taux fiscal standardisé (TFS)</t>
  </si>
  <si>
    <t>Entrate fiscali di Cantoni e Comuni</t>
  </si>
  <si>
    <t>Perdite su debitori in ambito di entrate fiscali</t>
  </si>
  <si>
    <t>Entrate dell'imposta federale diretta (IFD)</t>
  </si>
  <si>
    <t>Gettito fiscale standardizzato (GFS)</t>
  </si>
  <si>
    <t>Gettito fiscale standardizzato pro capite</t>
  </si>
  <si>
    <t>Potenziale di risorse pro capite</t>
  </si>
  <si>
    <t>Aliquota d'imposta standardizzata (AIS)</t>
  </si>
  <si>
    <t>Tax receipts of cantons and communes</t>
  </si>
  <si>
    <t>Losses on taxes assessed but unlikely to be collected</t>
  </si>
  <si>
    <t>Direct federal tax receipts</t>
  </si>
  <si>
    <t>Standardized tax revenue (STR)</t>
  </si>
  <si>
    <t>Standardized tax revenue per capita</t>
  </si>
  <si>
    <t>Resource potential per capita</t>
  </si>
  <si>
    <t>Standardized tax rate (STRate)</t>
  </si>
  <si>
    <t>Quota dei Cantoni</t>
  </si>
  <si>
    <t>Cantonal share</t>
  </si>
  <si>
    <t>Quota dei Cantoni all'IFD</t>
  </si>
  <si>
    <t>Cantonal share of direct federal tax</t>
  </si>
  <si>
    <t>A - B + E</t>
  </si>
  <si>
    <t>H / I</t>
  </si>
  <si>
    <t>Auszahlung in
Indexpunkten</t>
  </si>
  <si>
    <t>Index SSE
nach Ausgleich</t>
  </si>
  <si>
    <t>Garantierte Mindestausstattung</t>
  </si>
  <si>
    <t>Beginn Progression</t>
  </si>
  <si>
    <t>Maximale Grenzabschöpfung</t>
  </si>
  <si>
    <t>SSE pro Einwohner</t>
  </si>
  <si>
    <t>Dotationen im Ressourcenausgleich</t>
  </si>
  <si>
    <t>Dotations de la péréquation des ressources</t>
  </si>
  <si>
    <t>Dotazioni nella perequazione delle risorse</t>
  </si>
  <si>
    <t>Resource equalization endowments</t>
  </si>
  <si>
    <t>Anteile</t>
  </si>
  <si>
    <t>VRA in % des HRA</t>
  </si>
  <si>
    <t>PVR en % de la PHR</t>
  </si>
  <si>
    <t>PVR in % della POR</t>
  </si>
  <si>
    <t>VRE in % of HRE</t>
  </si>
  <si>
    <t>Progressionsmass t</t>
  </si>
  <si>
    <t>ASG-Index
Standardabweichung</t>
  </si>
  <si>
    <t>Ressourcenindex
Standardabweichung</t>
  </si>
  <si>
    <t>Indice delle risorse
Deviazione standard</t>
  </si>
  <si>
    <t>Resource index
Standard deviation</t>
  </si>
  <si>
    <t>Indice des ressources
Écart-type</t>
  </si>
  <si>
    <t>Indice de l’AFA
Écart-type</t>
  </si>
  <si>
    <t>Indice BIA
Deviazione standard</t>
  </si>
  <si>
    <t>ATB index
Standard deviation</t>
  </si>
  <si>
    <t>Tax receipts</t>
  </si>
  <si>
    <t>Income tax natural persons *</t>
  </si>
  <si>
    <t>Direct federal tax natural persons</t>
  </si>
  <si>
    <t>Tax receipts income</t>
  </si>
  <si>
    <t>Wealth tax natural persons *</t>
  </si>
  <si>
    <t>Fiscal equalization data</t>
  </si>
  <si>
    <t>Relevant income</t>
  </si>
  <si>
    <t>Utilization of income</t>
  </si>
  <si>
    <t>Utilization of wealth</t>
  </si>
  <si>
    <t>* Tax receipts of cantons and communes</t>
  </si>
  <si>
    <t>Average</t>
  </si>
  <si>
    <t>Outpayment in
index points</t>
  </si>
  <si>
    <t>STR index
after equalization</t>
  </si>
  <si>
    <t>Guaranteed minimum financing</t>
  </si>
  <si>
    <t>Start of progression</t>
  </si>
  <si>
    <t>Maximum marginal levy</t>
  </si>
  <si>
    <t>STR per capita</t>
  </si>
  <si>
    <t>Shares</t>
  </si>
  <si>
    <t>Withholding tax natural persons *</t>
  </si>
  <si>
    <t>Cantonal share of direct federal tax natural persons</t>
  </si>
  <si>
    <t>Relevant income of natural persons</t>
  </si>
  <si>
    <t>Progression rate t</t>
  </si>
  <si>
    <t>Recettes fiscales</t>
  </si>
  <si>
    <t>Impôts sur le revenu, personnes physiques *</t>
  </si>
  <si>
    <t>Impôts à la source, personnes physiques *</t>
  </si>
  <si>
    <t>Impôt fédéral direct (IFD), personnes physiques</t>
  </si>
  <si>
    <t>Part des cantons</t>
  </si>
  <si>
    <t>Part des cantons à l'IFD, personnes physiques</t>
  </si>
  <si>
    <t>Recettes fiscales, revenu</t>
  </si>
  <si>
    <t>Impôts sur la fortune, personnes physiques *</t>
  </si>
  <si>
    <t>Données, péréquation financière</t>
  </si>
  <si>
    <t>Revenu déterminant des personnes physiques</t>
  </si>
  <si>
    <t>Revenu déterminant pour l’imposition à la source</t>
  </si>
  <si>
    <t xml:space="preserve">Revenu déterminant </t>
  </si>
  <si>
    <t>Exploitation du revenu</t>
  </si>
  <si>
    <t>Exploitation de la fortune</t>
  </si>
  <si>
    <t>* Recettes fiscales des cantons et des communes</t>
  </si>
  <si>
    <t>Moyenne</t>
  </si>
  <si>
    <t>Entrate fiscali</t>
  </si>
  <si>
    <t>Imposte sul reddito delle persone fisiche *</t>
  </si>
  <si>
    <t>Imposte alla fonte delle persone fisiche *</t>
  </si>
  <si>
    <t>Imposta federale diretta (IFD) delle persone fisiche</t>
  </si>
  <si>
    <t xml:space="preserve">Quota dei Cantoni all'IFD delle persone fisiche </t>
  </si>
  <si>
    <t>Entrate fiscali, reddito</t>
  </si>
  <si>
    <t>Imposte sulla sostanza delle persone fisiche *</t>
  </si>
  <si>
    <t>Dati perequazione finanziaria</t>
  </si>
  <si>
    <t>Redditi determinanti delle persone fisiche</t>
  </si>
  <si>
    <t>Redditi determinanti tassati alla fonte</t>
  </si>
  <si>
    <t>Redditi determinanti</t>
  </si>
  <si>
    <t xml:space="preserve">Sfruttamento dei redditi </t>
  </si>
  <si>
    <t>Sfruttamento della sostanza</t>
  </si>
  <si>
    <t>* Entrate fiscali dei Cantoni e dei Comuni</t>
  </si>
  <si>
    <t>Valore
medio</t>
  </si>
  <si>
    <t>Dotation minimale garantie</t>
  </si>
  <si>
    <t>Progression, début</t>
  </si>
  <si>
    <t>Taux d’écrêtage marginal maximal</t>
  </si>
  <si>
    <t>RFS par habitant</t>
  </si>
  <si>
    <t>Force de progression (t)</t>
  </si>
  <si>
    <t>Montant reçu
en points
d'indice</t>
  </si>
  <si>
    <t>Parts</t>
  </si>
  <si>
    <t>Dotazione minima garantita</t>
  </si>
  <si>
    <t>Inizio della progressione</t>
  </si>
  <si>
    <t xml:space="preserve">Prelievo marginale massimo </t>
  </si>
  <si>
    <t>GFS per abitante</t>
  </si>
  <si>
    <t>Grado di progressione p</t>
  </si>
  <si>
    <t>Grado di progressione t</t>
  </si>
  <si>
    <t>Quote</t>
  </si>
  <si>
    <t>Versamento in
punti di indice</t>
  </si>
  <si>
    <t>Alfa</t>
  </si>
  <si>
    <t>03.05.2019</t>
  </si>
  <si>
    <t>FA2020-19123122246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</si>
</sst>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64" formatCode="0.0_ ;\-0.0_ ;0.0_ ;@_ "/>
    <numFmt numFmtId="165" formatCode="_ * #,##0_ ;_ * \-#,##0_ ;_ * &quot;-&quot;??_ ;_ @_ "/>
    <numFmt numFmtId="166" formatCode="0.0%_ ;\-0.0%_ ;0.0%_ ;@_ "/>
    <numFmt numFmtId="167" formatCode="_ @"/>
    <numFmt numFmtId="168" formatCode="0.0%"/>
    <numFmt numFmtId="169" formatCode="_ * #,##0_ ;_ * \-#,##0_ ;_ * 0_ ;_ @_ "/>
    <numFmt numFmtId="170" formatCode="_(* #,##0.00_);_(* \(#,##0.00\);_(* &quot;-&quot;??_);_(@_)"/>
    <numFmt numFmtId="171" formatCode="0.00%_ ;\-0.00%_ ;0.00%_ ;@_ "/>
    <numFmt numFmtId="172" formatCode="0.00000_ ;\-0.00000_ \ "/>
    <numFmt numFmtId="173" formatCode="0.0_ ;\-0.0_ "/>
  </numFmts>
  <fonts count="34" x14ac:knownFonts="1">
    <font>
      <sz val="10"/>
      <name val="Arial"/>
    </font>
    <font>
      <sz val="8"/>
      <color rgb="FF0000FF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sz val="8.5"/>
      <color rgb="FF000000"/>
      <name val="Arial"/>
      <family val="2"/>
    </font>
    <font>
      <b/>
      <sz val="14"/>
      <color rgb="FF000000"/>
      <name val="Arial"/>
      <family val="2"/>
    </font>
    <font>
      <u/>
      <sz val="10"/>
      <color theme="10"/>
      <name val="Arial"/>
      <family val="2"/>
    </font>
    <font>
      <sz val="10"/>
      <color rgb="FF000000"/>
      <name val="Arial"/>
      <family val="2"/>
    </font>
    <font>
      <sz val="10"/>
      <color rgb="FF0070C0"/>
      <name val="Arial"/>
      <family val="2"/>
    </font>
    <font>
      <b/>
      <sz val="10"/>
      <color rgb="FF0070C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i/>
      <sz val="8"/>
      <color rgb="FF000000"/>
      <name val="Arial"/>
      <family val="2"/>
    </font>
    <font>
      <b/>
      <sz val="18"/>
      <color rgb="FF000000"/>
      <name val="Arial"/>
      <family val="2"/>
    </font>
    <font>
      <b/>
      <sz val="22"/>
      <color rgb="FF000000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i/>
      <sz val="8"/>
      <color indexed="8"/>
      <name val="Arial"/>
      <family val="2"/>
    </font>
    <font>
      <sz val="10"/>
      <color rgb="FF0000FF"/>
      <name val="Arial"/>
      <family val="2"/>
    </font>
    <font>
      <sz val="10"/>
      <color indexed="8"/>
      <name val="Arial"/>
      <family val="2"/>
    </font>
    <font>
      <i/>
      <sz val="10"/>
      <color rgb="FF000000"/>
      <name val="Arial"/>
      <family val="2"/>
    </font>
    <font>
      <sz val="10"/>
      <color theme="9" tint="0.59999389629810485"/>
      <name val="Arial"/>
      <family val="2"/>
    </font>
    <font>
      <b/>
      <sz val="12"/>
      <color rgb="FF000000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z val="9"/>
      <color rgb="FF0000FF"/>
      <name val="Arial"/>
      <family val="2"/>
    </font>
    <font>
      <b/>
      <sz val="8"/>
      <color rgb="FF0000FF"/>
      <name val="Arial"/>
      <family val="2"/>
    </font>
    <font>
      <b/>
      <sz val="16"/>
      <color rgb="FF000000"/>
      <name val="Arial"/>
      <family val="2"/>
    </font>
    <font>
      <sz val="16"/>
      <color rgb="FF000000"/>
      <name val="Arial"/>
      <family val="2"/>
    </font>
    <font>
      <sz val="8"/>
      <color rgb="FF000000"/>
      <name val="Arial"/>
      <family val="2"/>
    </font>
    <font>
      <sz val="8"/>
      <color theme="0" tint="-0.499984740745262"/>
      <name val="Arial"/>
      <family val="2"/>
    </font>
    <font>
      <sz val="8"/>
      <color rgb="FFC0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  <fill>
      <patternFill patternType="solid">
        <fgColor rgb="FFCDCDCD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9FF9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86">
    <xf numFmtId="0" fontId="0" fillId="0" borderId="0" xfId="0"/>
    <xf numFmtId="49" fontId="1" fillId="0" borderId="0" xfId="0" applyNumberFormat="1" applyFont="1" applyAlignment="1">
      <alignment horizontal="right"/>
    </xf>
    <xf numFmtId="14" fontId="1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4" fillId="0" borderId="0" xfId="0" applyFont="1"/>
    <xf numFmtId="0" fontId="5" fillId="0" borderId="0" xfId="0" applyFont="1"/>
    <xf numFmtId="0" fontId="6" fillId="0" borderId="0" xfId="0" applyFont="1" applyAlignment="1">
      <alignment horizontal="left" vertical="center" indent="1"/>
    </xf>
    <xf numFmtId="0" fontId="7" fillId="0" borderId="0" xfId="0" applyFont="1" applyAlignment="1">
      <alignment horizontal="left" vertical="center" indent="1"/>
    </xf>
    <xf numFmtId="0" fontId="7" fillId="0" borderId="1" xfId="0" applyFont="1" applyBorder="1"/>
    <xf numFmtId="0" fontId="8" fillId="2" borderId="2" xfId="0" applyFont="1" applyFill="1" applyBorder="1" applyAlignment="1">
      <alignment horizontal="left" vertical="center" indent="1"/>
    </xf>
    <xf numFmtId="0" fontId="9" fillId="2" borderId="2" xfId="0" applyFont="1" applyFill="1" applyBorder="1" applyAlignment="1">
      <alignment horizontal="left" vertical="center" indent="1"/>
    </xf>
    <xf numFmtId="1" fontId="1" fillId="0" borderId="0" xfId="0" applyNumberFormat="1" applyFont="1" applyAlignment="1">
      <alignment horizontal="right"/>
    </xf>
    <xf numFmtId="0" fontId="2" fillId="0" borderId="0" xfId="0" applyFont="1"/>
    <xf numFmtId="0" fontId="11" fillId="0" borderId="0" xfId="0" applyFont="1"/>
    <xf numFmtId="0" fontId="12" fillId="0" borderId="0" xfId="0" applyFont="1"/>
    <xf numFmtId="0" fontId="11" fillId="0" borderId="3" xfId="0" applyFont="1" applyBorder="1" applyAlignment="1">
      <alignment vertical="center"/>
    </xf>
    <xf numFmtId="164" fontId="7" fillId="0" borderId="3" xfId="0" applyNumberFormat="1" applyFont="1" applyBorder="1" applyAlignment="1">
      <alignment vertical="center"/>
    </xf>
    <xf numFmtId="165" fontId="7" fillId="0" borderId="3" xfId="0" applyNumberFormat="1" applyFont="1" applyBorder="1" applyAlignment="1">
      <alignment vertical="center"/>
    </xf>
    <xf numFmtId="165" fontId="11" fillId="0" borderId="4" xfId="0" applyNumberFormat="1" applyFont="1" applyBorder="1" applyAlignment="1">
      <alignment vertical="center"/>
    </xf>
    <xf numFmtId="0" fontId="11" fillId="3" borderId="3" xfId="0" applyFont="1" applyFill="1" applyBorder="1" applyAlignment="1">
      <alignment vertical="center"/>
    </xf>
    <xf numFmtId="164" fontId="7" fillId="3" borderId="3" xfId="0" applyNumberFormat="1" applyFont="1" applyFill="1" applyBorder="1" applyAlignment="1">
      <alignment vertical="center"/>
    </xf>
    <xf numFmtId="165" fontId="7" fillId="3" borderId="3" xfId="0" applyNumberFormat="1" applyFont="1" applyFill="1" applyBorder="1" applyAlignment="1">
      <alignment vertical="center"/>
    </xf>
    <xf numFmtId="165" fontId="11" fillId="3" borderId="4" xfId="0" applyNumberFormat="1" applyFont="1" applyFill="1" applyBorder="1" applyAlignment="1">
      <alignment vertical="center"/>
    </xf>
    <xf numFmtId="0" fontId="10" fillId="0" borderId="5" xfId="0" applyFont="1" applyBorder="1" applyAlignment="1">
      <alignment vertical="center"/>
    </xf>
    <xf numFmtId="164" fontId="10" fillId="0" borderId="5" xfId="0" applyNumberFormat="1" applyFont="1" applyBorder="1" applyAlignment="1">
      <alignment vertical="center"/>
    </xf>
    <xf numFmtId="165" fontId="10" fillId="0" borderId="5" xfId="0" applyNumberFormat="1" applyFont="1" applyBorder="1" applyAlignment="1">
      <alignment vertical="center"/>
    </xf>
    <xf numFmtId="0" fontId="10" fillId="0" borderId="6" xfId="0" applyFont="1" applyBorder="1" applyAlignment="1">
      <alignment vertical="center"/>
    </xf>
    <xf numFmtId="0" fontId="10" fillId="0" borderId="9" xfId="0" applyFont="1" applyBorder="1" applyAlignment="1">
      <alignment horizontal="right" vertical="center" wrapText="1"/>
    </xf>
    <xf numFmtId="0" fontId="10" fillId="0" borderId="5" xfId="0" applyFont="1" applyBorder="1" applyAlignment="1">
      <alignment horizontal="right" vertical="center" wrapText="1"/>
    </xf>
    <xf numFmtId="0" fontId="10" fillId="0" borderId="11" xfId="0" applyFont="1" applyBorder="1" applyAlignment="1">
      <alignment horizontal="right" vertical="center" wrapText="1"/>
    </xf>
    <xf numFmtId="165" fontId="10" fillId="0" borderId="8" xfId="0" applyNumberFormat="1" applyFont="1" applyBorder="1" applyAlignment="1">
      <alignment vertical="center"/>
    </xf>
    <xf numFmtId="0" fontId="15" fillId="0" borderId="0" xfId="0" applyFont="1"/>
    <xf numFmtId="0" fontId="16" fillId="0" borderId="0" xfId="0" applyFont="1"/>
    <xf numFmtId="0" fontId="17" fillId="0" borderId="5" xfId="0" applyFont="1" applyBorder="1" applyAlignment="1">
      <alignment horizontal="right" vertical="center"/>
    </xf>
    <xf numFmtId="0" fontId="18" fillId="0" borderId="8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7" fillId="0" borderId="8" xfId="0" applyFont="1" applyBorder="1" applyAlignment="1">
      <alignment vertical="center"/>
    </xf>
    <xf numFmtId="0" fontId="19" fillId="0" borderId="8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0" fillId="0" borderId="0" xfId="0" applyFont="1"/>
    <xf numFmtId="0" fontId="19" fillId="0" borderId="8" xfId="0" applyFont="1" applyBorder="1" applyAlignment="1">
      <alignment horizontal="right" vertical="center"/>
    </xf>
    <xf numFmtId="0" fontId="19" fillId="0" borderId="5" xfId="0" applyFont="1" applyBorder="1" applyAlignment="1">
      <alignment horizontal="right" vertical="center"/>
    </xf>
    <xf numFmtId="165" fontId="20" fillId="3" borderId="0" xfId="0" applyNumberFormat="1" applyFont="1" applyFill="1" applyAlignment="1">
      <alignment vertical="center"/>
    </xf>
    <xf numFmtId="0" fontId="12" fillId="2" borderId="12" xfId="0" applyFont="1" applyFill="1" applyBorder="1" applyAlignment="1">
      <alignment horizontal="right"/>
    </xf>
    <xf numFmtId="0" fontId="12" fillId="2" borderId="6" xfId="0" applyFont="1" applyFill="1" applyBorder="1" applyAlignment="1">
      <alignment horizontal="right"/>
    </xf>
    <xf numFmtId="0" fontId="7" fillId="0" borderId="3" xfId="0" applyFont="1" applyBorder="1" applyAlignment="1">
      <alignment vertical="center"/>
    </xf>
    <xf numFmtId="0" fontId="7" fillId="3" borderId="3" xfId="0" applyFont="1" applyFill="1" applyBorder="1" applyAlignment="1">
      <alignment vertical="center"/>
    </xf>
    <xf numFmtId="0" fontId="7" fillId="0" borderId="9" xfId="0" applyFont="1" applyBorder="1" applyAlignment="1">
      <alignment vertical="center"/>
    </xf>
    <xf numFmtId="165" fontId="20" fillId="0" borderId="7" xfId="0" applyNumberFormat="1" applyFont="1" applyBorder="1" applyAlignment="1">
      <alignment vertical="center"/>
    </xf>
    <xf numFmtId="165" fontId="7" fillId="0" borderId="9" xfId="0" applyNumberFormat="1" applyFont="1" applyBorder="1" applyAlignment="1">
      <alignment vertical="center"/>
    </xf>
    <xf numFmtId="0" fontId="7" fillId="0" borderId="0" xfId="0" applyFont="1"/>
    <xf numFmtId="1" fontId="7" fillId="2" borderId="12" xfId="0" applyNumberFormat="1" applyFont="1" applyFill="1" applyBorder="1" applyAlignment="1">
      <alignment vertical="center"/>
    </xf>
    <xf numFmtId="165" fontId="20" fillId="2" borderId="6" xfId="0" applyNumberFormat="1" applyFont="1" applyFill="1" applyBorder="1" applyAlignment="1">
      <alignment vertical="center"/>
    </xf>
    <xf numFmtId="0" fontId="7" fillId="4" borderId="0" xfId="0" applyFont="1" applyFill="1"/>
    <xf numFmtId="3" fontId="10" fillId="0" borderId="0" xfId="0" applyNumberFormat="1" applyFont="1"/>
    <xf numFmtId="0" fontId="10" fillId="4" borderId="0" xfId="0" applyFont="1" applyFill="1"/>
    <xf numFmtId="0" fontId="7" fillId="5" borderId="0" xfId="0" applyFont="1" applyFill="1"/>
    <xf numFmtId="0" fontId="10" fillId="5" borderId="0" xfId="0" applyFont="1" applyFill="1"/>
    <xf numFmtId="0" fontId="7" fillId="6" borderId="0" xfId="0" applyFont="1" applyFill="1"/>
    <xf numFmtId="0" fontId="10" fillId="6" borderId="0" xfId="0" applyFont="1" applyFill="1"/>
    <xf numFmtId="165" fontId="20" fillId="0" borderId="0" xfId="0" applyNumberFormat="1" applyFont="1" applyAlignment="1">
      <alignment vertical="center"/>
    </xf>
    <xf numFmtId="0" fontId="10" fillId="0" borderId="3" xfId="0" applyFont="1" applyBorder="1" applyAlignment="1">
      <alignment horizontal="right" wrapText="1"/>
    </xf>
    <xf numFmtId="0" fontId="7" fillId="0" borderId="0" xfId="0" applyFont="1" applyAlignment="1">
      <alignment horizontal="right" wrapText="1"/>
    </xf>
    <xf numFmtId="0" fontId="18" fillId="0" borderId="3" xfId="0" applyFont="1" applyBorder="1" applyAlignment="1">
      <alignment horizontal="right"/>
    </xf>
    <xf numFmtId="0" fontId="7" fillId="0" borderId="3" xfId="0" applyFont="1" applyBorder="1" applyAlignment="1">
      <alignment horizontal="left" vertical="top" wrapText="1"/>
    </xf>
    <xf numFmtId="165" fontId="10" fillId="0" borderId="5" xfId="0" applyNumberFormat="1" applyFont="1" applyBorder="1" applyAlignment="1">
      <alignment horizontal="right" vertical="center"/>
    </xf>
    <xf numFmtId="165" fontId="10" fillId="0" borderId="8" xfId="0" applyNumberFormat="1" applyFont="1" applyBorder="1" applyAlignment="1">
      <alignment horizontal="right" vertical="center"/>
    </xf>
    <xf numFmtId="0" fontId="10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7" fillId="0" borderId="8" xfId="0" applyFont="1" applyBorder="1" applyAlignment="1">
      <alignment horizontal="right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5" xfId="0" applyFont="1" applyBorder="1" applyAlignment="1">
      <alignment horizontal="right" vertical="center"/>
    </xf>
    <xf numFmtId="0" fontId="10" fillId="0" borderId="3" xfId="0" applyFont="1" applyBorder="1" applyAlignment="1">
      <alignment horizontal="right" vertical="center" wrapText="1"/>
    </xf>
    <xf numFmtId="0" fontId="2" fillId="0" borderId="3" xfId="0" applyFont="1" applyBorder="1" applyAlignment="1">
      <alignment horizontal="right" wrapText="1"/>
    </xf>
    <xf numFmtId="0" fontId="11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1" fontId="7" fillId="0" borderId="0" xfId="0" applyNumberFormat="1" applyFont="1" applyAlignment="1">
      <alignment horizontal="center" vertical="center"/>
    </xf>
    <xf numFmtId="165" fontId="7" fillId="0" borderId="0" xfId="0" applyNumberFormat="1" applyFont="1" applyAlignment="1">
      <alignment vertical="center"/>
    </xf>
    <xf numFmtId="166" fontId="10" fillId="0" borderId="0" xfId="0" applyNumberFormat="1" applyFont="1" applyAlignment="1">
      <alignment vertical="center"/>
    </xf>
    <xf numFmtId="0" fontId="10" fillId="0" borderId="0" xfId="0" applyFont="1" applyAlignment="1">
      <alignment horizontal="right" vertical="center"/>
    </xf>
    <xf numFmtId="0" fontId="7" fillId="0" borderId="0" xfId="0" applyFont="1" applyAlignment="1">
      <alignment horizontal="left" vertical="center" indent="2"/>
    </xf>
    <xf numFmtId="166" fontId="7" fillId="0" borderId="0" xfId="0" applyNumberFormat="1" applyFont="1" applyAlignment="1">
      <alignment horizontal="right" vertical="center"/>
    </xf>
    <xf numFmtId="165" fontId="11" fillId="0" borderId="0" xfId="0" applyNumberFormat="1" applyFont="1" applyAlignment="1">
      <alignment vertical="center"/>
    </xf>
    <xf numFmtId="165" fontId="20" fillId="0" borderId="9" xfId="0" applyNumberFormat="1" applyFont="1" applyBorder="1" applyAlignment="1">
      <alignment vertical="center"/>
    </xf>
    <xf numFmtId="165" fontId="11" fillId="3" borderId="0" xfId="0" applyNumberFormat="1" applyFont="1" applyFill="1" applyAlignment="1">
      <alignment vertical="center"/>
    </xf>
    <xf numFmtId="165" fontId="20" fillId="3" borderId="3" xfId="0" applyNumberFormat="1" applyFont="1" applyFill="1" applyBorder="1" applyAlignment="1">
      <alignment vertical="center"/>
    </xf>
    <xf numFmtId="165" fontId="20" fillId="0" borderId="3" xfId="0" applyNumberFormat="1" applyFont="1" applyBorder="1" applyAlignment="1">
      <alignment vertical="center"/>
    </xf>
    <xf numFmtId="0" fontId="11" fillId="0" borderId="9" xfId="0" applyFont="1" applyBorder="1" applyAlignment="1">
      <alignment vertical="center"/>
    </xf>
    <xf numFmtId="3" fontId="11" fillId="0" borderId="7" xfId="0" applyNumberFormat="1" applyFont="1" applyBorder="1" applyAlignment="1">
      <alignment vertical="center"/>
    </xf>
    <xf numFmtId="165" fontId="11" fillId="0" borderId="7" xfId="0" applyNumberFormat="1" applyFont="1" applyBorder="1" applyAlignment="1">
      <alignment vertical="center"/>
    </xf>
    <xf numFmtId="165" fontId="11" fillId="0" borderId="9" xfId="0" applyNumberFormat="1" applyFont="1" applyBorder="1" applyAlignment="1">
      <alignment vertical="center"/>
    </xf>
    <xf numFmtId="3" fontId="10" fillId="0" borderId="8" xfId="0" applyNumberFormat="1" applyFont="1" applyBorder="1" applyAlignment="1">
      <alignment vertical="center"/>
    </xf>
    <xf numFmtId="166" fontId="20" fillId="0" borderId="0" xfId="0" applyNumberFormat="1" applyFont="1" applyAlignment="1">
      <alignment vertical="center"/>
    </xf>
    <xf numFmtId="0" fontId="23" fillId="4" borderId="0" xfId="0" applyFont="1" applyFill="1"/>
    <xf numFmtId="0" fontId="11" fillId="4" borderId="0" xfId="0" applyFont="1" applyFill="1"/>
    <xf numFmtId="9" fontId="20" fillId="4" borderId="0" xfId="0" applyNumberFormat="1" applyFont="1" applyFill="1" applyAlignment="1">
      <alignment horizontal="center"/>
    </xf>
    <xf numFmtId="0" fontId="11" fillId="5" borderId="0" xfId="0" applyFont="1" applyFill="1"/>
    <xf numFmtId="9" fontId="7" fillId="5" borderId="0" xfId="0" applyNumberFormat="1" applyFont="1" applyFill="1" applyAlignment="1">
      <alignment horizontal="center"/>
    </xf>
    <xf numFmtId="0" fontId="11" fillId="6" borderId="0" xfId="0" applyFont="1" applyFill="1"/>
    <xf numFmtId="9" fontId="7" fillId="6" borderId="0" xfId="0" applyNumberFormat="1" applyFont="1" applyFill="1" applyAlignment="1">
      <alignment horizontal="center"/>
    </xf>
    <xf numFmtId="0" fontId="2" fillId="0" borderId="5" xfId="0" applyFont="1" applyBorder="1" applyAlignment="1">
      <alignment horizontal="right" vertical="center" wrapText="1"/>
    </xf>
    <xf numFmtId="0" fontId="7" fillId="0" borderId="8" xfId="0" applyFont="1" applyBorder="1" applyAlignment="1">
      <alignment horizontal="center" vertical="center" wrapText="1"/>
    </xf>
    <xf numFmtId="165" fontId="7" fillId="0" borderId="4" xfId="0" applyNumberFormat="1" applyFont="1" applyBorder="1" applyAlignment="1">
      <alignment vertical="center"/>
    </xf>
    <xf numFmtId="165" fontId="10" fillId="0" borderId="6" xfId="0" applyNumberFormat="1" applyFont="1" applyBorder="1" applyAlignment="1">
      <alignment vertical="center"/>
    </xf>
    <xf numFmtId="165" fontId="10" fillId="0" borderId="12" xfId="0" applyNumberFormat="1" applyFont="1" applyBorder="1" applyAlignment="1">
      <alignment vertical="center"/>
    </xf>
    <xf numFmtId="0" fontId="10" fillId="0" borderId="6" xfId="0" applyFont="1" applyBorder="1" applyAlignment="1">
      <alignment horizontal="right" wrapText="1"/>
    </xf>
    <xf numFmtId="3" fontId="10" fillId="4" borderId="0" xfId="0" applyNumberFormat="1" applyFont="1" applyFill="1" applyAlignment="1">
      <alignment vertical="center"/>
    </xf>
    <xf numFmtId="3" fontId="10" fillId="5" borderId="0" xfId="0" applyNumberFormat="1" applyFont="1" applyFill="1" applyAlignment="1">
      <alignment vertical="center"/>
    </xf>
    <xf numFmtId="0" fontId="18" fillId="0" borderId="6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18" fillId="0" borderId="12" xfId="0" applyFont="1" applyBorder="1" applyAlignment="1">
      <alignment horizontal="center" vertical="center"/>
    </xf>
    <xf numFmtId="0" fontId="5" fillId="0" borderId="0" xfId="0" applyFont="1" applyAlignment="1">
      <alignment vertical="top"/>
    </xf>
    <xf numFmtId="0" fontId="17" fillId="0" borderId="6" xfId="0" applyFont="1" applyBorder="1" applyAlignment="1">
      <alignment horizontal="center" vertical="center"/>
    </xf>
    <xf numFmtId="0" fontId="19" fillId="0" borderId="6" xfId="0" applyFont="1" applyBorder="1" applyAlignment="1">
      <alignment horizontal="right" vertical="center"/>
    </xf>
    <xf numFmtId="0" fontId="19" fillId="0" borderId="12" xfId="0" applyFont="1" applyBorder="1" applyAlignment="1">
      <alignment horizontal="right" vertical="center"/>
    </xf>
    <xf numFmtId="165" fontId="7" fillId="3" borderId="4" xfId="0" applyNumberFormat="1" applyFont="1" applyFill="1" applyBorder="1" applyAlignment="1">
      <alignment vertical="center"/>
    </xf>
    <xf numFmtId="165" fontId="20" fillId="3" borderId="16" xfId="0" applyNumberFormat="1" applyFont="1" applyFill="1" applyBorder="1" applyAlignment="1">
      <alignment vertical="center"/>
    </xf>
    <xf numFmtId="0" fontId="24" fillId="0" borderId="0" xfId="0" applyFont="1" applyAlignment="1">
      <alignment vertical="top"/>
    </xf>
    <xf numFmtId="0" fontId="2" fillId="0" borderId="1" xfId="0" applyFont="1" applyBorder="1"/>
    <xf numFmtId="0" fontId="11" fillId="0" borderId="13" xfId="0" applyFont="1" applyBorder="1"/>
    <xf numFmtId="0" fontId="2" fillId="0" borderId="16" xfId="0" applyFont="1" applyBorder="1"/>
    <xf numFmtId="0" fontId="12" fillId="0" borderId="0" xfId="0" applyFont="1" applyAlignment="1">
      <alignment horizontal="right"/>
    </xf>
    <xf numFmtId="0" fontId="25" fillId="0" borderId="0" xfId="0" applyFont="1" applyAlignment="1">
      <alignment horizontal="left" vertical="center"/>
    </xf>
    <xf numFmtId="0" fontId="25" fillId="0" borderId="8" xfId="0" applyFont="1" applyBorder="1" applyAlignment="1">
      <alignment horizontal="left" vertical="center"/>
    </xf>
    <xf numFmtId="1" fontId="25" fillId="0" borderId="7" xfId="0" applyNumberFormat="1" applyFont="1" applyBorder="1" applyAlignment="1">
      <alignment horizontal="right"/>
    </xf>
    <xf numFmtId="167" fontId="25" fillId="0" borderId="13" xfId="0" applyNumberFormat="1" applyFont="1" applyBorder="1" applyAlignment="1">
      <alignment horizontal="left" vertical="center"/>
    </xf>
    <xf numFmtId="0" fontId="26" fillId="0" borderId="7" xfId="0" applyFont="1" applyBorder="1" applyAlignment="1">
      <alignment vertical="center"/>
    </xf>
    <xf numFmtId="0" fontId="25" fillId="0" borderId="7" xfId="0" applyFont="1" applyBorder="1" applyAlignment="1">
      <alignment horizontal="center" vertical="center"/>
    </xf>
    <xf numFmtId="167" fontId="25" fillId="0" borderId="16" xfId="0" applyNumberFormat="1" applyFont="1" applyBorder="1" applyAlignment="1">
      <alignment horizontal="left" vertical="center"/>
    </xf>
    <xf numFmtId="3" fontId="27" fillId="0" borderId="0" xfId="0" applyNumberFormat="1" applyFont="1" applyAlignment="1">
      <alignment vertical="center"/>
    </xf>
    <xf numFmtId="0" fontId="25" fillId="0" borderId="7" xfId="0" applyFont="1" applyBorder="1" applyAlignment="1">
      <alignment horizontal="left" vertical="center"/>
    </xf>
    <xf numFmtId="3" fontId="27" fillId="0" borderId="7" xfId="0" applyNumberFormat="1" applyFont="1" applyBorder="1" applyAlignment="1">
      <alignment vertical="center"/>
    </xf>
    <xf numFmtId="10" fontId="27" fillId="0" borderId="0" xfId="0" applyNumberFormat="1" applyFont="1" applyAlignment="1">
      <alignment vertical="center"/>
    </xf>
    <xf numFmtId="167" fontId="25" fillId="0" borderId="15" xfId="0" applyNumberFormat="1" applyFont="1" applyBorder="1" applyAlignment="1">
      <alignment horizontal="left" vertical="center"/>
    </xf>
    <xf numFmtId="0" fontId="25" fillId="0" borderId="1" xfId="0" applyFont="1" applyBorder="1" applyAlignment="1">
      <alignment horizontal="left" vertical="center"/>
    </xf>
    <xf numFmtId="3" fontId="25" fillId="0" borderId="1" xfId="0" applyNumberFormat="1" applyFont="1" applyBorder="1" applyAlignment="1">
      <alignment vertical="center"/>
    </xf>
    <xf numFmtId="167" fontId="25" fillId="0" borderId="12" xfId="0" applyNumberFormat="1" applyFont="1" applyBorder="1" applyAlignment="1">
      <alignment horizontal="left" vertical="center"/>
    </xf>
    <xf numFmtId="3" fontId="27" fillId="0" borderId="8" xfId="0" applyNumberFormat="1" applyFont="1" applyBorder="1" applyAlignment="1">
      <alignment vertical="center"/>
    </xf>
    <xf numFmtId="167" fontId="25" fillId="0" borderId="0" xfId="0" applyNumberFormat="1" applyFont="1" applyAlignment="1">
      <alignment horizontal="left" vertical="center"/>
    </xf>
    <xf numFmtId="0" fontId="25" fillId="0" borderId="0" xfId="0" applyFont="1" applyAlignment="1">
      <alignment vertical="center"/>
    </xf>
    <xf numFmtId="0" fontId="25" fillId="0" borderId="7" xfId="0" applyFont="1" applyBorder="1" applyAlignment="1">
      <alignment vertical="center"/>
    </xf>
    <xf numFmtId="3" fontId="25" fillId="0" borderId="0" xfId="0" applyNumberFormat="1" applyFont="1" applyAlignment="1">
      <alignment vertical="center"/>
    </xf>
    <xf numFmtId="3" fontId="25" fillId="0" borderId="8" xfId="0" applyNumberFormat="1" applyFont="1" applyBorder="1" applyAlignment="1">
      <alignment vertical="center"/>
    </xf>
    <xf numFmtId="3" fontId="27" fillId="0" borderId="1" xfId="0" applyNumberFormat="1" applyFont="1" applyBorder="1" applyAlignment="1">
      <alignment vertical="center"/>
    </xf>
    <xf numFmtId="168" fontId="25" fillId="0" borderId="14" xfId="0" applyNumberFormat="1" applyFont="1" applyBorder="1" applyAlignment="1">
      <alignment vertical="center"/>
    </xf>
    <xf numFmtId="0" fontId="25" fillId="0" borderId="1" xfId="0" applyFont="1" applyBorder="1" applyAlignment="1">
      <alignment vertical="center"/>
    </xf>
    <xf numFmtId="168" fontId="25" fillId="0" borderId="11" xfId="0" applyNumberFormat="1" applyFont="1" applyBorder="1" applyAlignment="1">
      <alignment vertical="center"/>
    </xf>
    <xf numFmtId="0" fontId="25" fillId="0" borderId="0" xfId="0" applyFont="1" applyAlignment="1">
      <alignment horizontal="right" vertical="center"/>
    </xf>
    <xf numFmtId="0" fontId="25" fillId="0" borderId="0" xfId="0" applyFont="1"/>
    <xf numFmtId="0" fontId="12" fillId="0" borderId="0" xfId="0" applyFont="1" applyAlignment="1">
      <alignment horizontal="right" vertical="center"/>
    </xf>
    <xf numFmtId="167" fontId="25" fillId="3" borderId="12" xfId="0" applyNumberFormat="1" applyFont="1" applyFill="1" applyBorder="1" applyAlignment="1">
      <alignment horizontal="left" vertical="center"/>
    </xf>
    <xf numFmtId="0" fontId="26" fillId="3" borderId="8" xfId="0" applyFont="1" applyFill="1" applyBorder="1" applyAlignment="1">
      <alignment horizontal="left" vertical="center"/>
    </xf>
    <xf numFmtId="0" fontId="26" fillId="3" borderId="8" xfId="0" applyFont="1" applyFill="1" applyBorder="1" applyAlignment="1">
      <alignment vertical="center"/>
    </xf>
    <xf numFmtId="168" fontId="26" fillId="3" borderId="6" xfId="0" applyNumberFormat="1" applyFont="1" applyFill="1" applyBorder="1" applyAlignment="1">
      <alignment vertical="center"/>
    </xf>
    <xf numFmtId="0" fontId="12" fillId="0" borderId="9" xfId="0" applyFont="1" applyBorder="1" applyAlignment="1">
      <alignment horizontal="right"/>
    </xf>
    <xf numFmtId="0" fontId="2" fillId="0" borderId="3" xfId="0" applyFont="1" applyBorder="1" applyAlignment="1">
      <alignment horizontal="right"/>
    </xf>
    <xf numFmtId="0" fontId="12" fillId="0" borderId="9" xfId="0" applyFont="1" applyBorder="1" applyAlignment="1">
      <alignment horizontal="right" vertical="center"/>
    </xf>
    <xf numFmtId="0" fontId="12" fillId="0" borderId="3" xfId="0" applyFont="1" applyBorder="1" applyAlignment="1">
      <alignment horizontal="right" vertical="center"/>
    </xf>
    <xf numFmtId="0" fontId="12" fillId="0" borderId="10" xfId="0" applyFont="1" applyBorder="1" applyAlignment="1">
      <alignment horizontal="right" vertical="center"/>
    </xf>
    <xf numFmtId="0" fontId="12" fillId="0" borderId="5" xfId="0" applyFont="1" applyBorder="1" applyAlignment="1">
      <alignment horizontal="right" vertical="center"/>
    </xf>
    <xf numFmtId="0" fontId="12" fillId="3" borderId="5" xfId="0" applyFont="1" applyFill="1" applyBorder="1" applyAlignment="1">
      <alignment horizontal="right" vertical="center"/>
    </xf>
    <xf numFmtId="0" fontId="25" fillId="0" borderId="9" xfId="0" applyFont="1" applyBorder="1" applyAlignment="1">
      <alignment vertical="center"/>
    </xf>
    <xf numFmtId="3" fontId="25" fillId="0" borderId="3" xfId="0" applyNumberFormat="1" applyFont="1" applyBorder="1" applyAlignment="1">
      <alignment vertical="center"/>
    </xf>
    <xf numFmtId="3" fontId="25" fillId="0" borderId="9" xfId="0" applyNumberFormat="1" applyFont="1" applyBorder="1" applyAlignment="1">
      <alignment vertical="center"/>
    </xf>
    <xf numFmtId="0" fontId="25" fillId="0" borderId="3" xfId="0" applyFont="1" applyBorder="1" applyAlignment="1">
      <alignment vertical="center"/>
    </xf>
    <xf numFmtId="3" fontId="25" fillId="0" borderId="10" xfId="0" applyNumberFormat="1" applyFont="1" applyBorder="1" applyAlignment="1">
      <alignment vertical="center"/>
    </xf>
    <xf numFmtId="3" fontId="25" fillId="0" borderId="5" xfId="0" applyNumberFormat="1" applyFont="1" applyBorder="1" applyAlignment="1">
      <alignment vertical="center"/>
    </xf>
    <xf numFmtId="3" fontId="27" fillId="0" borderId="12" xfId="0" applyNumberFormat="1" applyFont="1" applyBorder="1" applyAlignment="1">
      <alignment vertical="center"/>
    </xf>
    <xf numFmtId="3" fontId="27" fillId="0" borderId="6" xfId="0" applyNumberFormat="1" applyFont="1" applyBorder="1" applyAlignment="1">
      <alignment vertical="center"/>
    </xf>
    <xf numFmtId="0" fontId="25" fillId="0" borderId="9" xfId="0" applyFont="1" applyBorder="1" applyAlignment="1">
      <alignment horizontal="right" wrapText="1"/>
    </xf>
    <xf numFmtId="0" fontId="11" fillId="0" borderId="14" xfId="0" applyFont="1" applyBorder="1"/>
    <xf numFmtId="166" fontId="28" fillId="0" borderId="6" xfId="0" applyNumberFormat="1" applyFont="1" applyBorder="1" applyAlignment="1">
      <alignment horizontal="center"/>
    </xf>
    <xf numFmtId="9" fontId="11" fillId="0" borderId="0" xfId="0" applyNumberFormat="1" applyFont="1"/>
    <xf numFmtId="3" fontId="10" fillId="0" borderId="0" xfId="0" applyNumberFormat="1" applyFont="1" applyAlignment="1">
      <alignment vertical="center"/>
    </xf>
    <xf numFmtId="165" fontId="20" fillId="0" borderId="16" xfId="0" applyNumberFormat="1" applyFont="1" applyBorder="1" applyAlignment="1">
      <alignment vertical="center"/>
    </xf>
    <xf numFmtId="0" fontId="29" fillId="0" borderId="5" xfId="0" applyFont="1" applyBorder="1" applyAlignment="1">
      <alignment vertical="top" wrapText="1"/>
    </xf>
    <xf numFmtId="0" fontId="7" fillId="0" borderId="8" xfId="0" applyFont="1" applyBorder="1" applyAlignment="1">
      <alignment horizontal="right" wrapText="1"/>
    </xf>
    <xf numFmtId="0" fontId="7" fillId="0" borderId="12" xfId="0" applyFont="1" applyBorder="1" applyAlignment="1">
      <alignment horizontal="right" wrapText="1"/>
    </xf>
    <xf numFmtId="0" fontId="7" fillId="0" borderId="5" xfId="0" applyFont="1" applyBorder="1" applyAlignment="1">
      <alignment horizontal="left" vertical="top" wrapText="1"/>
    </xf>
    <xf numFmtId="0" fontId="17" fillId="0" borderId="8" xfId="0" applyFont="1" applyBorder="1" applyAlignment="1">
      <alignment horizontal="center" vertical="center"/>
    </xf>
    <xf numFmtId="0" fontId="7" fillId="2" borderId="13" xfId="0" applyFont="1" applyFill="1" applyBorder="1" applyAlignment="1">
      <alignment vertical="center"/>
    </xf>
    <xf numFmtId="166" fontId="20" fillId="2" borderId="14" xfId="0" applyNumberFormat="1" applyFont="1" applyFill="1" applyBorder="1" applyAlignment="1">
      <alignment vertical="center"/>
    </xf>
    <xf numFmtId="0" fontId="7" fillId="2" borderId="16" xfId="0" applyFont="1" applyFill="1" applyBorder="1" applyAlignment="1">
      <alignment vertical="center"/>
    </xf>
    <xf numFmtId="166" fontId="20" fillId="2" borderId="4" xfId="0" applyNumberFormat="1" applyFont="1" applyFill="1" applyBorder="1" applyAlignment="1">
      <alignment vertical="center"/>
    </xf>
    <xf numFmtId="0" fontId="7" fillId="2" borderId="15" xfId="0" applyFont="1" applyFill="1" applyBorder="1" applyAlignment="1">
      <alignment vertical="center"/>
    </xf>
    <xf numFmtId="166" fontId="20" fillId="2" borderId="11" xfId="0" applyNumberFormat="1" applyFont="1" applyFill="1" applyBorder="1" applyAlignment="1">
      <alignment vertical="center"/>
    </xf>
    <xf numFmtId="0" fontId="10" fillId="0" borderId="5" xfId="0" applyFont="1" applyBorder="1" applyAlignment="1">
      <alignment horizontal="right" wrapText="1"/>
    </xf>
    <xf numFmtId="164" fontId="10" fillId="0" borderId="8" xfId="0" applyNumberFormat="1" applyFont="1" applyBorder="1" applyAlignment="1">
      <alignment vertical="center"/>
    </xf>
    <xf numFmtId="164" fontId="7" fillId="0" borderId="0" xfId="0" applyNumberFormat="1" applyFont="1" applyAlignment="1">
      <alignment vertical="center"/>
    </xf>
    <xf numFmtId="165" fontId="7" fillId="3" borderId="0" xfId="0" applyNumberFormat="1" applyFont="1" applyFill="1" applyAlignment="1">
      <alignment vertical="center"/>
    </xf>
    <xf numFmtId="164" fontId="7" fillId="3" borderId="0" xfId="0" applyNumberFormat="1" applyFont="1" applyFill="1" applyAlignment="1">
      <alignment vertical="center"/>
    </xf>
    <xf numFmtId="165" fontId="7" fillId="0" borderId="7" xfId="0" applyNumberFormat="1" applyFont="1" applyBorder="1" applyAlignment="1">
      <alignment vertical="center"/>
    </xf>
    <xf numFmtId="164" fontId="7" fillId="0" borderId="7" xfId="0" applyNumberFormat="1" applyFont="1" applyBorder="1" applyAlignment="1">
      <alignment vertical="center"/>
    </xf>
    <xf numFmtId="169" fontId="10" fillId="0" borderId="5" xfId="0" applyNumberFormat="1" applyFont="1" applyBorder="1" applyAlignment="1">
      <alignment vertical="center"/>
    </xf>
    <xf numFmtId="0" fontId="30" fillId="0" borderId="5" xfId="0" applyFont="1" applyBorder="1" applyAlignment="1">
      <alignment vertical="top"/>
    </xf>
    <xf numFmtId="0" fontId="2" fillId="0" borderId="3" xfId="0" applyFont="1" applyBorder="1" applyAlignment="1">
      <alignment vertical="top" wrapText="1"/>
    </xf>
    <xf numFmtId="0" fontId="17" fillId="0" borderId="0" xfId="0" applyFont="1"/>
    <xf numFmtId="1" fontId="7" fillId="0" borderId="1" xfId="0" applyNumberFormat="1" applyFont="1" applyBorder="1" applyAlignment="1">
      <alignment horizontal="right" vertical="center"/>
    </xf>
    <xf numFmtId="0" fontId="10" fillId="0" borderId="0" xfId="0" applyFont="1" applyAlignment="1">
      <alignment vertical="top"/>
    </xf>
    <xf numFmtId="0" fontId="10" fillId="0" borderId="0" xfId="0" applyFont="1" applyAlignment="1">
      <alignment vertical="top" wrapText="1"/>
    </xf>
    <xf numFmtId="0" fontId="22" fillId="0" borderId="0" xfId="0" applyFont="1" applyAlignment="1">
      <alignment horizontal="right"/>
    </xf>
    <xf numFmtId="0" fontId="13" fillId="0" borderId="0" xfId="0" applyFont="1" applyAlignment="1">
      <alignment vertical="top"/>
    </xf>
    <xf numFmtId="0" fontId="17" fillId="0" borderId="8" xfId="0" applyFont="1" applyBorder="1" applyAlignment="1">
      <alignment horizontal="right" vertical="center"/>
    </xf>
    <xf numFmtId="0" fontId="12" fillId="0" borderId="5" xfId="0" applyFont="1" applyBorder="1" applyAlignment="1">
      <alignment horizontal="right" vertical="center" wrapText="1"/>
    </xf>
    <xf numFmtId="0" fontId="19" fillId="0" borderId="0" xfId="0" applyFont="1"/>
    <xf numFmtId="0" fontId="5" fillId="0" borderId="9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1" fontId="10" fillId="0" borderId="10" xfId="0" applyNumberFormat="1" applyFont="1" applyBorder="1" applyAlignment="1">
      <alignment horizontal="right" vertical="center"/>
    </xf>
    <xf numFmtId="0" fontId="13" fillId="0" borderId="0" xfId="0" applyFont="1" applyAlignment="1">
      <alignment vertical="top" wrapText="1"/>
    </xf>
    <xf numFmtId="164" fontId="10" fillId="0" borderId="6" xfId="0" applyNumberFormat="1" applyFont="1" applyBorder="1" applyAlignment="1">
      <alignment vertical="center"/>
    </xf>
    <xf numFmtId="165" fontId="7" fillId="0" borderId="16" xfId="0" applyNumberFormat="1" applyFont="1" applyBorder="1" applyAlignment="1">
      <alignment vertical="center"/>
    </xf>
    <xf numFmtId="0" fontId="2" fillId="0" borderId="1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165" fontId="7" fillId="3" borderId="16" xfId="0" applyNumberFormat="1" applyFont="1" applyFill="1" applyBorder="1" applyAlignment="1">
      <alignment vertical="center"/>
    </xf>
    <xf numFmtId="3" fontId="10" fillId="4" borderId="0" xfId="0" applyNumberFormat="1" applyFont="1" applyFill="1"/>
    <xf numFmtId="3" fontId="10" fillId="5" borderId="0" xfId="0" applyNumberFormat="1" applyFont="1" applyFill="1"/>
    <xf numFmtId="3" fontId="10" fillId="6" borderId="0" xfId="0" applyNumberFormat="1" applyFont="1" applyFill="1"/>
    <xf numFmtId="164" fontId="7" fillId="0" borderId="4" xfId="0" applyNumberFormat="1" applyFont="1" applyBorder="1" applyAlignment="1">
      <alignment vertical="center"/>
    </xf>
    <xf numFmtId="164" fontId="7" fillId="3" borderId="4" xfId="0" applyNumberFormat="1" applyFont="1" applyFill="1" applyBorder="1" applyAlignment="1">
      <alignment vertical="center"/>
    </xf>
    <xf numFmtId="0" fontId="2" fillId="0" borderId="5" xfId="0" applyFont="1" applyBorder="1" applyAlignment="1">
      <alignment vertical="center" wrapText="1"/>
    </xf>
    <xf numFmtId="164" fontId="31" fillId="0" borderId="12" xfId="0" applyNumberFormat="1" applyFont="1" applyBorder="1" applyAlignment="1">
      <alignment vertical="center"/>
    </xf>
    <xf numFmtId="164" fontId="31" fillId="0" borderId="8" xfId="0" applyNumberFormat="1" applyFont="1" applyBorder="1" applyAlignment="1">
      <alignment vertical="center"/>
    </xf>
    <xf numFmtId="164" fontId="31" fillId="0" borderId="6" xfId="0" applyNumberFormat="1" applyFont="1" applyBorder="1" applyAlignment="1">
      <alignment vertical="center"/>
    </xf>
    <xf numFmtId="0" fontId="2" fillId="0" borderId="6" xfId="0" applyFont="1" applyBorder="1" applyAlignment="1">
      <alignment vertical="center" wrapText="1"/>
    </xf>
    <xf numFmtId="164" fontId="31" fillId="0" borderId="5" xfId="0" applyNumberFormat="1" applyFont="1" applyBorder="1" applyAlignment="1">
      <alignment vertical="center"/>
    </xf>
    <xf numFmtId="0" fontId="10" fillId="0" borderId="0" xfId="0" applyFont="1" applyAlignment="1">
      <alignment horizontal="right" wrapText="1"/>
    </xf>
    <xf numFmtId="0" fontId="7" fillId="0" borderId="3" xfId="0" applyFont="1" applyBorder="1"/>
    <xf numFmtId="0" fontId="7" fillId="0" borderId="16" xfId="0" applyFont="1" applyBorder="1" applyAlignment="1">
      <alignment horizontal="right" wrapText="1"/>
    </xf>
    <xf numFmtId="0" fontId="10" fillId="0" borderId="4" xfId="0" applyFont="1" applyBorder="1" applyAlignment="1">
      <alignment horizontal="right" wrapText="1"/>
    </xf>
    <xf numFmtId="0" fontId="7" fillId="4" borderId="0" xfId="0" applyFont="1" applyFill="1" applyAlignment="1">
      <alignment horizontal="right" wrapText="1"/>
    </xf>
    <xf numFmtId="0" fontId="7" fillId="5" borderId="0" xfId="0" applyFont="1" applyFill="1" applyAlignment="1">
      <alignment horizontal="right" wrapText="1"/>
    </xf>
    <xf numFmtId="0" fontId="7" fillId="6" borderId="0" xfId="0" applyFont="1" applyFill="1" applyAlignment="1">
      <alignment horizontal="right" wrapText="1"/>
    </xf>
    <xf numFmtId="169" fontId="20" fillId="0" borderId="13" xfId="0" applyNumberFormat="1" applyFont="1" applyBorder="1" applyAlignment="1">
      <alignment vertical="center"/>
    </xf>
    <xf numFmtId="169" fontId="20" fillId="0" borderId="7" xfId="0" applyNumberFormat="1" applyFont="1" applyBorder="1" applyAlignment="1">
      <alignment vertical="center"/>
    </xf>
    <xf numFmtId="169" fontId="20" fillId="0" borderId="14" xfId="0" applyNumberFormat="1" applyFont="1" applyBorder="1" applyAlignment="1">
      <alignment vertical="center"/>
    </xf>
    <xf numFmtId="169" fontId="20" fillId="0" borderId="12" xfId="0" applyNumberFormat="1" applyFont="1" applyBorder="1" applyAlignment="1">
      <alignment vertical="center"/>
    </xf>
    <xf numFmtId="169" fontId="20" fillId="0" borderId="8" xfId="0" applyNumberFormat="1" applyFont="1" applyBorder="1" applyAlignment="1">
      <alignment vertical="center"/>
    </xf>
    <xf numFmtId="169" fontId="20" fillId="0" borderId="6" xfId="0" applyNumberFormat="1" applyFont="1" applyBorder="1" applyAlignment="1">
      <alignment vertical="center"/>
    </xf>
    <xf numFmtId="0" fontId="12" fillId="0" borderId="8" xfId="0" applyFont="1" applyBorder="1" applyAlignment="1">
      <alignment horizontal="right" vertical="center"/>
    </xf>
    <xf numFmtId="0" fontId="7" fillId="0" borderId="12" xfId="0" applyFont="1" applyBorder="1" applyAlignment="1">
      <alignment vertical="center"/>
    </xf>
    <xf numFmtId="0" fontId="7" fillId="0" borderId="8" xfId="0" applyFont="1" applyBorder="1" applyAlignment="1">
      <alignment vertical="center"/>
    </xf>
    <xf numFmtId="1" fontId="10" fillId="0" borderId="12" xfId="0" applyNumberFormat="1" applyFont="1" applyBorder="1" applyAlignment="1">
      <alignment horizontal="right" vertical="center"/>
    </xf>
    <xf numFmtId="1" fontId="10" fillId="0" borderId="8" xfId="0" applyNumberFormat="1" applyFont="1" applyBorder="1" applyAlignment="1">
      <alignment horizontal="right" vertical="center"/>
    </xf>
    <xf numFmtId="1" fontId="10" fillId="0" borderId="6" xfId="0" applyNumberFormat="1" applyFont="1" applyBorder="1" applyAlignment="1">
      <alignment horizontal="right" vertical="center"/>
    </xf>
    <xf numFmtId="0" fontId="10" fillId="0" borderId="9" xfId="0" applyFont="1" applyBorder="1" applyAlignment="1">
      <alignment horizontal="right" vertical="center"/>
    </xf>
    <xf numFmtId="165" fontId="7" fillId="0" borderId="3" xfId="0" applyNumberFormat="1" applyFont="1" applyBorder="1" applyAlignment="1">
      <alignment horizontal="right" vertical="center"/>
    </xf>
    <xf numFmtId="165" fontId="7" fillId="0" borderId="12" xfId="0" applyNumberFormat="1" applyFont="1" applyBorder="1" applyAlignment="1">
      <alignment horizontal="right" vertical="center"/>
    </xf>
    <xf numFmtId="165" fontId="7" fillId="0" borderId="8" xfId="0" applyNumberFormat="1" applyFont="1" applyBorder="1" applyAlignment="1">
      <alignment horizontal="right" vertical="center"/>
    </xf>
    <xf numFmtId="165" fontId="7" fillId="0" borderId="6" xfId="0" applyNumberFormat="1" applyFont="1" applyBorder="1" applyAlignment="1">
      <alignment horizontal="right" vertical="center"/>
    </xf>
    <xf numFmtId="165" fontId="7" fillId="0" borderId="10" xfId="0" applyNumberFormat="1" applyFont="1" applyBorder="1" applyAlignment="1">
      <alignment horizontal="right" vertical="center"/>
    </xf>
    <xf numFmtId="0" fontId="7" fillId="3" borderId="8" xfId="0" applyFont="1" applyFill="1" applyBorder="1" applyAlignment="1">
      <alignment vertical="center"/>
    </xf>
    <xf numFmtId="0" fontId="2" fillId="3" borderId="5" xfId="0" applyFont="1" applyFill="1" applyBorder="1" applyAlignment="1">
      <alignment horizontal="right" vertical="center"/>
    </xf>
    <xf numFmtId="165" fontId="10" fillId="3" borderId="12" xfId="0" applyNumberFormat="1" applyFont="1" applyFill="1" applyBorder="1" applyAlignment="1">
      <alignment horizontal="right" vertical="center"/>
    </xf>
    <xf numFmtId="165" fontId="10" fillId="3" borderId="8" xfId="0" applyNumberFormat="1" applyFont="1" applyFill="1" applyBorder="1" applyAlignment="1">
      <alignment horizontal="right" vertical="center"/>
    </xf>
    <xf numFmtId="165" fontId="10" fillId="3" borderId="6" xfId="0" applyNumberFormat="1" applyFont="1" applyFill="1" applyBorder="1" applyAlignment="1">
      <alignment horizontal="right" vertical="center"/>
    </xf>
    <xf numFmtId="0" fontId="2" fillId="0" borderId="8" xfId="0" applyFont="1" applyBorder="1" applyAlignment="1">
      <alignment horizontal="right" vertical="center"/>
    </xf>
    <xf numFmtId="165" fontId="7" fillId="3" borderId="8" xfId="0" applyNumberFormat="1" applyFont="1" applyFill="1" applyBorder="1" applyAlignment="1">
      <alignment horizontal="right" vertical="center"/>
    </xf>
    <xf numFmtId="0" fontId="7" fillId="3" borderId="1" xfId="0" applyFont="1" applyFill="1" applyBorder="1" applyAlignment="1">
      <alignment vertical="center"/>
    </xf>
    <xf numFmtId="0" fontId="12" fillId="3" borderId="10" xfId="0" applyFont="1" applyFill="1" applyBorder="1" applyAlignment="1">
      <alignment horizontal="right" vertical="center"/>
    </xf>
    <xf numFmtId="0" fontId="2" fillId="3" borderId="10" xfId="0" applyFont="1" applyFill="1" applyBorder="1" applyAlignment="1">
      <alignment horizontal="right" vertical="center"/>
    </xf>
    <xf numFmtId="0" fontId="7" fillId="3" borderId="1" xfId="0" applyFont="1" applyFill="1" applyBorder="1" applyAlignment="1">
      <alignment horizontal="right" vertical="center"/>
    </xf>
    <xf numFmtId="166" fontId="10" fillId="3" borderId="11" xfId="0" applyNumberFormat="1" applyFont="1" applyFill="1" applyBorder="1" applyAlignment="1">
      <alignment horizontal="right" vertical="center"/>
    </xf>
    <xf numFmtId="170" fontId="7" fillId="0" borderId="0" xfId="0" applyNumberFormat="1" applyFont="1"/>
    <xf numFmtId="167" fontId="7" fillId="0" borderId="12" xfId="0" applyNumberFormat="1" applyFont="1" applyBorder="1" applyAlignment="1">
      <alignment vertical="center"/>
    </xf>
    <xf numFmtId="167" fontId="7" fillId="3" borderId="12" xfId="0" applyNumberFormat="1" applyFont="1" applyFill="1" applyBorder="1" applyAlignment="1">
      <alignment vertical="center"/>
    </xf>
    <xf numFmtId="167" fontId="7" fillId="0" borderId="8" xfId="0" applyNumberFormat="1" applyFont="1" applyBorder="1" applyAlignment="1">
      <alignment vertical="center"/>
    </xf>
    <xf numFmtId="167" fontId="7" fillId="3" borderId="15" xfId="0" applyNumberFormat="1" applyFont="1" applyFill="1" applyBorder="1" applyAlignment="1">
      <alignment vertical="center"/>
    </xf>
    <xf numFmtId="171" fontId="20" fillId="0" borderId="12" xfId="0" applyNumberFormat="1" applyFont="1" applyBorder="1" applyAlignment="1">
      <alignment vertical="center"/>
    </xf>
    <xf numFmtId="171" fontId="20" fillId="0" borderId="8" xfId="0" applyNumberFormat="1" applyFont="1" applyBorder="1" applyAlignment="1">
      <alignment vertical="center"/>
    </xf>
    <xf numFmtId="171" fontId="20" fillId="0" borderId="6" xfId="0" applyNumberFormat="1" applyFont="1" applyBorder="1" applyAlignment="1">
      <alignment vertical="center"/>
    </xf>
    <xf numFmtId="0" fontId="7" fillId="0" borderId="12" xfId="0" applyFont="1" applyBorder="1" applyAlignment="1">
      <alignment horizontal="right" vertical="center" wrapText="1"/>
    </xf>
    <xf numFmtId="0" fontId="10" fillId="0" borderId="6" xfId="0" applyFont="1" applyBorder="1" applyAlignment="1">
      <alignment horizontal="right" vertical="center" wrapText="1"/>
    </xf>
    <xf numFmtId="164" fontId="7" fillId="0" borderId="16" xfId="0" applyNumberFormat="1" applyFont="1" applyBorder="1" applyAlignment="1">
      <alignment vertical="center"/>
    </xf>
    <xf numFmtId="164" fontId="10" fillId="0" borderId="12" xfId="0" applyNumberFormat="1" applyFont="1" applyBorder="1" applyAlignment="1">
      <alignment vertical="center"/>
    </xf>
    <xf numFmtId="0" fontId="10" fillId="0" borderId="12" xfId="0" applyFont="1" applyBorder="1" applyAlignment="1">
      <alignment horizontal="right" vertical="center" wrapText="1"/>
    </xf>
    <xf numFmtId="0" fontId="3" fillId="0" borderId="12" xfId="0" applyFont="1" applyBorder="1" applyAlignment="1">
      <alignment horizontal="center" vertical="center"/>
    </xf>
    <xf numFmtId="0" fontId="12" fillId="0" borderId="12" xfId="0" applyFont="1" applyBorder="1" applyAlignment="1">
      <alignment horizontal="right" vertical="center"/>
    </xf>
    <xf numFmtId="0" fontId="7" fillId="3" borderId="3" xfId="0" applyFont="1" applyFill="1" applyBorder="1" applyAlignment="1">
      <alignment vertical="center" wrapText="1"/>
    </xf>
    <xf numFmtId="164" fontId="7" fillId="3" borderId="16" xfId="0" applyNumberFormat="1" applyFont="1" applyFill="1" applyBorder="1" applyAlignment="1">
      <alignment vertical="center"/>
    </xf>
    <xf numFmtId="0" fontId="11" fillId="2" borderId="13" xfId="0" applyFont="1" applyFill="1" applyBorder="1" applyAlignment="1">
      <alignment vertical="center"/>
    </xf>
    <xf numFmtId="0" fontId="11" fillId="2" borderId="14" xfId="0" applyFont="1" applyFill="1" applyBorder="1" applyAlignment="1">
      <alignment vertical="center"/>
    </xf>
    <xf numFmtId="0" fontId="11" fillId="2" borderId="4" xfId="0" applyFont="1" applyFill="1" applyBorder="1" applyAlignment="1">
      <alignment vertical="center"/>
    </xf>
    <xf numFmtId="0" fontId="11" fillId="2" borderId="15" xfId="0" applyFont="1" applyFill="1" applyBorder="1" applyAlignment="1">
      <alignment vertical="center"/>
    </xf>
    <xf numFmtId="0" fontId="11" fillId="2" borderId="11" xfId="0" applyFont="1" applyFill="1" applyBorder="1" applyAlignment="1">
      <alignment vertical="center"/>
    </xf>
    <xf numFmtId="167" fontId="11" fillId="2" borderId="16" xfId="0" applyNumberFormat="1" applyFont="1" applyFill="1" applyBorder="1" applyAlignment="1">
      <alignment vertical="center"/>
    </xf>
    <xf numFmtId="169" fontId="11" fillId="2" borderId="4" xfId="0" applyNumberFormat="1" applyFont="1" applyFill="1" applyBorder="1" applyAlignment="1">
      <alignment vertical="center"/>
    </xf>
    <xf numFmtId="172" fontId="11" fillId="2" borderId="4" xfId="0" applyNumberFormat="1" applyFont="1" applyFill="1" applyBorder="1" applyAlignment="1">
      <alignment vertical="center"/>
    </xf>
    <xf numFmtId="167" fontId="7" fillId="2" borderId="16" xfId="0" applyNumberFormat="1" applyFont="1" applyFill="1" applyBorder="1" applyAlignment="1">
      <alignment vertical="center"/>
    </xf>
    <xf numFmtId="173" fontId="20" fillId="2" borderId="4" xfId="0" applyNumberFormat="1" applyFont="1" applyFill="1" applyBorder="1" applyAlignment="1">
      <alignment vertical="center"/>
    </xf>
    <xf numFmtId="0" fontId="7" fillId="0" borderId="3" xfId="0" applyFont="1" applyBorder="1" applyAlignment="1">
      <alignment vertical="center" wrapText="1"/>
    </xf>
    <xf numFmtId="0" fontId="7" fillId="0" borderId="5" xfId="0" applyFont="1" applyBorder="1"/>
    <xf numFmtId="0" fontId="7" fillId="0" borderId="12" xfId="0" applyFont="1" applyBorder="1"/>
    <xf numFmtId="167" fontId="10" fillId="0" borderId="5" xfId="0" applyNumberFormat="1" applyFont="1" applyBorder="1" applyAlignment="1">
      <alignment vertical="center"/>
    </xf>
    <xf numFmtId="167" fontId="7" fillId="0" borderId="10" xfId="0" applyNumberFormat="1" applyFont="1" applyBorder="1" applyAlignment="1">
      <alignment vertical="center"/>
    </xf>
    <xf numFmtId="0" fontId="7" fillId="0" borderId="6" xfId="0" applyFont="1" applyBorder="1" applyAlignment="1">
      <alignment horizontal="right" vertical="center" wrapText="1"/>
    </xf>
    <xf numFmtId="166" fontId="7" fillId="0" borderId="15" xfId="0" applyNumberFormat="1" applyFont="1" applyBorder="1" applyAlignment="1">
      <alignment vertical="center"/>
    </xf>
    <xf numFmtId="166" fontId="7" fillId="0" borderId="11" xfId="0" applyNumberFormat="1" applyFont="1" applyBorder="1" applyAlignment="1">
      <alignment vertical="center"/>
    </xf>
    <xf numFmtId="0" fontId="2" fillId="0" borderId="12" xfId="0" applyFont="1" applyBorder="1" applyAlignment="1">
      <alignment horizontal="right"/>
    </xf>
    <xf numFmtId="167" fontId="7" fillId="0" borderId="12" xfId="0" applyNumberFormat="1" applyFont="1" applyBorder="1" applyAlignment="1">
      <alignment horizontal="left" vertical="center"/>
    </xf>
    <xf numFmtId="166" fontId="20" fillId="0" borderId="6" xfId="0" applyNumberFormat="1" applyFont="1" applyBorder="1" applyAlignment="1">
      <alignment vertical="center"/>
    </xf>
    <xf numFmtId="0" fontId="17" fillId="0" borderId="1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12" fillId="0" borderId="0" xfId="0" applyFont="1" applyAlignment="1">
      <alignment horizontal="right" wrapText="1"/>
    </xf>
    <xf numFmtId="0" fontId="7" fillId="0" borderId="5" xfId="0" applyFont="1" applyBorder="1" applyAlignment="1">
      <alignment vertical="center"/>
    </xf>
    <xf numFmtId="164" fontId="7" fillId="0" borderId="6" xfId="0" applyNumberFormat="1" applyFont="1" applyBorder="1" applyAlignment="1">
      <alignment vertical="center"/>
    </xf>
    <xf numFmtId="164" fontId="7" fillId="0" borderId="8" xfId="0" applyNumberFormat="1" applyFont="1" applyBorder="1" applyAlignment="1">
      <alignment vertical="center"/>
    </xf>
    <xf numFmtId="165" fontId="10" fillId="0" borderId="0" xfId="0" applyNumberFormat="1" applyFont="1" applyAlignment="1">
      <alignment vertical="center"/>
    </xf>
    <xf numFmtId="165" fontId="10" fillId="0" borderId="0" xfId="0" applyNumberFormat="1" applyFont="1" applyAlignment="1">
      <alignment horizontal="right" vertical="center"/>
    </xf>
    <xf numFmtId="165" fontId="7" fillId="0" borderId="8" xfId="0" applyNumberFormat="1" applyFont="1" applyBorder="1" applyAlignment="1">
      <alignment vertical="center"/>
    </xf>
    <xf numFmtId="165" fontId="7" fillId="0" borderId="8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17" fillId="0" borderId="0" xfId="0" applyFont="1" applyAlignment="1">
      <alignment horizontal="right"/>
    </xf>
    <xf numFmtId="0" fontId="10" fillId="0" borderId="0" xfId="0" applyFont="1" applyAlignment="1">
      <alignment horizontal="right" vertical="center" wrapText="1"/>
    </xf>
    <xf numFmtId="0" fontId="12" fillId="0" borderId="6" xfId="0" applyFont="1" applyBorder="1" applyAlignment="1">
      <alignment horizontal="right" vertical="center" wrapText="1"/>
    </xf>
    <xf numFmtId="0" fontId="12" fillId="0" borderId="8" xfId="0" applyFont="1" applyBorder="1" applyAlignment="1">
      <alignment horizontal="right" vertical="center" wrapText="1"/>
    </xf>
    <xf numFmtId="3" fontId="7" fillId="0" borderId="0" xfId="0" applyNumberFormat="1" applyFont="1"/>
    <xf numFmtId="165" fontId="7" fillId="0" borderId="0" xfId="0" applyNumberFormat="1" applyFont="1" applyAlignment="1">
      <alignment horizontal="right" vertical="center"/>
    </xf>
    <xf numFmtId="0" fontId="7" fillId="7" borderId="3" xfId="0" applyFont="1" applyFill="1" applyBorder="1" applyAlignment="1">
      <alignment vertical="center" wrapText="1"/>
    </xf>
    <xf numFmtId="164" fontId="7" fillId="7" borderId="0" xfId="0" applyNumberFormat="1" applyFont="1" applyFill="1" applyAlignment="1">
      <alignment vertical="center"/>
    </xf>
    <xf numFmtId="165" fontId="7" fillId="7" borderId="0" xfId="0" applyNumberFormat="1" applyFont="1" applyFill="1" applyAlignment="1">
      <alignment vertical="center"/>
    </xf>
    <xf numFmtId="165" fontId="7" fillId="7" borderId="0" xfId="0" applyNumberFormat="1" applyFont="1" applyFill="1" applyAlignment="1">
      <alignment horizontal="right" vertical="center"/>
    </xf>
    <xf numFmtId="164" fontId="7" fillId="7" borderId="4" xfId="0" applyNumberFormat="1" applyFont="1" applyFill="1" applyBorder="1" applyAlignment="1">
      <alignment vertical="center"/>
    </xf>
    <xf numFmtId="165" fontId="7" fillId="3" borderId="0" xfId="0" applyNumberFormat="1" applyFont="1" applyFill="1" applyAlignment="1">
      <alignment horizontal="right" vertical="center"/>
    </xf>
    <xf numFmtId="0" fontId="2" fillId="0" borderId="0" xfId="0" applyFont="1" applyAlignment="1">
      <alignment horizontal="left"/>
    </xf>
    <xf numFmtId="0" fontId="3" fillId="8" borderId="5" xfId="0" applyFont="1" applyFill="1" applyBorder="1"/>
    <xf numFmtId="0" fontId="2" fillId="8" borderId="9" xfId="0" applyFont="1" applyFill="1" applyBorder="1"/>
    <xf numFmtId="0" fontId="2" fillId="8" borderId="3" xfId="0" applyFont="1" applyFill="1" applyBorder="1"/>
    <xf numFmtId="0" fontId="3" fillId="0" borderId="0" xfId="0" applyFont="1"/>
    <xf numFmtId="0" fontId="2" fillId="8" borderId="10" xfId="0" applyFont="1" applyFill="1" applyBorder="1"/>
    <xf numFmtId="0" fontId="2" fillId="9" borderId="5" xfId="0" applyFont="1" applyFill="1" applyBorder="1" applyAlignment="1">
      <alignment horizontal="left"/>
    </xf>
    <xf numFmtId="0" fontId="32" fillId="0" borderId="0" xfId="0" applyFont="1"/>
    <xf numFmtId="0" fontId="2" fillId="10" borderId="5" xfId="0" applyFont="1" applyFill="1" applyBorder="1" applyAlignment="1">
      <alignment horizontal="left"/>
    </xf>
    <xf numFmtId="0" fontId="3" fillId="8" borderId="5" xfId="0" applyFont="1" applyFill="1" applyBorder="1" applyAlignment="1">
      <alignment horizontal="left"/>
    </xf>
    <xf numFmtId="1" fontId="2" fillId="11" borderId="5" xfId="0" applyNumberFormat="1" applyFont="1" applyFill="1" applyBorder="1" applyAlignment="1">
      <alignment horizontal="left"/>
    </xf>
    <xf numFmtId="0" fontId="2" fillId="11" borderId="3" xfId="0" applyFont="1" applyFill="1" applyBorder="1"/>
    <xf numFmtId="0" fontId="2" fillId="11" borderId="9" xfId="0" applyFont="1" applyFill="1" applyBorder="1"/>
    <xf numFmtId="0" fontId="2" fillId="11" borderId="10" xfId="0" applyFont="1" applyFill="1" applyBorder="1"/>
    <xf numFmtId="0" fontId="3" fillId="11" borderId="3" xfId="0" applyFont="1" applyFill="1" applyBorder="1"/>
    <xf numFmtId="0" fontId="3" fillId="11" borderId="9" xfId="0" applyFont="1" applyFill="1" applyBorder="1"/>
    <xf numFmtId="0" fontId="33" fillId="0" borderId="0" xfId="0" applyFont="1" applyAlignment="1">
      <alignment horizontal="left"/>
    </xf>
    <xf numFmtId="0" fontId="7" fillId="2" borderId="2" xfId="0" applyFont="1" applyFill="1" applyBorder="1" applyAlignment="1">
      <alignment horizontal="left" vertical="center" indent="1"/>
    </xf>
    <xf numFmtId="0" fontId="10" fillId="2" borderId="2" xfId="0" applyFont="1" applyFill="1" applyBorder="1" applyAlignment="1">
      <alignment horizontal="left" vertical="center" indent="1"/>
    </xf>
    <xf numFmtId="0" fontId="2" fillId="0" borderId="7" xfId="0" applyFont="1" applyBorder="1" applyAlignment="1">
      <alignment horizontal="center" wrapText="1"/>
    </xf>
    <xf numFmtId="0" fontId="13" fillId="0" borderId="0" xfId="0" applyFont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0" fillId="0" borderId="9" xfId="0" applyFont="1" applyBorder="1" applyAlignment="1">
      <alignment horizontal="right" vertical="center" wrapText="1"/>
    </xf>
    <xf numFmtId="0" fontId="10" fillId="0" borderId="10" xfId="0" applyFont="1" applyBorder="1" applyAlignment="1">
      <alignment horizontal="right" vertical="center" wrapText="1"/>
    </xf>
    <xf numFmtId="0" fontId="14" fillId="0" borderId="0" xfId="0" applyFont="1" applyAlignment="1">
      <alignment horizontal="center" vertical="top"/>
    </xf>
    <xf numFmtId="0" fontId="7" fillId="2" borderId="13" xfId="0" applyFont="1" applyFill="1" applyBorder="1" applyAlignment="1">
      <alignment horizontal="right" wrapText="1"/>
    </xf>
    <xf numFmtId="0" fontId="11" fillId="2" borderId="14" xfId="0" applyFont="1" applyFill="1" applyBorder="1" applyAlignment="1">
      <alignment horizontal="right" wrapText="1"/>
    </xf>
    <xf numFmtId="0" fontId="11" fillId="2" borderId="15" xfId="0" applyFont="1" applyFill="1" applyBorder="1" applyAlignment="1">
      <alignment horizontal="right" wrapText="1"/>
    </xf>
    <xf numFmtId="0" fontId="11" fillId="2" borderId="11" xfId="0" applyFont="1" applyFill="1" applyBorder="1" applyAlignment="1">
      <alignment horizontal="right" wrapText="1"/>
    </xf>
    <xf numFmtId="0" fontId="10" fillId="0" borderId="3" xfId="0" applyFont="1" applyBorder="1" applyAlignment="1">
      <alignment horizontal="right" wrapText="1"/>
    </xf>
    <xf numFmtId="0" fontId="16" fillId="4" borderId="0" xfId="0" applyFont="1" applyFill="1" applyAlignment="1">
      <alignment horizontal="center" vertical="center" textRotation="90"/>
    </xf>
    <xf numFmtId="0" fontId="16" fillId="5" borderId="0" xfId="0" applyFont="1" applyFill="1" applyAlignment="1">
      <alignment horizontal="center" vertical="center" textRotation="90"/>
    </xf>
    <xf numFmtId="0" fontId="16" fillId="6" borderId="0" xfId="0" applyFont="1" applyFill="1" applyAlignment="1">
      <alignment horizontal="center" vertical="center" textRotation="90"/>
    </xf>
    <xf numFmtId="0" fontId="21" fillId="0" borderId="0" xfId="0" applyFont="1" applyAlignment="1">
      <alignment horizontal="center" wrapText="1"/>
    </xf>
    <xf numFmtId="0" fontId="10" fillId="0" borderId="3" xfId="0" applyFont="1" applyBorder="1" applyAlignment="1">
      <alignment horizontal="right" vertical="center" wrapText="1"/>
    </xf>
    <xf numFmtId="0" fontId="7" fillId="0" borderId="3" xfId="0" applyFont="1" applyBorder="1" applyAlignment="1">
      <alignment horizontal="right" vertical="center"/>
    </xf>
    <xf numFmtId="0" fontId="7" fillId="2" borderId="12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0" fontId="7" fillId="0" borderId="9" xfId="0" applyFont="1" applyBorder="1" applyAlignment="1">
      <alignment horizontal="right" vertical="center" wrapText="1"/>
    </xf>
    <xf numFmtId="0" fontId="7" fillId="0" borderId="10" xfId="0" applyFont="1" applyBorder="1" applyAlignment="1">
      <alignment horizontal="right" vertical="center" wrapText="1"/>
    </xf>
    <xf numFmtId="0" fontId="7" fillId="4" borderId="0" xfId="0" applyFont="1" applyFill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10" fillId="2" borderId="13" xfId="0" applyFont="1" applyFill="1" applyBorder="1" applyAlignment="1">
      <alignment horizontal="center" vertical="center"/>
    </xf>
    <xf numFmtId="0" fontId="10" fillId="2" borderId="14" xfId="0" applyFont="1" applyFill="1" applyBorder="1" applyAlignment="1">
      <alignment horizontal="center" vertical="center"/>
    </xf>
    <xf numFmtId="0" fontId="10" fillId="2" borderId="15" xfId="0" applyFont="1" applyFill="1" applyBorder="1" applyAlignment="1">
      <alignment horizontal="center" vertical="center"/>
    </xf>
    <xf numFmtId="0" fontId="10" fillId="2" borderId="11" xfId="0" applyFont="1" applyFill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</cellXfs>
  <cellStyles count="1">
    <cellStyle name="Standard" xfId="0" builtinId="0"/>
  </cellStyles>
  <dxfs count="75"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 patternType="lightUp">
          <fgColor indexed="3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Drop" dropLines="4" dropStyle="combo" dx="16" fmlaLink="DFIE!$D$6" fmlaRange="DFIE!$D$2:$D$5" noThreeD="1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628650</xdr:colOff>
      <xdr:row>6</xdr:row>
      <xdr:rowOff>38100</xdr:rowOff>
    </xdr:from>
    <xdr:to>
      <xdr:col>3</xdr:col>
      <xdr:colOff>857250</xdr:colOff>
      <xdr:row>7</xdr:row>
      <xdr:rowOff>114300</xdr:rowOff>
    </xdr:to>
    <xdr:sp macro="" textlink="">
      <xdr:nvSpPr>
        <xdr:cNvPr id="2049" name="Drop Down 1" hidden="1">
          <a:extLst>
            <a:ext uri="{63B3BB69-23CF-44E3-9099-C40C66FF867C}">
              <a14:compatExt xmlns:a14="http://schemas.microsoft.com/office/drawing/2010/main" spid="_x0000_s2049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28575</xdr:colOff>
      <xdr:row>0</xdr:row>
      <xdr:rowOff>123825</xdr:rowOff>
    </xdr:from>
    <xdr:to>
      <xdr:col>2</xdr:col>
      <xdr:colOff>977900</xdr:colOff>
      <xdr:row>3</xdr:row>
      <xdr:rowOff>79375</xdr:rowOff>
    </xdr:to>
    <xdr:pic>
      <xdr:nvPicPr>
        <xdr:cNvPr id="3" name="Picture 37" descr="Logo_CMYK_pos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9550" y="123825"/>
          <a:ext cx="1997075" cy="508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628650</xdr:colOff>
          <xdr:row>6</xdr:row>
          <xdr:rowOff>38100</xdr:rowOff>
        </xdr:from>
        <xdr:to>
          <xdr:col>3</xdr:col>
          <xdr:colOff>857250</xdr:colOff>
          <xdr:row>7</xdr:row>
          <xdr:rowOff>114300</xdr:rowOff>
        </xdr:to>
        <xdr:sp macro="" textlink="">
          <xdr:nvSpPr>
            <xdr:cNvPr id="2" name="Drop Down 1025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ustomProperty" Target="../customProperty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E46"/>
  <sheetViews>
    <sheetView showGridLines="0" showRowColHeaders="0" tabSelected="1" zoomScaleNormal="100" workbookViewId="0">
      <selection activeCell="A76" sqref="A76"/>
    </sheetView>
  </sheetViews>
  <sheetFormatPr baseColWidth="10" defaultColWidth="9.140625" defaultRowHeight="12.75" x14ac:dyDescent="0.2"/>
  <cols>
    <col min="1" max="1" width="2.7109375" customWidth="1"/>
    <col min="2" max="4" width="15.7109375" customWidth="1"/>
    <col min="5" max="5" width="41.28515625" customWidth="1"/>
  </cols>
  <sheetData>
    <row r="1" spans="2:5" ht="18" customHeight="1" x14ac:dyDescent="0.2">
      <c r="E1" s="3" t="str">
        <f>DFIE!B10</f>
        <v>Eidgenössisches Finanzdepartement EFD</v>
      </c>
    </row>
    <row r="2" spans="2:5" x14ac:dyDescent="0.2">
      <c r="E2" s="4" t="str">
        <f>DFIE!B11</f>
        <v>Eidgenössische Finanzverwaltung EFV</v>
      </c>
    </row>
    <row r="7" spans="2:5" x14ac:dyDescent="0.2">
      <c r="B7" s="5" t="s">
        <v>166</v>
      </c>
    </row>
    <row r="8" spans="2:5" x14ac:dyDescent="0.2">
      <c r="B8" s="5" t="s">
        <v>167</v>
      </c>
    </row>
    <row r="9" spans="2:5" x14ac:dyDescent="0.2">
      <c r="B9" s="5" t="s">
        <v>168</v>
      </c>
    </row>
    <row r="10" spans="2:5" x14ac:dyDescent="0.2">
      <c r="B10" s="5" t="s">
        <v>169</v>
      </c>
    </row>
    <row r="13" spans="2:5" ht="21" customHeight="1" x14ac:dyDescent="0.25">
      <c r="B13" s="6" t="str">
        <f>DFIE!B12</f>
        <v>Finanzausgleich zwischen Bund und Kantonen</v>
      </c>
    </row>
    <row r="14" spans="2:5" ht="21" customHeight="1" x14ac:dyDescent="0.25">
      <c r="B14" s="6" t="str">
        <f>DFIE!B13</f>
        <v>Ressourcenausgleich 2020</v>
      </c>
    </row>
    <row r="15" spans="2:5" ht="15" customHeight="1" x14ac:dyDescent="0.2"/>
    <row r="16" spans="2:5" ht="15" customHeight="1" x14ac:dyDescent="0.2"/>
    <row r="17" spans="2:5" ht="20.25" customHeight="1" x14ac:dyDescent="0.2">
      <c r="B17" s="11" t="s">
        <v>170</v>
      </c>
      <c r="C17" s="350" t="str">
        <f>DFIE!B14</f>
        <v>Übersicht über die Zahlungen im Ressourcenausgleich</v>
      </c>
      <c r="D17" s="350"/>
      <c r="E17" s="350"/>
    </row>
    <row r="18" spans="2:5" ht="16.5" customHeight="1" x14ac:dyDescent="0.2">
      <c r="B18" s="7"/>
      <c r="C18" s="8"/>
    </row>
    <row r="19" spans="2:5" ht="20.25" customHeight="1" x14ac:dyDescent="0.2">
      <c r="B19" s="10" t="s">
        <v>171</v>
      </c>
      <c r="C19" s="349" t="str">
        <f>DFIE!B15</f>
        <v>Einkommen natürlicher Personen</v>
      </c>
      <c r="D19" s="349"/>
      <c r="E19" s="349"/>
    </row>
    <row r="20" spans="2:5" ht="20.25" customHeight="1" x14ac:dyDescent="0.2">
      <c r="B20" s="10" t="s">
        <v>172</v>
      </c>
      <c r="C20" s="349" t="str">
        <f>DFIE!B16</f>
        <v>Quellenbesteuerte Einkommen natürlicher Personen</v>
      </c>
      <c r="D20" s="349"/>
      <c r="E20" s="349"/>
    </row>
    <row r="21" spans="2:5" ht="20.25" customHeight="1" x14ac:dyDescent="0.2">
      <c r="B21" s="10" t="s">
        <v>173</v>
      </c>
      <c r="C21" s="349" t="str">
        <f>DFIE!B17</f>
        <v>Vermögen natürlicher Personen</v>
      </c>
      <c r="D21" s="349"/>
      <c r="E21" s="349"/>
    </row>
    <row r="22" spans="2:5" ht="20.25" customHeight="1" x14ac:dyDescent="0.2">
      <c r="B22" s="10" t="s">
        <v>174</v>
      </c>
      <c r="C22" s="349" t="str">
        <f>DFIE!B18</f>
        <v>Gewinne juristischer Personen</v>
      </c>
      <c r="D22" s="349"/>
      <c r="E22" s="349"/>
    </row>
    <row r="23" spans="2:5" ht="20.25" customHeight="1" x14ac:dyDescent="0.2">
      <c r="B23" s="10" t="s">
        <v>175</v>
      </c>
      <c r="C23" s="349" t="str">
        <f>DFIE!B19</f>
        <v>Steuerrepartitionen</v>
      </c>
      <c r="D23" s="349"/>
      <c r="E23" s="349"/>
    </row>
    <row r="24" spans="2:5" ht="20.25" customHeight="1" x14ac:dyDescent="0.2">
      <c r="B24" s="10" t="s">
        <v>176</v>
      </c>
      <c r="C24" s="349" t="str">
        <f>DFIE!B20</f>
        <v>Aggregierte Steuerbemessungsgrundlage</v>
      </c>
      <c r="D24" s="349"/>
      <c r="E24" s="349"/>
    </row>
    <row r="25" spans="2:5" ht="20.25" customHeight="1" x14ac:dyDescent="0.2">
      <c r="B25" s="10" t="s">
        <v>177</v>
      </c>
      <c r="C25" s="349" t="str">
        <f>DFIE!B21</f>
        <v>Massgebende Wohnbevölkerung</v>
      </c>
      <c r="D25" s="349"/>
      <c r="E25" s="349"/>
    </row>
    <row r="26" spans="2:5" ht="20.25" customHeight="1" x14ac:dyDescent="0.2">
      <c r="B26" s="10" t="s">
        <v>178</v>
      </c>
      <c r="C26" s="349" t="str">
        <f>DFIE!B22</f>
        <v>Berechnung Ressourcenpotenzial und -index</v>
      </c>
      <c r="D26" s="349"/>
      <c r="E26" s="349"/>
    </row>
    <row r="27" spans="2:5" ht="20.25" customHeight="1" x14ac:dyDescent="0.2">
      <c r="B27" s="10" t="s">
        <v>183</v>
      </c>
      <c r="C27" s="349" t="str">
        <f>DFIE!B23</f>
        <v>Standardisierter Steuersatz</v>
      </c>
      <c r="D27" s="349"/>
      <c r="E27" s="349"/>
    </row>
    <row r="28" spans="2:5" ht="20.25" customHeight="1" x14ac:dyDescent="0.2">
      <c r="B28" s="10" t="s">
        <v>181</v>
      </c>
      <c r="C28" s="349" t="str">
        <f>DFIE!B24</f>
        <v>Auszahlungen an die ressourcenschwachen Kantone</v>
      </c>
      <c r="D28" s="349"/>
      <c r="E28" s="349"/>
    </row>
    <row r="29" spans="2:5" ht="20.25" customHeight="1" x14ac:dyDescent="0.2">
      <c r="B29" s="10" t="s">
        <v>179</v>
      </c>
      <c r="C29" s="349" t="str">
        <f>DFIE!B25</f>
        <v>Dotationen im Ressourcenausgleich</v>
      </c>
      <c r="D29" s="349"/>
      <c r="E29" s="349"/>
    </row>
    <row r="30" spans="2:5" ht="20.25" customHeight="1" x14ac:dyDescent="0.2">
      <c r="B30" s="10" t="s">
        <v>180</v>
      </c>
      <c r="C30" s="349" t="str">
        <f>DFIE!B26</f>
        <v>Einzahlungen der ressourcenstarken Kantone</v>
      </c>
      <c r="D30" s="349"/>
      <c r="E30" s="349"/>
    </row>
    <row r="31" spans="2:5" ht="20.25" customHeight="1" x14ac:dyDescent="0.2">
      <c r="B31" s="10" t="s">
        <v>182</v>
      </c>
      <c r="C31" s="349" t="str">
        <f>DFIE!B27</f>
        <v>Standardisierter Steuerertrag</v>
      </c>
      <c r="D31" s="349"/>
      <c r="E31" s="349"/>
    </row>
    <row r="32" spans="2:5" ht="12.75" customHeight="1" x14ac:dyDescent="0.2"/>
    <row r="42" spans="2:5" x14ac:dyDescent="0.2">
      <c r="B42" s="9"/>
      <c r="C42" s="9"/>
      <c r="D42" s="9"/>
      <c r="E42" s="9"/>
    </row>
    <row r="44" spans="2:5" x14ac:dyDescent="0.2">
      <c r="B44" s="13"/>
      <c r="C44" s="13" t="str">
        <f>DFIE!$B$65</f>
        <v>Referenzjahr</v>
      </c>
      <c r="D44" s="12">
        <v>2020</v>
      </c>
    </row>
    <row r="45" spans="2:5" x14ac:dyDescent="0.2">
      <c r="B45" s="13"/>
      <c r="C45" s="13" t="str">
        <f>DFIE!$B$66</f>
        <v>Berechnungsdatum</v>
      </c>
      <c r="D45" s="2" t="s">
        <v>723</v>
      </c>
    </row>
    <row r="46" spans="2:5" x14ac:dyDescent="0.2">
      <c r="B46" s="13"/>
      <c r="C46" s="13" t="str">
        <f>DFIE!$B$67</f>
        <v>Berechnungs-ID</v>
      </c>
      <c r="D46" s="1" t="s">
        <v>724</v>
      </c>
    </row>
  </sheetData>
  <mergeCells count="14">
    <mergeCell ref="C31:E31"/>
    <mergeCell ref="C29:E29"/>
    <mergeCell ref="C30:E30"/>
    <mergeCell ref="C17:E17"/>
    <mergeCell ref="C27:E27"/>
    <mergeCell ref="C19:E19"/>
    <mergeCell ref="C20:E20"/>
    <mergeCell ref="C21:E21"/>
    <mergeCell ref="C22:E22"/>
    <mergeCell ref="C23:E23"/>
    <mergeCell ref="C24:E24"/>
    <mergeCell ref="C25:E25"/>
    <mergeCell ref="C26:E26"/>
    <mergeCell ref="C28:E28"/>
  </mergeCells>
  <conditionalFormatting sqref="D44:D46">
    <cfRule type="expression" dxfId="74" priority="1" stopIfTrue="1">
      <formula>ISBLANK(D44)</formula>
    </cfRule>
  </conditionalFormatting>
  <hyperlinks>
    <hyperlink ref="B17" location="TOTAL!A1" display="TOTAL"/>
    <hyperlink ref="B30" location="EINZ!A1" display="EINZ"/>
    <hyperlink ref="B29" location="DOT!A1" display="DOT"/>
    <hyperlink ref="B31" location="SSE!A1" display="SSE"/>
    <hyperlink ref="B28" location="AUSZ!A1" display="AUSZ"/>
    <hyperlink ref="B26" location="RP!A1" display="RP"/>
    <hyperlink ref="B25" location="BEV!A1" display="BEV"/>
    <hyperlink ref="B24" location="ASG!A1" display="ASG"/>
    <hyperlink ref="B23" location="REP!A1" display="REP"/>
    <hyperlink ref="B22" location="JP!A1" display="JP"/>
    <hyperlink ref="B21" location="VERM!A1" display="VERM"/>
    <hyperlink ref="B20" location="QS!A1" display="QS"/>
    <hyperlink ref="B19" location="NP!A1" display="NP"/>
    <hyperlink ref="B27" location="SST!A1" display="SST"/>
  </hyperlinks>
  <pageMargins left="0.7" right="0.54" top="0.78740157499999996" bottom="0.78740157499999996" header="0.3" footer="0.3"/>
  <pageSetup paperSize="9" orientation="portrait"/>
  <customProperties>
    <customPr name="EpmWorksheetKeyString_GUID" r:id="rId1"/>
  </customPropertie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" r:id="rId4" name="Drop Down 1025">
              <controlPr defaultSize="0" autoLine="0" autoPict="0">
                <anchor moveWithCells="1">
                  <from>
                    <xdr:col>2</xdr:col>
                    <xdr:colOff>628650</xdr:colOff>
                    <xdr:row>6</xdr:row>
                    <xdr:rowOff>38100</xdr:rowOff>
                  </from>
                  <to>
                    <xdr:col>3</xdr:col>
                    <xdr:colOff>857250</xdr:colOff>
                    <xdr:row>7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"/>
  <sheetViews>
    <sheetView showGridLines="0" zoomScaleNormal="100" workbookViewId="0">
      <selection activeCell="A50" sqref="A50"/>
    </sheetView>
  </sheetViews>
  <sheetFormatPr baseColWidth="10" defaultColWidth="9.140625" defaultRowHeight="12.75" x14ac:dyDescent="0.2"/>
  <cols>
    <col min="1" max="1" width="1.42578125" customWidth="1"/>
    <col min="2" max="6" width="16.7109375" customWidth="1"/>
    <col min="7" max="9" width="17.7109375" customWidth="1"/>
  </cols>
  <sheetData>
    <row r="1" spans="1:9" ht="18" customHeight="1" x14ac:dyDescent="0.2">
      <c r="B1" s="120" t="str">
        <f>DFIE!$B$170</f>
        <v>Berechnung Ressourcenpotenzial und -index 2020</v>
      </c>
      <c r="C1" s="210"/>
      <c r="D1" s="210"/>
      <c r="E1" s="217"/>
      <c r="F1" s="130"/>
      <c r="G1" s="51"/>
      <c r="H1" s="51"/>
      <c r="I1" s="51"/>
    </row>
    <row r="2" spans="1:9" ht="12.75" customHeight="1" x14ac:dyDescent="0.2">
      <c r="A2" s="207"/>
      <c r="B2" s="51"/>
      <c r="C2" s="207"/>
      <c r="D2" s="207"/>
      <c r="E2" s="208"/>
      <c r="F2" s="209"/>
    </row>
    <row r="3" spans="1:9" ht="0.75" customHeight="1" x14ac:dyDescent="0.2">
      <c r="A3" s="207"/>
      <c r="B3" s="51"/>
      <c r="C3" s="208"/>
      <c r="D3" s="208"/>
      <c r="E3" s="208"/>
      <c r="F3" s="208"/>
      <c r="G3" s="208"/>
      <c r="H3" s="208"/>
      <c r="I3" s="209"/>
    </row>
    <row r="4" spans="1:9" ht="0.75" customHeight="1" x14ac:dyDescent="0.2">
      <c r="A4" s="207"/>
      <c r="B4" s="51"/>
      <c r="C4" s="208"/>
      <c r="D4" s="208"/>
      <c r="E4" s="208"/>
      <c r="F4" s="208"/>
      <c r="G4" s="208"/>
      <c r="H4" s="208"/>
      <c r="I4" s="209"/>
    </row>
    <row r="5" spans="1:9" ht="12" customHeight="1" x14ac:dyDescent="0.2">
      <c r="A5" s="205"/>
      <c r="B5" s="34" t="str">
        <f>DFIE!B55</f>
        <v>Spalte</v>
      </c>
      <c r="C5" s="35" t="s">
        <v>30</v>
      </c>
      <c r="D5" s="35" t="s">
        <v>31</v>
      </c>
      <c r="E5" s="35" t="s">
        <v>32</v>
      </c>
      <c r="F5" s="35" t="s">
        <v>43</v>
      </c>
      <c r="G5" s="119" t="s">
        <v>42</v>
      </c>
      <c r="H5" s="35" t="s">
        <v>33</v>
      </c>
      <c r="I5" s="117" t="s">
        <v>34</v>
      </c>
    </row>
    <row r="6" spans="1:9" ht="12" customHeight="1" x14ac:dyDescent="0.2">
      <c r="A6" s="205"/>
      <c r="B6" s="34" t="str">
        <f>DFIE!B56</f>
        <v>Formel</v>
      </c>
      <c r="C6" s="188"/>
      <c r="D6" s="188"/>
      <c r="E6" s="188"/>
      <c r="F6" s="71" t="s">
        <v>63</v>
      </c>
      <c r="G6" s="220"/>
      <c r="H6" s="71" t="s">
        <v>64</v>
      </c>
      <c r="I6" s="221" t="str">
        <f>DFIE!B178</f>
        <v>H / H[Schweiz] * 100</v>
      </c>
    </row>
    <row r="7" spans="1:9" ht="38.25" customHeight="1" x14ac:dyDescent="0.2">
      <c r="B7" s="235"/>
      <c r="C7" s="238" t="str">
        <f>DFIE!B171</f>
        <v>ASG 2014</v>
      </c>
      <c r="D7" s="239" t="str">
        <f>DFIE!B172</f>
        <v>ASG 2015</v>
      </c>
      <c r="E7" s="240" t="str">
        <f>DFIE!B173</f>
        <v>ASG 2016</v>
      </c>
      <c r="F7" s="234" t="str">
        <f>DFIE!B174</f>
        <v>Ressourcen-
potenzial</v>
      </c>
      <c r="G7" s="236" t="str">
        <f>DFIE!B175</f>
        <v>Massgebende
Wohnbevölkerung</v>
      </c>
      <c r="H7" s="63" t="str">
        <f>DFIE!B176</f>
        <v>Ressourcen-
potenzial pro
Einwohner</v>
      </c>
      <c r="I7" s="237" t="str">
        <f>DFIE!B177</f>
        <v>Ressourcen-
index</v>
      </c>
    </row>
    <row r="8" spans="1:9" ht="12.75" customHeight="1" x14ac:dyDescent="0.2">
      <c r="B8" s="34" t="str">
        <f>DFIE!B58</f>
        <v>Einheit</v>
      </c>
      <c r="C8" s="41" t="str">
        <f>DFIE!$B$60</f>
        <v>CHF 1'000</v>
      </c>
      <c r="D8" s="41" t="str">
        <f>DFIE!$B$60</f>
        <v>CHF 1'000</v>
      </c>
      <c r="E8" s="41" t="str">
        <f>DFIE!$B$60</f>
        <v>CHF 1'000</v>
      </c>
      <c r="F8" s="41" t="str">
        <f>DFIE!$B$60</f>
        <v>CHF 1'000</v>
      </c>
      <c r="G8" s="123" t="str">
        <f>DFIE!B61</f>
        <v>Anzahl</v>
      </c>
      <c r="H8" s="41" t="str">
        <f>DFIE!$B$59</f>
        <v>CHF</v>
      </c>
      <c r="I8" s="122" t="str">
        <f>DFIE!B62</f>
        <v>Punkte</v>
      </c>
    </row>
    <row r="9" spans="1:9" x14ac:dyDescent="0.2">
      <c r="B9" s="46" t="str">
        <f>DFIE!$B28</f>
        <v>Zürich</v>
      </c>
      <c r="C9" s="86">
        <f>ASG!H9</f>
        <v>60056250.109225735</v>
      </c>
      <c r="D9" s="86">
        <f>ASG!H37</f>
        <v>60262443.633238107</v>
      </c>
      <c r="E9" s="86">
        <f>ASG!H65</f>
        <v>63408588.071309894</v>
      </c>
      <c r="F9" s="86">
        <f>IF(DFIE!$G$2=2008,AVERAGE(D9:E9),AVERAGE(C9:E9))</f>
        <v>61242427.271257915</v>
      </c>
      <c r="G9" s="219">
        <f>BEV!F9</f>
        <v>1470640.3333333333</v>
      </c>
      <c r="H9" s="86">
        <f t="shared" ref="H9:H35" si="0">F9/G9*1000</f>
        <v>41643.375258481232</v>
      </c>
      <c r="I9" s="226">
        <f>IF(DFIE!$G$2&gt;2013,H9/$H$35*100,ROUND(H9/$H$35*100,1))</f>
        <v>121.6556882035641</v>
      </c>
    </row>
    <row r="10" spans="1:9" x14ac:dyDescent="0.2">
      <c r="B10" s="47" t="str">
        <f>DFIE!$B29</f>
        <v>Bern</v>
      </c>
      <c r="C10" s="198">
        <f>ASG!H10</f>
        <v>25780806.125771388</v>
      </c>
      <c r="D10" s="198">
        <f>ASG!H38</f>
        <v>27104166.691028461</v>
      </c>
      <c r="E10" s="198">
        <f>ASG!H66</f>
        <v>28506182.794317316</v>
      </c>
      <c r="F10" s="198">
        <f>IF(DFIE!$G$2=2008,AVERAGE(D10:E10),AVERAGE(C10:E10))</f>
        <v>27130385.203705724</v>
      </c>
      <c r="G10" s="222">
        <f>BEV!F10</f>
        <v>1021393.5</v>
      </c>
      <c r="H10" s="198">
        <f t="shared" si="0"/>
        <v>26562.128311670011</v>
      </c>
      <c r="I10" s="227">
        <f>IF(DFIE!$G$2&gt;2013,H10/$H$35*100,ROUND(H10/$H$35*100,1))</f>
        <v>77.597792682509919</v>
      </c>
    </row>
    <row r="11" spans="1:9" x14ac:dyDescent="0.2">
      <c r="B11" s="46" t="str">
        <f>DFIE!$B30</f>
        <v>Luzern</v>
      </c>
      <c r="C11" s="86">
        <f>ASG!H11</f>
        <v>11852390.846097216</v>
      </c>
      <c r="D11" s="86">
        <f>ASG!H39</f>
        <v>11944979.831443489</v>
      </c>
      <c r="E11" s="86">
        <f>ASG!H67</f>
        <v>12812639.042744121</v>
      </c>
      <c r="F11" s="86">
        <f>IF(DFIE!$G$2=2008,AVERAGE(D11:E11),AVERAGE(C11:E11))</f>
        <v>12203336.573428275</v>
      </c>
      <c r="G11" s="219">
        <f>BEV!F11</f>
        <v>400278.66666666669</v>
      </c>
      <c r="H11" s="86">
        <f t="shared" si="0"/>
        <v>30487.10208578426</v>
      </c>
      <c r="I11" s="226">
        <f>IF(DFIE!$G$2&gt;2013,H11/$H$35*100,ROUND(H11/$H$35*100,1))</f>
        <v>89.064091528532501</v>
      </c>
    </row>
    <row r="12" spans="1:9" x14ac:dyDescent="0.2">
      <c r="B12" s="47" t="str">
        <f>DFIE!$B31</f>
        <v>Uri</v>
      </c>
      <c r="C12" s="198">
        <f>ASG!H12</f>
        <v>842700.04330385569</v>
      </c>
      <c r="D12" s="198">
        <f>ASG!H40</f>
        <v>905537.281686384</v>
      </c>
      <c r="E12" s="198">
        <f>ASG!H68</f>
        <v>925344.88057623187</v>
      </c>
      <c r="F12" s="198">
        <f>IF(DFIE!$G$2=2008,AVERAGE(D12:E12),AVERAGE(C12:E12))</f>
        <v>891194.06852215715</v>
      </c>
      <c r="G12" s="222">
        <f>BEV!F12</f>
        <v>36520.333333333336</v>
      </c>
      <c r="H12" s="198">
        <f t="shared" si="0"/>
        <v>24402.681661964303</v>
      </c>
      <c r="I12" s="227">
        <f>IF(DFIE!$G$2&gt;2013,H12/$H$35*100,ROUND(H12/$H$35*100,1))</f>
        <v>71.289251007437002</v>
      </c>
    </row>
    <row r="13" spans="1:9" x14ac:dyDescent="0.2">
      <c r="B13" s="46" t="str">
        <f>DFIE!$B32</f>
        <v>Schwyz</v>
      </c>
      <c r="C13" s="86">
        <f>ASG!H13</f>
        <v>9674092.504954055</v>
      </c>
      <c r="D13" s="86">
        <f>ASG!H41</f>
        <v>8656576.2026879154</v>
      </c>
      <c r="E13" s="86">
        <f>ASG!H69</f>
        <v>10531837.712348202</v>
      </c>
      <c r="F13" s="86">
        <f>IF(DFIE!$G$2=2008,AVERAGE(D13:E13),AVERAGE(C13:E13))</f>
        <v>9620835.4733300582</v>
      </c>
      <c r="G13" s="219">
        <f>BEV!F13</f>
        <v>154983.66666666666</v>
      </c>
      <c r="H13" s="86">
        <f t="shared" si="0"/>
        <v>62076.447668657936</v>
      </c>
      <c r="I13" s="226">
        <f>IF(DFIE!$G$2&gt;2013,H13/$H$35*100,ROUND(H13/$H$35*100,1))</f>
        <v>181.3482436399066</v>
      </c>
    </row>
    <row r="14" spans="1:9" x14ac:dyDescent="0.2">
      <c r="B14" s="47" t="str">
        <f>DFIE!$B33</f>
        <v>Obwalden</v>
      </c>
      <c r="C14" s="198">
        <f>ASG!H14</f>
        <v>1248676.9565858396</v>
      </c>
      <c r="D14" s="198">
        <f>ASG!H42</f>
        <v>1860211.8761725072</v>
      </c>
      <c r="E14" s="198">
        <f>ASG!H70</f>
        <v>1316714.9888876635</v>
      </c>
      <c r="F14" s="198">
        <f>IF(DFIE!$G$2=2008,AVERAGE(D14:E14),AVERAGE(C14:E14))</f>
        <v>1475201.2738820035</v>
      </c>
      <c r="G14" s="222">
        <f>BEV!F14</f>
        <v>37328.833333333336</v>
      </c>
      <c r="H14" s="198">
        <f t="shared" si="0"/>
        <v>39519.08329705822</v>
      </c>
      <c r="I14" s="227">
        <f>IF(DFIE!$G$2&gt;2013,H14/$H$35*100,ROUND(H14/$H$35*100,1))</f>
        <v>115.44984636418096</v>
      </c>
    </row>
    <row r="15" spans="1:9" x14ac:dyDescent="0.2">
      <c r="B15" s="46" t="str">
        <f>DFIE!$B34</f>
        <v>Nidwalden</v>
      </c>
      <c r="C15" s="86">
        <f>ASG!H15</f>
        <v>2443236.0574190286</v>
      </c>
      <c r="D15" s="86">
        <f>ASG!H43</f>
        <v>2169391.3564031916</v>
      </c>
      <c r="E15" s="86">
        <f>ASG!H71</f>
        <v>2299488.6576035642</v>
      </c>
      <c r="F15" s="86">
        <f>IF(DFIE!$G$2=2008,AVERAGE(D15:E15),AVERAGE(C15:E15))</f>
        <v>2304038.6904752613</v>
      </c>
      <c r="G15" s="219">
        <f>BEV!F15</f>
        <v>42593.833333333336</v>
      </c>
      <c r="H15" s="86">
        <f t="shared" si="0"/>
        <v>54093.245668784475</v>
      </c>
      <c r="I15" s="226">
        <f>IF(DFIE!$G$2&gt;2013,H15/$H$35*100,ROUND(H15/$H$35*100,1))</f>
        <v>158.02636045117836</v>
      </c>
    </row>
    <row r="16" spans="1:9" x14ac:dyDescent="0.2">
      <c r="B16" s="47" t="str">
        <f>DFIE!$B35</f>
        <v>Glarus</v>
      </c>
      <c r="C16" s="198">
        <f>ASG!H16</f>
        <v>956281.49892953434</v>
      </c>
      <c r="D16" s="198">
        <f>ASG!H44</f>
        <v>943948.87567209732</v>
      </c>
      <c r="E16" s="198">
        <f>ASG!H72</f>
        <v>1017949.6621446327</v>
      </c>
      <c r="F16" s="198">
        <f>IF(DFIE!$G$2=2008,AVERAGE(D16:E16),AVERAGE(C16:E16))</f>
        <v>972726.67891542148</v>
      </c>
      <c r="G16" s="222">
        <f>BEV!F16</f>
        <v>40422.666666666664</v>
      </c>
      <c r="H16" s="198">
        <f t="shared" si="0"/>
        <v>24063.891849014286</v>
      </c>
      <c r="I16" s="227">
        <f>IF(DFIE!$G$2&gt;2013,H16/$H$35*100,ROUND(H16/$H$35*100,1))</f>
        <v>70.299520765952877</v>
      </c>
    </row>
    <row r="17" spans="2:9" x14ac:dyDescent="0.2">
      <c r="B17" s="46" t="str">
        <f>DFIE!$B36</f>
        <v>Zug</v>
      </c>
      <c r="C17" s="86">
        <f>ASG!H17</f>
        <v>9862126.5574210975</v>
      </c>
      <c r="D17" s="86">
        <f>ASG!H45</f>
        <v>10844982.500816522</v>
      </c>
      <c r="E17" s="86">
        <f>ASG!H73</f>
        <v>10774968.34250946</v>
      </c>
      <c r="F17" s="86">
        <f>IF(DFIE!$G$2=2008,AVERAGE(D17:E17),AVERAGE(C17:E17))</f>
        <v>10494025.800249027</v>
      </c>
      <c r="G17" s="219">
        <f>BEV!F17</f>
        <v>122778.66666666667</v>
      </c>
      <c r="H17" s="86">
        <f t="shared" si="0"/>
        <v>85471.084555262263</v>
      </c>
      <c r="I17" s="226">
        <f>IF(DFIE!$G$2&gt;2013,H17/$H$35*100,ROUND(H17/$H$35*100,1))</f>
        <v>249.69262334127799</v>
      </c>
    </row>
    <row r="18" spans="2:9" x14ac:dyDescent="0.2">
      <c r="B18" s="47" t="str">
        <f>DFIE!$B37</f>
        <v>Freiburg</v>
      </c>
      <c r="C18" s="198">
        <f>ASG!H18</f>
        <v>8280903.3948539374</v>
      </c>
      <c r="D18" s="198">
        <f>ASG!H46</f>
        <v>8385098.7053149678</v>
      </c>
      <c r="E18" s="198">
        <f>ASG!H74</f>
        <v>8319564.6011043061</v>
      </c>
      <c r="F18" s="198">
        <f>IF(DFIE!$G$2=2008,AVERAGE(D18:E18),AVERAGE(C18:E18))</f>
        <v>8328522.2337577371</v>
      </c>
      <c r="G18" s="222">
        <f>BEV!F18</f>
        <v>307298.66666666669</v>
      </c>
      <c r="H18" s="198">
        <f t="shared" si="0"/>
        <v>27102.370225354283</v>
      </c>
      <c r="I18" s="227">
        <f>IF(DFIE!$G$2&gt;2013,H18/$H$35*100,ROUND(H18/$H$35*100,1))</f>
        <v>79.176038955722007</v>
      </c>
    </row>
    <row r="19" spans="2:9" x14ac:dyDescent="0.2">
      <c r="B19" s="46" t="str">
        <f>DFIE!$B38</f>
        <v>Solothurn</v>
      </c>
      <c r="C19" s="86">
        <f>ASG!H19</f>
        <v>6610145.9989919076</v>
      </c>
      <c r="D19" s="86">
        <f>ASG!H47</f>
        <v>6573433.4342809459</v>
      </c>
      <c r="E19" s="86">
        <f>ASG!H75</f>
        <v>6708737.2336969785</v>
      </c>
      <c r="F19" s="86">
        <f>IF(DFIE!$G$2=2008,AVERAGE(D19:E19),AVERAGE(C19:E19))</f>
        <v>6630772.222323277</v>
      </c>
      <c r="G19" s="219">
        <f>BEV!F19</f>
        <v>267431.83333333331</v>
      </c>
      <c r="H19" s="86">
        <f t="shared" si="0"/>
        <v>24794.251827375116</v>
      </c>
      <c r="I19" s="226">
        <f>IF(DFIE!$G$2&gt;2013,H19/$H$35*100,ROUND(H19/$H$35*100,1))</f>
        <v>72.433172163139531</v>
      </c>
    </row>
    <row r="20" spans="2:9" x14ac:dyDescent="0.2">
      <c r="B20" s="47" t="str">
        <f>DFIE!$B39</f>
        <v>Basel-Stadt</v>
      </c>
      <c r="C20" s="198">
        <f>ASG!H20</f>
        <v>9854150.0954217128</v>
      </c>
      <c r="D20" s="198">
        <f>ASG!H48</f>
        <v>9759285.4610201903</v>
      </c>
      <c r="E20" s="198">
        <f>ASG!H76</f>
        <v>9538634.9103675261</v>
      </c>
      <c r="F20" s="198">
        <f>IF(DFIE!$G$2=2008,AVERAGE(D20:E20),AVERAGE(C20:E20))</f>
        <v>9717356.8222698104</v>
      </c>
      <c r="G20" s="222">
        <f>BEV!F20</f>
        <v>194497.66666666666</v>
      </c>
      <c r="H20" s="198">
        <f t="shared" si="0"/>
        <v>49961.302820786943</v>
      </c>
      <c r="I20" s="227">
        <f>IF(DFIE!$G$2&gt;2013,H20/$H$35*100,ROUND(H20/$H$35*100,1))</f>
        <v>145.9554284560933</v>
      </c>
    </row>
    <row r="21" spans="2:9" x14ac:dyDescent="0.2">
      <c r="B21" s="46" t="str">
        <f>DFIE!$B40</f>
        <v>Basel-Landschaft</v>
      </c>
      <c r="C21" s="86">
        <f>ASG!H21</f>
        <v>9184484.5428102463</v>
      </c>
      <c r="D21" s="86">
        <f>ASG!H49</f>
        <v>9378928.3107735068</v>
      </c>
      <c r="E21" s="86">
        <f>ASG!H77</f>
        <v>9685006.1351852622</v>
      </c>
      <c r="F21" s="86">
        <f>IF(DFIE!$G$2=2008,AVERAGE(D21:E21),AVERAGE(C21:E21))</f>
        <v>9416139.6629230063</v>
      </c>
      <c r="G21" s="219">
        <f>BEV!F21</f>
        <v>283778</v>
      </c>
      <c r="H21" s="86">
        <f t="shared" si="0"/>
        <v>33181.358889424147</v>
      </c>
      <c r="I21" s="226">
        <f>IF(DFIE!$G$2&gt;2013,H21/$H$35*100,ROUND(H21/$H$35*100,1))</f>
        <v>96.935011299311427</v>
      </c>
    </row>
    <row r="22" spans="2:9" x14ac:dyDescent="0.2">
      <c r="B22" s="47" t="str">
        <f>DFIE!$B41</f>
        <v>Schaffhausen</v>
      </c>
      <c r="C22" s="198">
        <f>ASG!H22</f>
        <v>2479846.2097155419</v>
      </c>
      <c r="D22" s="198">
        <f>ASG!H50</f>
        <v>2526054.4405298</v>
      </c>
      <c r="E22" s="198">
        <f>ASG!H78</f>
        <v>2538919.6590222572</v>
      </c>
      <c r="F22" s="198">
        <f>IF(DFIE!$G$2=2008,AVERAGE(D22:E22),AVERAGE(C22:E22))</f>
        <v>2514940.1030891999</v>
      </c>
      <c r="G22" s="222">
        <f>BEV!F22</f>
        <v>80661.833333333328</v>
      </c>
      <c r="H22" s="198">
        <f t="shared" si="0"/>
        <v>31178.81157865905</v>
      </c>
      <c r="I22" s="227">
        <f>IF(DFIE!$G$2&gt;2013,H22/$H$35*100,ROUND(H22/$H$35*100,1))</f>
        <v>91.084830574546373</v>
      </c>
    </row>
    <row r="23" spans="2:9" x14ac:dyDescent="0.2">
      <c r="B23" s="46" t="str">
        <f>DFIE!$B42</f>
        <v>Appenzell A.Rh.</v>
      </c>
      <c r="C23" s="86">
        <f>ASG!H23</f>
        <v>1578901.2347775914</v>
      </c>
      <c r="D23" s="86">
        <f>ASG!H51</f>
        <v>1556184.9725868069</v>
      </c>
      <c r="E23" s="86">
        <f>ASG!H79</f>
        <v>1629181.1880731678</v>
      </c>
      <c r="F23" s="86">
        <f>IF(DFIE!$G$2=2008,AVERAGE(D23:E23),AVERAGE(C23:E23))</f>
        <v>1588089.131812522</v>
      </c>
      <c r="G23" s="219">
        <f>BEV!F23</f>
        <v>54569.666666666664</v>
      </c>
      <c r="H23" s="86">
        <f t="shared" si="0"/>
        <v>29102.049340216887</v>
      </c>
      <c r="I23" s="226">
        <f>IF(DFIE!$G$2&gt;2013,H23/$H$35*100,ROUND(H23/$H$35*100,1))</f>
        <v>85.017840620330304</v>
      </c>
    </row>
    <row r="24" spans="2:9" x14ac:dyDescent="0.2">
      <c r="B24" s="47" t="str">
        <f>DFIE!$B43</f>
        <v>Appenzell I.Rh.</v>
      </c>
      <c r="C24" s="198">
        <f>ASG!H24</f>
        <v>464048.06029772211</v>
      </c>
      <c r="D24" s="198">
        <f>ASG!H52</f>
        <v>518205.31537538959</v>
      </c>
      <c r="E24" s="198">
        <f>ASG!H80</f>
        <v>515718.89454426983</v>
      </c>
      <c r="F24" s="198">
        <f>IF(DFIE!$G$2=2008,AVERAGE(D24:E24),AVERAGE(C24:E24))</f>
        <v>499324.09007246053</v>
      </c>
      <c r="G24" s="222">
        <f>BEV!F24</f>
        <v>16007.666666666666</v>
      </c>
      <c r="H24" s="198">
        <f t="shared" si="0"/>
        <v>31192.809075180259</v>
      </c>
      <c r="I24" s="227">
        <f>IF(DFIE!$G$2&gt;2013,H24/$H$35*100,ROUND(H24/$H$35*100,1))</f>
        <v>91.12572243458041</v>
      </c>
    </row>
    <row r="25" spans="2:9" x14ac:dyDescent="0.2">
      <c r="B25" s="46" t="str">
        <f>DFIE!$B44</f>
        <v>St. Gallen</v>
      </c>
      <c r="C25" s="86">
        <f>ASG!H25</f>
        <v>13319427.405710358</v>
      </c>
      <c r="D25" s="86">
        <f>ASG!H53</f>
        <v>13367875.099584483</v>
      </c>
      <c r="E25" s="86">
        <f>ASG!H81</f>
        <v>14210473.028746404</v>
      </c>
      <c r="F25" s="86">
        <f>IF(DFIE!$G$2=2008,AVERAGE(D25:E25),AVERAGE(C25:E25))</f>
        <v>13632591.844680414</v>
      </c>
      <c r="G25" s="219">
        <f>BEV!F25</f>
        <v>501037.66666666669</v>
      </c>
      <c r="H25" s="86">
        <f t="shared" si="0"/>
        <v>27208.716532982711</v>
      </c>
      <c r="I25" s="226">
        <f>IF(DFIE!$G$2&gt;2013,H25/$H$35*100,ROUND(H25/$H$35*100,1))</f>
        <v>79.486715819980489</v>
      </c>
    </row>
    <row r="26" spans="2:9" x14ac:dyDescent="0.2">
      <c r="B26" s="47" t="str">
        <f>DFIE!$B45</f>
        <v>Graubünden</v>
      </c>
      <c r="C26" s="198">
        <f>ASG!H26</f>
        <v>5736550.831416402</v>
      </c>
      <c r="D26" s="198">
        <f>ASG!H54</f>
        <v>5769068.3382745134</v>
      </c>
      <c r="E26" s="198">
        <f>ASG!H82</f>
        <v>5898575.5694147777</v>
      </c>
      <c r="F26" s="198">
        <f>IF(DFIE!$G$2=2008,AVERAGE(D26:E26),AVERAGE(C26:E26))</f>
        <v>5801398.2463685647</v>
      </c>
      <c r="G26" s="222">
        <f>BEV!F26</f>
        <v>204435.5</v>
      </c>
      <c r="H26" s="198">
        <f t="shared" si="0"/>
        <v>28377.645987945169</v>
      </c>
      <c r="I26" s="227">
        <f>IF(DFIE!$G$2&gt;2013,H26/$H$35*100,ROUND(H26/$H$35*100,1))</f>
        <v>82.90159072918739</v>
      </c>
    </row>
    <row r="27" spans="2:9" x14ac:dyDescent="0.2">
      <c r="B27" s="46" t="str">
        <f>DFIE!$B46</f>
        <v>Aargau</v>
      </c>
      <c r="C27" s="86">
        <f>ASG!H27</f>
        <v>18310356.949136984</v>
      </c>
      <c r="D27" s="86">
        <f>ASG!H55</f>
        <v>18192460.167861693</v>
      </c>
      <c r="E27" s="86">
        <f>ASG!H83</f>
        <v>18849587.484863561</v>
      </c>
      <c r="F27" s="86">
        <f>IF(DFIE!$G$2=2008,AVERAGE(D27:E27),AVERAGE(C27:E27))</f>
        <v>18450801.53395408</v>
      </c>
      <c r="G27" s="219">
        <f>BEV!F27</f>
        <v>655678.83333333337</v>
      </c>
      <c r="H27" s="86">
        <f t="shared" si="0"/>
        <v>28139.998724915495</v>
      </c>
      <c r="I27" s="226">
        <f>IF(DFIE!$G$2&gt;2013,H27/$H$35*100,ROUND(H27/$H$35*100,1))</f>
        <v>82.207335252677225</v>
      </c>
    </row>
    <row r="28" spans="2:9" x14ac:dyDescent="0.2">
      <c r="B28" s="47" t="str">
        <f>DFIE!$B47</f>
        <v>Thurgau</v>
      </c>
      <c r="C28" s="198">
        <f>ASG!H28</f>
        <v>6909371.1102718022</v>
      </c>
      <c r="D28" s="198">
        <f>ASG!H56</f>
        <v>7026302.2437322531</v>
      </c>
      <c r="E28" s="198">
        <f>ASG!H84</f>
        <v>7436278.5322094867</v>
      </c>
      <c r="F28" s="198">
        <f>IF(DFIE!$G$2=2008,AVERAGE(D28:E28),AVERAGE(C28:E28))</f>
        <v>7123983.9620711803</v>
      </c>
      <c r="G28" s="222">
        <f>BEV!F28</f>
        <v>267722.33333333331</v>
      </c>
      <c r="H28" s="198">
        <f t="shared" si="0"/>
        <v>26609.599107300903</v>
      </c>
      <c r="I28" s="227">
        <f>IF(DFIE!$G$2&gt;2013,H28/$H$35*100,ROUND(H28/$H$35*100,1))</f>
        <v>77.736472419111493</v>
      </c>
    </row>
    <row r="29" spans="2:9" x14ac:dyDescent="0.2">
      <c r="B29" s="46" t="str">
        <f>DFIE!$B48</f>
        <v>Tessin</v>
      </c>
      <c r="C29" s="86">
        <f>ASG!H29</f>
        <v>11438148.294092515</v>
      </c>
      <c r="D29" s="86">
        <f>ASG!H57</f>
        <v>11641271.62902442</v>
      </c>
      <c r="E29" s="86">
        <f>ASG!H85</f>
        <v>11959542.252659803</v>
      </c>
      <c r="F29" s="86">
        <f>IF(DFIE!$G$2=2008,AVERAGE(D29:E29),AVERAGE(C29:E29))</f>
        <v>11679654.058592247</v>
      </c>
      <c r="G29" s="219">
        <f>BEV!F29</f>
        <v>353561.5</v>
      </c>
      <c r="H29" s="86">
        <f t="shared" si="0"/>
        <v>33034.292643832108</v>
      </c>
      <c r="I29" s="226">
        <f>IF(DFIE!$G$2&gt;2013,H29/$H$35*100,ROUND(H29/$H$35*100,1))</f>
        <v>96.50537644843871</v>
      </c>
    </row>
    <row r="30" spans="2:9" x14ac:dyDescent="0.2">
      <c r="B30" s="47" t="str">
        <f>DFIE!$B49</f>
        <v>Waadt</v>
      </c>
      <c r="C30" s="198">
        <f>ASG!H30</f>
        <v>25426560.23860117</v>
      </c>
      <c r="D30" s="198">
        <f>ASG!H58</f>
        <v>26961225.985806946</v>
      </c>
      <c r="E30" s="198">
        <f>ASG!H86</f>
        <v>27344230.249959838</v>
      </c>
      <c r="F30" s="198">
        <f>IF(DFIE!$G$2=2008,AVERAGE(D30:E30),AVERAGE(C30:E30))</f>
        <v>26577338.824789319</v>
      </c>
      <c r="G30" s="222">
        <f>BEV!F30</f>
        <v>777470</v>
      </c>
      <c r="H30" s="198">
        <f t="shared" si="0"/>
        <v>34184.391455347883</v>
      </c>
      <c r="I30" s="227">
        <f>IF(DFIE!$G$2&gt;2013,H30/$H$35*100,ROUND(H30/$H$35*100,1))</f>
        <v>99.86524008938018</v>
      </c>
    </row>
    <row r="31" spans="2:9" x14ac:dyDescent="0.2">
      <c r="B31" s="46" t="str">
        <f>DFIE!$B50</f>
        <v>Wallis</v>
      </c>
      <c r="C31" s="86">
        <f>ASG!H31</f>
        <v>7486178.3507736307</v>
      </c>
      <c r="D31" s="86">
        <f>ASG!H59</f>
        <v>7524619.3442493742</v>
      </c>
      <c r="E31" s="86">
        <f>ASG!H87</f>
        <v>7940573.9504151437</v>
      </c>
      <c r="F31" s="86">
        <f>IF(DFIE!$G$2=2008,AVERAGE(D31:E31),AVERAGE(C31:E31))</f>
        <v>7650457.2151460499</v>
      </c>
      <c r="G31" s="219">
        <f>BEV!F31</f>
        <v>341701.5</v>
      </c>
      <c r="H31" s="86">
        <f t="shared" si="0"/>
        <v>22389.299476724711</v>
      </c>
      <c r="I31" s="226">
        <f>IF(DFIE!$G$2&gt;2013,H31/$H$35*100,ROUND(H31/$H$35*100,1))</f>
        <v>65.407417610365442</v>
      </c>
    </row>
    <row r="32" spans="2:9" x14ac:dyDescent="0.2">
      <c r="B32" s="47" t="str">
        <f>DFIE!$B51</f>
        <v>Neuenburg</v>
      </c>
      <c r="C32" s="198">
        <f>ASG!H32</f>
        <v>5089749.6383744515</v>
      </c>
      <c r="D32" s="198">
        <f>ASG!H60</f>
        <v>5037036.5067935511</v>
      </c>
      <c r="E32" s="198">
        <f>ASG!H88</f>
        <v>5117584.6211813139</v>
      </c>
      <c r="F32" s="198">
        <f>IF(DFIE!$G$2=2008,AVERAGE(D32:E32),AVERAGE(C32:E32))</f>
        <v>5081456.9221164389</v>
      </c>
      <c r="G32" s="222">
        <f>BEV!F32</f>
        <v>179130.16666666666</v>
      </c>
      <c r="H32" s="198">
        <f t="shared" si="0"/>
        <v>28367.399063342797</v>
      </c>
      <c r="I32" s="227">
        <f>IF(DFIE!$G$2&gt;2013,H32/$H$35*100,ROUND(H32/$H$35*100,1))</f>
        <v>82.871655675730892</v>
      </c>
    </row>
    <row r="33" spans="1:9" x14ac:dyDescent="0.2">
      <c r="B33" s="46" t="str">
        <f>DFIE!$B52</f>
        <v>Genf</v>
      </c>
      <c r="C33" s="86">
        <f>ASG!H33</f>
        <v>24676674.295861039</v>
      </c>
      <c r="D33" s="86">
        <f>ASG!H61</f>
        <v>23357716.161469676</v>
      </c>
      <c r="E33" s="86">
        <f>ASG!H89</f>
        <v>23484675.942353845</v>
      </c>
      <c r="F33" s="86">
        <f>IF(DFIE!$G$2=2008,AVERAGE(D33:E33),AVERAGE(C33:E33))</f>
        <v>23839688.799894854</v>
      </c>
      <c r="G33" s="219">
        <f>BEV!F33</f>
        <v>484486.66666666669</v>
      </c>
      <c r="H33" s="86">
        <f t="shared" si="0"/>
        <v>49206.078185629158</v>
      </c>
      <c r="I33" s="226">
        <f>IF(DFIE!$G$2&gt;2013,H33/$H$35*100,ROUND(H33/$H$35*100,1))</f>
        <v>143.74913820780961</v>
      </c>
    </row>
    <row r="34" spans="1:9" x14ac:dyDescent="0.2">
      <c r="B34" s="47" t="str">
        <f>DFIE!$B53</f>
        <v>Jura</v>
      </c>
      <c r="C34" s="198">
        <f>ASG!H34</f>
        <v>1632553.6734263303</v>
      </c>
      <c r="D34" s="198">
        <f>ASG!H62</f>
        <v>1581893.474781906</v>
      </c>
      <c r="E34" s="198">
        <f>ASG!H90</f>
        <v>1644921.5664202953</v>
      </c>
      <c r="F34" s="198">
        <f>IF(DFIE!$G$2=2008,AVERAGE(D34:E34),AVERAGE(C34:E34))</f>
        <v>1619789.5715428439</v>
      </c>
      <c r="G34" s="222">
        <f>BEV!F34</f>
        <v>72918.666666666672</v>
      </c>
      <c r="H34" s="198">
        <f t="shared" si="0"/>
        <v>22213.647692536575</v>
      </c>
      <c r="I34" s="227">
        <f>IF(DFIE!$G$2&gt;2013,H34/$H$35*100,ROUND(H34/$H$35*100,1))</f>
        <v>64.894273837629598</v>
      </c>
    </row>
    <row r="35" spans="1:9" x14ac:dyDescent="0.2">
      <c r="A35" s="40"/>
      <c r="B35" s="24" t="str">
        <f>DFIE!$B54</f>
        <v>Schweiz</v>
      </c>
      <c r="C35" s="31">
        <f>SUM(C9:C34)</f>
        <v>281194611.02424109</v>
      </c>
      <c r="D35" s="31">
        <f>SUM(D9:D34)</f>
        <v>283848897.84060913</v>
      </c>
      <c r="E35" s="31">
        <f>SUM(E9:E34)</f>
        <v>294415919.97265929</v>
      </c>
      <c r="F35" s="31">
        <f>SUM(F9:F34)</f>
        <v>286486476.2791698</v>
      </c>
      <c r="G35" s="113">
        <f>SUM(G9:G34)</f>
        <v>8369328.666666667</v>
      </c>
      <c r="H35" s="31">
        <f t="shared" si="0"/>
        <v>34230.520474143537</v>
      </c>
      <c r="I35" s="218">
        <v>100</v>
      </c>
    </row>
    <row r="36" spans="1:9" ht="10.5" customHeight="1" x14ac:dyDescent="0.2">
      <c r="C36" s="223"/>
      <c r="D36" s="224"/>
      <c r="E36" s="225"/>
    </row>
    <row r="38" spans="1:9" ht="22.5" customHeight="1" x14ac:dyDescent="0.2">
      <c r="B38" s="228" t="str">
        <f>DFIE!$B$179</f>
        <v>ASG-Index
Standardabweichung</v>
      </c>
      <c r="C38" s="229">
        <f t="array" ref="C38">_xlfn.STDEV.P(100*(C9:C34/$G9:$G34)/(C$35/$G$35))</f>
        <v>41.840970974054805</v>
      </c>
      <c r="D38" s="230">
        <f t="array" ref="D38">_xlfn.STDEV.P(100*(D9:D34/$G9:$G34)/(D$35/$G$35))</f>
        <v>42.519568578746231</v>
      </c>
      <c r="E38" s="231">
        <f t="array" ref="E38">_xlfn.STDEV.P(100*(E9:E34/$G9:$G34)/(E$35/$G$35))</f>
        <v>41.796955699446748</v>
      </c>
      <c r="F38" s="229"/>
      <c r="G38" s="230"/>
      <c r="H38" s="232" t="str">
        <f>DFIE!$B$180</f>
        <v>Ressourcenindex
Standardabweichung</v>
      </c>
      <c r="I38" s="233">
        <f>_xlfn.STDEV.P(I9:I34)</f>
        <v>41.64939922951595</v>
      </c>
    </row>
  </sheetData>
  <conditionalFormatting sqref="C9:F34">
    <cfRule type="expression" dxfId="8" priority="2" stopIfTrue="1">
      <formula>ISBLANK(C9)</formula>
    </cfRule>
  </conditionalFormatting>
  <pageMargins left="0.78740157480314965" right="0.78740157480314965" top="0.98425196850393704" bottom="0.59055118110236227" header="0.51181102362204722" footer="0.51181102362204722"/>
  <pageSetup paperSize="9" scale="95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showGridLines="0" zoomScaleNormal="100" workbookViewId="0">
      <selection activeCell="A50" sqref="A50"/>
    </sheetView>
  </sheetViews>
  <sheetFormatPr baseColWidth="10" defaultColWidth="9.140625" defaultRowHeight="12.75" x14ac:dyDescent="0.2"/>
  <cols>
    <col min="1" max="1" width="1.42578125" customWidth="1"/>
    <col min="2" max="2" width="3.7109375" customWidth="1"/>
    <col min="3" max="3" width="45.42578125" customWidth="1"/>
    <col min="4" max="5" width="12.5703125" customWidth="1"/>
    <col min="6" max="9" width="15.7109375" customWidth="1"/>
  </cols>
  <sheetData>
    <row r="1" spans="1:9" ht="18" customHeight="1" x14ac:dyDescent="0.2">
      <c r="B1" s="120" t="str">
        <f>DFIE!B181</f>
        <v>Standardisierter Steuersatz (SST) 2020</v>
      </c>
      <c r="C1" s="210"/>
      <c r="D1" s="217"/>
      <c r="E1" s="130"/>
      <c r="F1" s="51"/>
      <c r="G1" s="51"/>
      <c r="H1" s="51"/>
      <c r="I1" s="51"/>
    </row>
    <row r="2" spans="1:9" ht="12.75" customHeight="1" x14ac:dyDescent="0.2">
      <c r="A2" s="207"/>
      <c r="B2" s="51"/>
      <c r="C2" s="207"/>
      <c r="D2" s="208"/>
      <c r="E2" s="209"/>
    </row>
    <row r="3" spans="1:9" ht="15" customHeight="1" x14ac:dyDescent="0.2">
      <c r="B3" s="248"/>
      <c r="C3" s="249"/>
      <c r="D3" s="78" t="str">
        <f>DFIE!B58</f>
        <v>Einheit</v>
      </c>
      <c r="E3" s="78" t="str">
        <f>DFIE!B56</f>
        <v>Formel</v>
      </c>
      <c r="F3" s="250">
        <f>DFIE!$G$2-6</f>
        <v>2014</v>
      </c>
      <c r="G3" s="251">
        <f>DFIE!$G$2-5</f>
        <v>2015</v>
      </c>
      <c r="H3" s="252">
        <f>DFIE!$G$2-4</f>
        <v>2016</v>
      </c>
      <c r="I3" s="253" t="str">
        <f>F3 &amp; " - " &amp; H3</f>
        <v>2014 - 2016</v>
      </c>
    </row>
    <row r="4" spans="1:9" ht="15" customHeight="1" x14ac:dyDescent="0.2">
      <c r="B4" s="272" t="s">
        <v>118</v>
      </c>
      <c r="C4" s="249" t="str">
        <f>DFIE!$B182</f>
        <v>Steuereinnahmen der Kantone und Gemeinden</v>
      </c>
      <c r="D4" s="168" t="str">
        <f>DFIE!$B$60</f>
        <v>CHF 1'000</v>
      </c>
      <c r="E4" s="78"/>
      <c r="F4" s="244">
        <v>70295154.079659998</v>
      </c>
      <c r="G4" s="245">
        <v>71920181.670259997</v>
      </c>
      <c r="H4" s="246">
        <v>74033501.409989998</v>
      </c>
      <c r="I4" s="254"/>
    </row>
    <row r="5" spans="1:9" ht="15" customHeight="1" x14ac:dyDescent="0.2">
      <c r="B5" s="272" t="s">
        <v>119</v>
      </c>
      <c r="C5" s="249" t="str">
        <f>DFIE!$B183</f>
        <v>Debitorenverluste auf Steuereinnahmen</v>
      </c>
      <c r="D5" s="168" t="str">
        <f>DFIE!$B$60</f>
        <v>CHF 1'000</v>
      </c>
      <c r="E5" s="78"/>
      <c r="F5" s="241">
        <v>710201.16122999997</v>
      </c>
      <c r="G5" s="242">
        <v>714517.56831</v>
      </c>
      <c r="H5" s="243">
        <v>684142.24473000003</v>
      </c>
      <c r="I5" s="254"/>
    </row>
    <row r="6" spans="1:9" ht="15" customHeight="1" x14ac:dyDescent="0.2">
      <c r="B6" s="272" t="s">
        <v>30</v>
      </c>
      <c r="C6" s="249" t="str">
        <f>DFIE!$B184</f>
        <v>Einnahmen direkte Bundessteuer (DBSt)</v>
      </c>
      <c r="D6" s="168" t="str">
        <f>DFIE!$B$60</f>
        <v>CHF 1'000</v>
      </c>
      <c r="E6" s="78"/>
      <c r="F6" s="244">
        <v>17975083.870680001</v>
      </c>
      <c r="G6" s="245">
        <v>20125049.208129998</v>
      </c>
      <c r="H6" s="246">
        <v>21131325.118749999</v>
      </c>
      <c r="I6" s="254"/>
    </row>
    <row r="7" spans="1:9" ht="15" customHeight="1" x14ac:dyDescent="0.2">
      <c r="B7" s="272" t="s">
        <v>31</v>
      </c>
      <c r="C7" s="249" t="str">
        <f>DFIE!$B185</f>
        <v>Kantonsanteil</v>
      </c>
      <c r="D7" s="168" t="str">
        <f>DFIE!$B$63</f>
        <v>Prozent</v>
      </c>
      <c r="E7" s="78"/>
      <c r="F7" s="276">
        <v>0.17</v>
      </c>
      <c r="G7" s="277">
        <v>0.17</v>
      </c>
      <c r="H7" s="278">
        <v>0.17</v>
      </c>
      <c r="I7" s="258"/>
    </row>
    <row r="8" spans="1:9" ht="15" customHeight="1" x14ac:dyDescent="0.2">
      <c r="B8" s="272" t="s">
        <v>32</v>
      </c>
      <c r="C8" s="249" t="str">
        <f>DFIE!$B186</f>
        <v>Anteil der Kantone an DBSt</v>
      </c>
      <c r="D8" s="168" t="str">
        <f>DFIE!$B$60</f>
        <v>CHF 1'000</v>
      </c>
      <c r="E8" s="78" t="s">
        <v>585</v>
      </c>
      <c r="F8" s="255">
        <f>IF(DFIE!$G$2=2008,"",F7*F6)</f>
        <v>3055764.2580156005</v>
      </c>
      <c r="G8" s="256">
        <f>G7*G6</f>
        <v>3421258.3653821</v>
      </c>
      <c r="H8" s="257">
        <f>H7*H6</f>
        <v>3592325.2701874999</v>
      </c>
      <c r="I8" s="258"/>
    </row>
    <row r="9" spans="1:9" ht="15.75" customHeight="1" x14ac:dyDescent="0.2">
      <c r="B9" s="273" t="s">
        <v>43</v>
      </c>
      <c r="C9" s="259" t="str">
        <f>DFIE!$B187</f>
        <v>Standardisierte Steuererträge (SSE)</v>
      </c>
      <c r="D9" s="169" t="str">
        <f>DFIE!$B$60</f>
        <v>CHF 1'000</v>
      </c>
      <c r="E9" s="260" t="s">
        <v>628</v>
      </c>
      <c r="F9" s="261">
        <f>IF(DFIE!$G$2=2008,"",F4-F5+F8)</f>
        <v>72640717.176445603</v>
      </c>
      <c r="G9" s="262">
        <f t="shared" ref="G9:H9" si="0">G4-G5+G8</f>
        <v>74626922.467332095</v>
      </c>
      <c r="H9" s="263">
        <f t="shared" si="0"/>
        <v>76941684.435447499</v>
      </c>
      <c r="I9" s="263">
        <f>IF(DFIE!$G$2=2008,AVERAGE(G9:H9),AVERAGE(F9:H9))</f>
        <v>74736441.359741732</v>
      </c>
    </row>
    <row r="10" spans="1:9" ht="15.75" customHeight="1" x14ac:dyDescent="0.2">
      <c r="B10" s="274"/>
      <c r="C10" s="249"/>
      <c r="D10" s="247"/>
      <c r="E10" s="264"/>
      <c r="F10" s="67"/>
      <c r="G10" s="67"/>
      <c r="H10" s="67"/>
      <c r="I10" s="67"/>
    </row>
    <row r="11" spans="1:9" ht="15" customHeight="1" x14ac:dyDescent="0.2">
      <c r="B11" s="272" t="s">
        <v>42</v>
      </c>
      <c r="C11" s="249" t="str">
        <f>DFIE!$B188</f>
        <v>Massgebende Wohnbevölkerung</v>
      </c>
      <c r="D11" s="168" t="str">
        <f>DFIE!B61</f>
        <v>Anzahl</v>
      </c>
      <c r="E11" s="78"/>
      <c r="F11" s="256"/>
      <c r="G11" s="256"/>
      <c r="H11" s="256"/>
      <c r="I11" s="257">
        <f>BEV!F35</f>
        <v>8369328.666666667</v>
      </c>
    </row>
    <row r="12" spans="1:9" ht="15.75" customHeight="1" x14ac:dyDescent="0.2">
      <c r="B12" s="273" t="s">
        <v>33</v>
      </c>
      <c r="C12" s="259" t="str">
        <f>DFIE!$B189</f>
        <v>Standardisierte Steuererträge pro Kopf</v>
      </c>
      <c r="D12" s="169" t="str">
        <f>DFIE!$B$59</f>
        <v>CHF</v>
      </c>
      <c r="E12" s="260" t="s">
        <v>64</v>
      </c>
      <c r="F12" s="265"/>
      <c r="G12" s="265"/>
      <c r="H12" s="265"/>
      <c r="I12" s="263">
        <f>I9/I11*1000</f>
        <v>8929.8012225761631</v>
      </c>
    </row>
    <row r="13" spans="1:9" ht="15" customHeight="1" x14ac:dyDescent="0.2">
      <c r="B13" s="272" t="s">
        <v>593</v>
      </c>
      <c r="C13" s="249" t="str">
        <f>DFIE!$B190</f>
        <v>Ressourcenpotenzial pro Kopf</v>
      </c>
      <c r="D13" s="168" t="str">
        <f>DFIE!$B$59</f>
        <v>CHF</v>
      </c>
      <c r="E13" s="78"/>
      <c r="F13" s="256"/>
      <c r="G13" s="256"/>
      <c r="H13" s="256"/>
      <c r="I13" s="257">
        <f>RP!H35</f>
        <v>34230.520474143537</v>
      </c>
    </row>
    <row r="14" spans="1:9" ht="15.75" customHeight="1" x14ac:dyDescent="0.2">
      <c r="B14" s="275" t="s">
        <v>35</v>
      </c>
      <c r="C14" s="266" t="str">
        <f>DFIE!$B191</f>
        <v>Standardisierter Steuersatz (SST)</v>
      </c>
      <c r="D14" s="267" t="str">
        <f>DFIE!B63</f>
        <v>Prozent</v>
      </c>
      <c r="E14" s="268" t="s">
        <v>629</v>
      </c>
      <c r="F14" s="269"/>
      <c r="G14" s="269"/>
      <c r="H14" s="269"/>
      <c r="I14" s="270">
        <f>I12/I13</f>
        <v>0.26087249328625906</v>
      </c>
    </row>
    <row r="18" spans="1:2" x14ac:dyDescent="0.2">
      <c r="A18" s="51"/>
      <c r="B18" s="271"/>
    </row>
  </sheetData>
  <conditionalFormatting sqref="I13">
    <cfRule type="expression" dxfId="7" priority="5" stopIfTrue="1">
      <formula>ISBLANK(#REF!)</formula>
    </cfRule>
  </conditionalFormatting>
  <conditionalFormatting sqref="F3:H3">
    <cfRule type="expression" dxfId="6" priority="4" stopIfTrue="1">
      <formula>ISBLANK(F3)</formula>
    </cfRule>
  </conditionalFormatting>
  <conditionalFormatting sqref="F4:H4">
    <cfRule type="expression" dxfId="5" priority="3">
      <formula>ISBLANK(F4)</formula>
    </cfRule>
  </conditionalFormatting>
  <conditionalFormatting sqref="F5:H6">
    <cfRule type="expression" dxfId="4" priority="2">
      <formula>ISBLANK(F5)</formula>
    </cfRule>
  </conditionalFormatting>
  <conditionalFormatting sqref="F7:H7">
    <cfRule type="expression" dxfId="3" priority="1">
      <formula>ISBLANK(F7)</formula>
    </cfRule>
  </conditionalFormatting>
  <pageMargins left="0.78740157480314965" right="0.78740157480314965" top="0.98425196850393704" bottom="0.98425196850393704" header="0.51181102362204722" footer="0.51181102362204722"/>
  <pageSetup paperSize="9" scale="95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showGridLines="0" workbookViewId="0">
      <selection activeCell="A50" sqref="A50"/>
    </sheetView>
  </sheetViews>
  <sheetFormatPr baseColWidth="10" defaultColWidth="9.140625" defaultRowHeight="12.75" x14ac:dyDescent="0.2"/>
  <cols>
    <col min="1" max="1" width="1.42578125" customWidth="1"/>
    <col min="2" max="2" width="17.28515625" customWidth="1"/>
    <col min="3" max="7" width="15.7109375" customWidth="1"/>
    <col min="8" max="8" width="3.42578125" customWidth="1"/>
    <col min="9" max="9" width="30" customWidth="1"/>
    <col min="10" max="10" width="9.140625" customWidth="1"/>
  </cols>
  <sheetData>
    <row r="1" spans="1:10" ht="18" customHeight="1" x14ac:dyDescent="0.2">
      <c r="B1" s="120" t="str">
        <f>DFIE!B192</f>
        <v>Auszahlungen an die ressourcenschwachen Kantone 2020</v>
      </c>
      <c r="C1" s="210"/>
      <c r="D1" s="210"/>
      <c r="E1" s="217"/>
      <c r="F1" s="130"/>
    </row>
    <row r="2" spans="1:10" ht="12.75" customHeight="1" x14ac:dyDescent="0.2">
      <c r="A2" s="207"/>
      <c r="B2" s="51"/>
      <c r="C2" s="207"/>
      <c r="D2" s="207"/>
      <c r="E2" s="208"/>
      <c r="F2" s="209"/>
    </row>
    <row r="3" spans="1:10" ht="0.75" customHeight="1" x14ac:dyDescent="0.2">
      <c r="A3" s="207"/>
      <c r="B3" s="207"/>
      <c r="C3" s="207"/>
      <c r="D3" s="207"/>
      <c r="E3" s="207"/>
      <c r="F3" s="207"/>
      <c r="G3" s="207"/>
    </row>
    <row r="4" spans="1:10" ht="0.75" customHeight="1" x14ac:dyDescent="0.2">
      <c r="A4" s="207"/>
      <c r="B4" s="207"/>
      <c r="C4" s="207"/>
      <c r="D4" s="207"/>
      <c r="E4" s="207"/>
      <c r="F4" s="207"/>
      <c r="G4" s="207"/>
    </row>
    <row r="5" spans="1:10" ht="0.75" customHeight="1" x14ac:dyDescent="0.2">
      <c r="A5" s="207"/>
      <c r="B5" s="207"/>
      <c r="C5" s="207"/>
      <c r="D5" s="207"/>
      <c r="E5" s="207"/>
      <c r="F5" s="207"/>
      <c r="G5" s="207"/>
    </row>
    <row r="6" spans="1:10" ht="12" customHeight="1" x14ac:dyDescent="0.2">
      <c r="B6" s="34" t="str">
        <f>DFIE!B55</f>
        <v>Spalte</v>
      </c>
      <c r="C6" s="284" t="s">
        <v>30</v>
      </c>
      <c r="D6" s="35" t="s">
        <v>31</v>
      </c>
      <c r="E6" s="35" t="s">
        <v>32</v>
      </c>
      <c r="F6" s="119" t="s">
        <v>43</v>
      </c>
      <c r="G6" s="117" t="s">
        <v>42</v>
      </c>
    </row>
    <row r="7" spans="1:10" ht="45" customHeight="1" x14ac:dyDescent="0.2">
      <c r="B7" s="299"/>
      <c r="C7" s="279" t="str">
        <f>DFIE!B193</f>
        <v>Ressourcen-
index</v>
      </c>
      <c r="D7" s="70" t="str">
        <f>DFIE!B194</f>
        <v>Auszahlung in
Indexpunkten</v>
      </c>
      <c r="E7" s="70" t="str">
        <f>DFIE!B195</f>
        <v>Index SSE
nach Ausgleich</v>
      </c>
      <c r="F7" s="283" t="str">
        <f>DFIE!B196</f>
        <v>Auszahlung
pro Einwohner</v>
      </c>
      <c r="G7" s="280" t="str">
        <f>DFIE!B197</f>
        <v>Auszahlung</v>
      </c>
    </row>
    <row r="8" spans="1:10" x14ac:dyDescent="0.2">
      <c r="B8" s="34" t="str">
        <f>DFIE!B58</f>
        <v>Einheit</v>
      </c>
      <c r="C8" s="285" t="str">
        <f>DFIE!B62</f>
        <v>Punkte</v>
      </c>
      <c r="D8" s="41" t="str">
        <f>DFIE!B61</f>
        <v>Anzahl</v>
      </c>
      <c r="E8" s="41"/>
      <c r="F8" s="123" t="str">
        <f>DFIE!$B$59</f>
        <v>CHF</v>
      </c>
      <c r="G8" s="122" t="str">
        <f>DFIE!$B$59</f>
        <v>CHF</v>
      </c>
    </row>
    <row r="9" spans="1:10" ht="12.75" customHeight="1" x14ac:dyDescent="0.2">
      <c r="B9" s="298" t="str">
        <f>DFIE!$B28</f>
        <v>Zürich</v>
      </c>
      <c r="C9" s="281">
        <f>RP!$I9</f>
        <v>121.6556882035641</v>
      </c>
      <c r="D9" s="197">
        <f>IF(C9&lt;$J$11,$J$10-C9,IF(C9&lt;100,$J$16*(100-C9)^$J$15,0))</f>
        <v>0</v>
      </c>
      <c r="E9" s="197">
        <f>IF(C9&lt;100,C9+D9,0)</f>
        <v>0</v>
      </c>
      <c r="F9" s="219">
        <f>D9*$J$14/100</f>
        <v>0</v>
      </c>
      <c r="G9" s="111">
        <f>F9*BEV!$F9</f>
        <v>0</v>
      </c>
      <c r="I9" s="288"/>
      <c r="J9" s="289"/>
    </row>
    <row r="10" spans="1:10" x14ac:dyDescent="0.2">
      <c r="B10" s="286" t="str">
        <f>DFIE!$B29</f>
        <v>Bern</v>
      </c>
      <c r="C10" s="287">
        <f>RP!$I10</f>
        <v>77.597792682509919</v>
      </c>
      <c r="D10" s="199">
        <f t="shared" ref="D10:D34" si="0">IF(C10&lt;$J$11,$J$10-C10,IF(C10&lt;100,$J$16*(100-C10)^$J$15,0))</f>
        <v>11.337129293153852</v>
      </c>
      <c r="E10" s="199">
        <f t="shared" ref="E10:E34" si="1">IF(C10&lt;100,C10+D10,0)</f>
        <v>88.934921975663769</v>
      </c>
      <c r="F10" s="222">
        <f t="shared" ref="F10:F34" si="2">D10*$J$14/100</f>
        <v>1012.383110225093</v>
      </c>
      <c r="G10" s="124">
        <f>F10*BEV!$F10</f>
        <v>1034041528.2936935</v>
      </c>
      <c r="I10" s="293" t="str">
        <f>DFIE!$B$198</f>
        <v>Garantierte Mindestausstattung</v>
      </c>
      <c r="J10" s="297">
        <v>87.7</v>
      </c>
    </row>
    <row r="11" spans="1:10" x14ac:dyDescent="0.2">
      <c r="B11" s="298" t="str">
        <f>DFIE!$B30</f>
        <v>Luzern</v>
      </c>
      <c r="C11" s="281">
        <f>RP!$I11</f>
        <v>89.064091528532501</v>
      </c>
      <c r="D11" s="197">
        <f t="shared" si="0"/>
        <v>3.7969188792041839</v>
      </c>
      <c r="E11" s="197">
        <f t="shared" si="1"/>
        <v>92.861010407736686</v>
      </c>
      <c r="F11" s="219">
        <f t="shared" si="2"/>
        <v>339.05730849540038</v>
      </c>
      <c r="G11" s="111">
        <f>F11*BEV!$F11</f>
        <v>135717407.36812755</v>
      </c>
      <c r="I11" s="293" t="str">
        <f>DFIE!$B$199</f>
        <v>Beginn Progression</v>
      </c>
      <c r="J11" s="297">
        <v>70</v>
      </c>
    </row>
    <row r="12" spans="1:10" x14ac:dyDescent="0.2">
      <c r="B12" s="286" t="str">
        <f>DFIE!$B31</f>
        <v>Uri</v>
      </c>
      <c r="C12" s="287">
        <f>RP!$I12</f>
        <v>71.289251007437002</v>
      </c>
      <c r="D12" s="199">
        <f t="shared" si="0"/>
        <v>16.552864732696722</v>
      </c>
      <c r="E12" s="199">
        <f t="shared" si="1"/>
        <v>87.842115740133721</v>
      </c>
      <c r="F12" s="222">
        <f t="shared" si="2"/>
        <v>1478.1379172717307</v>
      </c>
      <c r="G12" s="124">
        <f>F12*BEV!$F12</f>
        <v>53982089.451402701</v>
      </c>
      <c r="I12" s="293" t="str">
        <f>DFIE!$B$200</f>
        <v>Maximale Grenzabschöpfung</v>
      </c>
      <c r="J12" s="192">
        <v>0.9</v>
      </c>
    </row>
    <row r="13" spans="1:10" x14ac:dyDescent="0.2">
      <c r="B13" s="298" t="str">
        <f>DFIE!$B32</f>
        <v>Schwyz</v>
      </c>
      <c r="C13" s="281">
        <f>RP!$I13</f>
        <v>181.3482436399066</v>
      </c>
      <c r="D13" s="197">
        <f t="shared" si="0"/>
        <v>0</v>
      </c>
      <c r="E13" s="197">
        <f t="shared" si="1"/>
        <v>0</v>
      </c>
      <c r="F13" s="219">
        <f t="shared" si="2"/>
        <v>0</v>
      </c>
      <c r="G13" s="111">
        <f>F13*BEV!$F13</f>
        <v>0</v>
      </c>
      <c r="I13" s="293"/>
      <c r="J13" s="290"/>
    </row>
    <row r="14" spans="1:10" x14ac:dyDescent="0.2">
      <c r="B14" s="286" t="str">
        <f>DFIE!$B33</f>
        <v>Obwalden</v>
      </c>
      <c r="C14" s="287">
        <f>RP!$I14</f>
        <v>115.44984636418096</v>
      </c>
      <c r="D14" s="199">
        <f t="shared" si="0"/>
        <v>0</v>
      </c>
      <c r="E14" s="199">
        <f t="shared" si="1"/>
        <v>0</v>
      </c>
      <c r="F14" s="222">
        <f t="shared" si="2"/>
        <v>0</v>
      </c>
      <c r="G14" s="124">
        <f>F14*BEV!$F14</f>
        <v>0</v>
      </c>
      <c r="I14" s="296" t="str">
        <f>DFIE!$B$201</f>
        <v>SSE pro Einwohner</v>
      </c>
      <c r="J14" s="294">
        <f>SST!$I$12</f>
        <v>8929.8012225761631</v>
      </c>
    </row>
    <row r="15" spans="1:10" x14ac:dyDescent="0.2">
      <c r="B15" s="298" t="str">
        <f>DFIE!$B34</f>
        <v>Nidwalden</v>
      </c>
      <c r="C15" s="281">
        <f>RP!$I15</f>
        <v>158.02636045117836</v>
      </c>
      <c r="D15" s="197">
        <f t="shared" si="0"/>
        <v>0</v>
      </c>
      <c r="E15" s="197">
        <f t="shared" si="1"/>
        <v>0</v>
      </c>
      <c r="F15" s="219">
        <f t="shared" si="2"/>
        <v>0</v>
      </c>
      <c r="G15" s="111">
        <f>F15*BEV!$F15</f>
        <v>0</v>
      </c>
      <c r="I15" s="296" t="str">
        <f>DFIE!$B$202</f>
        <v>Progressionsmass p</v>
      </c>
      <c r="J15" s="295">
        <f>J12*(100-J11) / (J10-J11)</f>
        <v>1.525423728813559</v>
      </c>
    </row>
    <row r="16" spans="1:10" x14ac:dyDescent="0.2">
      <c r="B16" s="286" t="str">
        <f>DFIE!$B35</f>
        <v>Glarus</v>
      </c>
      <c r="C16" s="287">
        <f>RP!$I16</f>
        <v>70.299520765952877</v>
      </c>
      <c r="D16" s="199">
        <f t="shared" si="0"/>
        <v>17.431139489130992</v>
      </c>
      <c r="E16" s="199">
        <f t="shared" si="1"/>
        <v>87.730660255083876</v>
      </c>
      <c r="F16" s="222">
        <f t="shared" si="2"/>
        <v>1556.5661072093758</v>
      </c>
      <c r="G16" s="124">
        <f>F16*BEV!$F16</f>
        <v>62920552.896355525</v>
      </c>
      <c r="I16" s="296" t="str">
        <f>DFIE!$B$203</f>
        <v>Progressionsmass t</v>
      </c>
      <c r="J16" s="295">
        <f>(J10-J11)/(100-J11)^J15</f>
        <v>9.8795566097973714E-2</v>
      </c>
    </row>
    <row r="17" spans="2:10" x14ac:dyDescent="0.2">
      <c r="B17" s="298" t="str">
        <f>DFIE!$B36</f>
        <v>Zug</v>
      </c>
      <c r="C17" s="281">
        <f>RP!$I17</f>
        <v>249.69262334127799</v>
      </c>
      <c r="D17" s="197">
        <f t="shared" si="0"/>
        <v>0</v>
      </c>
      <c r="E17" s="197">
        <f t="shared" si="1"/>
        <v>0</v>
      </c>
      <c r="F17" s="219">
        <f t="shared" si="2"/>
        <v>0</v>
      </c>
      <c r="G17" s="111">
        <f>F17*BEV!$F17</f>
        <v>0</v>
      </c>
      <c r="I17" s="291"/>
      <c r="J17" s="292"/>
    </row>
    <row r="18" spans="2:10" x14ac:dyDescent="0.2">
      <c r="B18" s="286" t="str">
        <f>DFIE!$B37</f>
        <v>Freiburg</v>
      </c>
      <c r="C18" s="287">
        <f>RP!$I18</f>
        <v>79.176038955722007</v>
      </c>
      <c r="D18" s="199">
        <f t="shared" si="0"/>
        <v>10.141571688080795</v>
      </c>
      <c r="E18" s="199">
        <f t="shared" si="1"/>
        <v>89.317610643802794</v>
      </c>
      <c r="F18" s="222">
        <f t="shared" si="2"/>
        <v>905.62219259067683</v>
      </c>
      <c r="G18" s="124">
        <f>F18*BEV!$F18</f>
        <v>278296492.2868582</v>
      </c>
    </row>
    <row r="19" spans="2:10" x14ac:dyDescent="0.2">
      <c r="B19" s="298" t="str">
        <f>DFIE!$B38</f>
        <v>Solothurn</v>
      </c>
      <c r="C19" s="281">
        <f>RP!$I19</f>
        <v>72.433172163139531</v>
      </c>
      <c r="D19" s="197">
        <f t="shared" si="0"/>
        <v>15.557422573119306</v>
      </c>
      <c r="E19" s="197">
        <f t="shared" si="1"/>
        <v>87.990594736258842</v>
      </c>
      <c r="F19" s="219">
        <f t="shared" si="2"/>
        <v>1389.2469111357477</v>
      </c>
      <c r="G19" s="111">
        <f>F19*BEV!$F19</f>
        <v>371528848.39770341</v>
      </c>
    </row>
    <row r="20" spans="2:10" x14ac:dyDescent="0.2">
      <c r="B20" s="286" t="str">
        <f>DFIE!$B39</f>
        <v>Basel-Stadt</v>
      </c>
      <c r="C20" s="287">
        <f>RP!$I20</f>
        <v>145.9554284560933</v>
      </c>
      <c r="D20" s="199">
        <f t="shared" si="0"/>
        <v>0</v>
      </c>
      <c r="E20" s="199">
        <f t="shared" si="1"/>
        <v>0</v>
      </c>
      <c r="F20" s="222">
        <f t="shared" si="2"/>
        <v>0</v>
      </c>
      <c r="G20" s="124">
        <f>F20*BEV!$F20</f>
        <v>0</v>
      </c>
    </row>
    <row r="21" spans="2:10" x14ac:dyDescent="0.2">
      <c r="B21" s="298" t="str">
        <f>DFIE!$B40</f>
        <v>Basel-Landschaft</v>
      </c>
      <c r="C21" s="281">
        <f>RP!$I21</f>
        <v>96.935011299311427</v>
      </c>
      <c r="D21" s="197">
        <f t="shared" si="0"/>
        <v>0.54544078214626612</v>
      </c>
      <c r="E21" s="197">
        <f t="shared" si="1"/>
        <v>97.480452081457699</v>
      </c>
      <c r="F21" s="219">
        <f t="shared" si="2"/>
        <v>48.706777632526254</v>
      </c>
      <c r="G21" s="111">
        <f>F21*BEV!$F21</f>
        <v>13821911.943003036</v>
      </c>
    </row>
    <row r="22" spans="2:10" x14ac:dyDescent="0.2">
      <c r="B22" s="286" t="str">
        <f>DFIE!$B41</f>
        <v>Schaffhausen</v>
      </c>
      <c r="C22" s="287">
        <f>RP!$I22</f>
        <v>91.084830574546373</v>
      </c>
      <c r="D22" s="199">
        <f t="shared" si="0"/>
        <v>2.780274605077341</v>
      </c>
      <c r="E22" s="199">
        <f t="shared" si="1"/>
        <v>93.865105179623711</v>
      </c>
      <c r="F22" s="222">
        <f t="shared" si="2"/>
        <v>248.27299567517102</v>
      </c>
      <c r="G22" s="124">
        <f>F22*BEV!$F22</f>
        <v>20026154.998318031</v>
      </c>
    </row>
    <row r="23" spans="2:10" x14ac:dyDescent="0.2">
      <c r="B23" s="298" t="str">
        <f>DFIE!$B42</f>
        <v>Appenzell A.Rh.</v>
      </c>
      <c r="C23" s="281">
        <f>RP!$I23</f>
        <v>85.017840620330304</v>
      </c>
      <c r="D23" s="197">
        <f t="shared" si="0"/>
        <v>6.137430091219553</v>
      </c>
      <c r="E23" s="197">
        <f t="shared" si="1"/>
        <v>91.155270711549861</v>
      </c>
      <c r="F23" s="219">
        <f t="shared" si="2"/>
        <v>548.06030732048089</v>
      </c>
      <c r="G23" s="111">
        <f>F23*BEV!$F23</f>
        <v>29907468.283709534</v>
      </c>
    </row>
    <row r="24" spans="2:10" x14ac:dyDescent="0.2">
      <c r="B24" s="286" t="str">
        <f>DFIE!$B43</f>
        <v>Appenzell I.Rh.</v>
      </c>
      <c r="C24" s="287">
        <f>RP!$I24</f>
        <v>91.12572243458041</v>
      </c>
      <c r="D24" s="199">
        <f t="shared" si="0"/>
        <v>2.7608451135954741</v>
      </c>
      <c r="E24" s="199">
        <f t="shared" si="1"/>
        <v>93.88656754817589</v>
      </c>
      <c r="F24" s="222">
        <f t="shared" si="2"/>
        <v>246.53798070728291</v>
      </c>
      <c r="G24" s="124">
        <f>F24*BEV!$F24</f>
        <v>3946497.8158352822</v>
      </c>
    </row>
    <row r="25" spans="2:10" x14ac:dyDescent="0.2">
      <c r="B25" s="298" t="str">
        <f>DFIE!$B44</f>
        <v>St. Gallen</v>
      </c>
      <c r="C25" s="281">
        <f>RP!$I25</f>
        <v>79.486715819980489</v>
      </c>
      <c r="D25" s="197">
        <f t="shared" si="0"/>
        <v>9.9116755176152758</v>
      </c>
      <c r="E25" s="197">
        <f t="shared" si="1"/>
        <v>89.398391337595768</v>
      </c>
      <c r="F25" s="219">
        <f t="shared" si="2"/>
        <v>885.09292154979119</v>
      </c>
      <c r="G25" s="111">
        <f>F25*BEV!$F25</f>
        <v>443464892.19649047</v>
      </c>
    </row>
    <row r="26" spans="2:10" x14ac:dyDescent="0.2">
      <c r="B26" s="286" t="str">
        <f>DFIE!$B45</f>
        <v>Graubünden</v>
      </c>
      <c r="C26" s="287">
        <f>RP!$I26</f>
        <v>82.90159072918739</v>
      </c>
      <c r="D26" s="199">
        <f t="shared" si="0"/>
        <v>7.5078804390216849</v>
      </c>
      <c r="E26" s="199">
        <f t="shared" si="1"/>
        <v>90.40947116820908</v>
      </c>
      <c r="F26" s="222">
        <f t="shared" si="2"/>
        <v>670.43879923331508</v>
      </c>
      <c r="G26" s="124">
        <f>F26*BEV!$F26</f>
        <v>137061491.14066237</v>
      </c>
    </row>
    <row r="27" spans="2:10" x14ac:dyDescent="0.2">
      <c r="B27" s="298" t="str">
        <f>DFIE!$B46</f>
        <v>Aargau</v>
      </c>
      <c r="C27" s="281">
        <f>RP!$I27</f>
        <v>82.207335252677225</v>
      </c>
      <c r="D27" s="197">
        <f t="shared" si="0"/>
        <v>7.9778292302592027</v>
      </c>
      <c r="E27" s="197">
        <f t="shared" si="1"/>
        <v>90.185164482936429</v>
      </c>
      <c r="F27" s="219">
        <f t="shared" si="2"/>
        <v>712.40429213872483</v>
      </c>
      <c r="G27" s="111">
        <f>F27*BEV!$F27</f>
        <v>467108415.13117832</v>
      </c>
    </row>
    <row r="28" spans="2:10" x14ac:dyDescent="0.2">
      <c r="B28" s="286" t="str">
        <f>DFIE!$B47</f>
        <v>Thurgau</v>
      </c>
      <c r="C28" s="287">
        <f>RP!$I28</f>
        <v>77.736472419111493</v>
      </c>
      <c r="D28" s="199">
        <f t="shared" si="0"/>
        <v>11.23024639310035</v>
      </c>
      <c r="E28" s="199">
        <f t="shared" si="1"/>
        <v>88.966718812211838</v>
      </c>
      <c r="F28" s="222">
        <f t="shared" si="2"/>
        <v>1002.8386797093906</v>
      </c>
      <c r="G28" s="124">
        <f>F28*BEV!$F28</f>
        <v>268482311.28871733</v>
      </c>
    </row>
    <row r="29" spans="2:10" x14ac:dyDescent="0.2">
      <c r="B29" s="298" t="str">
        <f>DFIE!$B48</f>
        <v>Tessin</v>
      </c>
      <c r="C29" s="281">
        <f>RP!$I29</f>
        <v>96.50537644843871</v>
      </c>
      <c r="D29" s="197">
        <f t="shared" si="0"/>
        <v>0.66627469270607154</v>
      </c>
      <c r="E29" s="197">
        <f t="shared" si="1"/>
        <v>97.171651141144778</v>
      </c>
      <c r="F29" s="219">
        <f t="shared" si="2"/>
        <v>59.497005654982352</v>
      </c>
      <c r="G29" s="111">
        <f>F29*BEV!$F29</f>
        <v>21035850.564884044</v>
      </c>
    </row>
    <row r="30" spans="2:10" x14ac:dyDescent="0.2">
      <c r="B30" s="286" t="str">
        <f>DFIE!$B49</f>
        <v>Waadt</v>
      </c>
      <c r="C30" s="287">
        <f>RP!$I30</f>
        <v>99.86524008938018</v>
      </c>
      <c r="D30" s="199">
        <f t="shared" si="0"/>
        <v>4.6446042273557159E-3</v>
      </c>
      <c r="E30" s="199">
        <f t="shared" si="1"/>
        <v>99.869884693607531</v>
      </c>
      <c r="F30" s="222">
        <f t="shared" si="2"/>
        <v>0.41475392507823483</v>
      </c>
      <c r="G30" s="124">
        <f>F30*BEV!$F30</f>
        <v>322458.73413057521</v>
      </c>
    </row>
    <row r="31" spans="2:10" x14ac:dyDescent="0.2">
      <c r="B31" s="298" t="str">
        <f>DFIE!$B50</f>
        <v>Wallis</v>
      </c>
      <c r="C31" s="281">
        <f>RP!$I31</f>
        <v>65.407417610365442</v>
      </c>
      <c r="D31" s="197">
        <f t="shared" si="0"/>
        <v>22.292582389634561</v>
      </c>
      <c r="E31" s="197">
        <f t="shared" si="1"/>
        <v>87.7</v>
      </c>
      <c r="F31" s="219">
        <f t="shared" si="2"/>
        <v>1990.6832947733856</v>
      </c>
      <c r="G31" s="111">
        <f>F31*BEV!$F31</f>
        <v>680219467.84900796</v>
      </c>
    </row>
    <row r="32" spans="2:10" x14ac:dyDescent="0.2">
      <c r="B32" s="286" t="str">
        <f>DFIE!$B51</f>
        <v>Neuenburg</v>
      </c>
      <c r="C32" s="287">
        <f>RP!$I32</f>
        <v>82.871655675730892</v>
      </c>
      <c r="D32" s="199">
        <f t="shared" si="0"/>
        <v>7.5279404804270644</v>
      </c>
      <c r="E32" s="199">
        <f t="shared" si="1"/>
        <v>90.399596156157955</v>
      </c>
      <c r="F32" s="222">
        <f t="shared" si="2"/>
        <v>672.23012105598184</v>
      </c>
      <c r="G32" s="124">
        <f>F32*BEV!$F32</f>
        <v>120416693.62311153</v>
      </c>
    </row>
    <row r="33" spans="2:10" x14ac:dyDescent="0.2">
      <c r="B33" s="298" t="str">
        <f>DFIE!$B52</f>
        <v>Genf</v>
      </c>
      <c r="C33" s="281">
        <f>RP!$I33</f>
        <v>143.74913820780961</v>
      </c>
      <c r="D33" s="197">
        <f t="shared" si="0"/>
        <v>0</v>
      </c>
      <c r="E33" s="197">
        <f t="shared" si="1"/>
        <v>0</v>
      </c>
      <c r="F33" s="219">
        <f t="shared" si="2"/>
        <v>0</v>
      </c>
      <c r="G33" s="111">
        <f>F33*BEV!$F33</f>
        <v>0</v>
      </c>
    </row>
    <row r="34" spans="2:10" x14ac:dyDescent="0.2">
      <c r="B34" s="286" t="str">
        <f>DFIE!$B53</f>
        <v>Jura</v>
      </c>
      <c r="C34" s="287">
        <f>RP!$I34</f>
        <v>64.894273837629598</v>
      </c>
      <c r="D34" s="199">
        <f t="shared" si="0"/>
        <v>22.805726162370405</v>
      </c>
      <c r="E34" s="199">
        <f t="shared" si="1"/>
        <v>87.7</v>
      </c>
      <c r="F34" s="222">
        <f t="shared" si="2"/>
        <v>2036.5060136647244</v>
      </c>
      <c r="G34" s="124">
        <f>F34*BEV!$F34</f>
        <v>148499303.17508015</v>
      </c>
    </row>
    <row r="35" spans="2:10" x14ac:dyDescent="0.2">
      <c r="B35" s="24" t="str">
        <f>DFIE!$B54</f>
        <v>Schweiz</v>
      </c>
      <c r="C35" s="282">
        <f>RP!$I35</f>
        <v>100</v>
      </c>
      <c r="D35" s="31"/>
      <c r="E35" s="31"/>
      <c r="F35" s="113"/>
      <c r="G35" s="112">
        <f>SUM(G9:G34)</f>
        <v>4290799835.4382696</v>
      </c>
      <c r="I35" s="81"/>
      <c r="J35" s="81"/>
    </row>
  </sheetData>
  <conditionalFormatting sqref="J10:J12">
    <cfRule type="expression" dxfId="2" priority="1" stopIfTrue="1">
      <formula>ISBLANK(J10)</formula>
    </cfRule>
  </conditionalFormatting>
  <pageMargins left="0.78740157480314965" right="0.78740157480314965" top="0.98425196850393704" bottom="0.98425196850393704" header="0.51181102362204722" footer="0.51181102362204722"/>
  <pageSetup paperSize="9" scale="95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showGridLines="0" workbookViewId="0">
      <selection activeCell="A50" sqref="A50"/>
    </sheetView>
  </sheetViews>
  <sheetFormatPr baseColWidth="10" defaultColWidth="9.140625" defaultRowHeight="12.75" x14ac:dyDescent="0.2"/>
  <cols>
    <col min="1" max="1" width="1.42578125" customWidth="1"/>
    <col min="2" max="2" width="23.28515625" customWidth="1"/>
    <col min="3" max="3" width="12.85546875" customWidth="1"/>
    <col min="4" max="6" width="20.7109375" customWidth="1"/>
    <col min="10" max="10" width="2.42578125" customWidth="1"/>
    <col min="12" max="12" width="30.85546875" customWidth="1"/>
    <col min="13" max="15" width="19.5703125" customWidth="1"/>
  </cols>
  <sheetData>
    <row r="1" spans="1:6" ht="18" customHeight="1" x14ac:dyDescent="0.25">
      <c r="B1" s="6" t="str">
        <f>DFIE!B204</f>
        <v>Dotationen im Ressourcenausgleich 2020</v>
      </c>
      <c r="C1" s="6"/>
    </row>
    <row r="2" spans="1:6" ht="22.5" customHeight="1" x14ac:dyDescent="0.2">
      <c r="B2" s="15"/>
      <c r="C2" s="15"/>
    </row>
    <row r="3" spans="1:6" ht="45" customHeight="1" x14ac:dyDescent="0.2">
      <c r="B3" s="300"/>
      <c r="C3" s="306" t="str">
        <f>DFIE!$B$58</f>
        <v>Einheit</v>
      </c>
      <c r="D3" s="279" t="str">
        <f>DFIE!B205</f>
        <v>Vertikaler
Ressourcenausgleich
(VRA)</v>
      </c>
      <c r="E3" s="303" t="str">
        <f>DFIE!B206</f>
        <v>Horizontaler
Ressourcenausgleich
(HRA)</v>
      </c>
      <c r="F3" s="280" t="str">
        <f>DFIE!B207</f>
        <v>Ausgleich
Total</v>
      </c>
    </row>
    <row r="4" spans="1:6" ht="24" customHeight="1" x14ac:dyDescent="0.2">
      <c r="A4" s="82"/>
      <c r="B4" s="301" t="str">
        <f>DFIE!$B$208</f>
        <v>Dotation 2020</v>
      </c>
      <c r="C4" s="285" t="str">
        <f>DFIE!$B$59</f>
        <v>CHF</v>
      </c>
      <c r="D4" s="113">
        <f>D5*F4</f>
        <v>2574479901.2629619</v>
      </c>
      <c r="E4" s="112">
        <f>E5*F4</f>
        <v>1716319934.175308</v>
      </c>
      <c r="F4" s="112">
        <f>AUSZ!$G$35</f>
        <v>4290799835.4382696</v>
      </c>
    </row>
    <row r="5" spans="1:6" ht="18" customHeight="1" x14ac:dyDescent="0.2">
      <c r="A5" s="83"/>
      <c r="B5" s="302" t="str">
        <f>DFIE!$B$209</f>
        <v>Anteile</v>
      </c>
      <c r="C5" s="285" t="str">
        <f>DFIE!$B$63</f>
        <v>Prozent</v>
      </c>
      <c r="D5" s="304">
        <f>D7/(1+D7)</f>
        <v>0.6</v>
      </c>
      <c r="E5" s="305">
        <f>1/(1+D7)</f>
        <v>0.4</v>
      </c>
      <c r="F5" s="305">
        <v>1</v>
      </c>
    </row>
    <row r="7" spans="1:6" ht="18" customHeight="1" x14ac:dyDescent="0.2">
      <c r="A7" s="83"/>
      <c r="B7" s="307" t="str">
        <f>DFIE!$B$210</f>
        <v>VRA in % des HRA</v>
      </c>
      <c r="C7" s="168" t="str">
        <f>DFIE!$B$63</f>
        <v>Prozent</v>
      </c>
      <c r="D7" s="308">
        <v>1.5</v>
      </c>
      <c r="E7" s="83"/>
      <c r="F7" s="83"/>
    </row>
  </sheetData>
  <conditionalFormatting sqref="D7">
    <cfRule type="expression" dxfId="1" priority="1" stopIfTrue="1">
      <formula>ISBLANK(D7)</formula>
    </cfRule>
  </conditionalFormatting>
  <pageMargins left="0.78740157480314965" right="0.78740157480314965" top="0.98425196850393704" bottom="0.98425196850393704" header="0.51181102362204722" footer="0.51181102362204722"/>
  <pageSetup paperSize="9" scale="95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showGridLines="0" workbookViewId="0">
      <selection activeCell="A50" sqref="A50"/>
    </sheetView>
  </sheetViews>
  <sheetFormatPr baseColWidth="10" defaultColWidth="9.140625" defaultRowHeight="12.75" x14ac:dyDescent="0.2"/>
  <cols>
    <col min="1" max="1" width="1.42578125" customWidth="1"/>
    <col min="2" max="2" width="16.5703125" customWidth="1"/>
    <col min="3" max="7" width="16.7109375" customWidth="1"/>
  </cols>
  <sheetData>
    <row r="1" spans="1:7" ht="18" customHeight="1" x14ac:dyDescent="0.2">
      <c r="B1" s="120" t="str">
        <f>DFIE!B211</f>
        <v>Einzahlungen der ressourcenstarken Kantone 2020</v>
      </c>
      <c r="C1" s="210"/>
      <c r="D1" s="210"/>
      <c r="E1" s="217"/>
      <c r="F1" s="130"/>
      <c r="G1" s="51"/>
    </row>
    <row r="2" spans="1:7" ht="12.75" customHeight="1" x14ac:dyDescent="0.2">
      <c r="A2" s="207"/>
      <c r="B2" s="51"/>
      <c r="C2" s="207"/>
      <c r="D2" s="207"/>
      <c r="E2" s="208"/>
      <c r="F2" s="209"/>
    </row>
    <row r="3" spans="1:7" ht="0.75" customHeight="1" x14ac:dyDescent="0.2">
      <c r="A3" s="207"/>
      <c r="B3" s="207"/>
      <c r="C3" s="207"/>
      <c r="D3" s="207"/>
      <c r="E3" s="207"/>
      <c r="F3" s="207"/>
      <c r="G3" s="51"/>
    </row>
    <row r="4" spans="1:7" ht="0.75" customHeight="1" x14ac:dyDescent="0.2">
      <c r="A4" s="207"/>
      <c r="B4" s="207"/>
      <c r="C4" s="207"/>
      <c r="D4" s="207"/>
      <c r="E4" s="207"/>
      <c r="F4" s="207"/>
      <c r="G4" s="51"/>
    </row>
    <row r="5" spans="1:7" ht="12" customHeight="1" x14ac:dyDescent="0.2">
      <c r="B5" s="34" t="str">
        <f>DFIE!B55</f>
        <v>Spalte</v>
      </c>
      <c r="C5" s="74" t="s">
        <v>30</v>
      </c>
      <c r="D5" s="35" t="s">
        <v>31</v>
      </c>
      <c r="E5" s="35" t="s">
        <v>32</v>
      </c>
      <c r="F5" s="119" t="s">
        <v>43</v>
      </c>
      <c r="G5" s="117" t="s">
        <v>42</v>
      </c>
    </row>
    <row r="6" spans="1:7" ht="12" customHeight="1" x14ac:dyDescent="0.2">
      <c r="B6" s="34" t="str">
        <f>DFIE!B56</f>
        <v>Formel</v>
      </c>
      <c r="C6" s="76"/>
      <c r="D6" s="188"/>
      <c r="E6" s="188" t="s">
        <v>78</v>
      </c>
      <c r="F6" s="309" t="s">
        <v>79</v>
      </c>
      <c r="G6" s="310" t="str">
        <f>DFIE!B217</f>
        <v>Dotation/E[Schweiz]*E</v>
      </c>
    </row>
    <row r="7" spans="1:7" ht="42.75" customHeight="1" x14ac:dyDescent="0.2">
      <c r="B7" s="299"/>
      <c r="C7" s="70" t="str">
        <f>DFIE!B212</f>
        <v>Ressourcen-
index</v>
      </c>
      <c r="D7" s="70" t="str">
        <f>DFIE!B213</f>
        <v>Massgebende
Wohn-
bevölkerung</v>
      </c>
      <c r="E7" s="70" t="str">
        <f>DFIE!B214</f>
        <v>Summe der
gewichteten
Abweichungen</v>
      </c>
      <c r="F7" s="283" t="str">
        <f>DFIE!B215</f>
        <v>Einzahlung
pro Einwohner</v>
      </c>
      <c r="G7" s="280" t="str">
        <f>DFIE!B216</f>
        <v>Einzahlung</v>
      </c>
    </row>
    <row r="8" spans="1:7" x14ac:dyDescent="0.2">
      <c r="B8" s="34" t="str">
        <f>DFIE!B58</f>
        <v>Einheit</v>
      </c>
      <c r="C8" s="247" t="str">
        <f>DFIE!B62</f>
        <v>Punkte</v>
      </c>
      <c r="D8" s="41" t="str">
        <f>DFIE!B61</f>
        <v>Anzahl</v>
      </c>
      <c r="E8" s="41"/>
      <c r="F8" s="123" t="str">
        <f>DFIE!$B$59</f>
        <v>CHF</v>
      </c>
      <c r="G8" s="122" t="str">
        <f>DFIE!$B$59</f>
        <v>CHF</v>
      </c>
    </row>
    <row r="9" spans="1:7" ht="12.75" customHeight="1" x14ac:dyDescent="0.2">
      <c r="B9" s="298" t="str">
        <f>DFIE!$B28</f>
        <v>Zürich</v>
      </c>
      <c r="C9" s="197">
        <f>RP!I9</f>
        <v>121.6556882035641</v>
      </c>
      <c r="D9" s="86">
        <f>RP!G9</f>
        <v>1470640.3333333333</v>
      </c>
      <c r="E9" s="86">
        <f t="shared" ref="E9:E34" si="0">IF(C9&gt;100,(C9-100)*D9,0)</f>
        <v>31847728.518252235</v>
      </c>
      <c r="F9" s="219">
        <f>G9/D9</f>
        <v>387.09975048716899</v>
      </c>
      <c r="G9" s="111">
        <f>DOT!$E$4/$E$35*E9</f>
        <v>569284506.08970034</v>
      </c>
    </row>
    <row r="10" spans="1:7" ht="12.75" customHeight="1" x14ac:dyDescent="0.2">
      <c r="B10" s="286" t="str">
        <f>DFIE!$B29</f>
        <v>Bern</v>
      </c>
      <c r="C10" s="199">
        <f>RP!I10</f>
        <v>77.597792682509919</v>
      </c>
      <c r="D10" s="198">
        <f>RP!G10</f>
        <v>1021393.5</v>
      </c>
      <c r="E10" s="198">
        <f t="shared" si="0"/>
        <v>0</v>
      </c>
      <c r="F10" s="222">
        <f t="shared" ref="F10:F34" si="1">G10/D10</f>
        <v>0</v>
      </c>
      <c r="G10" s="124">
        <f>DOT!$E$4/$E$35*E10</f>
        <v>0</v>
      </c>
    </row>
    <row r="11" spans="1:7" ht="12.75" customHeight="1" x14ac:dyDescent="0.2">
      <c r="B11" s="298" t="str">
        <f>DFIE!$B30</f>
        <v>Luzern</v>
      </c>
      <c r="C11" s="197">
        <f>RP!I11</f>
        <v>89.064091528532501</v>
      </c>
      <c r="D11" s="86">
        <f>RP!G11</f>
        <v>400278.66666666669</v>
      </c>
      <c r="E11" s="86">
        <f t="shared" si="0"/>
        <v>0</v>
      </c>
      <c r="F11" s="219">
        <f t="shared" si="1"/>
        <v>0</v>
      </c>
      <c r="G11" s="111">
        <f>DOT!$E$4/$E$35*E11</f>
        <v>0</v>
      </c>
    </row>
    <row r="12" spans="1:7" ht="12.75" customHeight="1" x14ac:dyDescent="0.2">
      <c r="B12" s="286" t="str">
        <f>DFIE!$B31</f>
        <v>Uri</v>
      </c>
      <c r="C12" s="199">
        <f>RP!I12</f>
        <v>71.289251007437002</v>
      </c>
      <c r="D12" s="198">
        <f>RP!G12</f>
        <v>36520.333333333336</v>
      </c>
      <c r="E12" s="198">
        <f t="shared" si="0"/>
        <v>0</v>
      </c>
      <c r="F12" s="222">
        <f t="shared" si="1"/>
        <v>0</v>
      </c>
      <c r="G12" s="124">
        <f>DOT!$E$4/$E$35*E12</f>
        <v>0</v>
      </c>
    </row>
    <row r="13" spans="1:7" ht="12.75" customHeight="1" x14ac:dyDescent="0.2">
      <c r="B13" s="298" t="str">
        <f>DFIE!$B32</f>
        <v>Schwyz</v>
      </c>
      <c r="C13" s="197">
        <f>RP!I13</f>
        <v>181.3482436399066</v>
      </c>
      <c r="D13" s="86">
        <f>RP!G13</f>
        <v>154983.66666666666</v>
      </c>
      <c r="E13" s="86">
        <f t="shared" si="0"/>
        <v>12607649.076206069</v>
      </c>
      <c r="F13" s="219">
        <f t="shared" si="1"/>
        <v>1454.116097330708</v>
      </c>
      <c r="G13" s="111">
        <f>DOT!$E$4/$E$35*E13</f>
        <v>225364244.52333665</v>
      </c>
    </row>
    <row r="14" spans="1:7" ht="12.75" customHeight="1" x14ac:dyDescent="0.2">
      <c r="B14" s="286" t="str">
        <f>DFIE!$B33</f>
        <v>Obwalden</v>
      </c>
      <c r="C14" s="199">
        <f>RP!I14</f>
        <v>115.44984636418096</v>
      </c>
      <c r="D14" s="198">
        <f>RP!G14</f>
        <v>37328.833333333336</v>
      </c>
      <c r="E14" s="198">
        <f t="shared" si="0"/>
        <v>576724.73995411699</v>
      </c>
      <c r="F14" s="222">
        <f t="shared" si="1"/>
        <v>276.16908852867817</v>
      </c>
      <c r="G14" s="124">
        <f>DOT!$E$4/$E$35*E14</f>
        <v>10309069.877505606</v>
      </c>
    </row>
    <row r="15" spans="1:7" ht="12.75" customHeight="1" x14ac:dyDescent="0.2">
      <c r="B15" s="298" t="str">
        <f>DFIE!$B34</f>
        <v>Nidwalden</v>
      </c>
      <c r="C15" s="197">
        <f>RP!I15</f>
        <v>158.02636045117836</v>
      </c>
      <c r="D15" s="86">
        <f>RP!G15</f>
        <v>42593.833333333336</v>
      </c>
      <c r="E15" s="86">
        <f t="shared" si="0"/>
        <v>2471565.1259974162</v>
      </c>
      <c r="F15" s="219">
        <f t="shared" si="1"/>
        <v>1037.2327788055647</v>
      </c>
      <c r="G15" s="111">
        <f>DOT!$E$4/$E$35*E15</f>
        <v>44179720.108314425</v>
      </c>
    </row>
    <row r="16" spans="1:7" ht="12.75" customHeight="1" x14ac:dyDescent="0.2">
      <c r="B16" s="286" t="str">
        <f>DFIE!$B35</f>
        <v>Glarus</v>
      </c>
      <c r="C16" s="199">
        <f>RP!I16</f>
        <v>70.299520765952877</v>
      </c>
      <c r="D16" s="198">
        <f>RP!G16</f>
        <v>40422.666666666664</v>
      </c>
      <c r="E16" s="198">
        <f t="shared" si="0"/>
        <v>0</v>
      </c>
      <c r="F16" s="222">
        <f t="shared" si="1"/>
        <v>0</v>
      </c>
      <c r="G16" s="124">
        <f>DOT!$E$4/$E$35*E16</f>
        <v>0</v>
      </c>
    </row>
    <row r="17" spans="2:7" ht="12.75" customHeight="1" x14ac:dyDescent="0.2">
      <c r="B17" s="298" t="str">
        <f>DFIE!$B36</f>
        <v>Zug</v>
      </c>
      <c r="C17" s="197">
        <f>RP!I17</f>
        <v>249.69262334127799</v>
      </c>
      <c r="D17" s="86">
        <f>RP!G17</f>
        <v>122778.66666666667</v>
      </c>
      <c r="E17" s="86">
        <f t="shared" si="0"/>
        <v>18379060.703677658</v>
      </c>
      <c r="F17" s="219">
        <f t="shared" si="1"/>
        <v>2675.7855303643373</v>
      </c>
      <c r="G17" s="111">
        <f>DOT!$E$4/$E$35*E17</f>
        <v>328529379.70409286</v>
      </c>
    </row>
    <row r="18" spans="2:7" ht="12.75" customHeight="1" x14ac:dyDescent="0.2">
      <c r="B18" s="286" t="str">
        <f>DFIE!$B37</f>
        <v>Freiburg</v>
      </c>
      <c r="C18" s="199">
        <f>RP!I18</f>
        <v>79.176038955722007</v>
      </c>
      <c r="D18" s="198">
        <f>RP!G18</f>
        <v>307298.66666666669</v>
      </c>
      <c r="E18" s="198">
        <f t="shared" si="0"/>
        <v>0</v>
      </c>
      <c r="F18" s="222">
        <f t="shared" si="1"/>
        <v>0</v>
      </c>
      <c r="G18" s="124">
        <f>DOT!$E$4/$E$35*E18</f>
        <v>0</v>
      </c>
    </row>
    <row r="19" spans="2:7" ht="12.75" customHeight="1" x14ac:dyDescent="0.2">
      <c r="B19" s="298" t="str">
        <f>DFIE!$B38</f>
        <v>Solothurn</v>
      </c>
      <c r="C19" s="197">
        <f>RP!I19</f>
        <v>72.433172163139531</v>
      </c>
      <c r="D19" s="86">
        <f>RP!G19</f>
        <v>267431.83333333331</v>
      </c>
      <c r="E19" s="86">
        <f t="shared" si="0"/>
        <v>0</v>
      </c>
      <c r="F19" s="219">
        <f t="shared" si="1"/>
        <v>0</v>
      </c>
      <c r="G19" s="111">
        <f>DOT!$E$4/$E$35*E19</f>
        <v>0</v>
      </c>
    </row>
    <row r="20" spans="2:7" ht="12.75" customHeight="1" x14ac:dyDescent="0.2">
      <c r="B20" s="286" t="str">
        <f>DFIE!$B39</f>
        <v>Basel-Stadt</v>
      </c>
      <c r="C20" s="199">
        <f>RP!I20</f>
        <v>145.9554284560933</v>
      </c>
      <c r="D20" s="198">
        <f>RP!G20</f>
        <v>194497.66666666666</v>
      </c>
      <c r="E20" s="198">
        <f t="shared" si="0"/>
        <v>8938223.6053770818</v>
      </c>
      <c r="F20" s="222">
        <f t="shared" si="1"/>
        <v>821.46245927002644</v>
      </c>
      <c r="G20" s="124">
        <f>DOT!$E$4/$E$35*E20</f>
        <v>159772531.58228183</v>
      </c>
    </row>
    <row r="21" spans="2:7" ht="12.75" customHeight="1" x14ac:dyDescent="0.2">
      <c r="B21" s="298" t="str">
        <f>DFIE!$B40</f>
        <v>Basel-Landschaft</v>
      </c>
      <c r="C21" s="197">
        <f>RP!I21</f>
        <v>96.935011299311427</v>
      </c>
      <c r="D21" s="86">
        <f>RP!G21</f>
        <v>283778</v>
      </c>
      <c r="E21" s="86">
        <f t="shared" si="0"/>
        <v>0</v>
      </c>
      <c r="F21" s="219">
        <f t="shared" si="1"/>
        <v>0</v>
      </c>
      <c r="G21" s="111">
        <f>DOT!$E$4/$E$35*E21</f>
        <v>0</v>
      </c>
    </row>
    <row r="22" spans="2:7" ht="12.75" customHeight="1" x14ac:dyDescent="0.2">
      <c r="B22" s="286" t="str">
        <f>DFIE!$B41</f>
        <v>Schaffhausen</v>
      </c>
      <c r="C22" s="199">
        <f>RP!I22</f>
        <v>91.084830574546373</v>
      </c>
      <c r="D22" s="198">
        <f>RP!G22</f>
        <v>80661.833333333328</v>
      </c>
      <c r="E22" s="198">
        <f t="shared" si="0"/>
        <v>0</v>
      </c>
      <c r="F22" s="222">
        <f t="shared" si="1"/>
        <v>0</v>
      </c>
      <c r="G22" s="124">
        <f>DOT!$E$4/$E$35*E22</f>
        <v>0</v>
      </c>
    </row>
    <row r="23" spans="2:7" ht="12.75" customHeight="1" x14ac:dyDescent="0.2">
      <c r="B23" s="298" t="str">
        <f>DFIE!$B42</f>
        <v>Appenzell A.Rh.</v>
      </c>
      <c r="C23" s="197">
        <f>RP!I23</f>
        <v>85.017840620330304</v>
      </c>
      <c r="D23" s="86">
        <f>RP!G23</f>
        <v>54569.666666666664</v>
      </c>
      <c r="E23" s="86">
        <f t="shared" si="0"/>
        <v>0</v>
      </c>
      <c r="F23" s="219">
        <f t="shared" si="1"/>
        <v>0</v>
      </c>
      <c r="G23" s="111">
        <f>DOT!$E$4/$E$35*E23</f>
        <v>0</v>
      </c>
    </row>
    <row r="24" spans="2:7" ht="12.75" customHeight="1" x14ac:dyDescent="0.2">
      <c r="B24" s="286" t="str">
        <f>DFIE!$B43</f>
        <v>Appenzell I.Rh.</v>
      </c>
      <c r="C24" s="199">
        <f>RP!I24</f>
        <v>91.12572243458041</v>
      </c>
      <c r="D24" s="198">
        <f>RP!G24</f>
        <v>16007.666666666666</v>
      </c>
      <c r="E24" s="198">
        <f t="shared" si="0"/>
        <v>0</v>
      </c>
      <c r="F24" s="222">
        <f t="shared" si="1"/>
        <v>0</v>
      </c>
      <c r="G24" s="124">
        <f>DOT!$E$4/$E$35*E24</f>
        <v>0</v>
      </c>
    </row>
    <row r="25" spans="2:7" ht="12.75" customHeight="1" x14ac:dyDescent="0.2">
      <c r="B25" s="298" t="str">
        <f>DFIE!$B44</f>
        <v>St. Gallen</v>
      </c>
      <c r="C25" s="197">
        <f>RP!I25</f>
        <v>79.486715819980489</v>
      </c>
      <c r="D25" s="86">
        <f>RP!G25</f>
        <v>501037.66666666669</v>
      </c>
      <c r="E25" s="86">
        <f t="shared" si="0"/>
        <v>0</v>
      </c>
      <c r="F25" s="219">
        <f t="shared" si="1"/>
        <v>0</v>
      </c>
      <c r="G25" s="111">
        <f>DOT!$E$4/$E$35*E25</f>
        <v>0</v>
      </c>
    </row>
    <row r="26" spans="2:7" ht="12.75" customHeight="1" x14ac:dyDescent="0.2">
      <c r="B26" s="286" t="str">
        <f>DFIE!$B45</f>
        <v>Graubünden</v>
      </c>
      <c r="C26" s="199">
        <f>RP!I26</f>
        <v>82.90159072918739</v>
      </c>
      <c r="D26" s="198">
        <f>RP!G26</f>
        <v>204435.5</v>
      </c>
      <c r="E26" s="198">
        <f t="shared" si="0"/>
        <v>0</v>
      </c>
      <c r="F26" s="222">
        <f t="shared" si="1"/>
        <v>0</v>
      </c>
      <c r="G26" s="124">
        <f>DOT!$E$4/$E$35*E26</f>
        <v>0</v>
      </c>
    </row>
    <row r="27" spans="2:7" ht="12.75" customHeight="1" x14ac:dyDescent="0.2">
      <c r="B27" s="298" t="str">
        <f>DFIE!$B46</f>
        <v>Aargau</v>
      </c>
      <c r="C27" s="197">
        <f>RP!I27</f>
        <v>82.207335252677225</v>
      </c>
      <c r="D27" s="86">
        <f>RP!G27</f>
        <v>655678.83333333337</v>
      </c>
      <c r="E27" s="86">
        <f t="shared" si="0"/>
        <v>0</v>
      </c>
      <c r="F27" s="219">
        <f t="shared" si="1"/>
        <v>0</v>
      </c>
      <c r="G27" s="111">
        <f>DOT!$E$4/$E$35*E27</f>
        <v>0</v>
      </c>
    </row>
    <row r="28" spans="2:7" ht="12.75" customHeight="1" x14ac:dyDescent="0.2">
      <c r="B28" s="286" t="str">
        <f>DFIE!$B47</f>
        <v>Thurgau</v>
      </c>
      <c r="C28" s="199">
        <f>RP!I28</f>
        <v>77.736472419111493</v>
      </c>
      <c r="D28" s="198">
        <f>RP!G28</f>
        <v>267722.33333333331</v>
      </c>
      <c r="E28" s="198">
        <f t="shared" si="0"/>
        <v>0</v>
      </c>
      <c r="F28" s="222">
        <f t="shared" si="1"/>
        <v>0</v>
      </c>
      <c r="G28" s="124">
        <f>DOT!$E$4/$E$35*E28</f>
        <v>0</v>
      </c>
    </row>
    <row r="29" spans="2:7" ht="12.75" customHeight="1" x14ac:dyDescent="0.2">
      <c r="B29" s="298" t="str">
        <f>DFIE!$B48</f>
        <v>Tessin</v>
      </c>
      <c r="C29" s="197">
        <f>RP!I29</f>
        <v>96.50537644843871</v>
      </c>
      <c r="D29" s="86">
        <f>RP!G29</f>
        <v>353561.5</v>
      </c>
      <c r="E29" s="86">
        <f t="shared" si="0"/>
        <v>0</v>
      </c>
      <c r="F29" s="219">
        <f t="shared" si="1"/>
        <v>0</v>
      </c>
      <c r="G29" s="111">
        <f>DOT!$E$4/$E$35*E29</f>
        <v>0</v>
      </c>
    </row>
    <row r="30" spans="2:7" ht="12.75" customHeight="1" x14ac:dyDescent="0.2">
      <c r="B30" s="286" t="str">
        <f>DFIE!$B49</f>
        <v>Waadt</v>
      </c>
      <c r="C30" s="199">
        <f>RP!I30</f>
        <v>99.86524008938018</v>
      </c>
      <c r="D30" s="198">
        <f>RP!G30</f>
        <v>777470</v>
      </c>
      <c r="E30" s="198">
        <f t="shared" si="0"/>
        <v>0</v>
      </c>
      <c r="F30" s="222">
        <f t="shared" si="1"/>
        <v>0</v>
      </c>
      <c r="G30" s="124">
        <f>DOT!$E$4/$E$35*E30</f>
        <v>0</v>
      </c>
    </row>
    <row r="31" spans="2:7" ht="12.75" customHeight="1" x14ac:dyDescent="0.2">
      <c r="B31" s="298" t="str">
        <f>DFIE!$B50</f>
        <v>Wallis</v>
      </c>
      <c r="C31" s="197">
        <f>RP!I31</f>
        <v>65.407417610365442</v>
      </c>
      <c r="D31" s="86">
        <f>RP!G31</f>
        <v>341701.5</v>
      </c>
      <c r="E31" s="86">
        <f t="shared" si="0"/>
        <v>0</v>
      </c>
      <c r="F31" s="219">
        <f t="shared" si="1"/>
        <v>0</v>
      </c>
      <c r="G31" s="111">
        <f>DOT!$E$4/$E$35*E31</f>
        <v>0</v>
      </c>
    </row>
    <row r="32" spans="2:7" ht="12.75" customHeight="1" x14ac:dyDescent="0.2">
      <c r="B32" s="286" t="str">
        <f>DFIE!$B51</f>
        <v>Neuenburg</v>
      </c>
      <c r="C32" s="199">
        <f>RP!I32</f>
        <v>82.871655675730892</v>
      </c>
      <c r="D32" s="198">
        <f>RP!G32</f>
        <v>179130.16666666666</v>
      </c>
      <c r="E32" s="198">
        <f t="shared" si="0"/>
        <v>0</v>
      </c>
      <c r="F32" s="222">
        <f t="shared" si="1"/>
        <v>0</v>
      </c>
      <c r="G32" s="124">
        <f>DOT!$E$4/$E$35*E32</f>
        <v>0</v>
      </c>
    </row>
    <row r="33" spans="2:7" ht="12.75" customHeight="1" x14ac:dyDescent="0.2">
      <c r="B33" s="298" t="str">
        <f>DFIE!$B52</f>
        <v>Genf</v>
      </c>
      <c r="C33" s="197">
        <f>RP!I33</f>
        <v>143.74913820780961</v>
      </c>
      <c r="D33" s="86">
        <f>RP!G33</f>
        <v>484486.66666666669</v>
      </c>
      <c r="E33" s="86">
        <f t="shared" si="0"/>
        <v>21195874.139840987</v>
      </c>
      <c r="F33" s="219">
        <f t="shared" si="1"/>
        <v>782.0245805665304</v>
      </c>
      <c r="G33" s="111">
        <f>DOT!$E$4/$E$35*E33</f>
        <v>378880482.29007643</v>
      </c>
    </row>
    <row r="34" spans="2:7" ht="12.75" customHeight="1" x14ac:dyDescent="0.2">
      <c r="B34" s="286" t="str">
        <f>DFIE!$B53</f>
        <v>Jura</v>
      </c>
      <c r="C34" s="199">
        <f>RP!I34</f>
        <v>64.894273837629598</v>
      </c>
      <c r="D34" s="198">
        <f>RP!G34</f>
        <v>72918.666666666672</v>
      </c>
      <c r="E34" s="198">
        <f t="shared" si="0"/>
        <v>0</v>
      </c>
      <c r="F34" s="222">
        <f t="shared" si="1"/>
        <v>0</v>
      </c>
      <c r="G34" s="124">
        <f>DOT!$E$4/$E$35*E34</f>
        <v>0</v>
      </c>
    </row>
    <row r="35" spans="2:7" ht="12.75" customHeight="1" x14ac:dyDescent="0.2">
      <c r="B35" s="24" t="str">
        <f>DFIE!$B54</f>
        <v>Schweiz</v>
      </c>
      <c r="C35" s="196">
        <f>RP!H35/RP!H$35*100</f>
        <v>100</v>
      </c>
      <c r="D35" s="31">
        <f>SUM(D9:D34)</f>
        <v>8369328.666666667</v>
      </c>
      <c r="E35" s="31">
        <f>SUM(E9:E34)</f>
        <v>96016825.909305558</v>
      </c>
      <c r="F35" s="113"/>
      <c r="G35" s="112">
        <f>SUM(G9:G34)</f>
        <v>1716319934.1753082</v>
      </c>
    </row>
  </sheetData>
  <conditionalFormatting sqref="C35">
    <cfRule type="expression" dxfId="0" priority="1" stopIfTrue="1">
      <formula>ISBLANK(C35)</formula>
    </cfRule>
  </conditionalFormatting>
  <pageMargins left="0.78740157480314965" right="0.78740157480314965" top="0.98425196850393704" bottom="0.98425196850393704" header="0.51181102362204722" footer="0.51181102362204722"/>
  <pageSetup paperSize="9" scale="95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showGridLines="0" zoomScaleNormal="100" workbookViewId="0">
      <selection activeCell="A50" sqref="A50"/>
    </sheetView>
  </sheetViews>
  <sheetFormatPr baseColWidth="10" defaultColWidth="9.140625" defaultRowHeight="12.75" x14ac:dyDescent="0.2"/>
  <cols>
    <col min="1" max="1" width="1.42578125" customWidth="1"/>
    <col min="2" max="2" width="16.7109375" customWidth="1"/>
    <col min="3" max="3" width="15.28515625" customWidth="1"/>
    <col min="4" max="4" width="17.42578125" customWidth="1"/>
    <col min="5" max="5" width="16.7109375" customWidth="1"/>
    <col min="6" max="6" width="19.140625" customWidth="1"/>
    <col min="7" max="7" width="15.140625" customWidth="1"/>
    <col min="8" max="8" width="18.5703125" customWidth="1"/>
    <col min="9" max="9" width="15.7109375" customWidth="1"/>
    <col min="10" max="10" width="13.42578125" customWidth="1"/>
  </cols>
  <sheetData>
    <row r="1" spans="1:10" ht="18" customHeight="1" x14ac:dyDescent="0.2">
      <c r="B1" s="120" t="str">
        <f>DFIE!B218</f>
        <v>Standardisierter Steuerertrag (SSE) 2020</v>
      </c>
      <c r="C1" s="210"/>
      <c r="D1" s="210"/>
      <c r="E1" s="217"/>
      <c r="F1" s="130"/>
      <c r="G1" s="51"/>
      <c r="H1" s="51"/>
      <c r="I1" s="51"/>
      <c r="J1" s="51"/>
    </row>
    <row r="2" spans="1:10" ht="12.75" customHeight="1" x14ac:dyDescent="0.2">
      <c r="A2" s="207"/>
      <c r="B2" s="51"/>
      <c r="C2" s="207"/>
      <c r="D2" s="207"/>
      <c r="E2" s="208"/>
      <c r="F2" s="209"/>
    </row>
    <row r="3" spans="1:10" ht="0.75" customHeight="1" x14ac:dyDescent="0.2">
      <c r="A3" s="207"/>
      <c r="B3" s="51"/>
      <c r="C3" s="207"/>
      <c r="D3" s="207"/>
      <c r="E3" s="207"/>
      <c r="F3" s="207"/>
      <c r="G3" s="208"/>
      <c r="H3" s="208"/>
      <c r="I3" s="208"/>
      <c r="J3" s="209"/>
    </row>
    <row r="4" spans="1:10" ht="0.75" customHeight="1" x14ac:dyDescent="0.2">
      <c r="A4" s="207"/>
      <c r="B4" s="51"/>
      <c r="C4" s="207"/>
      <c r="D4" s="207"/>
      <c r="E4" s="207"/>
      <c r="F4" s="207"/>
      <c r="G4" s="208"/>
      <c r="H4" s="208"/>
      <c r="I4" s="208"/>
      <c r="J4" s="209"/>
    </row>
    <row r="5" spans="1:10" ht="12" customHeight="1" x14ac:dyDescent="0.2">
      <c r="B5" s="34" t="str">
        <f>DFIE!B55</f>
        <v>Spalte</v>
      </c>
      <c r="C5" s="74" t="s">
        <v>30</v>
      </c>
      <c r="D5" s="35" t="s">
        <v>31</v>
      </c>
      <c r="E5" s="35" t="s">
        <v>32</v>
      </c>
      <c r="F5" s="35" t="s">
        <v>43</v>
      </c>
      <c r="G5" s="35" t="s">
        <v>42</v>
      </c>
      <c r="H5" s="35" t="s">
        <v>33</v>
      </c>
      <c r="I5" s="117" t="s">
        <v>34</v>
      </c>
      <c r="J5" s="3"/>
    </row>
    <row r="6" spans="1:10" ht="12" customHeight="1" x14ac:dyDescent="0.2">
      <c r="B6" s="34" t="str">
        <f>DFIE!B56</f>
        <v>Formel</v>
      </c>
      <c r="C6" s="76"/>
      <c r="D6" s="188"/>
      <c r="E6" s="188"/>
      <c r="F6" s="188" t="s">
        <v>80</v>
      </c>
      <c r="G6" s="188"/>
      <c r="H6" s="188" t="s">
        <v>81</v>
      </c>
      <c r="I6" s="121" t="str">
        <f>DFIE!B226</f>
        <v>H / F[Schweiz]</v>
      </c>
      <c r="J6" s="320"/>
    </row>
    <row r="7" spans="1:10" ht="63.75" customHeight="1" x14ac:dyDescent="0.2">
      <c r="B7" s="299"/>
      <c r="C7" s="70" t="str">
        <f>DFIE!B219</f>
        <v>Ressourcen-
index</v>
      </c>
      <c r="D7" s="70" t="str">
        <f>DFIE!B220</f>
        <v>Standardisierter
Steuerertrag
(SSE)</v>
      </c>
      <c r="E7" s="70" t="str">
        <f>DFIE!B221</f>
        <v>Massgebende
Wohn-
bevölkerung</v>
      </c>
      <c r="F7" s="70" t="str">
        <f>DFIE!B222</f>
        <v>Standardisierter
Steuerertrag pro
Einwohner vor
Ausgleich</v>
      </c>
      <c r="G7" s="70" t="str">
        <f>DFIE!B223</f>
        <v>Ressourcen-
ausgleich pro
Einwohner</v>
      </c>
      <c r="H7" s="70" t="str">
        <f>DFIE!B224</f>
        <v>Standardisierter
Steuerertrag pro
Einwohner nach
Ausgleich</v>
      </c>
      <c r="I7" s="303" t="str">
        <f>DFIE!B225</f>
        <v>Index SSE
nach
Ausgleich</v>
      </c>
      <c r="J7" s="321"/>
    </row>
    <row r="8" spans="1:10" ht="12.75" customHeight="1" x14ac:dyDescent="0.2">
      <c r="B8" s="34" t="str">
        <f>DFIE!B58</f>
        <v>Einheit</v>
      </c>
      <c r="C8" s="247" t="str">
        <f>DFIE!B62</f>
        <v>Punkte</v>
      </c>
      <c r="D8" s="41" t="str">
        <f>DFIE!$B$59</f>
        <v>CHF</v>
      </c>
      <c r="E8" s="41" t="str">
        <f>DFIE!B61</f>
        <v>Anzahl</v>
      </c>
      <c r="F8" s="41" t="str">
        <f>DFIE!$B$59</f>
        <v>CHF</v>
      </c>
      <c r="G8" s="323" t="str">
        <f>DFIE!$B$59</f>
        <v>CHF</v>
      </c>
      <c r="H8" s="323" t="str">
        <f>DFIE!$B$59</f>
        <v>CHF</v>
      </c>
      <c r="I8" s="322" t="str">
        <f>DFIE!B62</f>
        <v>Punkte</v>
      </c>
      <c r="J8" s="311"/>
    </row>
    <row r="9" spans="1:10" x14ac:dyDescent="0.2">
      <c r="B9" s="298" t="str">
        <f>DFIE!$B28</f>
        <v>Zürich</v>
      </c>
      <c r="C9" s="197">
        <f>RP!I9</f>
        <v>121.6556882035641</v>
      </c>
      <c r="D9" s="86">
        <f>RP!H9/RP!$H$35*SST!$I$12*E9</f>
        <v>15976464697.155441</v>
      </c>
      <c r="E9" s="325">
        <f>RP!G9</f>
        <v>1470640.3333333333</v>
      </c>
      <c r="F9" s="86">
        <f t="shared" ref="F9:F35" si="0">D9/E9</f>
        <v>10863.611132535312</v>
      </c>
      <c r="G9" s="86">
        <f>IF(C9&gt;100,-EINZ!G9,AUSZ!G9)/E9</f>
        <v>-387.09975048716899</v>
      </c>
      <c r="H9" s="86">
        <f t="shared" ref="H9:H34" si="1">F9+G9</f>
        <v>10476.511382048144</v>
      </c>
      <c r="I9" s="226">
        <f t="shared" ref="I9:I34" si="2">ROUND(H9/F$35*100,1)</f>
        <v>117.3</v>
      </c>
      <c r="J9" s="324"/>
    </row>
    <row r="10" spans="1:10" x14ac:dyDescent="0.2">
      <c r="B10" s="326" t="str">
        <f>DFIE!$B29</f>
        <v>Bern</v>
      </c>
      <c r="C10" s="327">
        <f>RP!I10</f>
        <v>77.597792682509919</v>
      </c>
      <c r="D10" s="328">
        <f>RP!H10/RP!$H$35*SST!$I$12*E10</f>
        <v>7077571231.9073429</v>
      </c>
      <c r="E10" s="329">
        <f>RP!G10</f>
        <v>1021393.5</v>
      </c>
      <c r="F10" s="328">
        <f t="shared" si="0"/>
        <v>6929.3286396548865</v>
      </c>
      <c r="G10" s="328">
        <f>IF(C10&gt;100,-EINZ!G10,AUSZ!G10)/E10</f>
        <v>1012.383110225093</v>
      </c>
      <c r="H10" s="328">
        <f t="shared" si="1"/>
        <v>7941.7117498799798</v>
      </c>
      <c r="I10" s="330">
        <f t="shared" si="2"/>
        <v>88.9</v>
      </c>
      <c r="J10" s="324"/>
    </row>
    <row r="11" spans="1:10" x14ac:dyDescent="0.2">
      <c r="B11" s="298" t="str">
        <f>DFIE!$B30</f>
        <v>Luzern</v>
      </c>
      <c r="C11" s="197">
        <f>RP!I11</f>
        <v>89.064091528532501</v>
      </c>
      <c r="D11" s="86">
        <f>RP!H11/RP!$H$35*SST!$I$12*E11</f>
        <v>3183514838.3216276</v>
      </c>
      <c r="E11" s="325">
        <f>RP!G11</f>
        <v>400278.66666666669</v>
      </c>
      <c r="F11" s="86">
        <f t="shared" si="0"/>
        <v>7953.2463341912489</v>
      </c>
      <c r="G11" s="86">
        <f>IF(C11&gt;100,-EINZ!G11,AUSZ!G11)/E11</f>
        <v>339.05730849540043</v>
      </c>
      <c r="H11" s="86">
        <f t="shared" si="1"/>
        <v>8292.3036426866493</v>
      </c>
      <c r="I11" s="226">
        <f t="shared" si="2"/>
        <v>92.9</v>
      </c>
      <c r="J11" s="324"/>
    </row>
    <row r="12" spans="1:10" x14ac:dyDescent="0.2">
      <c r="B12" s="286" t="str">
        <f>DFIE!$B31</f>
        <v>Uri</v>
      </c>
      <c r="C12" s="199">
        <f>RP!I12</f>
        <v>71.289251007437002</v>
      </c>
      <c r="D12" s="198">
        <f>RP!H12/RP!$H$35*SST!$I$12*E12</f>
        <v>232488018.65730032</v>
      </c>
      <c r="E12" s="331">
        <f>RP!G12</f>
        <v>36520.333333333336</v>
      </c>
      <c r="F12" s="198">
        <f t="shared" si="0"/>
        <v>6365.9884080274996</v>
      </c>
      <c r="G12" s="198">
        <f>IF(C12&gt;100,-EINZ!G12,AUSZ!G12)/E12</f>
        <v>1478.1379172717307</v>
      </c>
      <c r="H12" s="198">
        <f t="shared" si="1"/>
        <v>7844.1263252992303</v>
      </c>
      <c r="I12" s="227">
        <f t="shared" si="2"/>
        <v>87.8</v>
      </c>
      <c r="J12" s="324"/>
    </row>
    <row r="13" spans="1:10" x14ac:dyDescent="0.2">
      <c r="B13" s="298" t="str">
        <f>DFIE!$B32</f>
        <v>Schwyz</v>
      </c>
      <c r="C13" s="197">
        <f>RP!I13</f>
        <v>181.3482436399066</v>
      </c>
      <c r="D13" s="86">
        <f>RP!H13/RP!$H$35*SST!$I$12*E13</f>
        <v>2509811337.4244986</v>
      </c>
      <c r="E13" s="325">
        <f>RP!G13</f>
        <v>154983.66666666666</v>
      </c>
      <c r="F13" s="86">
        <f t="shared" si="0"/>
        <v>16194.037677676779</v>
      </c>
      <c r="G13" s="86">
        <f>IF(C13&gt;100,-EINZ!G13,AUSZ!G13)/E13</f>
        <v>-1454.116097330708</v>
      </c>
      <c r="H13" s="86">
        <f t="shared" si="1"/>
        <v>14739.92158034607</v>
      </c>
      <c r="I13" s="226">
        <f t="shared" si="2"/>
        <v>165.1</v>
      </c>
      <c r="J13" s="324"/>
    </row>
    <row r="14" spans="1:10" x14ac:dyDescent="0.2">
      <c r="B14" s="286" t="str">
        <f>DFIE!$B33</f>
        <v>Obwalden</v>
      </c>
      <c r="C14" s="199">
        <f>RP!I14</f>
        <v>115.44984636418096</v>
      </c>
      <c r="D14" s="198">
        <f>RP!H14/RP!$H$35*SST!$I$12*E14</f>
        <v>384839434.41666383</v>
      </c>
      <c r="E14" s="331">
        <f>RP!G14</f>
        <v>37328.833333333336</v>
      </c>
      <c r="F14" s="198">
        <f t="shared" si="0"/>
        <v>10309.441792090935</v>
      </c>
      <c r="G14" s="198">
        <f>IF(C14&gt;100,-EINZ!G14,AUSZ!G14)/E14</f>
        <v>-276.16908852867817</v>
      </c>
      <c r="H14" s="198">
        <f t="shared" si="1"/>
        <v>10033.272703562256</v>
      </c>
      <c r="I14" s="227">
        <f t="shared" si="2"/>
        <v>112.4</v>
      </c>
      <c r="J14" s="324"/>
    </row>
    <row r="15" spans="1:10" x14ac:dyDescent="0.2">
      <c r="B15" s="298" t="str">
        <f>DFIE!$B34</f>
        <v>Nidwalden</v>
      </c>
      <c r="C15" s="197">
        <f>RP!I15</f>
        <v>158.02636045117836</v>
      </c>
      <c r="D15" s="86">
        <f>RP!H15/RP!$H$35*SST!$I$12*E15</f>
        <v>601060317.81228876</v>
      </c>
      <c r="E15" s="325">
        <f>RP!G15</f>
        <v>42593.833333333336</v>
      </c>
      <c r="F15" s="86">
        <f t="shared" si="0"/>
        <v>14111.439867561941</v>
      </c>
      <c r="G15" s="86">
        <f>IF(C15&gt;100,-EINZ!G15,AUSZ!G15)/E15</f>
        <v>-1037.2327788055647</v>
      </c>
      <c r="H15" s="86">
        <f t="shared" si="1"/>
        <v>13074.207088756377</v>
      </c>
      <c r="I15" s="226">
        <f t="shared" si="2"/>
        <v>146.4</v>
      </c>
      <c r="J15" s="324"/>
    </row>
    <row r="16" spans="1:10" x14ac:dyDescent="0.2">
      <c r="B16" s="286" t="str">
        <f>DFIE!$B35</f>
        <v>Glarus</v>
      </c>
      <c r="C16" s="199">
        <f>RP!I16</f>
        <v>70.299520765952877</v>
      </c>
      <c r="D16" s="198">
        <f>RP!H16/RP!$H$35*SST!$I$12*E16</f>
        <v>253757634.01472834</v>
      </c>
      <c r="E16" s="331">
        <f>RP!G16</f>
        <v>40422.666666666664</v>
      </c>
      <c r="F16" s="198">
        <f t="shared" si="0"/>
        <v>6277.6074648232434</v>
      </c>
      <c r="G16" s="198">
        <f>IF(C16&gt;100,-EINZ!G16,AUSZ!G16)/E16</f>
        <v>1556.5661072093758</v>
      </c>
      <c r="H16" s="198">
        <f t="shared" si="1"/>
        <v>7834.1735720326196</v>
      </c>
      <c r="I16" s="227">
        <f t="shared" si="2"/>
        <v>87.7</v>
      </c>
      <c r="J16" s="324"/>
    </row>
    <row r="17" spans="2:10" x14ac:dyDescent="0.2">
      <c r="B17" s="298" t="str">
        <f>DFIE!$B36</f>
        <v>Zug</v>
      </c>
      <c r="C17" s="197">
        <f>RP!I17</f>
        <v>249.69262334127799</v>
      </c>
      <c r="D17" s="86">
        <f>RP!H17/RP!$H$35*SST!$I$12*E17</f>
        <v>2737602675.121294</v>
      </c>
      <c r="E17" s="325">
        <f>RP!G17</f>
        <v>122778.66666666667</v>
      </c>
      <c r="F17" s="86">
        <f t="shared" si="0"/>
        <v>22297.054931811937</v>
      </c>
      <c r="G17" s="86">
        <f>IF(C17&gt;100,-EINZ!G17,AUSZ!G17)/E17</f>
        <v>-2675.7855303643373</v>
      </c>
      <c r="H17" s="86">
        <f t="shared" si="1"/>
        <v>19621.2694014476</v>
      </c>
      <c r="I17" s="226">
        <f t="shared" si="2"/>
        <v>219.7</v>
      </c>
      <c r="J17" s="324"/>
    </row>
    <row r="18" spans="2:10" x14ac:dyDescent="0.2">
      <c r="B18" s="286" t="str">
        <f>DFIE!$B37</f>
        <v>Freiburg</v>
      </c>
      <c r="C18" s="199">
        <f>RP!I18</f>
        <v>79.176038955722007</v>
      </c>
      <c r="D18" s="198">
        <f>RP!H18/RP!$H$35*SST!$I$12*E18</f>
        <v>2172682360.5104251</v>
      </c>
      <c r="E18" s="331">
        <f>RP!G18</f>
        <v>307298.66666666669</v>
      </c>
      <c r="F18" s="198">
        <f t="shared" si="0"/>
        <v>7070.2628946554432</v>
      </c>
      <c r="G18" s="198">
        <f>IF(C18&gt;100,-EINZ!G18,AUSZ!G18)/E18</f>
        <v>905.62219259067672</v>
      </c>
      <c r="H18" s="198">
        <f t="shared" si="1"/>
        <v>7975.8850872461198</v>
      </c>
      <c r="I18" s="227">
        <f t="shared" si="2"/>
        <v>89.3</v>
      </c>
      <c r="J18" s="324"/>
    </row>
    <row r="19" spans="2:10" x14ac:dyDescent="0.2">
      <c r="B19" s="298" t="str">
        <f>DFIE!$B38</f>
        <v>Solothurn</v>
      </c>
      <c r="C19" s="197">
        <f>RP!I19</f>
        <v>72.433172163139531</v>
      </c>
      <c r="D19" s="86">
        <f>RP!H19/RP!$H$35*SST!$I$12*E19</f>
        <v>1729786082.0507421</v>
      </c>
      <c r="E19" s="325">
        <f>RP!G19</f>
        <v>267431.83333333331</v>
      </c>
      <c r="F19" s="86">
        <f t="shared" si="0"/>
        <v>6468.1382933747318</v>
      </c>
      <c r="G19" s="86">
        <f>IF(C19&gt;100,-EINZ!G19,AUSZ!G19)/E19</f>
        <v>1389.2469111357477</v>
      </c>
      <c r="H19" s="86">
        <f t="shared" si="1"/>
        <v>7857.3852045104795</v>
      </c>
      <c r="I19" s="226">
        <f t="shared" si="2"/>
        <v>88</v>
      </c>
      <c r="J19" s="324"/>
    </row>
    <row r="20" spans="2:10" x14ac:dyDescent="0.2">
      <c r="B20" s="286" t="str">
        <f>DFIE!$B39</f>
        <v>Basel-Stadt</v>
      </c>
      <c r="C20" s="199">
        <f>RP!I20</f>
        <v>145.9554284560933</v>
      </c>
      <c r="D20" s="198">
        <f>RP!H20/RP!$H$35*SST!$I$12*E20</f>
        <v>2534991102.3777647</v>
      </c>
      <c r="E20" s="331">
        <f>RP!G20</f>
        <v>194497.66666666666</v>
      </c>
      <c r="F20" s="198">
        <f t="shared" si="0"/>
        <v>13033.529634688495</v>
      </c>
      <c r="G20" s="198">
        <f>IF(C20&gt;100,-EINZ!G20,AUSZ!G20)/E20</f>
        <v>-821.46245927002644</v>
      </c>
      <c r="H20" s="198">
        <f t="shared" si="1"/>
        <v>12212.06717541847</v>
      </c>
      <c r="I20" s="227">
        <f t="shared" si="2"/>
        <v>136.80000000000001</v>
      </c>
      <c r="J20" s="324"/>
    </row>
    <row r="21" spans="2:10" x14ac:dyDescent="0.2">
      <c r="B21" s="298" t="str">
        <f>DFIE!$B40</f>
        <v>Basel-Landschaft</v>
      </c>
      <c r="C21" s="197">
        <f>RP!I21</f>
        <v>96.935011299311427</v>
      </c>
      <c r="D21" s="86">
        <f>RP!H21/RP!$H$35*SST!$I$12*E21</f>
        <v>2456411830.9983597</v>
      </c>
      <c r="E21" s="325">
        <f>RP!G21</f>
        <v>283778</v>
      </c>
      <c r="F21" s="86">
        <f t="shared" si="0"/>
        <v>8656.1038241102542</v>
      </c>
      <c r="G21" s="86">
        <f>IF(C21&gt;100,-EINZ!G21,AUSZ!G21)/E21</f>
        <v>48.706777632526254</v>
      </c>
      <c r="H21" s="86">
        <f t="shared" si="1"/>
        <v>8704.8106017427799</v>
      </c>
      <c r="I21" s="226">
        <f t="shared" si="2"/>
        <v>97.5</v>
      </c>
      <c r="J21" s="324"/>
    </row>
    <row r="22" spans="2:10" x14ac:dyDescent="0.2">
      <c r="B22" s="286" t="str">
        <f>DFIE!$B41</f>
        <v>Schaffhausen</v>
      </c>
      <c r="C22" s="199">
        <f>RP!I22</f>
        <v>91.084830574546373</v>
      </c>
      <c r="D22" s="198">
        <f>RP!H22/RP!$H$35*SST!$I$12*E22</f>
        <v>656078695.15848088</v>
      </c>
      <c r="E22" s="331">
        <f>RP!G22</f>
        <v>80661.833333333328</v>
      </c>
      <c r="F22" s="198">
        <f t="shared" si="0"/>
        <v>8133.6943142272685</v>
      </c>
      <c r="G22" s="198">
        <f>IF(C22&gt;100,-EINZ!G22,AUSZ!G22)/E22</f>
        <v>248.27299567517102</v>
      </c>
      <c r="H22" s="198">
        <f t="shared" si="1"/>
        <v>8381.9673099024403</v>
      </c>
      <c r="I22" s="227">
        <f t="shared" si="2"/>
        <v>93.9</v>
      </c>
      <c r="J22" s="324"/>
    </row>
    <row r="23" spans="2:10" x14ac:dyDescent="0.2">
      <c r="B23" s="46" t="str">
        <f>DFIE!$B42</f>
        <v>Appenzell A.Rh.</v>
      </c>
      <c r="C23" s="197">
        <f>RP!I23</f>
        <v>85.017840620330304</v>
      </c>
      <c r="D23" s="86">
        <f>RP!H23/RP!$H$35*SST!$I$12*E23</f>
        <v>414288771.37674314</v>
      </c>
      <c r="E23" s="325">
        <f>RP!G23</f>
        <v>54569.666666666664</v>
      </c>
      <c r="F23" s="86">
        <f t="shared" si="0"/>
        <v>7591.9241711221093</v>
      </c>
      <c r="G23" s="86">
        <f>IF(C23&gt;100,-EINZ!G23,AUSZ!G23)/E23</f>
        <v>548.06030732048089</v>
      </c>
      <c r="H23" s="86">
        <f t="shared" si="1"/>
        <v>8139.9844784425904</v>
      </c>
      <c r="I23" s="226">
        <f t="shared" si="2"/>
        <v>91.2</v>
      </c>
      <c r="J23" s="324"/>
    </row>
    <row r="24" spans="2:10" x14ac:dyDescent="0.2">
      <c r="B24" s="47" t="str">
        <f>DFIE!$B43</f>
        <v>Appenzell I.Rh.</v>
      </c>
      <c r="C24" s="199">
        <f>RP!I24</f>
        <v>91.12572243458041</v>
      </c>
      <c r="D24" s="198">
        <f>RP!H24/RP!$H$35*SST!$I$12*E24</f>
        <v>130259920.33509536</v>
      </c>
      <c r="E24" s="331">
        <f>RP!G24</f>
        <v>16007.666666666666</v>
      </c>
      <c r="F24" s="198">
        <f t="shared" si="0"/>
        <v>8137.3458760445228</v>
      </c>
      <c r="G24" s="198">
        <f>IF(C24&gt;100,-EINZ!G24,AUSZ!G24)/E24</f>
        <v>246.53798070728291</v>
      </c>
      <c r="H24" s="198">
        <f t="shared" si="1"/>
        <v>8383.8838567518051</v>
      </c>
      <c r="I24" s="227">
        <f t="shared" si="2"/>
        <v>93.9</v>
      </c>
      <c r="J24" s="324"/>
    </row>
    <row r="25" spans="2:10" x14ac:dyDescent="0.2">
      <c r="B25" s="298" t="str">
        <f>DFIE!$B44</f>
        <v>St. Gallen</v>
      </c>
      <c r="C25" s="197">
        <f>RP!I25</f>
        <v>79.486715819980489</v>
      </c>
      <c r="D25" s="86">
        <f>RP!H25/RP!$H$35*SST!$I$12*E25</f>
        <v>3556368224.4757018</v>
      </c>
      <c r="E25" s="325">
        <f>RP!G25</f>
        <v>501037.66666666669</v>
      </c>
      <c r="F25" s="86">
        <f t="shared" si="0"/>
        <v>7098.0057210782588</v>
      </c>
      <c r="G25" s="86">
        <f>IF(C25&gt;100,-EINZ!G25,AUSZ!G25)/E25</f>
        <v>885.09292154979119</v>
      </c>
      <c r="H25" s="86">
        <f t="shared" si="1"/>
        <v>7983.0986426280497</v>
      </c>
      <c r="I25" s="226">
        <f t="shared" si="2"/>
        <v>89.4</v>
      </c>
      <c r="J25" s="324"/>
    </row>
    <row r="26" spans="2:10" x14ac:dyDescent="0.2">
      <c r="B26" s="286" t="str">
        <f>DFIE!$B45</f>
        <v>Graubünden</v>
      </c>
      <c r="C26" s="199">
        <f>RP!I26</f>
        <v>82.90159072918739</v>
      </c>
      <c r="D26" s="198">
        <f>RP!H26/RP!$H$35*SST!$I$12*E26</f>
        <v>1513425225.0766985</v>
      </c>
      <c r="E26" s="331">
        <f>RP!G26</f>
        <v>204435.5</v>
      </c>
      <c r="F26" s="198">
        <f t="shared" si="0"/>
        <v>7402.9472624700629</v>
      </c>
      <c r="G26" s="198">
        <f>IF(C26&gt;100,-EINZ!G26,AUSZ!G26)/E26</f>
        <v>670.43879923331497</v>
      </c>
      <c r="H26" s="198">
        <f t="shared" si="1"/>
        <v>8073.3860617033779</v>
      </c>
      <c r="I26" s="227">
        <f t="shared" si="2"/>
        <v>90.4</v>
      </c>
      <c r="J26" s="324"/>
    </row>
    <row r="27" spans="2:10" x14ac:dyDescent="0.2">
      <c r="B27" s="298" t="str">
        <f>DFIE!$B46</f>
        <v>Aargau</v>
      </c>
      <c r="C27" s="197">
        <f>RP!I27</f>
        <v>82.207335252677225</v>
      </c>
      <c r="D27" s="86">
        <f>RP!H27/RP!$H$35*SST!$I$12*E27</f>
        <v>4813306599.2925348</v>
      </c>
      <c r="E27" s="325">
        <f>RP!G27</f>
        <v>655678.83333333337</v>
      </c>
      <c r="F27" s="86">
        <f t="shared" si="0"/>
        <v>7340.9516284408573</v>
      </c>
      <c r="G27" s="86">
        <f>IF(C27&gt;100,-EINZ!G27,AUSZ!G27)/E27</f>
        <v>712.40429213872483</v>
      </c>
      <c r="H27" s="86">
        <f t="shared" si="1"/>
        <v>8053.3559205795818</v>
      </c>
      <c r="I27" s="226">
        <f t="shared" si="2"/>
        <v>90.2</v>
      </c>
      <c r="J27" s="324"/>
    </row>
    <row r="28" spans="2:10" x14ac:dyDescent="0.2">
      <c r="B28" s="286" t="str">
        <f>DFIE!$B47</f>
        <v>Thurgau</v>
      </c>
      <c r="C28" s="199">
        <f>RP!I28</f>
        <v>77.736472419111493</v>
      </c>
      <c r="D28" s="198">
        <f>RP!H28/RP!$H$35*SST!$I$12*E28</f>
        <v>1858451458.3168314</v>
      </c>
      <c r="E28" s="331">
        <f>RP!G28</f>
        <v>267722.33333333331</v>
      </c>
      <c r="F28" s="198">
        <f t="shared" si="0"/>
        <v>6941.7124644693995</v>
      </c>
      <c r="G28" s="198">
        <f>IF(C28&gt;100,-EINZ!G28,AUSZ!G28)/E28</f>
        <v>1002.8386797093905</v>
      </c>
      <c r="H28" s="198">
        <f t="shared" si="1"/>
        <v>7944.5511441787903</v>
      </c>
      <c r="I28" s="227">
        <f t="shared" si="2"/>
        <v>89</v>
      </c>
      <c r="J28" s="324"/>
    </row>
    <row r="29" spans="2:10" x14ac:dyDescent="0.2">
      <c r="B29" s="298" t="str">
        <f>DFIE!$B48</f>
        <v>Tessin</v>
      </c>
      <c r="C29" s="197">
        <f>RP!I29</f>
        <v>96.50537644843871</v>
      </c>
      <c r="D29" s="86">
        <f>RP!H29/RP!$H$35*SST!$I$12*E29</f>
        <v>3046900474.9859338</v>
      </c>
      <c r="E29" s="325">
        <f>RP!G29</f>
        <v>353561.5</v>
      </c>
      <c r="F29" s="86">
        <f t="shared" si="0"/>
        <v>8617.7382859444078</v>
      </c>
      <c r="G29" s="86">
        <f>IF(C29&gt;100,-EINZ!G29,AUSZ!G29)/E29</f>
        <v>59.497005654982352</v>
      </c>
      <c r="H29" s="86">
        <f t="shared" si="1"/>
        <v>8677.2352915993906</v>
      </c>
      <c r="I29" s="226">
        <f t="shared" si="2"/>
        <v>97.2</v>
      </c>
      <c r="J29" s="324"/>
    </row>
    <row r="30" spans="2:10" x14ac:dyDescent="0.2">
      <c r="B30" s="286" t="str">
        <f>DFIE!$B49</f>
        <v>Waadt</v>
      </c>
      <c r="C30" s="199">
        <f>RP!I30</f>
        <v>99.86524008938018</v>
      </c>
      <c r="D30" s="198">
        <f>RP!H30/RP!$H$35*SST!$I$12*E30</f>
        <v>6933296644.1364841</v>
      </c>
      <c r="E30" s="331">
        <f>RP!G30</f>
        <v>777470</v>
      </c>
      <c r="F30" s="198">
        <f t="shared" si="0"/>
        <v>8917.7674304300926</v>
      </c>
      <c r="G30" s="198">
        <f>IF(C30&gt;100,-EINZ!G30,AUSZ!G30)/E30</f>
        <v>0.41475392507823478</v>
      </c>
      <c r="H30" s="198">
        <f t="shared" si="1"/>
        <v>8918.1821843551716</v>
      </c>
      <c r="I30" s="227">
        <f t="shared" si="2"/>
        <v>99.9</v>
      </c>
      <c r="J30" s="324"/>
    </row>
    <row r="31" spans="2:10" x14ac:dyDescent="0.2">
      <c r="B31" s="298" t="str">
        <f>DFIE!$B50</f>
        <v>Wallis</v>
      </c>
      <c r="C31" s="197">
        <f>RP!I31</f>
        <v>65.407417610365442</v>
      </c>
      <c r="D31" s="86">
        <f>RP!H31/RP!$H$35*SST!$I$12*E31</f>
        <v>1995793848.4949999</v>
      </c>
      <c r="E31" s="325">
        <f>RP!G31</f>
        <v>341701.5</v>
      </c>
      <c r="F31" s="86">
        <f t="shared" si="0"/>
        <v>5840.7523774259107</v>
      </c>
      <c r="G31" s="86">
        <f>IF(C31&gt;100,-EINZ!G31,AUSZ!G31)/E31</f>
        <v>1990.6832947733853</v>
      </c>
      <c r="H31" s="86">
        <f t="shared" si="1"/>
        <v>7831.4356721992963</v>
      </c>
      <c r="I31" s="226">
        <f t="shared" si="2"/>
        <v>87.7</v>
      </c>
      <c r="J31" s="324"/>
    </row>
    <row r="32" spans="2:10" x14ac:dyDescent="0.2">
      <c r="B32" s="286" t="str">
        <f>DFIE!$B51</f>
        <v>Neuenburg</v>
      </c>
      <c r="C32" s="199">
        <f>RP!I32</f>
        <v>82.871655675730892</v>
      </c>
      <c r="D32" s="198">
        <f>RP!H32/RP!$H$35*SST!$I$12*E32</f>
        <v>1325612336.7992353</v>
      </c>
      <c r="E32" s="331">
        <f>RP!G32</f>
        <v>179130.16666666666</v>
      </c>
      <c r="F32" s="198">
        <f t="shared" si="0"/>
        <v>7400.2741217005259</v>
      </c>
      <c r="G32" s="198">
        <f>IF(C32&gt;100,-EINZ!G32,AUSZ!G32)/E32</f>
        <v>672.23012105598184</v>
      </c>
      <c r="H32" s="198">
        <f t="shared" si="1"/>
        <v>8072.5042427565077</v>
      </c>
      <c r="I32" s="227">
        <f t="shared" si="2"/>
        <v>90.4</v>
      </c>
      <c r="J32" s="324"/>
    </row>
    <row r="33" spans="2:10" x14ac:dyDescent="0.2">
      <c r="B33" s="298" t="str">
        <f>DFIE!$B52</f>
        <v>Genf</v>
      </c>
      <c r="C33" s="197">
        <f>RP!I33</f>
        <v>143.74913820780961</v>
      </c>
      <c r="D33" s="86">
        <f>RP!H33/RP!$H$35*SST!$I$12*E33</f>
        <v>6219119056.3970757</v>
      </c>
      <c r="E33" s="325">
        <f>RP!G33</f>
        <v>484486.66666666669</v>
      </c>
      <c r="F33" s="86">
        <f t="shared" si="0"/>
        <v>12836.512301123681</v>
      </c>
      <c r="G33" s="86">
        <f>IF(C33&gt;100,-EINZ!G33,AUSZ!G33)/E33</f>
        <v>-782.0245805665304</v>
      </c>
      <c r="H33" s="86">
        <f t="shared" si="1"/>
        <v>12054.48772055715</v>
      </c>
      <c r="I33" s="226">
        <f t="shared" si="2"/>
        <v>135</v>
      </c>
      <c r="J33" s="324"/>
    </row>
    <row r="34" spans="2:10" x14ac:dyDescent="0.2">
      <c r="B34" s="286" t="str">
        <f>DFIE!$B53</f>
        <v>Jura</v>
      </c>
      <c r="C34" s="199">
        <f>RP!I34</f>
        <v>64.894273837629598</v>
      </c>
      <c r="D34" s="198">
        <f>RP!H34/RP!$H$35*SST!$I$12*E34</f>
        <v>422558544.12746292</v>
      </c>
      <c r="E34" s="331">
        <f>RP!G34</f>
        <v>72918.666666666672</v>
      </c>
      <c r="F34" s="198">
        <f t="shared" si="0"/>
        <v>5794.929658534571</v>
      </c>
      <c r="G34" s="198">
        <f>IF(C34&gt;100,-EINZ!G34,AUSZ!G34)/E34</f>
        <v>2036.5060136647244</v>
      </c>
      <c r="H34" s="198">
        <f t="shared" si="1"/>
        <v>7831.4356721992954</v>
      </c>
      <c r="I34" s="227">
        <f t="shared" si="2"/>
        <v>87.7</v>
      </c>
      <c r="J34" s="324"/>
    </row>
    <row r="35" spans="2:10" ht="12.75" customHeight="1" x14ac:dyDescent="0.2">
      <c r="B35" s="24" t="str">
        <f>DFIE!$B54</f>
        <v>Schweiz</v>
      </c>
      <c r="C35" s="196">
        <f>RP!I35</f>
        <v>100</v>
      </c>
      <c r="D35" s="31">
        <f>SUM(D9:D34)</f>
        <v>74736441359.74173</v>
      </c>
      <c r="E35" s="67">
        <f>SUM(E9:E34)</f>
        <v>8369328.666666667</v>
      </c>
      <c r="F35" s="31">
        <f t="shared" si="0"/>
        <v>8929.8012225761631</v>
      </c>
      <c r="G35" s="31"/>
      <c r="H35" s="31"/>
      <c r="I35" s="218"/>
      <c r="J35" s="182"/>
    </row>
    <row r="36" spans="2:10" ht="7.5" customHeight="1" x14ac:dyDescent="0.2">
      <c r="B36" s="82"/>
      <c r="C36" s="82"/>
      <c r="D36" s="315"/>
      <c r="E36" s="316"/>
      <c r="F36" s="315"/>
      <c r="G36" s="315"/>
      <c r="H36" s="315"/>
      <c r="I36" s="82"/>
      <c r="J36" s="182"/>
    </row>
    <row r="37" spans="2:10" ht="15" customHeight="1" x14ac:dyDescent="0.2">
      <c r="B37" s="312" t="str">
        <f>DFIE!B227</f>
        <v>Minimum</v>
      </c>
      <c r="C37" s="314">
        <f>MIN(C9:C34)</f>
        <v>64.894273837629598</v>
      </c>
      <c r="D37" s="317"/>
      <c r="E37" s="318"/>
      <c r="F37" s="317"/>
      <c r="G37" s="317"/>
      <c r="H37" s="317"/>
      <c r="I37" s="313">
        <f>MIN(I9:I34)</f>
        <v>87.7</v>
      </c>
    </row>
    <row r="38" spans="2:10" ht="14.25" customHeight="1" x14ac:dyDescent="0.2">
      <c r="B38" s="40"/>
      <c r="C38" s="40"/>
      <c r="D38" s="40"/>
      <c r="E38" s="319"/>
      <c r="I38" s="40"/>
    </row>
  </sheetData>
  <pageMargins left="0.78740157480314965" right="0.78740157480314965" top="0.98425196850393704" bottom="0.78740157480314965" header="0.51181102362204722" footer="0.51181102362204722"/>
  <pageSetup paperSize="9" scale="95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7"/>
  <sheetViews>
    <sheetView workbookViewId="0">
      <pane ySplit="9" topLeftCell="A10" activePane="bottomLeft" state="frozen"/>
      <selection activeCell="D35" sqref="D35:F35"/>
      <selection pane="bottomLeft" activeCell="G4" sqref="G4"/>
    </sheetView>
  </sheetViews>
  <sheetFormatPr baseColWidth="10" defaultColWidth="9.140625" defaultRowHeight="12.75" x14ac:dyDescent="0.2"/>
  <cols>
    <col min="1" max="1" width="2.7109375" customWidth="1"/>
    <col min="2" max="2" width="57.5703125" customWidth="1"/>
    <col min="3" max="3" width="6.7109375" customWidth="1"/>
    <col min="4" max="7" width="18.7109375" customWidth="1"/>
  </cols>
  <sheetData>
    <row r="1" spans="1:10" ht="12.75" customHeight="1" x14ac:dyDescent="0.2">
      <c r="B1" s="40" t="s">
        <v>127</v>
      </c>
      <c r="D1" s="333" t="s">
        <v>128</v>
      </c>
      <c r="G1" s="333" t="s">
        <v>54</v>
      </c>
    </row>
    <row r="2" spans="1:10" ht="12.75" customHeight="1" x14ac:dyDescent="0.2">
      <c r="B2" s="40" t="s">
        <v>129</v>
      </c>
      <c r="D2" s="334" t="s">
        <v>130</v>
      </c>
      <c r="E2" s="332"/>
      <c r="G2" s="342">
        <f>INTRO!D44</f>
        <v>2020</v>
      </c>
    </row>
    <row r="3" spans="1:10" ht="12.75" customHeight="1" x14ac:dyDescent="0.2">
      <c r="B3" s="40"/>
      <c r="D3" s="335" t="s">
        <v>131</v>
      </c>
      <c r="E3" s="332"/>
    </row>
    <row r="4" spans="1:10" ht="12" customHeight="1" x14ac:dyDescent="0.2">
      <c r="A4" s="13"/>
      <c r="B4" s="157" t="s">
        <v>132</v>
      </c>
      <c r="C4" s="348"/>
      <c r="D4" s="335" t="s">
        <v>133</v>
      </c>
      <c r="E4" s="332"/>
      <c r="F4" s="13"/>
      <c r="H4" s="13"/>
      <c r="J4" s="13"/>
    </row>
    <row r="5" spans="1:10" ht="12" customHeight="1" x14ac:dyDescent="0.2">
      <c r="B5" s="157" t="s">
        <v>134</v>
      </c>
      <c r="D5" s="337" t="s">
        <v>135</v>
      </c>
      <c r="E5" s="332"/>
    </row>
    <row r="6" spans="1:10" ht="12.75" customHeight="1" x14ac:dyDescent="0.2">
      <c r="B6" s="40"/>
      <c r="D6" s="338">
        <v>1</v>
      </c>
      <c r="E6" s="332"/>
    </row>
    <row r="7" spans="1:10" x14ac:dyDescent="0.2">
      <c r="B7" s="336"/>
      <c r="D7" s="339"/>
      <c r="E7" s="339"/>
    </row>
    <row r="8" spans="1:10" x14ac:dyDescent="0.2">
      <c r="B8" s="340">
        <f>ROW()</f>
        <v>8</v>
      </c>
      <c r="C8" s="348" t="s">
        <v>136</v>
      </c>
      <c r="D8" s="338">
        <v>1</v>
      </c>
      <c r="E8" s="338">
        <v>2</v>
      </c>
      <c r="F8" s="338">
        <v>3</v>
      </c>
      <c r="G8" s="338">
        <v>4</v>
      </c>
      <c r="H8" s="13" t="s">
        <v>136</v>
      </c>
    </row>
    <row r="9" spans="1:10" x14ac:dyDescent="0.2">
      <c r="A9" s="336"/>
      <c r="B9" s="341" t="str">
        <f>HLOOKUP($D$6,D8:G9,2,FALSE)</f>
        <v>Deutsch</v>
      </c>
      <c r="C9" s="348" t="s">
        <v>136</v>
      </c>
      <c r="D9" s="333" t="s">
        <v>130</v>
      </c>
      <c r="E9" s="333" t="s">
        <v>131</v>
      </c>
      <c r="F9" s="333" t="s">
        <v>133</v>
      </c>
      <c r="G9" s="333" t="s">
        <v>135</v>
      </c>
      <c r="H9" s="13" t="s">
        <v>136</v>
      </c>
    </row>
    <row r="10" spans="1:10" x14ac:dyDescent="0.2">
      <c r="B10" s="344" t="str">
        <f t="shared" ref="B10:B73" si="0">HLOOKUP($B$9,$D$9:$G$227,ROW()-$B$8,FALSE)</f>
        <v>Eidgenössisches Finanzdepartement EFD</v>
      </c>
      <c r="C10" s="348" t="s">
        <v>136</v>
      </c>
      <c r="D10" s="13" t="s">
        <v>137</v>
      </c>
      <c r="E10" s="13" t="s">
        <v>138</v>
      </c>
      <c r="F10" s="13" t="s">
        <v>304</v>
      </c>
      <c r="G10" s="13" t="s">
        <v>262</v>
      </c>
      <c r="H10" s="13" t="s">
        <v>136</v>
      </c>
    </row>
    <row r="11" spans="1:10" x14ac:dyDescent="0.2">
      <c r="B11" s="343" t="str">
        <f t="shared" si="0"/>
        <v>Eidgenössische Finanzverwaltung EFV</v>
      </c>
      <c r="C11" s="348" t="s">
        <v>136</v>
      </c>
      <c r="D11" s="13" t="s">
        <v>139</v>
      </c>
      <c r="E11" s="13" t="s">
        <v>140</v>
      </c>
      <c r="F11" s="13" t="s">
        <v>305</v>
      </c>
      <c r="G11" s="13" t="s">
        <v>265</v>
      </c>
      <c r="H11" s="13" t="s">
        <v>136</v>
      </c>
    </row>
    <row r="12" spans="1:10" x14ac:dyDescent="0.2">
      <c r="B12" s="343" t="str">
        <f t="shared" si="0"/>
        <v>Finanzausgleich zwischen Bund und Kantonen</v>
      </c>
      <c r="C12" s="348" t="s">
        <v>136</v>
      </c>
      <c r="D12" s="13" t="s">
        <v>141</v>
      </c>
      <c r="E12" s="13" t="s">
        <v>142</v>
      </c>
      <c r="F12" s="13" t="s">
        <v>306</v>
      </c>
      <c r="G12" s="13" t="s">
        <v>266</v>
      </c>
      <c r="H12" s="13" t="s">
        <v>136</v>
      </c>
    </row>
    <row r="13" spans="1:10" x14ac:dyDescent="0.2">
      <c r="B13" s="345" t="str">
        <f t="shared" si="0"/>
        <v>Ressourcenausgleich 2020</v>
      </c>
      <c r="C13" s="348" t="s">
        <v>136</v>
      </c>
      <c r="D13" s="13" t="str">
        <f>"Ressourcenausgleich " &amp; $G$2</f>
        <v>Ressourcenausgleich 2020</v>
      </c>
      <c r="E13" s="13" t="str">
        <f>"Péréquation des ressources " &amp; $G$2</f>
        <v>Péréquation des ressources 2020</v>
      </c>
      <c r="F13" s="13" t="str">
        <f>"Perequazione delle risorse " &amp; $G$2</f>
        <v>Perequazione delle risorse 2020</v>
      </c>
      <c r="G13" s="13" t="str">
        <f>"Resource equalization " &amp; $G$2</f>
        <v>Resource equalization 2020</v>
      </c>
      <c r="H13" s="13" t="s">
        <v>136</v>
      </c>
    </row>
    <row r="14" spans="1:10" x14ac:dyDescent="0.2">
      <c r="B14" s="343" t="str">
        <f t="shared" si="0"/>
        <v>Übersicht über die Zahlungen im Ressourcenausgleich</v>
      </c>
      <c r="C14" s="348" t="s">
        <v>136</v>
      </c>
      <c r="D14" s="13" t="s">
        <v>202</v>
      </c>
      <c r="E14" s="13" t="s">
        <v>296</v>
      </c>
      <c r="F14" s="13" t="s">
        <v>307</v>
      </c>
      <c r="G14" s="13" t="s">
        <v>267</v>
      </c>
      <c r="H14" s="13" t="s">
        <v>136</v>
      </c>
    </row>
    <row r="15" spans="1:10" x14ac:dyDescent="0.2">
      <c r="B15" s="343" t="str">
        <f t="shared" si="0"/>
        <v>Einkommen natürlicher Personen</v>
      </c>
      <c r="C15" s="348" t="s">
        <v>136</v>
      </c>
      <c r="D15" s="13" t="s">
        <v>184</v>
      </c>
      <c r="E15" s="13" t="s">
        <v>195</v>
      </c>
      <c r="F15" s="13" t="s">
        <v>308</v>
      </c>
      <c r="G15" s="13" t="s">
        <v>268</v>
      </c>
      <c r="H15" s="13" t="s">
        <v>136</v>
      </c>
    </row>
    <row r="16" spans="1:10" x14ac:dyDescent="0.2">
      <c r="B16" s="343" t="str">
        <f t="shared" si="0"/>
        <v>Quellenbesteuerte Einkommen natürlicher Personen</v>
      </c>
      <c r="C16" s="348" t="s">
        <v>136</v>
      </c>
      <c r="D16" s="13" t="s">
        <v>185</v>
      </c>
      <c r="E16" s="13" t="s">
        <v>297</v>
      </c>
      <c r="F16" s="13" t="s">
        <v>309</v>
      </c>
      <c r="G16" s="13" t="s">
        <v>269</v>
      </c>
      <c r="H16" s="13" t="s">
        <v>136</v>
      </c>
    </row>
    <row r="17" spans="2:8" x14ac:dyDescent="0.2">
      <c r="B17" s="343" t="str">
        <f t="shared" si="0"/>
        <v>Vermögen natürlicher Personen</v>
      </c>
      <c r="C17" s="348" t="s">
        <v>136</v>
      </c>
      <c r="D17" s="13" t="s">
        <v>186</v>
      </c>
      <c r="E17" s="13" t="s">
        <v>196</v>
      </c>
      <c r="F17" s="13" t="s">
        <v>310</v>
      </c>
      <c r="G17" s="13" t="s">
        <v>208</v>
      </c>
      <c r="H17" s="13" t="s">
        <v>136</v>
      </c>
    </row>
    <row r="18" spans="2:8" x14ac:dyDescent="0.2">
      <c r="B18" s="343" t="str">
        <f t="shared" si="0"/>
        <v>Gewinne juristischer Personen</v>
      </c>
      <c r="C18" s="348" t="s">
        <v>136</v>
      </c>
      <c r="D18" s="13" t="s">
        <v>187</v>
      </c>
      <c r="E18" s="13" t="s">
        <v>197</v>
      </c>
      <c r="F18" s="13" t="s">
        <v>311</v>
      </c>
      <c r="G18" s="13" t="s">
        <v>209</v>
      </c>
      <c r="H18" s="13" t="s">
        <v>136</v>
      </c>
    </row>
    <row r="19" spans="2:8" x14ac:dyDescent="0.2">
      <c r="B19" s="343" t="str">
        <f t="shared" si="0"/>
        <v>Steuerrepartitionen</v>
      </c>
      <c r="C19" s="348" t="s">
        <v>136</v>
      </c>
      <c r="D19" s="13" t="s">
        <v>188</v>
      </c>
      <c r="E19" s="13" t="s">
        <v>198</v>
      </c>
      <c r="F19" s="13" t="s">
        <v>312</v>
      </c>
      <c r="G19" s="13" t="s">
        <v>270</v>
      </c>
      <c r="H19" s="13" t="s">
        <v>136</v>
      </c>
    </row>
    <row r="20" spans="2:8" x14ac:dyDescent="0.2">
      <c r="B20" s="343" t="str">
        <f t="shared" si="0"/>
        <v>Aggregierte Steuerbemessungsgrundlage</v>
      </c>
      <c r="C20" s="348" t="s">
        <v>136</v>
      </c>
      <c r="D20" s="13" t="s">
        <v>203</v>
      </c>
      <c r="E20" s="13" t="s">
        <v>204</v>
      </c>
      <c r="F20" s="13" t="s">
        <v>313</v>
      </c>
      <c r="G20" s="13" t="s">
        <v>271</v>
      </c>
      <c r="H20" s="13" t="s">
        <v>136</v>
      </c>
    </row>
    <row r="21" spans="2:8" x14ac:dyDescent="0.2">
      <c r="B21" s="343" t="str">
        <f t="shared" si="0"/>
        <v>Massgebende Wohnbevölkerung</v>
      </c>
      <c r="C21" s="348" t="s">
        <v>136</v>
      </c>
      <c r="D21" s="13" t="s">
        <v>0</v>
      </c>
      <c r="E21" s="13" t="s">
        <v>298</v>
      </c>
      <c r="F21" s="13" t="s">
        <v>314</v>
      </c>
      <c r="G21" s="13" t="s">
        <v>259</v>
      </c>
      <c r="H21" s="13" t="s">
        <v>136</v>
      </c>
    </row>
    <row r="22" spans="2:8" x14ac:dyDescent="0.2">
      <c r="B22" s="343" t="str">
        <f t="shared" si="0"/>
        <v>Berechnung Ressourcenpotenzial und -index</v>
      </c>
      <c r="C22" s="348" t="s">
        <v>136</v>
      </c>
      <c r="D22" s="13" t="s">
        <v>189</v>
      </c>
      <c r="E22" s="13" t="s">
        <v>205</v>
      </c>
      <c r="F22" s="13" t="s">
        <v>315</v>
      </c>
      <c r="G22" s="13" t="s">
        <v>272</v>
      </c>
      <c r="H22" s="13" t="s">
        <v>136</v>
      </c>
    </row>
    <row r="23" spans="2:8" x14ac:dyDescent="0.2">
      <c r="B23" s="343" t="str">
        <f t="shared" si="0"/>
        <v>Standardisierter Steuersatz</v>
      </c>
      <c r="C23" s="348" t="s">
        <v>136</v>
      </c>
      <c r="D23" s="13" t="s">
        <v>207</v>
      </c>
      <c r="E23" s="13" t="s">
        <v>201</v>
      </c>
      <c r="F23" s="13" t="s">
        <v>319</v>
      </c>
      <c r="G23" s="13" t="s">
        <v>211</v>
      </c>
      <c r="H23" s="13" t="s">
        <v>136</v>
      </c>
    </row>
    <row r="24" spans="2:8" x14ac:dyDescent="0.2">
      <c r="B24" s="343" t="str">
        <f t="shared" si="0"/>
        <v>Auszahlungen an die ressourcenschwachen Kantone</v>
      </c>
      <c r="C24" s="348" t="s">
        <v>136</v>
      </c>
      <c r="D24" s="13" t="s">
        <v>191</v>
      </c>
      <c r="E24" s="13" t="s">
        <v>200</v>
      </c>
      <c r="F24" s="13" t="s">
        <v>317</v>
      </c>
      <c r="G24" s="13" t="s">
        <v>274</v>
      </c>
      <c r="H24" s="13" t="s">
        <v>136</v>
      </c>
    </row>
    <row r="25" spans="2:8" x14ac:dyDescent="0.2">
      <c r="B25" s="343" t="str">
        <f t="shared" si="0"/>
        <v>Dotationen im Ressourcenausgleich</v>
      </c>
      <c r="C25" s="348" t="s">
        <v>136</v>
      </c>
      <c r="D25" s="13" t="s">
        <v>636</v>
      </c>
      <c r="E25" s="13" t="s">
        <v>637</v>
      </c>
      <c r="F25" s="13" t="s">
        <v>638</v>
      </c>
      <c r="G25" s="13" t="s">
        <v>639</v>
      </c>
      <c r="H25" s="13" t="s">
        <v>136</v>
      </c>
    </row>
    <row r="26" spans="2:8" x14ac:dyDescent="0.2">
      <c r="B26" s="343" t="str">
        <f t="shared" si="0"/>
        <v>Einzahlungen der ressourcenstarken Kantone</v>
      </c>
      <c r="C26" s="348" t="s">
        <v>136</v>
      </c>
      <c r="D26" s="13" t="s">
        <v>190</v>
      </c>
      <c r="E26" s="13" t="s">
        <v>199</v>
      </c>
      <c r="F26" s="13" t="s">
        <v>316</v>
      </c>
      <c r="G26" s="13" t="s">
        <v>273</v>
      </c>
      <c r="H26" s="13" t="s">
        <v>136</v>
      </c>
    </row>
    <row r="27" spans="2:8" x14ac:dyDescent="0.2">
      <c r="B27" s="345" t="str">
        <f t="shared" si="0"/>
        <v>Standardisierter Steuerertrag</v>
      </c>
      <c r="C27" s="348" t="s">
        <v>136</v>
      </c>
      <c r="D27" s="13" t="s">
        <v>206</v>
      </c>
      <c r="E27" s="13" t="s">
        <v>299</v>
      </c>
      <c r="F27" s="13" t="s">
        <v>318</v>
      </c>
      <c r="G27" s="13" t="s">
        <v>210</v>
      </c>
      <c r="H27" s="13" t="s">
        <v>136</v>
      </c>
    </row>
    <row r="28" spans="2:8" x14ac:dyDescent="0.2">
      <c r="B28" s="343" t="str">
        <f t="shared" si="0"/>
        <v>Zürich</v>
      </c>
      <c r="C28" s="348" t="s">
        <v>136</v>
      </c>
      <c r="D28" s="13" t="s">
        <v>2</v>
      </c>
      <c r="E28" s="13" t="s">
        <v>144</v>
      </c>
      <c r="F28" s="13" t="s">
        <v>320</v>
      </c>
      <c r="G28" s="13" t="s">
        <v>144</v>
      </c>
      <c r="H28" s="13" t="s">
        <v>136</v>
      </c>
    </row>
    <row r="29" spans="2:8" x14ac:dyDescent="0.2">
      <c r="B29" s="343" t="str">
        <f t="shared" si="0"/>
        <v>Bern</v>
      </c>
      <c r="C29" s="348" t="s">
        <v>136</v>
      </c>
      <c r="D29" s="13" t="s">
        <v>3</v>
      </c>
      <c r="E29" s="13" t="s">
        <v>145</v>
      </c>
      <c r="F29" s="13" t="s">
        <v>321</v>
      </c>
      <c r="G29" s="13" t="s">
        <v>3</v>
      </c>
      <c r="H29" s="13" t="s">
        <v>136</v>
      </c>
    </row>
    <row r="30" spans="2:8" x14ac:dyDescent="0.2">
      <c r="B30" s="343" t="str">
        <f t="shared" si="0"/>
        <v>Luzern</v>
      </c>
      <c r="C30" s="348" t="s">
        <v>136</v>
      </c>
      <c r="D30" s="13" t="s">
        <v>4</v>
      </c>
      <c r="E30" s="13" t="s">
        <v>146</v>
      </c>
      <c r="F30" s="13" t="s">
        <v>322</v>
      </c>
      <c r="G30" s="13" t="s">
        <v>4</v>
      </c>
      <c r="H30" s="13" t="s">
        <v>136</v>
      </c>
    </row>
    <row r="31" spans="2:8" x14ac:dyDescent="0.2">
      <c r="B31" s="343" t="str">
        <f t="shared" si="0"/>
        <v>Uri</v>
      </c>
      <c r="C31" s="348" t="s">
        <v>136</v>
      </c>
      <c r="D31" s="13" t="s">
        <v>5</v>
      </c>
      <c r="E31" s="13" t="s">
        <v>5</v>
      </c>
      <c r="F31" s="13" t="s">
        <v>5</v>
      </c>
      <c r="G31" s="13" t="s">
        <v>5</v>
      </c>
      <c r="H31" s="13" t="s">
        <v>136</v>
      </c>
    </row>
    <row r="32" spans="2:8" x14ac:dyDescent="0.2">
      <c r="B32" s="343" t="str">
        <f t="shared" si="0"/>
        <v>Schwyz</v>
      </c>
      <c r="C32" s="348" t="s">
        <v>136</v>
      </c>
      <c r="D32" s="13" t="s">
        <v>6</v>
      </c>
      <c r="E32" s="13" t="s">
        <v>6</v>
      </c>
      <c r="F32" s="13" t="s">
        <v>323</v>
      </c>
      <c r="G32" s="13" t="s">
        <v>6</v>
      </c>
      <c r="H32" s="13" t="s">
        <v>136</v>
      </c>
    </row>
    <row r="33" spans="2:8" x14ac:dyDescent="0.2">
      <c r="B33" s="343" t="str">
        <f t="shared" si="0"/>
        <v>Obwalden</v>
      </c>
      <c r="C33" s="348" t="s">
        <v>136</v>
      </c>
      <c r="D33" s="13" t="s">
        <v>7</v>
      </c>
      <c r="E33" s="13" t="s">
        <v>147</v>
      </c>
      <c r="F33" s="13" t="s">
        <v>324</v>
      </c>
      <c r="G33" s="13" t="s">
        <v>7</v>
      </c>
      <c r="H33" s="13" t="s">
        <v>136</v>
      </c>
    </row>
    <row r="34" spans="2:8" x14ac:dyDescent="0.2">
      <c r="B34" s="343" t="str">
        <f t="shared" si="0"/>
        <v>Nidwalden</v>
      </c>
      <c r="C34" s="348" t="s">
        <v>136</v>
      </c>
      <c r="D34" s="13" t="s">
        <v>8</v>
      </c>
      <c r="E34" s="13" t="s">
        <v>148</v>
      </c>
      <c r="F34" s="13" t="s">
        <v>325</v>
      </c>
      <c r="G34" s="13" t="s">
        <v>8</v>
      </c>
      <c r="H34" s="13" t="s">
        <v>136</v>
      </c>
    </row>
    <row r="35" spans="2:8" x14ac:dyDescent="0.2">
      <c r="B35" s="343" t="str">
        <f t="shared" si="0"/>
        <v>Glarus</v>
      </c>
      <c r="C35" s="348" t="s">
        <v>136</v>
      </c>
      <c r="D35" s="13" t="s">
        <v>9</v>
      </c>
      <c r="E35" s="13" t="s">
        <v>149</v>
      </c>
      <c r="F35" s="13" t="s">
        <v>326</v>
      </c>
      <c r="G35" s="13" t="s">
        <v>9</v>
      </c>
      <c r="H35" s="13" t="s">
        <v>136</v>
      </c>
    </row>
    <row r="36" spans="2:8" x14ac:dyDescent="0.2">
      <c r="B36" s="343" t="str">
        <f t="shared" si="0"/>
        <v>Zug</v>
      </c>
      <c r="C36" s="348" t="s">
        <v>136</v>
      </c>
      <c r="D36" s="13" t="s">
        <v>10</v>
      </c>
      <c r="E36" s="13" t="s">
        <v>150</v>
      </c>
      <c r="F36" s="13" t="s">
        <v>327</v>
      </c>
      <c r="G36" s="13" t="s">
        <v>10</v>
      </c>
      <c r="H36" s="13" t="s">
        <v>136</v>
      </c>
    </row>
    <row r="37" spans="2:8" x14ac:dyDescent="0.2">
      <c r="B37" s="343" t="str">
        <f t="shared" si="0"/>
        <v>Freiburg</v>
      </c>
      <c r="C37" s="348" t="s">
        <v>136</v>
      </c>
      <c r="D37" s="13" t="s">
        <v>11</v>
      </c>
      <c r="E37" s="13" t="s">
        <v>151</v>
      </c>
      <c r="F37" s="13" t="s">
        <v>328</v>
      </c>
      <c r="G37" s="13" t="s">
        <v>151</v>
      </c>
      <c r="H37" s="13" t="s">
        <v>136</v>
      </c>
    </row>
    <row r="38" spans="2:8" x14ac:dyDescent="0.2">
      <c r="B38" s="343" t="str">
        <f t="shared" si="0"/>
        <v>Solothurn</v>
      </c>
      <c r="C38" s="348" t="s">
        <v>136</v>
      </c>
      <c r="D38" s="13" t="s">
        <v>12</v>
      </c>
      <c r="E38" s="13" t="s">
        <v>152</v>
      </c>
      <c r="F38" s="13" t="s">
        <v>329</v>
      </c>
      <c r="G38" s="13" t="s">
        <v>12</v>
      </c>
      <c r="H38" s="13" t="s">
        <v>136</v>
      </c>
    </row>
    <row r="39" spans="2:8" x14ac:dyDescent="0.2">
      <c r="B39" s="343" t="str">
        <f t="shared" si="0"/>
        <v>Basel-Stadt</v>
      </c>
      <c r="C39" s="348" t="s">
        <v>136</v>
      </c>
      <c r="D39" s="13" t="s">
        <v>13</v>
      </c>
      <c r="E39" s="13" t="s">
        <v>153</v>
      </c>
      <c r="F39" s="13" t="s">
        <v>330</v>
      </c>
      <c r="G39" s="13" t="s">
        <v>275</v>
      </c>
      <c r="H39" s="13" t="s">
        <v>136</v>
      </c>
    </row>
    <row r="40" spans="2:8" x14ac:dyDescent="0.2">
      <c r="B40" s="343" t="str">
        <f t="shared" si="0"/>
        <v>Basel-Landschaft</v>
      </c>
      <c r="C40" s="348" t="s">
        <v>136</v>
      </c>
      <c r="D40" s="13" t="s">
        <v>14</v>
      </c>
      <c r="E40" s="13" t="s">
        <v>154</v>
      </c>
      <c r="F40" s="13" t="s">
        <v>331</v>
      </c>
      <c r="G40" s="13" t="s">
        <v>276</v>
      </c>
      <c r="H40" s="13" t="s">
        <v>136</v>
      </c>
    </row>
    <row r="41" spans="2:8" x14ac:dyDescent="0.2">
      <c r="B41" s="343" t="str">
        <f t="shared" si="0"/>
        <v>Schaffhausen</v>
      </c>
      <c r="C41" s="348" t="s">
        <v>136</v>
      </c>
      <c r="D41" s="13" t="s">
        <v>15</v>
      </c>
      <c r="E41" s="13" t="s">
        <v>155</v>
      </c>
      <c r="F41" s="13" t="s">
        <v>332</v>
      </c>
      <c r="G41" s="13" t="s">
        <v>15</v>
      </c>
      <c r="H41" s="13" t="s">
        <v>136</v>
      </c>
    </row>
    <row r="42" spans="2:8" x14ac:dyDescent="0.2">
      <c r="B42" s="343" t="str">
        <f t="shared" si="0"/>
        <v>Appenzell A.Rh.</v>
      </c>
      <c r="C42" s="348" t="s">
        <v>136</v>
      </c>
      <c r="D42" s="13" t="s">
        <v>16</v>
      </c>
      <c r="E42" s="13" t="s">
        <v>156</v>
      </c>
      <c r="F42" s="13" t="s">
        <v>333</v>
      </c>
      <c r="G42" s="13" t="s">
        <v>16</v>
      </c>
      <c r="H42" s="13" t="s">
        <v>136</v>
      </c>
    </row>
    <row r="43" spans="2:8" x14ac:dyDescent="0.2">
      <c r="B43" s="343" t="str">
        <f t="shared" si="0"/>
        <v>Appenzell I.Rh.</v>
      </c>
      <c r="C43" s="348" t="s">
        <v>136</v>
      </c>
      <c r="D43" s="13" t="s">
        <v>17</v>
      </c>
      <c r="E43" s="13" t="s">
        <v>157</v>
      </c>
      <c r="F43" s="13" t="s">
        <v>334</v>
      </c>
      <c r="G43" s="13" t="s">
        <v>17</v>
      </c>
      <c r="H43" s="13" t="s">
        <v>136</v>
      </c>
    </row>
    <row r="44" spans="2:8" x14ac:dyDescent="0.2">
      <c r="B44" s="343" t="str">
        <f t="shared" si="0"/>
        <v>St. Gallen</v>
      </c>
      <c r="C44" s="348" t="s">
        <v>136</v>
      </c>
      <c r="D44" s="13" t="s">
        <v>18</v>
      </c>
      <c r="E44" s="13" t="s">
        <v>158</v>
      </c>
      <c r="F44" s="13" t="s">
        <v>335</v>
      </c>
      <c r="G44" s="13" t="s">
        <v>18</v>
      </c>
      <c r="H44" s="13" t="s">
        <v>136</v>
      </c>
    </row>
    <row r="45" spans="2:8" x14ac:dyDescent="0.2">
      <c r="B45" s="343" t="str">
        <f t="shared" si="0"/>
        <v>Graubünden</v>
      </c>
      <c r="C45" s="348" t="s">
        <v>136</v>
      </c>
      <c r="D45" s="13" t="s">
        <v>19</v>
      </c>
      <c r="E45" s="13" t="s">
        <v>159</v>
      </c>
      <c r="F45" s="13" t="s">
        <v>336</v>
      </c>
      <c r="G45" s="13" t="s">
        <v>19</v>
      </c>
      <c r="H45" s="13" t="s">
        <v>136</v>
      </c>
    </row>
    <row r="46" spans="2:8" x14ac:dyDescent="0.2">
      <c r="B46" s="343" t="str">
        <f t="shared" si="0"/>
        <v>Aargau</v>
      </c>
      <c r="C46" s="348" t="s">
        <v>136</v>
      </c>
      <c r="D46" s="13" t="s">
        <v>20</v>
      </c>
      <c r="E46" s="13" t="s">
        <v>160</v>
      </c>
      <c r="F46" s="13" t="s">
        <v>337</v>
      </c>
      <c r="G46" s="13" t="s">
        <v>20</v>
      </c>
      <c r="H46" s="13" t="s">
        <v>136</v>
      </c>
    </row>
    <row r="47" spans="2:8" x14ac:dyDescent="0.2">
      <c r="B47" s="343" t="str">
        <f t="shared" si="0"/>
        <v>Thurgau</v>
      </c>
      <c r="C47" s="348" t="s">
        <v>136</v>
      </c>
      <c r="D47" s="13" t="s">
        <v>21</v>
      </c>
      <c r="E47" s="13" t="s">
        <v>161</v>
      </c>
      <c r="F47" s="13" t="s">
        <v>338</v>
      </c>
      <c r="G47" s="13" t="s">
        <v>21</v>
      </c>
      <c r="H47" s="13" t="s">
        <v>136</v>
      </c>
    </row>
    <row r="48" spans="2:8" x14ac:dyDescent="0.2">
      <c r="B48" s="343" t="str">
        <f t="shared" si="0"/>
        <v>Tessin</v>
      </c>
      <c r="C48" s="348" t="s">
        <v>136</v>
      </c>
      <c r="D48" s="13" t="s">
        <v>22</v>
      </c>
      <c r="E48" s="13" t="s">
        <v>22</v>
      </c>
      <c r="F48" s="13" t="s">
        <v>212</v>
      </c>
      <c r="G48" s="13" t="s">
        <v>212</v>
      </c>
      <c r="H48" s="13" t="s">
        <v>136</v>
      </c>
    </row>
    <row r="49" spans="2:8" x14ac:dyDescent="0.2">
      <c r="B49" s="343" t="str">
        <f t="shared" si="0"/>
        <v>Waadt</v>
      </c>
      <c r="C49" s="348" t="s">
        <v>136</v>
      </c>
      <c r="D49" s="13" t="s">
        <v>23</v>
      </c>
      <c r="E49" s="13" t="s">
        <v>162</v>
      </c>
      <c r="F49" s="13" t="s">
        <v>162</v>
      </c>
      <c r="G49" s="13" t="s">
        <v>162</v>
      </c>
      <c r="H49" s="13" t="s">
        <v>136</v>
      </c>
    </row>
    <row r="50" spans="2:8" x14ac:dyDescent="0.2">
      <c r="B50" s="343" t="str">
        <f t="shared" si="0"/>
        <v>Wallis</v>
      </c>
      <c r="C50" s="348" t="s">
        <v>136</v>
      </c>
      <c r="D50" s="13" t="s">
        <v>24</v>
      </c>
      <c r="E50" s="13" t="s">
        <v>163</v>
      </c>
      <c r="F50" s="13" t="s">
        <v>339</v>
      </c>
      <c r="G50" s="13" t="s">
        <v>163</v>
      </c>
      <c r="H50" s="13" t="s">
        <v>136</v>
      </c>
    </row>
    <row r="51" spans="2:8" x14ac:dyDescent="0.2">
      <c r="B51" s="343" t="str">
        <f t="shared" si="0"/>
        <v>Neuenburg</v>
      </c>
      <c r="C51" s="348" t="s">
        <v>136</v>
      </c>
      <c r="D51" s="13" t="s">
        <v>25</v>
      </c>
      <c r="E51" s="13" t="s">
        <v>164</v>
      </c>
      <c r="F51" s="13" t="s">
        <v>164</v>
      </c>
      <c r="G51" s="13" t="s">
        <v>164</v>
      </c>
      <c r="H51" s="13" t="s">
        <v>136</v>
      </c>
    </row>
    <row r="52" spans="2:8" x14ac:dyDescent="0.2">
      <c r="B52" s="343" t="str">
        <f t="shared" si="0"/>
        <v>Genf</v>
      </c>
      <c r="C52" s="348" t="s">
        <v>136</v>
      </c>
      <c r="D52" s="13" t="s">
        <v>26</v>
      </c>
      <c r="E52" s="13" t="s">
        <v>165</v>
      </c>
      <c r="F52" s="13" t="s">
        <v>340</v>
      </c>
      <c r="G52" s="13" t="s">
        <v>213</v>
      </c>
      <c r="H52" s="13" t="s">
        <v>136</v>
      </c>
    </row>
    <row r="53" spans="2:8" x14ac:dyDescent="0.2">
      <c r="B53" s="343" t="str">
        <f t="shared" si="0"/>
        <v>Jura</v>
      </c>
      <c r="C53" s="348" t="s">
        <v>136</v>
      </c>
      <c r="D53" s="13" t="s">
        <v>27</v>
      </c>
      <c r="E53" s="13" t="s">
        <v>27</v>
      </c>
      <c r="F53" s="13" t="s">
        <v>341</v>
      </c>
      <c r="G53" s="13" t="s">
        <v>27</v>
      </c>
      <c r="H53" s="13" t="s">
        <v>136</v>
      </c>
    </row>
    <row r="54" spans="2:8" x14ac:dyDescent="0.2">
      <c r="B54" s="345" t="str">
        <f t="shared" si="0"/>
        <v>Schweiz</v>
      </c>
      <c r="C54" s="348" t="s">
        <v>136</v>
      </c>
      <c r="D54" s="13" t="s">
        <v>40</v>
      </c>
      <c r="E54" s="13" t="s">
        <v>143</v>
      </c>
      <c r="F54" s="13" t="s">
        <v>342</v>
      </c>
      <c r="G54" s="13" t="s">
        <v>214</v>
      </c>
      <c r="H54" s="13" t="s">
        <v>136</v>
      </c>
    </row>
    <row r="55" spans="2:8" x14ac:dyDescent="0.2">
      <c r="B55" s="343" t="str">
        <f t="shared" si="0"/>
        <v>Spalte</v>
      </c>
      <c r="C55" s="348" t="s">
        <v>136</v>
      </c>
      <c r="D55" s="13" t="s">
        <v>29</v>
      </c>
      <c r="E55" s="13" t="s">
        <v>223</v>
      </c>
      <c r="F55" s="13" t="s">
        <v>343</v>
      </c>
      <c r="G55" s="13" t="s">
        <v>215</v>
      </c>
      <c r="H55" s="13" t="s">
        <v>136</v>
      </c>
    </row>
    <row r="56" spans="2:8" x14ac:dyDescent="0.2">
      <c r="B56" s="343" t="str">
        <f t="shared" si="0"/>
        <v>Formel</v>
      </c>
      <c r="C56" s="348" t="s">
        <v>136</v>
      </c>
      <c r="D56" s="13" t="s">
        <v>36</v>
      </c>
      <c r="E56" s="13" t="s">
        <v>224</v>
      </c>
      <c r="F56" s="13" t="s">
        <v>216</v>
      </c>
      <c r="G56" s="13" t="s">
        <v>216</v>
      </c>
      <c r="H56" s="13" t="s">
        <v>136</v>
      </c>
    </row>
    <row r="57" spans="2:8" x14ac:dyDescent="0.2">
      <c r="B57" s="343" t="str">
        <f t="shared" si="0"/>
        <v>Kategorie</v>
      </c>
      <c r="C57" s="348" t="s">
        <v>136</v>
      </c>
      <c r="D57" s="13" t="s">
        <v>55</v>
      </c>
      <c r="E57" s="13" t="s">
        <v>225</v>
      </c>
      <c r="F57" s="13" t="s">
        <v>344</v>
      </c>
      <c r="G57" s="13" t="s">
        <v>217</v>
      </c>
      <c r="H57" s="13" t="s">
        <v>136</v>
      </c>
    </row>
    <row r="58" spans="2:8" x14ac:dyDescent="0.2">
      <c r="B58" s="343" t="str">
        <f t="shared" si="0"/>
        <v>Einheit</v>
      </c>
      <c r="C58" s="348" t="s">
        <v>136</v>
      </c>
      <c r="D58" s="13" t="s">
        <v>1</v>
      </c>
      <c r="E58" s="13" t="s">
        <v>226</v>
      </c>
      <c r="F58" s="13" t="s">
        <v>345</v>
      </c>
      <c r="G58" s="13" t="s">
        <v>218</v>
      </c>
      <c r="H58" s="13" t="s">
        <v>136</v>
      </c>
    </row>
    <row r="59" spans="2:8" x14ac:dyDescent="0.2">
      <c r="B59" s="343" t="str">
        <f t="shared" si="0"/>
        <v>CHF</v>
      </c>
      <c r="C59" s="348"/>
      <c r="D59" s="13" t="s">
        <v>38</v>
      </c>
      <c r="E59" s="13" t="s">
        <v>38</v>
      </c>
      <c r="F59" s="13" t="s">
        <v>38</v>
      </c>
      <c r="G59" s="13" t="s">
        <v>38</v>
      </c>
      <c r="H59" s="13" t="s">
        <v>136</v>
      </c>
    </row>
    <row r="60" spans="2:8" x14ac:dyDescent="0.2">
      <c r="B60" s="343" t="str">
        <f t="shared" si="0"/>
        <v>CHF 1'000</v>
      </c>
      <c r="C60" s="348"/>
      <c r="D60" s="13" t="s">
        <v>37</v>
      </c>
      <c r="E60" s="13" t="s">
        <v>37</v>
      </c>
      <c r="F60" s="13" t="s">
        <v>346</v>
      </c>
      <c r="G60" s="13" t="s">
        <v>219</v>
      </c>
      <c r="H60" s="13" t="s">
        <v>136</v>
      </c>
    </row>
    <row r="61" spans="2:8" x14ac:dyDescent="0.2">
      <c r="B61" s="343" t="str">
        <f t="shared" si="0"/>
        <v>Anzahl</v>
      </c>
      <c r="C61" s="348" t="s">
        <v>136</v>
      </c>
      <c r="D61" s="13" t="s">
        <v>97</v>
      </c>
      <c r="E61" s="13" t="s">
        <v>227</v>
      </c>
      <c r="F61" s="13" t="s">
        <v>347</v>
      </c>
      <c r="G61" s="13" t="s">
        <v>277</v>
      </c>
      <c r="H61" s="13" t="s">
        <v>136</v>
      </c>
    </row>
    <row r="62" spans="2:8" x14ac:dyDescent="0.2">
      <c r="B62" s="343" t="str">
        <f t="shared" si="0"/>
        <v>Punkte</v>
      </c>
      <c r="C62" s="348" t="s">
        <v>136</v>
      </c>
      <c r="D62" s="13" t="s">
        <v>65</v>
      </c>
      <c r="E62" s="13" t="s">
        <v>220</v>
      </c>
      <c r="F62" s="13" t="s">
        <v>348</v>
      </c>
      <c r="G62" s="13" t="s">
        <v>220</v>
      </c>
      <c r="H62" s="13" t="s">
        <v>136</v>
      </c>
    </row>
    <row r="63" spans="2:8" x14ac:dyDescent="0.2">
      <c r="B63" s="345" t="str">
        <f t="shared" si="0"/>
        <v>Prozent</v>
      </c>
      <c r="C63" s="348" t="s">
        <v>136</v>
      </c>
      <c r="D63" s="13" t="s">
        <v>66</v>
      </c>
      <c r="E63" s="13" t="s">
        <v>384</v>
      </c>
      <c r="F63" s="13" t="s">
        <v>349</v>
      </c>
      <c r="G63" s="13" t="s">
        <v>278</v>
      </c>
      <c r="H63" s="13" t="s">
        <v>136</v>
      </c>
    </row>
    <row r="64" spans="2:8" x14ac:dyDescent="0.2">
      <c r="B64" s="343" t="str">
        <f t="shared" si="0"/>
        <v>Total</v>
      </c>
      <c r="C64" s="348" t="s">
        <v>136</v>
      </c>
      <c r="D64" s="13" t="s">
        <v>28</v>
      </c>
      <c r="E64" s="13" t="s">
        <v>28</v>
      </c>
      <c r="F64" s="13" t="s">
        <v>350</v>
      </c>
      <c r="G64" s="13" t="s">
        <v>28</v>
      </c>
      <c r="H64" s="13" t="s">
        <v>136</v>
      </c>
    </row>
    <row r="65" spans="2:8" x14ac:dyDescent="0.2">
      <c r="B65" s="343" t="str">
        <f t="shared" si="0"/>
        <v>Referenzjahr</v>
      </c>
      <c r="C65" s="348"/>
      <c r="D65" s="13" t="s">
        <v>54</v>
      </c>
      <c r="E65" s="13" t="s">
        <v>228</v>
      </c>
      <c r="F65" s="13" t="s">
        <v>379</v>
      </c>
      <c r="G65" s="13" t="s">
        <v>221</v>
      </c>
      <c r="H65" s="13" t="s">
        <v>136</v>
      </c>
    </row>
    <row r="66" spans="2:8" x14ac:dyDescent="0.2">
      <c r="B66" s="343" t="str">
        <f t="shared" si="0"/>
        <v>Berechnungsdatum</v>
      </c>
      <c r="C66" s="348"/>
      <c r="D66" s="13" t="s">
        <v>70</v>
      </c>
      <c r="E66" s="13" t="s">
        <v>300</v>
      </c>
      <c r="F66" s="13" t="s">
        <v>380</v>
      </c>
      <c r="G66" s="13" t="s">
        <v>279</v>
      </c>
      <c r="H66" s="13" t="s">
        <v>136</v>
      </c>
    </row>
    <row r="67" spans="2:8" x14ac:dyDescent="0.2">
      <c r="B67" s="343" t="str">
        <f t="shared" si="0"/>
        <v>Berechnungs-ID</v>
      </c>
      <c r="C67" s="348"/>
      <c r="D67" s="13" t="s">
        <v>71</v>
      </c>
      <c r="E67" s="13" t="s">
        <v>301</v>
      </c>
      <c r="F67" s="13" t="s">
        <v>381</v>
      </c>
      <c r="G67" s="13" t="s">
        <v>280</v>
      </c>
      <c r="H67" s="13" t="s">
        <v>136</v>
      </c>
    </row>
    <row r="68" spans="2:8" x14ac:dyDescent="0.2">
      <c r="B68" s="343" t="str">
        <f t="shared" si="0"/>
        <v>Bemessungsjahr</v>
      </c>
      <c r="C68" s="348"/>
      <c r="D68" s="13" t="s">
        <v>103</v>
      </c>
      <c r="E68" s="13" t="s">
        <v>229</v>
      </c>
      <c r="F68" s="13" t="s">
        <v>351</v>
      </c>
      <c r="G68" s="13" t="s">
        <v>222</v>
      </c>
      <c r="H68" s="13" t="s">
        <v>136</v>
      </c>
    </row>
    <row r="69" spans="2:8" x14ac:dyDescent="0.2">
      <c r="B69" s="343" t="str">
        <f t="shared" si="0"/>
        <v>Bemessungsjahr 2014</v>
      </c>
      <c r="C69" s="348" t="s">
        <v>136</v>
      </c>
      <c r="D69" s="13" t="str">
        <f>D$68 &amp; " " &amp; $G$2-6</f>
        <v>Bemessungsjahr 2014</v>
      </c>
      <c r="E69" s="13" t="str">
        <f>E$68 &amp; " " &amp; $G$2-6</f>
        <v>Année de calcul 2014</v>
      </c>
      <c r="F69" s="13" t="str">
        <f>F$68 &amp; " " &amp; $G$2-6</f>
        <v>Anno di calcolo 2014</v>
      </c>
      <c r="G69" s="13" t="str">
        <f>G$68 &amp; " " &amp; $G$2-6</f>
        <v>Assessment year 2014</v>
      </c>
      <c r="H69" s="13" t="s">
        <v>136</v>
      </c>
    </row>
    <row r="70" spans="2:8" x14ac:dyDescent="0.2">
      <c r="B70" s="343" t="str">
        <f t="shared" si="0"/>
        <v>Bemessungsjahr 2015</v>
      </c>
      <c r="C70" s="348" t="s">
        <v>136</v>
      </c>
      <c r="D70" s="13" t="str">
        <f>D$68 &amp; " " &amp; $G$2-5</f>
        <v>Bemessungsjahr 2015</v>
      </c>
      <c r="E70" s="13" t="str">
        <f>E$68 &amp; " " &amp; $G$2-5</f>
        <v>Année de calcul 2015</v>
      </c>
      <c r="F70" s="13" t="str">
        <f>F$68 &amp; " " &amp; $G$2-5</f>
        <v>Anno di calcolo 2015</v>
      </c>
      <c r="G70" s="13" t="str">
        <f>G$68 &amp; " " &amp; $G$2-5</f>
        <v>Assessment year 2015</v>
      </c>
      <c r="H70" s="13" t="s">
        <v>136</v>
      </c>
    </row>
    <row r="71" spans="2:8" x14ac:dyDescent="0.2">
      <c r="B71" s="345" t="str">
        <f t="shared" si="0"/>
        <v>Bemessungsjahr 2016</v>
      </c>
      <c r="C71" s="348"/>
      <c r="D71" s="13" t="str">
        <f>D$68 &amp; " " &amp; $G$2-4</f>
        <v>Bemessungsjahr 2016</v>
      </c>
      <c r="E71" s="13" t="str">
        <f>E$68 &amp; " " &amp; $G$2-4</f>
        <v>Année de calcul 2016</v>
      </c>
      <c r="F71" s="13" t="str">
        <f>F$68 &amp; " " &amp; $G$2-4</f>
        <v>Anno di calcolo 2016</v>
      </c>
      <c r="G71" s="13" t="str">
        <f>G$68 &amp; " " &amp; $G$2-4</f>
        <v>Assessment year 2016</v>
      </c>
      <c r="H71" s="13" t="s">
        <v>136</v>
      </c>
    </row>
    <row r="72" spans="2:8" x14ac:dyDescent="0.2">
      <c r="B72" s="346" t="str">
        <f t="shared" si="0"/>
        <v>Zahlungen im</v>
      </c>
      <c r="C72" s="348" t="s">
        <v>170</v>
      </c>
      <c r="D72" s="336" t="s">
        <v>95</v>
      </c>
      <c r="E72" s="336" t="s">
        <v>302</v>
      </c>
      <c r="F72" s="336" t="s">
        <v>352</v>
      </c>
      <c r="G72" s="336" t="s">
        <v>281</v>
      </c>
      <c r="H72" s="336" t="s">
        <v>136</v>
      </c>
    </row>
    <row r="73" spans="2:8" x14ac:dyDescent="0.2">
      <c r="B73" s="346" t="str">
        <f t="shared" si="0"/>
        <v>Ressourcenausgleich 2020</v>
      </c>
      <c r="C73" s="348" t="s">
        <v>136</v>
      </c>
      <c r="D73" s="336" t="str">
        <f>"Ressourcenausgleich " &amp; $G$2</f>
        <v>Ressourcenausgleich 2020</v>
      </c>
      <c r="E73" s="336" t="str">
        <f>"péréquation des ressources " &amp; $G$2</f>
        <v>péréquation des ressources 2020</v>
      </c>
      <c r="F73" s="336" t="str">
        <f>"Perequazione delle risorse " &amp; $G$2</f>
        <v>Perequazione delle risorse 2020</v>
      </c>
      <c r="G73" s="336" t="str">
        <f>"Resource equalization " &amp; $G$2</f>
        <v>Resource equalization 2020</v>
      </c>
      <c r="H73" s="336" t="s">
        <v>136</v>
      </c>
    </row>
    <row r="74" spans="2:8" x14ac:dyDescent="0.2">
      <c r="B74" s="343" t="str">
        <f t="shared" ref="B74:B144" si="1">HLOOKUP($B$9,$D$9:$G$227,ROW()-$B$8,FALSE)</f>
        <v>(+) Einzahlungen; (-) Auszahlungen in CHF</v>
      </c>
      <c r="C74" s="348" t="s">
        <v>136</v>
      </c>
      <c r="D74" s="13" t="s">
        <v>125</v>
      </c>
      <c r="E74" s="13" t="s">
        <v>383</v>
      </c>
      <c r="F74" s="13" t="s">
        <v>353</v>
      </c>
      <c r="G74" s="13" t="s">
        <v>282</v>
      </c>
      <c r="H74" s="13" t="s">
        <v>136</v>
      </c>
    </row>
    <row r="75" spans="2:8" x14ac:dyDescent="0.2">
      <c r="B75" s="343" t="str">
        <f t="shared" si="1"/>
        <v>Ressourcen-
index</v>
      </c>
      <c r="C75" s="348" t="s">
        <v>136</v>
      </c>
      <c r="D75" s="13" t="s">
        <v>117</v>
      </c>
      <c r="E75" s="13" t="s">
        <v>449</v>
      </c>
      <c r="F75" s="13" t="s">
        <v>466</v>
      </c>
      <c r="G75" s="13" t="s">
        <v>468</v>
      </c>
      <c r="H75" s="13" t="s">
        <v>136</v>
      </c>
    </row>
    <row r="76" spans="2:8" x14ac:dyDescent="0.2">
      <c r="B76" s="343" t="str">
        <f t="shared" si="1"/>
        <v>Ausgleichszahlungen</v>
      </c>
      <c r="C76" s="348" t="s">
        <v>136</v>
      </c>
      <c r="D76" s="13" t="s">
        <v>68</v>
      </c>
      <c r="E76" s="13" t="s">
        <v>230</v>
      </c>
      <c r="F76" s="13" t="s">
        <v>354</v>
      </c>
      <c r="G76" s="13" t="s">
        <v>283</v>
      </c>
      <c r="H76" s="13" t="s">
        <v>136</v>
      </c>
    </row>
    <row r="77" spans="2:8" x14ac:dyDescent="0.2">
      <c r="B77" s="343" t="str">
        <f t="shared" si="1"/>
        <v>Pro Einwohner</v>
      </c>
      <c r="C77" s="348" t="s">
        <v>136</v>
      </c>
      <c r="D77" s="13" t="s">
        <v>69</v>
      </c>
      <c r="E77" s="13" t="s">
        <v>231</v>
      </c>
      <c r="F77" s="13" t="s">
        <v>355</v>
      </c>
      <c r="G77" s="13" t="s">
        <v>284</v>
      </c>
      <c r="H77" s="13" t="s">
        <v>136</v>
      </c>
    </row>
    <row r="78" spans="2:8" x14ac:dyDescent="0.2">
      <c r="B78" s="345" t="str">
        <f t="shared" si="1"/>
        <v>Die Berechnung des Ressourcenausgleichs wird im technischen Bericht detailliert beschrieben:
www.efv.admin.ch → Themen  → Finanzausgleich  → Dokumentation</v>
      </c>
      <c r="C78" s="348" t="s">
        <v>136</v>
      </c>
      <c r="D78" s="13" t="s">
        <v>124</v>
      </c>
      <c r="E78" s="13" t="s">
        <v>465</v>
      </c>
      <c r="F78" s="13" t="s">
        <v>469</v>
      </c>
      <c r="G78" s="13" t="s">
        <v>470</v>
      </c>
      <c r="H78" s="13" t="s">
        <v>136</v>
      </c>
    </row>
    <row r="79" spans="2:8" x14ac:dyDescent="0.2">
      <c r="B79" s="346" t="str">
        <f t="shared" si="1"/>
        <v>Einkommen natürlicher Personen 2020</v>
      </c>
      <c r="C79" s="348" t="s">
        <v>171</v>
      </c>
      <c r="D79" s="336" t="str">
        <f>"Einkommen natürlicher Personen " &amp; $G$2</f>
        <v>Einkommen natürlicher Personen 2020</v>
      </c>
      <c r="E79" s="336" t="str">
        <f>"Revenu des personnes physiques " &amp; $G$2</f>
        <v>Revenu des personnes physiques 2020</v>
      </c>
      <c r="F79" s="336" t="str">
        <f>"Reddito delle persone fisiche " &amp; $G$2</f>
        <v>Reddito delle persone fisiche 2020</v>
      </c>
      <c r="G79" s="336" t="str">
        <f>"Income of natural persons " &amp; $G$2</f>
        <v>Income of natural persons 2020</v>
      </c>
      <c r="H79" s="336" t="s">
        <v>136</v>
      </c>
    </row>
    <row r="80" spans="2:8" ht="11.25" customHeight="1" x14ac:dyDescent="0.2">
      <c r="B80" s="343" t="str">
        <f t="shared" si="1"/>
        <v>Steuerpflichtige mit steuerbarem Einkommen
grösser oder gleich dem Freibetrag</v>
      </c>
      <c r="C80" s="348" t="s">
        <v>136</v>
      </c>
      <c r="D80" s="13" t="s">
        <v>553</v>
      </c>
      <c r="E80" s="13" t="s">
        <v>557</v>
      </c>
      <c r="F80" s="13" t="s">
        <v>558</v>
      </c>
      <c r="G80" s="13" t="s">
        <v>559</v>
      </c>
      <c r="H80" s="13" t="s">
        <v>136</v>
      </c>
    </row>
    <row r="81" spans="2:8" ht="11.25" customHeight="1" x14ac:dyDescent="0.2">
      <c r="B81" s="343" t="str">
        <f t="shared" si="1"/>
        <v>Steuerpflichtige</v>
      </c>
      <c r="C81" s="348" t="s">
        <v>136</v>
      </c>
      <c r="D81" s="13" t="s">
        <v>101</v>
      </c>
      <c r="E81" s="13" t="s">
        <v>303</v>
      </c>
      <c r="F81" s="13" t="s">
        <v>356</v>
      </c>
      <c r="G81" s="13" t="s">
        <v>508</v>
      </c>
      <c r="H81" s="13" t="s">
        <v>136</v>
      </c>
    </row>
    <row r="82" spans="2:8" ht="11.25" customHeight="1" x14ac:dyDescent="0.2">
      <c r="B82" s="343" t="str">
        <f t="shared" si="1"/>
        <v>Steuerbares Einkommen
der Steuerpflichtigen</v>
      </c>
      <c r="C82" s="348" t="s">
        <v>136</v>
      </c>
      <c r="D82" s="13" t="s">
        <v>385</v>
      </c>
      <c r="E82" s="13" t="s">
        <v>420</v>
      </c>
      <c r="F82" s="13" t="s">
        <v>467</v>
      </c>
      <c r="G82" s="13" t="s">
        <v>507</v>
      </c>
      <c r="H82" s="13" t="s">
        <v>136</v>
      </c>
    </row>
    <row r="83" spans="2:8" ht="11.25" customHeight="1" x14ac:dyDescent="0.2">
      <c r="B83" s="343" t="str">
        <f t="shared" si="1"/>
        <v>Massgebendes
Einkommen der
natürlichen
Personen</v>
      </c>
      <c r="C83" s="348" t="s">
        <v>136</v>
      </c>
      <c r="D83" s="13" t="s">
        <v>402</v>
      </c>
      <c r="E83" s="13" t="s">
        <v>421</v>
      </c>
      <c r="F83" s="13" t="s">
        <v>489</v>
      </c>
      <c r="G83" s="13" t="s">
        <v>509</v>
      </c>
      <c r="H83" s="13" t="s">
        <v>136</v>
      </c>
    </row>
    <row r="84" spans="2:8" ht="11.25" customHeight="1" x14ac:dyDescent="0.2">
      <c r="B84" s="343" t="str">
        <f t="shared" si="1"/>
        <v>Freibetrag pro
steuerpflichtige Person</v>
      </c>
      <c r="C84" s="348" t="s">
        <v>136</v>
      </c>
      <c r="D84" s="13" t="s">
        <v>554</v>
      </c>
      <c r="E84" s="13" t="s">
        <v>555</v>
      </c>
      <c r="F84" s="13" t="s">
        <v>556</v>
      </c>
      <c r="G84" s="13" t="s">
        <v>560</v>
      </c>
      <c r="H84" s="13" t="s">
        <v>136</v>
      </c>
    </row>
    <row r="85" spans="2:8" x14ac:dyDescent="0.2">
      <c r="B85" s="345" t="str">
        <f t="shared" si="1"/>
        <v>Bemessungsjahr</v>
      </c>
      <c r="C85" s="348" t="s">
        <v>136</v>
      </c>
      <c r="D85" s="13" t="s">
        <v>103</v>
      </c>
      <c r="E85" s="13" t="s">
        <v>229</v>
      </c>
      <c r="F85" s="13" t="s">
        <v>351</v>
      </c>
      <c r="G85" s="13" t="s">
        <v>222</v>
      </c>
      <c r="H85" s="13" t="s">
        <v>136</v>
      </c>
    </row>
    <row r="86" spans="2:8" x14ac:dyDescent="0.2">
      <c r="B86" s="346" t="str">
        <f t="shared" si="1"/>
        <v>Quellenbesteuerte Einkommen natürlicher Personen 2020</v>
      </c>
      <c r="C86" s="348" t="s">
        <v>172</v>
      </c>
      <c r="D86" s="336" t="str">
        <f>"Quellenbesteuerte Einkommen natürlicher Personen " &amp; $G$2</f>
        <v>Quellenbesteuerte Einkommen natürlicher Personen 2020</v>
      </c>
      <c r="E86" s="336" t="str">
        <f>"Revenu des personnes physiques pour l’imposition à la source " &amp; $G$2</f>
        <v>Revenu des personnes physiques pour l’imposition à la source 2020</v>
      </c>
      <c r="F86" s="336" t="str">
        <f>"Reddito tassato alla fonte delle persone fisiche " &amp; $G$2</f>
        <v>Reddito tassato alla fonte delle persone fisiche 2020</v>
      </c>
      <c r="G86" s="336" t="str">
        <f>"Income of natural persons taxed at source " &amp; $G$2</f>
        <v>Income of natural persons taxed at source 2020</v>
      </c>
      <c r="H86" s="336" t="s">
        <v>136</v>
      </c>
    </row>
    <row r="87" spans="2:8" x14ac:dyDescent="0.2">
      <c r="B87" s="343" t="str">
        <f t="shared" si="1"/>
        <v>Bruttoeinkommen</v>
      </c>
      <c r="C87" s="348" t="s">
        <v>136</v>
      </c>
      <c r="D87" s="13" t="s">
        <v>105</v>
      </c>
      <c r="E87" s="13" t="s">
        <v>232</v>
      </c>
      <c r="F87" s="13" t="s">
        <v>357</v>
      </c>
      <c r="G87" s="13" t="s">
        <v>285</v>
      </c>
      <c r="H87" s="13" t="s">
        <v>136</v>
      </c>
    </row>
    <row r="88" spans="2:8" x14ac:dyDescent="0.2">
      <c r="B88" s="343" t="str">
        <f t="shared" si="1"/>
        <v>Gebietsansässige
Ausländer und
ausländische
Verwaltungsräte</v>
      </c>
      <c r="C88" s="348" t="s">
        <v>136</v>
      </c>
      <c r="D88" s="13" t="s">
        <v>386</v>
      </c>
      <c r="E88" s="13" t="s">
        <v>422</v>
      </c>
      <c r="F88" s="13" t="s">
        <v>471</v>
      </c>
      <c r="G88" s="13" t="s">
        <v>510</v>
      </c>
      <c r="H88" s="13" t="s">
        <v>136</v>
      </c>
    </row>
    <row r="89" spans="2:8" x14ac:dyDescent="0.2">
      <c r="B89" s="343" t="str">
        <f t="shared" si="1"/>
        <v>Vollständig
besteuerte
Grenzgänger</v>
      </c>
      <c r="C89" s="348" t="s">
        <v>136</v>
      </c>
      <c r="D89" s="13" t="s">
        <v>387</v>
      </c>
      <c r="E89" s="13" t="s">
        <v>423</v>
      </c>
      <c r="F89" s="13" t="s">
        <v>472</v>
      </c>
      <c r="G89" s="13" t="s">
        <v>511</v>
      </c>
      <c r="H89" s="13" t="s">
        <v>136</v>
      </c>
    </row>
    <row r="90" spans="2:8" x14ac:dyDescent="0.2">
      <c r="B90" s="343" t="str">
        <f t="shared" si="1"/>
        <v>Begrenzt
besteuerte
Grenzgänger
aus Österreich</v>
      </c>
      <c r="C90" s="348" t="s">
        <v>136</v>
      </c>
      <c r="D90" s="13" t="s">
        <v>388</v>
      </c>
      <c r="E90" s="13" t="s">
        <v>424</v>
      </c>
      <c r="F90" s="13" t="s">
        <v>473</v>
      </c>
      <c r="G90" s="13" t="s">
        <v>512</v>
      </c>
      <c r="H90" s="13" t="s">
        <v>136</v>
      </c>
    </row>
    <row r="91" spans="2:8" x14ac:dyDescent="0.2">
      <c r="B91" s="343" t="str">
        <f t="shared" si="1"/>
        <v>Begrenzt
besteuerte
Grenzgänger
aus Deutschland</v>
      </c>
      <c r="C91" s="348" t="s">
        <v>136</v>
      </c>
      <c r="D91" s="13" t="s">
        <v>389</v>
      </c>
      <c r="E91" s="13" t="s">
        <v>425</v>
      </c>
      <c r="F91" s="13" t="s">
        <v>475</v>
      </c>
      <c r="G91" s="13" t="s">
        <v>513</v>
      </c>
      <c r="H91" s="13" t="s">
        <v>136</v>
      </c>
    </row>
    <row r="92" spans="2:8" x14ac:dyDescent="0.2">
      <c r="B92" s="343" t="str">
        <f t="shared" si="1"/>
        <v>Begrenzt besteuerte
Grenzgänger aus
Frankreich mit
Besteuerung durch
den Kanton Genf</v>
      </c>
      <c r="C92" s="348" t="s">
        <v>136</v>
      </c>
      <c r="D92" s="13" t="s">
        <v>390</v>
      </c>
      <c r="E92" s="13" t="s">
        <v>428</v>
      </c>
      <c r="F92" s="13" t="s">
        <v>474</v>
      </c>
      <c r="G92" s="13" t="s">
        <v>515</v>
      </c>
      <c r="H92" s="13" t="s">
        <v>136</v>
      </c>
    </row>
    <row r="93" spans="2:8" x14ac:dyDescent="0.2">
      <c r="B93" s="343" t="str">
        <f t="shared" si="1"/>
        <v>Begrenzt besteuerte
Grenzgänger aus
Frankreich mit
Besteuerung durch
Frankreich</v>
      </c>
      <c r="C93" s="348" t="s">
        <v>136</v>
      </c>
      <c r="D93" s="13" t="s">
        <v>391</v>
      </c>
      <c r="E93" s="13" t="s">
        <v>426</v>
      </c>
      <c r="F93" s="13" t="s">
        <v>476</v>
      </c>
      <c r="G93" s="13" t="s">
        <v>514</v>
      </c>
      <c r="H93" s="13" t="s">
        <v>136</v>
      </c>
    </row>
    <row r="94" spans="2:8" x14ac:dyDescent="0.2">
      <c r="B94" s="343" t="str">
        <f t="shared" si="1"/>
        <v>Begrenzt
besteuerte
Grenzgänger
aus Italien</v>
      </c>
      <c r="C94" s="348" t="s">
        <v>136</v>
      </c>
      <c r="D94" s="13" t="s">
        <v>392</v>
      </c>
      <c r="E94" s="13" t="s">
        <v>427</v>
      </c>
      <c r="F94" s="13" t="s">
        <v>477</v>
      </c>
      <c r="G94" s="13" t="s">
        <v>516</v>
      </c>
      <c r="H94" s="13" t="s">
        <v>136</v>
      </c>
    </row>
    <row r="95" spans="2:8" x14ac:dyDescent="0.2">
      <c r="B95" s="343" t="str">
        <f t="shared" si="1"/>
        <v>Standardisierter Steuersatz SST(2017)</v>
      </c>
      <c r="C95" s="348" t="s">
        <v>136</v>
      </c>
      <c r="D95" s="13" t="str">
        <f>"Standardisierter Steuersatz SST(" &amp; $G$2-3 &amp; ")"</f>
        <v>Standardisierter Steuersatz SST(2017)</v>
      </c>
      <c r="E95" s="13" t="str">
        <f>"Taux fiscal standardisé TFS(" &amp; $G$2-3 &amp; ")"</f>
        <v>Taux fiscal standardisé TFS(2017)</v>
      </c>
      <c r="F95" s="13" t="str">
        <f>"Aliquota d'imposta standardizzata AIS(" &amp; $G$2-3 &amp; ")"</f>
        <v>Aliquota d'imposta standardizzata AIS(2017)</v>
      </c>
      <c r="G95" s="13" t="str">
        <f>"Standardized tax rate STRate(" &amp; $G$2-3 &amp; ")"</f>
        <v>Standardized tax rate STRate(2017)</v>
      </c>
      <c r="H95" s="13" t="s">
        <v>136</v>
      </c>
    </row>
    <row r="96" spans="2:8" x14ac:dyDescent="0.2">
      <c r="B96" s="343" t="str">
        <f t="shared" si="1"/>
        <v>Standardisierter Steuersatz SST(2018)</v>
      </c>
      <c r="C96" s="348" t="s">
        <v>136</v>
      </c>
      <c r="D96" s="13" t="str">
        <f>"Standardisierter Steuersatz SST(" &amp; $G$2-2 &amp; ")"</f>
        <v>Standardisierter Steuersatz SST(2018)</v>
      </c>
      <c r="E96" s="13" t="str">
        <f>"Taux fiscal standardisé TFS(" &amp; $G$2-2 &amp; ")"</f>
        <v>Taux fiscal standardisé TFS(2018)</v>
      </c>
      <c r="F96" s="13" t="str">
        <f>"Aliquota d'imposta standardizzata AIS(" &amp; $G$2-2 &amp; ")"</f>
        <v>Aliquota d'imposta standardizzata AIS(2018)</v>
      </c>
      <c r="G96" s="13" t="str">
        <f>"Standardized tax rate STRate(" &amp; $G$2-2 &amp; ")"</f>
        <v>Standardized tax rate STRate(2018)</v>
      </c>
      <c r="H96" s="13" t="s">
        <v>136</v>
      </c>
    </row>
    <row r="97" spans="2:8" x14ac:dyDescent="0.2">
      <c r="B97" s="343" t="str">
        <f t="shared" si="1"/>
        <v>Standardisierter Steuersatz SST(2019)</v>
      </c>
      <c r="C97" s="348" t="s">
        <v>136</v>
      </c>
      <c r="D97" s="13" t="str">
        <f>"Standardisierter Steuersatz SST(" &amp; $G$2-1 &amp; ")"</f>
        <v>Standardisierter Steuersatz SST(2019)</v>
      </c>
      <c r="E97" s="13" t="str">
        <f>"Taux fiscal standardisé TFS(" &amp; $G$2-1 &amp; ")"</f>
        <v>Taux fiscal standardisé TFS(2019)</v>
      </c>
      <c r="F97" s="13" t="str">
        <f>"Aliquota d'imposta standardizzata AIS(" &amp; $G$2-1 &amp; ")"</f>
        <v>Aliquota d'imposta standardizzata AIS(2019)</v>
      </c>
      <c r="G97" s="13" t="str">
        <f>"Standardized tax rate STRate(" &amp; $G$2-1 &amp; ")"</f>
        <v>Standardized tax rate STRate(2019)</v>
      </c>
      <c r="H97" s="13" t="s">
        <v>136</v>
      </c>
    </row>
    <row r="98" spans="2:8" x14ac:dyDescent="0.2">
      <c r="B98" s="343" t="str">
        <f t="shared" si="1"/>
        <v>Faktor Delta</v>
      </c>
      <c r="C98" s="348" t="s">
        <v>136</v>
      </c>
      <c r="D98" s="13" t="s">
        <v>76</v>
      </c>
      <c r="E98" s="13" t="s">
        <v>233</v>
      </c>
      <c r="F98" s="13" t="s">
        <v>358</v>
      </c>
      <c r="G98" s="13" t="s">
        <v>250</v>
      </c>
      <c r="H98" s="13" t="s">
        <v>136</v>
      </c>
    </row>
    <row r="99" spans="2:8" x14ac:dyDescent="0.2">
      <c r="B99" s="343" t="str">
        <f t="shared" si="1"/>
        <v>Gamma 2014</v>
      </c>
      <c r="C99" s="348" t="s">
        <v>136</v>
      </c>
      <c r="D99" s="13" t="str">
        <f>"Gamma " &amp; $G$2-6</f>
        <v>Gamma 2014</v>
      </c>
      <c r="E99" s="13" t="str">
        <f>"Gamma " &amp; G$2-6</f>
        <v>Gamma 2014</v>
      </c>
      <c r="F99" s="13" t="str">
        <f>"Gamma " &amp; G$2-6</f>
        <v>Gamma 2014</v>
      </c>
      <c r="G99" s="13" t="str">
        <f>"Gamma " &amp; $G$2-6</f>
        <v>Gamma 2014</v>
      </c>
      <c r="H99" s="13" t="s">
        <v>136</v>
      </c>
    </row>
    <row r="100" spans="2:8" x14ac:dyDescent="0.2">
      <c r="B100" s="343" t="str">
        <f t="shared" si="1"/>
        <v>Gamma 2015</v>
      </c>
      <c r="C100" s="348" t="s">
        <v>136</v>
      </c>
      <c r="D100" s="13" t="str">
        <f>"Gamma " &amp; $G$2-5</f>
        <v>Gamma 2015</v>
      </c>
      <c r="E100" s="13" t="str">
        <f>"Gamma " &amp; G$2-5</f>
        <v>Gamma 2015</v>
      </c>
      <c r="F100" s="13" t="str">
        <f>"Gamma " &amp; G$2-5</f>
        <v>Gamma 2015</v>
      </c>
      <c r="G100" s="13" t="str">
        <f>"Gamma " &amp; $G$2-5</f>
        <v>Gamma 2015</v>
      </c>
      <c r="H100" s="13" t="s">
        <v>136</v>
      </c>
    </row>
    <row r="101" spans="2:8" x14ac:dyDescent="0.2">
      <c r="B101" s="343" t="str">
        <f t="shared" si="1"/>
        <v>Berechnung Gamma 2016</v>
      </c>
      <c r="C101" s="348" t="s">
        <v>136</v>
      </c>
      <c r="D101" s="13" t="str">
        <f>"Berechnung Gamma " &amp; $G$2-4</f>
        <v>Berechnung Gamma 2016</v>
      </c>
      <c r="E101" s="13" t="str">
        <f>"Calcul Gamma " &amp; G$2-4</f>
        <v>Calcul Gamma 2016</v>
      </c>
      <c r="F101" s="13" t="str">
        <f>"Calcolo gamma " &amp; G$2-4</f>
        <v>Calcolo gamma 2016</v>
      </c>
      <c r="G101" s="13" t="str">
        <f>"Gamma calculation " &amp; $G$2-4</f>
        <v>Gamma calculation 2016</v>
      </c>
      <c r="H101" s="13" t="s">
        <v>136</v>
      </c>
    </row>
    <row r="102" spans="2:8" x14ac:dyDescent="0.2">
      <c r="B102" s="343" t="str">
        <f t="shared" si="1"/>
        <v>in CHF 1'000</v>
      </c>
      <c r="C102" s="348" t="s">
        <v>136</v>
      </c>
      <c r="D102" s="13" t="s">
        <v>39</v>
      </c>
      <c r="E102" s="13" t="s">
        <v>382</v>
      </c>
      <c r="F102" s="13" t="s">
        <v>359</v>
      </c>
      <c r="G102" s="13" t="s">
        <v>286</v>
      </c>
      <c r="H102" s="13" t="s">
        <v>136</v>
      </c>
    </row>
    <row r="103" spans="2:8" x14ac:dyDescent="0.2">
      <c r="B103" s="343" t="str">
        <f t="shared" si="1"/>
        <v>A    Primäreinkommen der privaten Haushalte</v>
      </c>
      <c r="C103" s="348" t="s">
        <v>136</v>
      </c>
      <c r="D103" s="13" t="s">
        <v>82</v>
      </c>
      <c r="E103" s="13" t="s">
        <v>234</v>
      </c>
      <c r="F103" s="13" t="s">
        <v>360</v>
      </c>
      <c r="G103" s="13" t="s">
        <v>251</v>
      </c>
      <c r="H103" s="13" t="s">
        <v>136</v>
      </c>
    </row>
    <row r="104" spans="2:8" x14ac:dyDescent="0.2">
      <c r="B104" s="343" t="str">
        <f t="shared" si="1"/>
        <v>B    Massgebendes Einkommen</v>
      </c>
      <c r="C104" s="348" t="s">
        <v>136</v>
      </c>
      <c r="D104" s="13" t="s">
        <v>83</v>
      </c>
      <c r="E104" s="13" t="s">
        <v>235</v>
      </c>
      <c r="F104" s="13" t="s">
        <v>361</v>
      </c>
      <c r="G104" s="13" t="s">
        <v>252</v>
      </c>
      <c r="H104" s="13" t="s">
        <v>136</v>
      </c>
    </row>
    <row r="105" spans="2:8" x14ac:dyDescent="0.2">
      <c r="B105" s="343" t="str">
        <f t="shared" si="1"/>
        <v>C    Gamma (B / A)</v>
      </c>
      <c r="C105" s="348" t="s">
        <v>136</v>
      </c>
      <c r="D105" s="13" t="s">
        <v>192</v>
      </c>
      <c r="E105" s="13" t="s">
        <v>192</v>
      </c>
      <c r="F105" s="13" t="s">
        <v>192</v>
      </c>
      <c r="G105" s="13" t="s">
        <v>192</v>
      </c>
      <c r="H105" s="13" t="s">
        <v>136</v>
      </c>
    </row>
    <row r="106" spans="2:8" x14ac:dyDescent="0.2">
      <c r="B106" s="343" t="str">
        <f t="shared" si="1"/>
        <v>Formel für Gewicht</v>
      </c>
      <c r="C106" s="348" t="s">
        <v>136</v>
      </c>
      <c r="D106" s="13" t="s">
        <v>94</v>
      </c>
      <c r="E106" s="13" t="s">
        <v>236</v>
      </c>
      <c r="F106" s="13" t="s">
        <v>362</v>
      </c>
      <c r="G106" s="13" t="s">
        <v>287</v>
      </c>
      <c r="H106" s="13" t="s">
        <v>136</v>
      </c>
    </row>
    <row r="107" spans="2:8" x14ac:dyDescent="0.2">
      <c r="B107" s="343" t="str">
        <f t="shared" si="1"/>
        <v>Gewicht (ω)</v>
      </c>
      <c r="C107" s="348" t="s">
        <v>136</v>
      </c>
      <c r="D107" s="13" t="s">
        <v>106</v>
      </c>
      <c r="E107" s="13" t="s">
        <v>237</v>
      </c>
      <c r="F107" s="13" t="s">
        <v>363</v>
      </c>
      <c r="G107" s="13" t="s">
        <v>288</v>
      </c>
      <c r="H107" s="13" t="s">
        <v>136</v>
      </c>
    </row>
    <row r="108" spans="2:8" x14ac:dyDescent="0.2">
      <c r="B108" s="343" t="str">
        <f t="shared" si="1"/>
        <v>0.045 / SST(2017)</v>
      </c>
      <c r="C108" s="348" t="s">
        <v>136</v>
      </c>
      <c r="D108" s="13" t="str">
        <f>"0.045 / SST(" &amp; $G$2-3 &amp; ")"</f>
        <v>0.045 / SST(2017)</v>
      </c>
      <c r="E108" s="13" t="str">
        <f>"0.045 / TFS(" &amp; $G$2-3 &amp; ")"</f>
        <v>0.045 / TFS(2017)</v>
      </c>
      <c r="F108" s="13" t="str">
        <f>"0.045 / AIS(" &amp; $G$2-3 &amp; ")"</f>
        <v>0.045 / AIS(2017)</v>
      </c>
      <c r="G108" s="13" t="str">
        <f>"0.045 / STRate(" &amp; $G$2-3 &amp; ")"</f>
        <v>0.045 / STRate(2017)</v>
      </c>
      <c r="H108" s="13" t="s">
        <v>136</v>
      </c>
    </row>
    <row r="109" spans="2:8" x14ac:dyDescent="0.2">
      <c r="B109" s="343" t="str">
        <f t="shared" si="1"/>
        <v>γ - 0.035 / SST(2017)</v>
      </c>
      <c r="C109" s="348" t="s">
        <v>136</v>
      </c>
      <c r="D109" s="13" t="str">
        <f>"γ - 0.035 / SST(" &amp; $G$2-3 &amp; ")"</f>
        <v>γ - 0.035 / SST(2017)</v>
      </c>
      <c r="E109" s="13" t="str">
        <f>"γ - 0.035 / TFS(" &amp; $G$2-3 &amp; ")"</f>
        <v>γ - 0.035 / TFS(2017)</v>
      </c>
      <c r="F109" s="13" t="str">
        <f>"γ - 0.035 / AIS(" &amp; $G$2-3 &amp; ")"</f>
        <v>γ - 0.035 / AIS(2017)</v>
      </c>
      <c r="G109" s="13" t="str">
        <f>"γ - 0.035 / STRate(" &amp; $G$2-3 &amp; ")"</f>
        <v>γ - 0.035 / STRate(2017)</v>
      </c>
      <c r="H109" s="13" t="s">
        <v>136</v>
      </c>
    </row>
    <row r="110" spans="2:8" x14ac:dyDescent="0.2">
      <c r="B110" s="343" t="str">
        <f t="shared" si="1"/>
        <v>0.045 / SST(2018)</v>
      </c>
      <c r="C110" s="348" t="s">
        <v>136</v>
      </c>
      <c r="D110" s="13" t="str">
        <f>"0.045 / SST(" &amp; $G$2-2 &amp; ")"</f>
        <v>0.045 / SST(2018)</v>
      </c>
      <c r="E110" s="13" t="str">
        <f>"0.045 / TFS(" &amp; $G$2-2 &amp; ")"</f>
        <v>0.045 / TFS(2018)</v>
      </c>
      <c r="F110" s="13" t="str">
        <f>"0.045 / AIS(" &amp; $G$2-2 &amp; ")"</f>
        <v>0.045 / AIS(2018)</v>
      </c>
      <c r="G110" s="13" t="str">
        <f>"0.045 / STRate(" &amp; $G$2-2 &amp; ")"</f>
        <v>0.045 / STRate(2018)</v>
      </c>
      <c r="H110" s="13" t="s">
        <v>136</v>
      </c>
    </row>
    <row r="111" spans="2:8" x14ac:dyDescent="0.2">
      <c r="B111" s="343" t="str">
        <f t="shared" si="1"/>
        <v>γ - 0.035 / SST(2018)</v>
      </c>
      <c r="C111" s="348" t="s">
        <v>136</v>
      </c>
      <c r="D111" s="13" t="str">
        <f>"γ - 0.035 / SST(" &amp; $G$2-2 &amp; ")"</f>
        <v>γ - 0.035 / SST(2018)</v>
      </c>
      <c r="E111" s="13" t="str">
        <f>"γ - 0.035 / TFS(" &amp; $G$2-2 &amp; ")"</f>
        <v>γ - 0.035 / TFS(2018)</v>
      </c>
      <c r="F111" s="13" t="str">
        <f>"γ - 0.035 / AIS(" &amp; $G$2-2 &amp; ")"</f>
        <v>γ - 0.035 / AIS(2018)</v>
      </c>
      <c r="G111" s="13" t="str">
        <f>"γ - 0.035 / STRate(" &amp; $G$2-2 &amp; ")"</f>
        <v>γ - 0.035 / STRate(2018)</v>
      </c>
      <c r="H111" s="13" t="s">
        <v>136</v>
      </c>
    </row>
    <row r="112" spans="2:8" x14ac:dyDescent="0.2">
      <c r="B112" s="343" t="str">
        <f t="shared" si="1"/>
        <v>0.045 / SST(2019)</v>
      </c>
      <c r="C112" s="348" t="s">
        <v>136</v>
      </c>
      <c r="D112" s="13" t="str">
        <f>"0.045 / SST(" &amp; $G$2-1 &amp; ")"</f>
        <v>0.045 / SST(2019)</v>
      </c>
      <c r="E112" s="13" t="str">
        <f>"0.045 / TFS(" &amp; $G$2-1 &amp; ")"</f>
        <v>0.045 / TFS(2019)</v>
      </c>
      <c r="F112" s="13" t="str">
        <f>"0.045 / AIS(" &amp; $G$2-1 &amp; ")"</f>
        <v>0.045 / AIS(2019)</v>
      </c>
      <c r="G112" s="13" t="str">
        <f>"0.045 / STRate(" &amp; $G$2-1 &amp; ")"</f>
        <v>0.045 / STRate(2019)</v>
      </c>
      <c r="H112" s="13" t="s">
        <v>136</v>
      </c>
    </row>
    <row r="113" spans="2:8" x14ac:dyDescent="0.2">
      <c r="B113" s="343" t="str">
        <f t="shared" si="1"/>
        <v>γ - 0.035 / SST(2019)</v>
      </c>
      <c r="C113" s="348" t="s">
        <v>136</v>
      </c>
      <c r="D113" s="13" t="str">
        <f>"γ - 0.035 / SST(" &amp; $G$2-1 &amp; ")"</f>
        <v>γ - 0.035 / SST(2019)</v>
      </c>
      <c r="E113" s="13" t="str">
        <f>"γ - 0.035 / TFS(" &amp; $G$2-1 &amp; ")"</f>
        <v>γ - 0.035 / TFS(2019)</v>
      </c>
      <c r="F113" s="13" t="str">
        <f>"γ - 0.035 / AIS(" &amp; $G$2-1 &amp; ")"</f>
        <v>γ - 0.035 / AIS(2019)</v>
      </c>
      <c r="G113" s="13" t="str">
        <f>"γ - 0.035 / STRate(" &amp; $G$2-1 &amp; ")"</f>
        <v>γ - 0.035 / STRate(2019)</v>
      </c>
      <c r="H113" s="13" t="s">
        <v>136</v>
      </c>
    </row>
    <row r="114" spans="2:8" ht="11.25" customHeight="1" x14ac:dyDescent="0.2">
      <c r="B114" s="343" t="str">
        <f t="shared" si="1"/>
        <v>Grenzgänger
Total</v>
      </c>
      <c r="C114" s="348" t="s">
        <v>136</v>
      </c>
      <c r="D114" s="13" t="s">
        <v>194</v>
      </c>
      <c r="E114" s="13" t="s">
        <v>549</v>
      </c>
      <c r="F114" s="13" t="s">
        <v>478</v>
      </c>
      <c r="G114" s="13" t="s">
        <v>517</v>
      </c>
      <c r="H114" s="13" t="s">
        <v>136</v>
      </c>
    </row>
    <row r="115" spans="2:8" x14ac:dyDescent="0.2">
      <c r="B115" s="343" t="str">
        <f t="shared" si="1"/>
        <v>Ergebnis auf
der Basis der
Bruttolöhne
(Grenzgänger)</v>
      </c>
      <c r="C115" s="348" t="s">
        <v>136</v>
      </c>
      <c r="D115" s="13" t="s">
        <v>393</v>
      </c>
      <c r="E115" s="13" t="s">
        <v>429</v>
      </c>
      <c r="F115" s="13" t="s">
        <v>479</v>
      </c>
      <c r="G115" s="13" t="s">
        <v>518</v>
      </c>
      <c r="H115" s="13" t="s">
        <v>136</v>
      </c>
    </row>
    <row r="116" spans="2:8" ht="11.25" customHeight="1" x14ac:dyDescent="0.2">
      <c r="B116" s="343" t="str">
        <f t="shared" si="1"/>
        <v>Ergebnis auf
der Basis
geschätzter
Daten</v>
      </c>
      <c r="C116" s="348"/>
      <c r="D116" s="13" t="s">
        <v>394</v>
      </c>
      <c r="E116" s="13" t="s">
        <v>431</v>
      </c>
      <c r="F116" s="13" t="s">
        <v>519</v>
      </c>
      <c r="G116" s="13" t="s">
        <v>520</v>
      </c>
      <c r="H116" s="13" t="s">
        <v>136</v>
      </c>
    </row>
    <row r="117" spans="2:8" x14ac:dyDescent="0.2">
      <c r="B117" s="343" t="str">
        <f t="shared" si="1"/>
        <v>Massgebende
quellenbesteuerte
Einkommen</v>
      </c>
      <c r="C117" s="348" t="s">
        <v>136</v>
      </c>
      <c r="D117" s="13" t="s">
        <v>395</v>
      </c>
      <c r="E117" s="13" t="s">
        <v>430</v>
      </c>
      <c r="F117" s="13" t="s">
        <v>480</v>
      </c>
      <c r="G117" s="13" t="s">
        <v>521</v>
      </c>
      <c r="H117" s="13" t="s">
        <v>136</v>
      </c>
    </row>
    <row r="118" spans="2:8" x14ac:dyDescent="0.2">
      <c r="B118" s="343" t="str">
        <f t="shared" si="1"/>
        <v>Massgebende quellenbesteuerte Einkommen</v>
      </c>
      <c r="C118" s="348" t="s">
        <v>136</v>
      </c>
      <c r="D118" s="13" t="s">
        <v>432</v>
      </c>
      <c r="E118" s="13" t="s">
        <v>238</v>
      </c>
      <c r="F118" s="13" t="s">
        <v>364</v>
      </c>
      <c r="G118" s="13" t="s">
        <v>253</v>
      </c>
      <c r="H118" s="13" t="s">
        <v>136</v>
      </c>
    </row>
    <row r="119" spans="2:8" x14ac:dyDescent="0.2">
      <c r="B119" s="343" t="str">
        <f t="shared" si="1"/>
        <v>(Q + Y) oder Z</v>
      </c>
      <c r="C119" s="348"/>
      <c r="D119" s="13" t="s">
        <v>264</v>
      </c>
      <c r="E119" s="13" t="s">
        <v>546</v>
      </c>
      <c r="F119" s="13" t="s">
        <v>548</v>
      </c>
      <c r="G119" s="13" t="s">
        <v>547</v>
      </c>
      <c r="H119" s="13" t="s">
        <v>136</v>
      </c>
    </row>
    <row r="120" spans="2:8" x14ac:dyDescent="0.2">
      <c r="B120" s="347" t="str">
        <f t="shared" si="1"/>
        <v>Vermögen natürlicher Personen 2020</v>
      </c>
      <c r="C120" s="348" t="s">
        <v>173</v>
      </c>
      <c r="D120" s="336" t="str">
        <f>"Vermögen natürlicher Personen " &amp; $G$2</f>
        <v>Vermögen natürlicher Personen 2020</v>
      </c>
      <c r="E120" s="336" t="str">
        <f>"Fortune des personnes physiques " &amp; $G$2</f>
        <v>Fortune des personnes physiques 2020</v>
      </c>
      <c r="F120" s="336" t="str">
        <f>"Sostanza delle persone fisiche " &amp; $G$2</f>
        <v>Sostanza delle persone fisiche 2020</v>
      </c>
      <c r="G120" s="336" t="str">
        <f>"Wealth " &amp; $G$2</f>
        <v>Wealth 2020</v>
      </c>
      <c r="H120" s="336" t="s">
        <v>136</v>
      </c>
    </row>
    <row r="121" spans="2:8" x14ac:dyDescent="0.2">
      <c r="B121" s="343" t="str">
        <f t="shared" si="1"/>
        <v>Reinvermögen</v>
      </c>
      <c r="C121" s="348" t="s">
        <v>136</v>
      </c>
      <c r="D121" s="13" t="s">
        <v>45</v>
      </c>
      <c r="E121" s="13" t="s">
        <v>239</v>
      </c>
      <c r="F121" s="13" t="s">
        <v>365</v>
      </c>
      <c r="G121" s="13" t="s">
        <v>254</v>
      </c>
      <c r="H121" s="13" t="s">
        <v>136</v>
      </c>
    </row>
    <row r="122" spans="2:8" x14ac:dyDescent="0.2">
      <c r="B122" s="343" t="str">
        <f t="shared" si="1"/>
        <v>Massgebendes
Vermögen</v>
      </c>
      <c r="C122" s="348" t="s">
        <v>136</v>
      </c>
      <c r="D122" s="13" t="s">
        <v>396</v>
      </c>
      <c r="E122" s="13" t="s">
        <v>433</v>
      </c>
      <c r="F122" s="13" t="s">
        <v>434</v>
      </c>
      <c r="G122" s="13" t="s">
        <v>435</v>
      </c>
      <c r="H122" s="13" t="s">
        <v>136</v>
      </c>
    </row>
    <row r="123" spans="2:8" x14ac:dyDescent="0.2">
      <c r="B123" s="343" t="str">
        <f t="shared" si="1"/>
        <v>Alpha</v>
      </c>
      <c r="C123" s="348" t="s">
        <v>136</v>
      </c>
      <c r="D123" s="13" t="s">
        <v>561</v>
      </c>
      <c r="E123" s="13" t="s">
        <v>562</v>
      </c>
      <c r="F123" s="13" t="s">
        <v>563</v>
      </c>
      <c r="G123" s="13" t="s">
        <v>562</v>
      </c>
      <c r="H123" s="13" t="s">
        <v>136</v>
      </c>
    </row>
    <row r="124" spans="2:8" x14ac:dyDescent="0.2">
      <c r="B124" s="343" t="str">
        <f t="shared" si="1"/>
        <v>Alpha</v>
      </c>
      <c r="C124" s="348" t="s">
        <v>136</v>
      </c>
      <c r="D124" s="13" t="s">
        <v>561</v>
      </c>
      <c r="E124" s="13" t="s">
        <v>561</v>
      </c>
      <c r="F124" s="13" t="s">
        <v>722</v>
      </c>
      <c r="G124" s="13" t="s">
        <v>561</v>
      </c>
      <c r="H124" s="13" t="s">
        <v>136</v>
      </c>
    </row>
    <row r="125" spans="2:8" x14ac:dyDescent="0.2">
      <c r="B125" s="343" t="str">
        <f t="shared" si="1"/>
        <v>Berechnung Alpha für Bemessungsjahr 2016</v>
      </c>
      <c r="C125" s="348" t="s">
        <v>136</v>
      </c>
      <c r="D125" s="13" t="str">
        <f>"Berechnung Alpha für Bemessungsjahr " &amp; $G$2-4</f>
        <v>Berechnung Alpha für Bemessungsjahr 2016</v>
      </c>
      <c r="E125" s="13" t="str">
        <f>"Calcul du facteur alpha pour l'année de calcul " &amp; $G$2-4</f>
        <v>Calcul du facteur alpha pour l'année de calcul 2016</v>
      </c>
      <c r="F125" s="13" t="str">
        <f>"Calcolo fattore alfa per l'anno di calcolo " &amp; $G$2-4</f>
        <v>Calcolo fattore alfa per l'anno di calcolo 2016</v>
      </c>
      <c r="G125" s="13" t="str">
        <f>"Alpha calculation for the assessment year " &amp; $G$2-4</f>
        <v>Alpha calculation for the assessment year 2016</v>
      </c>
      <c r="H125" s="13" t="s">
        <v>136</v>
      </c>
    </row>
    <row r="126" spans="2:8" x14ac:dyDescent="0.2">
      <c r="B126" s="343" t="str">
        <f t="shared" si="1"/>
        <v>Fiskaleinnahmen</v>
      </c>
      <c r="C126" s="348"/>
      <c r="D126" s="13" t="s">
        <v>571</v>
      </c>
      <c r="E126" s="13" t="s">
        <v>676</v>
      </c>
      <c r="F126" s="13" t="s">
        <v>692</v>
      </c>
      <c r="G126" s="13" t="s">
        <v>654</v>
      </c>
      <c r="H126" s="13" t="s">
        <v>136</v>
      </c>
    </row>
    <row r="127" spans="2:8" x14ac:dyDescent="0.2">
      <c r="B127" s="343" t="str">
        <f t="shared" si="1"/>
        <v>Einkommenssteuern natürliche Personen *</v>
      </c>
      <c r="C127" s="348"/>
      <c r="D127" s="13" t="s">
        <v>586</v>
      </c>
      <c r="E127" s="13" t="s">
        <v>677</v>
      </c>
      <c r="F127" s="13" t="s">
        <v>693</v>
      </c>
      <c r="G127" s="13" t="s">
        <v>655</v>
      </c>
      <c r="H127" s="13" t="s">
        <v>136</v>
      </c>
    </row>
    <row r="128" spans="2:8" x14ac:dyDescent="0.2">
      <c r="B128" s="343" t="str">
        <f t="shared" si="1"/>
        <v>Quellensteuern natürliche Personen *</v>
      </c>
      <c r="C128" s="348"/>
      <c r="D128" s="13" t="s">
        <v>587</v>
      </c>
      <c r="E128" s="13" t="s">
        <v>678</v>
      </c>
      <c r="F128" s="13" t="s">
        <v>694</v>
      </c>
      <c r="G128" s="13" t="s">
        <v>672</v>
      </c>
      <c r="H128" s="13" t="s">
        <v>136</v>
      </c>
    </row>
    <row r="129" spans="2:8" x14ac:dyDescent="0.2">
      <c r="B129" s="343" t="str">
        <f t="shared" si="1"/>
        <v>Direkte Bundessteuer (DBSt) natürliche Personen</v>
      </c>
      <c r="C129" s="348"/>
      <c r="D129" s="13" t="s">
        <v>591</v>
      </c>
      <c r="E129" s="13" t="s">
        <v>679</v>
      </c>
      <c r="F129" s="13" t="s">
        <v>695</v>
      </c>
      <c r="G129" s="13" t="s">
        <v>656</v>
      </c>
      <c r="H129" s="13" t="s">
        <v>136</v>
      </c>
    </row>
    <row r="130" spans="2:8" x14ac:dyDescent="0.2">
      <c r="B130" s="343" t="str">
        <f t="shared" si="1"/>
        <v>Kantonsanteil</v>
      </c>
      <c r="C130" s="348"/>
      <c r="D130" s="13" t="s">
        <v>590</v>
      </c>
      <c r="E130" s="13" t="s">
        <v>680</v>
      </c>
      <c r="F130" s="13" t="s">
        <v>624</v>
      </c>
      <c r="G130" s="13" t="s">
        <v>625</v>
      </c>
      <c r="H130" s="13" t="s">
        <v>136</v>
      </c>
    </row>
    <row r="131" spans="2:8" x14ac:dyDescent="0.2">
      <c r="B131" s="343" t="str">
        <f t="shared" si="1"/>
        <v>Anteil der Kantone an DBSt natürliche Personen</v>
      </c>
      <c r="C131" s="348"/>
      <c r="D131" s="13" t="s">
        <v>592</v>
      </c>
      <c r="E131" s="13" t="s">
        <v>681</v>
      </c>
      <c r="F131" s="13" t="s">
        <v>696</v>
      </c>
      <c r="G131" s="13" t="s">
        <v>673</v>
      </c>
      <c r="H131" s="13" t="s">
        <v>136</v>
      </c>
    </row>
    <row r="132" spans="2:8" x14ac:dyDescent="0.2">
      <c r="B132" s="343" t="str">
        <f t="shared" si="1"/>
        <v>Fiskaleinnahmen Einkommen</v>
      </c>
      <c r="C132" s="348"/>
      <c r="D132" s="13" t="s">
        <v>573</v>
      </c>
      <c r="E132" s="13" t="s">
        <v>682</v>
      </c>
      <c r="F132" s="13" t="s">
        <v>697</v>
      </c>
      <c r="G132" s="13" t="s">
        <v>657</v>
      </c>
      <c r="H132" s="13" t="s">
        <v>136</v>
      </c>
    </row>
    <row r="133" spans="2:8" x14ac:dyDescent="0.2">
      <c r="B133" s="343" t="str">
        <f t="shared" si="1"/>
        <v>Vermögenssteuern natürliche Personen *</v>
      </c>
      <c r="C133" s="348"/>
      <c r="D133" s="13" t="s">
        <v>588</v>
      </c>
      <c r="E133" s="13" t="s">
        <v>683</v>
      </c>
      <c r="F133" s="13" t="s">
        <v>698</v>
      </c>
      <c r="G133" s="13" t="s">
        <v>658</v>
      </c>
      <c r="H133" s="13" t="s">
        <v>136</v>
      </c>
    </row>
    <row r="134" spans="2:8" x14ac:dyDescent="0.2">
      <c r="B134" s="343" t="str">
        <f t="shared" si="1"/>
        <v>Daten Finanzausgleich</v>
      </c>
      <c r="C134" s="348"/>
      <c r="D134" s="13" t="s">
        <v>574</v>
      </c>
      <c r="E134" s="13" t="s">
        <v>684</v>
      </c>
      <c r="F134" s="13" t="s">
        <v>699</v>
      </c>
      <c r="G134" s="13" t="s">
        <v>659</v>
      </c>
      <c r="H134" s="13" t="s">
        <v>136</v>
      </c>
    </row>
    <row r="135" spans="2:8" x14ac:dyDescent="0.2">
      <c r="B135" s="343" t="str">
        <f t="shared" si="1"/>
        <v>Massgebende Einkommen der natürlichen Personen</v>
      </c>
      <c r="C135" s="348"/>
      <c r="D135" s="13" t="s">
        <v>575</v>
      </c>
      <c r="E135" s="13" t="s">
        <v>685</v>
      </c>
      <c r="F135" s="13" t="s">
        <v>700</v>
      </c>
      <c r="G135" s="13" t="s">
        <v>674</v>
      </c>
      <c r="H135" s="13" t="s">
        <v>136</v>
      </c>
    </row>
    <row r="136" spans="2:8" x14ac:dyDescent="0.2">
      <c r="B136" s="343" t="str">
        <f t="shared" si="1"/>
        <v>Massgebende quellenbesteuerte Einkommen</v>
      </c>
      <c r="C136" s="348"/>
      <c r="D136" s="13" t="s">
        <v>432</v>
      </c>
      <c r="E136" s="13" t="s">
        <v>686</v>
      </c>
      <c r="F136" s="13" t="s">
        <v>701</v>
      </c>
      <c r="G136" s="13" t="s">
        <v>253</v>
      </c>
      <c r="H136" s="13" t="s">
        <v>136</v>
      </c>
    </row>
    <row r="137" spans="2:8" x14ac:dyDescent="0.2">
      <c r="B137" s="343" t="str">
        <f t="shared" si="1"/>
        <v>Massgebende Einkommen</v>
      </c>
      <c r="C137" s="348"/>
      <c r="D137" s="13" t="s">
        <v>577</v>
      </c>
      <c r="E137" s="13" t="s">
        <v>687</v>
      </c>
      <c r="F137" s="13" t="s">
        <v>702</v>
      </c>
      <c r="G137" s="13" t="s">
        <v>660</v>
      </c>
      <c r="H137" s="13" t="s">
        <v>136</v>
      </c>
    </row>
    <row r="138" spans="2:8" x14ac:dyDescent="0.2">
      <c r="B138" s="343" t="str">
        <f t="shared" si="1"/>
        <v>Reinvermögen</v>
      </c>
      <c r="C138" s="348"/>
      <c r="D138" s="13" t="s">
        <v>45</v>
      </c>
      <c r="E138" s="13" t="s">
        <v>239</v>
      </c>
      <c r="F138" s="13" t="s">
        <v>365</v>
      </c>
      <c r="G138" s="13" t="s">
        <v>254</v>
      </c>
      <c r="H138" s="13" t="s">
        <v>136</v>
      </c>
    </row>
    <row r="139" spans="2:8" x14ac:dyDescent="0.2">
      <c r="B139" s="343" t="str">
        <f t="shared" si="1"/>
        <v>Ausschöpfung der Einkommen</v>
      </c>
      <c r="C139" s="348"/>
      <c r="D139" s="13" t="s">
        <v>580</v>
      </c>
      <c r="E139" s="13" t="s">
        <v>688</v>
      </c>
      <c r="F139" s="13" t="s">
        <v>703</v>
      </c>
      <c r="G139" s="13" t="s">
        <v>661</v>
      </c>
      <c r="H139" s="13" t="s">
        <v>136</v>
      </c>
    </row>
    <row r="140" spans="2:8" x14ac:dyDescent="0.2">
      <c r="B140" s="343" t="str">
        <f t="shared" si="1"/>
        <v>Ausschöpfung der Vermögen</v>
      </c>
      <c r="C140" s="348"/>
      <c r="D140" s="13" t="s">
        <v>583</v>
      </c>
      <c r="E140" s="13" t="s">
        <v>689</v>
      </c>
      <c r="F140" s="13" t="s">
        <v>704</v>
      </c>
      <c r="G140" s="13" t="s">
        <v>662</v>
      </c>
      <c r="H140" s="13" t="s">
        <v>136</v>
      </c>
    </row>
    <row r="141" spans="2:8" x14ac:dyDescent="0.2">
      <c r="B141" s="343" t="str">
        <f t="shared" si="1"/>
        <v>Faktor Alpha</v>
      </c>
      <c r="C141" s="348"/>
      <c r="D141" s="13" t="s">
        <v>44</v>
      </c>
      <c r="E141" s="13" t="s">
        <v>240</v>
      </c>
      <c r="F141" s="13" t="s">
        <v>366</v>
      </c>
      <c r="G141" s="13" t="s">
        <v>255</v>
      </c>
      <c r="H141" s="13" t="s">
        <v>136</v>
      </c>
    </row>
    <row r="142" spans="2:8" ht="11.25" customHeight="1" x14ac:dyDescent="0.2">
      <c r="B142" s="343" t="str">
        <f t="shared" si="1"/>
        <v>Mittelwert</v>
      </c>
      <c r="C142" s="348"/>
      <c r="D142" s="13" t="s">
        <v>564</v>
      </c>
      <c r="E142" s="13" t="s">
        <v>691</v>
      </c>
      <c r="F142" s="13" t="s">
        <v>706</v>
      </c>
      <c r="G142" s="13" t="s">
        <v>664</v>
      </c>
      <c r="H142" s="13" t="s">
        <v>136</v>
      </c>
    </row>
    <row r="143" spans="2:8" x14ac:dyDescent="0.2">
      <c r="B143" s="343" t="str">
        <f t="shared" si="1"/>
        <v>* Fiskaleinnahmen der Kantone und Gemeinden</v>
      </c>
      <c r="C143" s="348"/>
      <c r="D143" s="13" t="s">
        <v>589</v>
      </c>
      <c r="E143" s="13" t="s">
        <v>690</v>
      </c>
      <c r="F143" s="13" t="s">
        <v>705</v>
      </c>
      <c r="G143" s="13" t="s">
        <v>663</v>
      </c>
      <c r="H143" s="13" t="s">
        <v>136</v>
      </c>
    </row>
    <row r="144" spans="2:8" x14ac:dyDescent="0.2">
      <c r="B144" s="347" t="str">
        <f t="shared" si="1"/>
        <v>Gewinne juristischer Personen 2020</v>
      </c>
      <c r="C144" s="348" t="s">
        <v>174</v>
      </c>
      <c r="D144" s="336" t="str">
        <f>"Gewinne juristischer Personen " &amp; $G$2</f>
        <v>Gewinne juristischer Personen 2020</v>
      </c>
      <c r="E144" s="336" t="str">
        <f>"Bénéfice des personnes morales " &amp; $G$2</f>
        <v>Bénéfice des personnes morales 2020</v>
      </c>
      <c r="F144" s="336" t="str">
        <f>"Utili delle persone giuridiche " &amp; $G$2</f>
        <v>Utili delle persone giuridiche 2020</v>
      </c>
      <c r="G144" s="336" t="str">
        <f>"Profit of legal entities " &amp; $G$2</f>
        <v>Profit of legal entities 2020</v>
      </c>
      <c r="H144" s="336" t="s">
        <v>136</v>
      </c>
    </row>
    <row r="145" spans="2:8" x14ac:dyDescent="0.2">
      <c r="B145" s="343" t="str">
        <f t="shared" ref="B145:B211" si="2">HLOOKUP($B$9,$D$9:$G$227,ROW()-$B$8,FALSE)</f>
        <v>Massgebender Gewinn
ordentlich besteuerter
Unternehmen</v>
      </c>
      <c r="C145" s="348" t="s">
        <v>136</v>
      </c>
      <c r="D145" s="13" t="s">
        <v>397</v>
      </c>
      <c r="E145" s="13" t="s">
        <v>436</v>
      </c>
      <c r="F145" s="13" t="s">
        <v>481</v>
      </c>
      <c r="G145" s="13" t="s">
        <v>522</v>
      </c>
      <c r="H145" s="13" t="s">
        <v>136</v>
      </c>
    </row>
    <row r="146" spans="2:8" x14ac:dyDescent="0.2">
      <c r="B146" s="343" t="str">
        <f t="shared" si="2"/>
        <v>Massgebender Gewinn
von Gesellschaften mit
besonderem Steuerstatus</v>
      </c>
      <c r="C146" s="348" t="s">
        <v>136</v>
      </c>
      <c r="D146" s="13" t="s">
        <v>398</v>
      </c>
      <c r="E146" s="13" t="s">
        <v>437</v>
      </c>
      <c r="F146" s="13" t="s">
        <v>482</v>
      </c>
      <c r="G146" s="13" t="s">
        <v>524</v>
      </c>
      <c r="H146" s="13" t="s">
        <v>136</v>
      </c>
    </row>
    <row r="147" spans="2:8" x14ac:dyDescent="0.2">
      <c r="B147" s="343" t="str">
        <f t="shared" si="2"/>
        <v>Massgebender Gewinn
der juristischen Personen</v>
      </c>
      <c r="C147" s="348" t="s">
        <v>136</v>
      </c>
      <c r="D147" s="13" t="s">
        <v>120</v>
      </c>
      <c r="E147" s="13" t="s">
        <v>438</v>
      </c>
      <c r="F147" s="13" t="s">
        <v>483</v>
      </c>
      <c r="G147" s="13" t="s">
        <v>523</v>
      </c>
      <c r="H147" s="13" t="s">
        <v>136</v>
      </c>
    </row>
    <row r="148" spans="2:8" x14ac:dyDescent="0.2">
      <c r="B148" s="343" t="str">
        <f t="shared" si="2"/>
        <v>Beta-Faktoren</v>
      </c>
      <c r="C148" s="348" t="s">
        <v>136</v>
      </c>
      <c r="D148" s="13" t="s">
        <v>84</v>
      </c>
      <c r="E148" s="13" t="s">
        <v>241</v>
      </c>
      <c r="F148" s="13" t="s">
        <v>367</v>
      </c>
      <c r="G148" s="13" t="s">
        <v>256</v>
      </c>
      <c r="H148" s="13" t="s">
        <v>136</v>
      </c>
    </row>
    <row r="149" spans="2:8" x14ac:dyDescent="0.2">
      <c r="B149" s="343" t="str">
        <f t="shared" si="2"/>
        <v>Holdinggesellschaften</v>
      </c>
      <c r="C149" s="348" t="s">
        <v>136</v>
      </c>
      <c r="D149" s="13" t="s">
        <v>85</v>
      </c>
      <c r="E149" s="13" t="s">
        <v>242</v>
      </c>
      <c r="F149" s="13" t="s">
        <v>368</v>
      </c>
      <c r="G149" s="13" t="s">
        <v>289</v>
      </c>
      <c r="H149" s="13" t="s">
        <v>136</v>
      </c>
    </row>
    <row r="150" spans="2:8" x14ac:dyDescent="0.2">
      <c r="B150" s="343" t="str">
        <f t="shared" si="2"/>
        <v>Domizilgesellschaften</v>
      </c>
      <c r="C150" s="348" t="s">
        <v>136</v>
      </c>
      <c r="D150" s="13" t="s">
        <v>86</v>
      </c>
      <c r="E150" s="13" t="s">
        <v>243</v>
      </c>
      <c r="F150" s="13" t="s">
        <v>369</v>
      </c>
      <c r="G150" s="13" t="s">
        <v>290</v>
      </c>
      <c r="H150" s="13" t="s">
        <v>136</v>
      </c>
    </row>
    <row r="151" spans="2:8" x14ac:dyDescent="0.2">
      <c r="B151" s="345" t="str">
        <f t="shared" si="2"/>
        <v>Gemischte Gesellschaften</v>
      </c>
      <c r="C151" s="348" t="s">
        <v>136</v>
      </c>
      <c r="D151" s="13" t="s">
        <v>87</v>
      </c>
      <c r="E151" s="13" t="s">
        <v>244</v>
      </c>
      <c r="F151" s="13" t="s">
        <v>370</v>
      </c>
      <c r="G151" s="13" t="s">
        <v>291</v>
      </c>
      <c r="H151" s="13" t="s">
        <v>136</v>
      </c>
    </row>
    <row r="152" spans="2:8" x14ac:dyDescent="0.2">
      <c r="B152" s="346" t="str">
        <f t="shared" si="2"/>
        <v>Steuerrepartitionen 2020</v>
      </c>
      <c r="C152" s="348" t="s">
        <v>175</v>
      </c>
      <c r="D152" s="336" t="str">
        <f>"Steuerrepartitionen " &amp; $G$2</f>
        <v>Steuerrepartitionen 2020</v>
      </c>
      <c r="E152" s="336" t="str">
        <f>"Répartitions fiscales " &amp; $G$2</f>
        <v>Répartitions fiscales 2020</v>
      </c>
      <c r="F152" s="336" t="str">
        <f>"Riparti fiscali " &amp; $G$2</f>
        <v>Riparti fiscali 2020</v>
      </c>
      <c r="G152" s="336" t="str">
        <f>"Tax repartitions " &amp; $G$2</f>
        <v>Tax repartitions 2020</v>
      </c>
      <c r="H152" s="336" t="s">
        <v>136</v>
      </c>
    </row>
    <row r="153" spans="2:8" x14ac:dyDescent="0.2">
      <c r="B153" s="343" t="str">
        <f t="shared" si="2"/>
        <v>Zu Gunsten
anderer
Kantone</v>
      </c>
      <c r="C153" s="348" t="s">
        <v>136</v>
      </c>
      <c r="D153" s="13" t="s">
        <v>49</v>
      </c>
      <c r="E153" s="13" t="s">
        <v>439</v>
      </c>
      <c r="F153" s="13" t="s">
        <v>484</v>
      </c>
      <c r="G153" s="13" t="s">
        <v>417</v>
      </c>
      <c r="H153" s="13" t="s">
        <v>136</v>
      </c>
    </row>
    <row r="154" spans="2:8" x14ac:dyDescent="0.2">
      <c r="B154" s="343" t="str">
        <f t="shared" si="2"/>
        <v>Erhalten von
anderen
Kantonen</v>
      </c>
      <c r="C154" s="348" t="s">
        <v>136</v>
      </c>
      <c r="D154" s="13" t="s">
        <v>48</v>
      </c>
      <c r="E154" s="13" t="s">
        <v>440</v>
      </c>
      <c r="F154" s="13" t="s">
        <v>485</v>
      </c>
      <c r="G154" s="13" t="s">
        <v>418</v>
      </c>
      <c r="H154" s="13" t="s">
        <v>136</v>
      </c>
    </row>
    <row r="155" spans="2:8" x14ac:dyDescent="0.2">
      <c r="B155" s="343" t="str">
        <f t="shared" si="2"/>
        <v>Saldo</v>
      </c>
      <c r="C155" s="348" t="s">
        <v>136</v>
      </c>
      <c r="D155" s="13" t="s">
        <v>47</v>
      </c>
      <c r="E155" s="13" t="s">
        <v>245</v>
      </c>
      <c r="F155" s="13" t="s">
        <v>371</v>
      </c>
      <c r="G155" s="13" t="s">
        <v>257</v>
      </c>
      <c r="H155" s="13" t="s">
        <v>136</v>
      </c>
    </row>
    <row r="156" spans="2:8" x14ac:dyDescent="0.2">
      <c r="B156" s="343" t="str">
        <f t="shared" si="2"/>
        <v>Ablieferungen DBSt
an die ESTV</v>
      </c>
      <c r="C156" s="348" t="s">
        <v>136</v>
      </c>
      <c r="D156" s="13" t="s">
        <v>399</v>
      </c>
      <c r="E156" s="13" t="s">
        <v>441</v>
      </c>
      <c r="F156" s="13" t="s">
        <v>486</v>
      </c>
      <c r="G156" s="13" t="s">
        <v>525</v>
      </c>
      <c r="H156" s="13" t="s">
        <v>136</v>
      </c>
    </row>
    <row r="157" spans="2:8" ht="11.25" customHeight="1" x14ac:dyDescent="0.2">
      <c r="B157" s="343" t="str">
        <f t="shared" si="2"/>
        <v>Massgebende Steuerbemessungs-grundlage DBSt</v>
      </c>
      <c r="C157" s="348" t="s">
        <v>136</v>
      </c>
      <c r="D157" s="13" t="s">
        <v>46</v>
      </c>
      <c r="E157" s="13" t="s">
        <v>442</v>
      </c>
      <c r="F157" s="13" t="s">
        <v>550</v>
      </c>
      <c r="G157" s="13" t="s">
        <v>419</v>
      </c>
      <c r="H157" s="13" t="s">
        <v>136</v>
      </c>
    </row>
    <row r="158" spans="2:8" x14ac:dyDescent="0.2">
      <c r="B158" s="343" t="str">
        <f t="shared" si="2"/>
        <v>Gewichtungs-
faktor</v>
      </c>
      <c r="C158" s="348" t="s">
        <v>136</v>
      </c>
      <c r="D158" s="13" t="s">
        <v>400</v>
      </c>
      <c r="E158" s="13" t="s">
        <v>443</v>
      </c>
      <c r="F158" s="13" t="s">
        <v>487</v>
      </c>
      <c r="G158" s="13" t="s">
        <v>526</v>
      </c>
      <c r="H158" s="13" t="s">
        <v>136</v>
      </c>
    </row>
    <row r="159" spans="2:8" x14ac:dyDescent="0.2">
      <c r="B159" s="345" t="str">
        <f t="shared" si="2"/>
        <v>Massgebende
Steuerrepartitionen</v>
      </c>
      <c r="C159" s="348" t="s">
        <v>136</v>
      </c>
      <c r="D159" s="13" t="s">
        <v>401</v>
      </c>
      <c r="E159" s="13" t="s">
        <v>444</v>
      </c>
      <c r="F159" s="13" t="s">
        <v>488</v>
      </c>
      <c r="G159" s="13" t="s">
        <v>527</v>
      </c>
      <c r="H159" s="13" t="s">
        <v>136</v>
      </c>
    </row>
    <row r="160" spans="2:8" x14ac:dyDescent="0.2">
      <c r="B160" s="346" t="str">
        <f t="shared" si="2"/>
        <v>Aggregierte Steuerbemessungsgrundlage (ASG) 2020</v>
      </c>
      <c r="C160" s="348" t="s">
        <v>176</v>
      </c>
      <c r="D160" s="336" t="str">
        <f>"Aggregierte Steuerbemessungsgrundlage (ASG) " &amp; $G$2</f>
        <v>Aggregierte Steuerbemessungsgrundlage (ASG) 2020</v>
      </c>
      <c r="E160" s="336" t="str">
        <f>"Assiette fiscale agrégée (AFA) " &amp; $G$2</f>
        <v>Assiette fiscale agrégée (AFA) 2020</v>
      </c>
      <c r="F160" s="336" t="str">
        <f>"Base imponibile aggregata (BIA) " &amp; $G$2</f>
        <v>Base imponibile aggregata (BIA) 2020</v>
      </c>
      <c r="G160" s="336" t="str">
        <f>"Aggregated tax base (ATB) " &amp; $G$2</f>
        <v>Aggregated tax base (ATB) 2020</v>
      </c>
      <c r="H160" s="336" t="s">
        <v>136</v>
      </c>
    </row>
    <row r="161" spans="2:8" x14ac:dyDescent="0.2">
      <c r="B161" s="343" t="str">
        <f t="shared" si="2"/>
        <v>Massgebendes
Einkommen der
natürlichen
Personen</v>
      </c>
      <c r="C161" s="348" t="s">
        <v>136</v>
      </c>
      <c r="D161" s="13" t="s">
        <v>402</v>
      </c>
      <c r="E161" s="13" t="s">
        <v>421</v>
      </c>
      <c r="F161" s="13" t="s">
        <v>489</v>
      </c>
      <c r="G161" s="13" t="s">
        <v>528</v>
      </c>
      <c r="H161" s="13" t="s">
        <v>136</v>
      </c>
    </row>
    <row r="162" spans="2:8" x14ac:dyDescent="0.2">
      <c r="B162" s="343" t="str">
        <f t="shared" si="2"/>
        <v>Massgebendes
quellenbesteuertes
Einkommen</v>
      </c>
      <c r="C162" s="348" t="s">
        <v>136</v>
      </c>
      <c r="D162" s="13" t="s">
        <v>403</v>
      </c>
      <c r="E162" s="13" t="s">
        <v>430</v>
      </c>
      <c r="F162" s="13" t="s">
        <v>480</v>
      </c>
      <c r="G162" s="13" t="s">
        <v>521</v>
      </c>
      <c r="H162" s="13" t="s">
        <v>136</v>
      </c>
    </row>
    <row r="163" spans="2:8" x14ac:dyDescent="0.2">
      <c r="B163" s="343" t="str">
        <f t="shared" si="2"/>
        <v>Massgebendes
Vermögen</v>
      </c>
      <c r="C163" s="348" t="s">
        <v>136</v>
      </c>
      <c r="D163" s="13" t="s">
        <v>396</v>
      </c>
      <c r="E163" s="13" t="s">
        <v>433</v>
      </c>
      <c r="F163" s="13" t="s">
        <v>434</v>
      </c>
      <c r="G163" s="13" t="s">
        <v>435</v>
      </c>
      <c r="H163" s="13" t="s">
        <v>136</v>
      </c>
    </row>
    <row r="164" spans="2:8" x14ac:dyDescent="0.2">
      <c r="B164" s="343" t="str">
        <f t="shared" si="2"/>
        <v>Massgebender
Gewinn der
juristischen
Personen</v>
      </c>
      <c r="C164" s="348" t="s">
        <v>136</v>
      </c>
      <c r="D164" s="13" t="s">
        <v>404</v>
      </c>
      <c r="E164" s="13" t="s">
        <v>445</v>
      </c>
      <c r="F164" s="13" t="s">
        <v>490</v>
      </c>
      <c r="G164" s="13" t="s">
        <v>529</v>
      </c>
      <c r="H164" s="13" t="s">
        <v>136</v>
      </c>
    </row>
    <row r="165" spans="2:8" x14ac:dyDescent="0.2">
      <c r="B165" s="343" t="str">
        <f t="shared" si="2"/>
        <v>Massgebende
Steuer-
repartitionen</v>
      </c>
      <c r="C165" s="348" t="s">
        <v>136</v>
      </c>
      <c r="D165" s="13" t="s">
        <v>405</v>
      </c>
      <c r="E165" s="13" t="s">
        <v>444</v>
      </c>
      <c r="F165" s="13" t="s">
        <v>488</v>
      </c>
      <c r="G165" s="13" t="s">
        <v>527</v>
      </c>
      <c r="H165" s="13" t="s">
        <v>136</v>
      </c>
    </row>
    <row r="166" spans="2:8" x14ac:dyDescent="0.2">
      <c r="B166" s="345" t="str">
        <f t="shared" si="2"/>
        <v>ASG Total</v>
      </c>
      <c r="C166" s="348" t="s">
        <v>136</v>
      </c>
      <c r="D166" s="13" t="s">
        <v>53</v>
      </c>
      <c r="E166" s="13" t="s">
        <v>246</v>
      </c>
      <c r="F166" s="13" t="s">
        <v>372</v>
      </c>
      <c r="G166" s="13" t="s">
        <v>258</v>
      </c>
      <c r="H166" s="13" t="s">
        <v>136</v>
      </c>
    </row>
    <row r="167" spans="2:8" x14ac:dyDescent="0.2">
      <c r="B167" s="346" t="str">
        <f t="shared" si="2"/>
        <v>Massgebende Wohnbevölkerung 2020</v>
      </c>
      <c r="C167" s="348" t="s">
        <v>177</v>
      </c>
      <c r="D167" s="336" t="str">
        <f>"Massgebende Wohnbevölkerung " &amp; $G$2</f>
        <v>Massgebende Wohnbevölkerung 2020</v>
      </c>
      <c r="E167" s="336" t="str">
        <f>"Population résidante déterminante " &amp; $G$2</f>
        <v>Population résidante déterminante 2020</v>
      </c>
      <c r="F167" s="336" t="str">
        <f>"Popolazione residente determinante " &amp; $G$2</f>
        <v>Popolazione residente determinante 2020</v>
      </c>
      <c r="G167" s="336" t="str">
        <f>"Relevant resident population " &amp; $G$2</f>
        <v>Relevant resident population 2020</v>
      </c>
      <c r="H167" s="336" t="s">
        <v>136</v>
      </c>
    </row>
    <row r="168" spans="2:8" ht="12" customHeight="1" x14ac:dyDescent="0.2">
      <c r="B168" s="343" t="str">
        <f t="shared" si="2"/>
        <v>Mittlere ständige und nichtständige Wohnbevölkerung</v>
      </c>
      <c r="C168" s="348" t="s">
        <v>136</v>
      </c>
      <c r="D168" s="13" t="s">
        <v>102</v>
      </c>
      <c r="E168" s="13" t="s">
        <v>464</v>
      </c>
      <c r="F168" s="13" t="s">
        <v>491</v>
      </c>
      <c r="G168" s="13" t="s">
        <v>292</v>
      </c>
      <c r="H168" s="13" t="s">
        <v>136</v>
      </c>
    </row>
    <row r="169" spans="2:8" x14ac:dyDescent="0.2">
      <c r="B169" s="345" t="str">
        <f t="shared" si="2"/>
        <v>Massgebende
Wohnbevölkerung</v>
      </c>
      <c r="C169" s="348" t="s">
        <v>136</v>
      </c>
      <c r="D169" s="13" t="s">
        <v>406</v>
      </c>
      <c r="E169" s="13" t="s">
        <v>446</v>
      </c>
      <c r="F169" s="13" t="s">
        <v>492</v>
      </c>
      <c r="G169" s="13" t="s">
        <v>530</v>
      </c>
      <c r="H169" s="13" t="s">
        <v>136</v>
      </c>
    </row>
    <row r="170" spans="2:8" x14ac:dyDescent="0.2">
      <c r="B170" s="346" t="str">
        <f t="shared" si="2"/>
        <v>Berechnung Ressourcenpotenzial und -index 2020</v>
      </c>
      <c r="C170" s="348" t="s">
        <v>178</v>
      </c>
      <c r="D170" s="336" t="str">
        <f>"Berechnung Ressourcenpotenzial und -index " &amp; $G$2</f>
        <v>Berechnung Ressourcenpotenzial und -index 2020</v>
      </c>
      <c r="E170" s="336" t="str">
        <f>"Calcul du potentiel de ressources et de l'indice des ressources " &amp; $G$2</f>
        <v>Calcul du potentiel de ressources et de l'indice des ressources 2020</v>
      </c>
      <c r="F170" s="336" t="str">
        <f>"Calcolo del potenziale e dell'indice delle risorse " &amp; $G$2</f>
        <v>Calcolo del potenziale e dell'indice delle risorse 2020</v>
      </c>
      <c r="G170" s="336" t="str">
        <f>"Resource potential and resource index " &amp; $G$2</f>
        <v>Resource potential and resource index 2020</v>
      </c>
      <c r="H170" s="336" t="s">
        <v>136</v>
      </c>
    </row>
    <row r="171" spans="2:8" x14ac:dyDescent="0.2">
      <c r="B171" s="343" t="str">
        <f t="shared" si="2"/>
        <v>ASG 2014</v>
      </c>
      <c r="C171" s="348" t="s">
        <v>136</v>
      </c>
      <c r="D171" s="13" t="str">
        <f>"ASG "&amp;$G$2-6</f>
        <v>ASG 2014</v>
      </c>
      <c r="E171" s="13" t="str">
        <f>"AFA "&amp;$G$2-6</f>
        <v>AFA 2014</v>
      </c>
      <c r="F171" s="13" t="str">
        <f>"BIA "&amp;$G$2-6</f>
        <v>BIA 2014</v>
      </c>
      <c r="G171" s="13" t="str">
        <f>"ATB "&amp;$G$2-6</f>
        <v>ATB 2014</v>
      </c>
      <c r="H171" s="13" t="s">
        <v>136</v>
      </c>
    </row>
    <row r="172" spans="2:8" x14ac:dyDescent="0.2">
      <c r="B172" s="343" t="str">
        <f t="shared" si="2"/>
        <v>ASG 2015</v>
      </c>
      <c r="C172" s="348" t="s">
        <v>136</v>
      </c>
      <c r="D172" s="13" t="str">
        <f>"ASG "&amp;$G$2-5</f>
        <v>ASG 2015</v>
      </c>
      <c r="E172" s="13" t="str">
        <f>"AFA "&amp;$G$2-5</f>
        <v>AFA 2015</v>
      </c>
      <c r="F172" s="13" t="str">
        <f>"BIA "&amp;$G$2-5</f>
        <v>BIA 2015</v>
      </c>
      <c r="G172" s="13" t="str">
        <f>"ATB "&amp;$G$2-5</f>
        <v>ATB 2015</v>
      </c>
      <c r="H172" s="13" t="s">
        <v>136</v>
      </c>
    </row>
    <row r="173" spans="2:8" x14ac:dyDescent="0.2">
      <c r="B173" s="343" t="str">
        <f t="shared" si="2"/>
        <v>ASG 2016</v>
      </c>
      <c r="C173" s="348" t="s">
        <v>136</v>
      </c>
      <c r="D173" s="13" t="str">
        <f>"ASG "&amp;$G$2-4</f>
        <v>ASG 2016</v>
      </c>
      <c r="E173" s="13" t="str">
        <f>"AFA "&amp;$G$2-4</f>
        <v>AFA 2016</v>
      </c>
      <c r="F173" s="13" t="str">
        <f>"BIA "&amp;$G$2-4</f>
        <v>BIA 2016</v>
      </c>
      <c r="G173" s="13" t="str">
        <f>"ATB "&amp;$G$2-4</f>
        <v>ATB 2016</v>
      </c>
      <c r="H173" s="13" t="s">
        <v>136</v>
      </c>
    </row>
    <row r="174" spans="2:8" x14ac:dyDescent="0.2">
      <c r="B174" s="343" t="str">
        <f t="shared" si="2"/>
        <v>Ressourcen-
potenzial</v>
      </c>
      <c r="C174" s="348" t="s">
        <v>136</v>
      </c>
      <c r="D174" s="13" t="s">
        <v>193</v>
      </c>
      <c r="E174" s="13" t="s">
        <v>447</v>
      </c>
      <c r="F174" s="13" t="s">
        <v>493</v>
      </c>
      <c r="G174" s="13" t="s">
        <v>531</v>
      </c>
      <c r="H174" s="13" t="s">
        <v>136</v>
      </c>
    </row>
    <row r="175" spans="2:8" x14ac:dyDescent="0.2">
      <c r="B175" s="343" t="str">
        <f t="shared" si="2"/>
        <v>Massgebende
Wohnbevölkerung</v>
      </c>
      <c r="C175" s="348" t="s">
        <v>136</v>
      </c>
      <c r="D175" s="13" t="s">
        <v>406</v>
      </c>
      <c r="E175" s="13" t="s">
        <v>446</v>
      </c>
      <c r="F175" s="13" t="s">
        <v>492</v>
      </c>
      <c r="G175" s="13" t="s">
        <v>530</v>
      </c>
      <c r="H175" s="13" t="s">
        <v>136</v>
      </c>
    </row>
    <row r="176" spans="2:8" x14ac:dyDescent="0.2">
      <c r="B176" s="343" t="str">
        <f t="shared" si="2"/>
        <v>Ressourcen-
potenzial pro
Einwohner</v>
      </c>
      <c r="C176" s="348" t="s">
        <v>136</v>
      </c>
      <c r="D176" s="13" t="s">
        <v>407</v>
      </c>
      <c r="E176" s="13" t="s">
        <v>448</v>
      </c>
      <c r="F176" s="13" t="s">
        <v>494</v>
      </c>
      <c r="G176" s="13" t="s">
        <v>532</v>
      </c>
      <c r="H176" s="13" t="s">
        <v>136</v>
      </c>
    </row>
    <row r="177" spans="2:8" x14ac:dyDescent="0.2">
      <c r="B177" s="343" t="str">
        <f t="shared" si="2"/>
        <v>Ressourcen-
index</v>
      </c>
      <c r="C177" s="348" t="s">
        <v>136</v>
      </c>
      <c r="D177" s="13" t="s">
        <v>117</v>
      </c>
      <c r="E177" s="13" t="s">
        <v>449</v>
      </c>
      <c r="F177" s="13" t="s">
        <v>495</v>
      </c>
      <c r="G177" s="13" t="s">
        <v>468</v>
      </c>
      <c r="H177" s="13" t="s">
        <v>136</v>
      </c>
    </row>
    <row r="178" spans="2:8" x14ac:dyDescent="0.2">
      <c r="B178" s="343" t="str">
        <f t="shared" si="2"/>
        <v>H / H[Schweiz] * 100</v>
      </c>
      <c r="C178" s="348" t="s">
        <v>136</v>
      </c>
      <c r="D178" s="13" t="s">
        <v>96</v>
      </c>
      <c r="E178" s="13" t="s">
        <v>247</v>
      </c>
      <c r="F178" s="13" t="s">
        <v>373</v>
      </c>
      <c r="G178" s="13" t="s">
        <v>260</v>
      </c>
      <c r="H178" s="13" t="s">
        <v>136</v>
      </c>
    </row>
    <row r="179" spans="2:8" ht="11.25" customHeight="1" x14ac:dyDescent="0.2">
      <c r="B179" s="343" t="str">
        <f t="shared" si="2"/>
        <v>ASG-Index
Standardabweichung</v>
      </c>
      <c r="C179" s="348" t="s">
        <v>136</v>
      </c>
      <c r="D179" s="13" t="s">
        <v>646</v>
      </c>
      <c r="E179" s="13" t="s">
        <v>651</v>
      </c>
      <c r="F179" s="13" t="s">
        <v>652</v>
      </c>
      <c r="G179" s="13" t="s">
        <v>653</v>
      </c>
      <c r="H179" s="13" t="s">
        <v>136</v>
      </c>
    </row>
    <row r="180" spans="2:8" ht="11.25" customHeight="1" x14ac:dyDescent="0.2">
      <c r="B180" s="345" t="str">
        <f t="shared" si="2"/>
        <v>Ressourcenindex
Standardabweichung</v>
      </c>
      <c r="C180" s="348" t="s">
        <v>136</v>
      </c>
      <c r="D180" s="13" t="s">
        <v>647</v>
      </c>
      <c r="E180" s="13" t="s">
        <v>650</v>
      </c>
      <c r="F180" s="13" t="s">
        <v>648</v>
      </c>
      <c r="G180" s="13" t="s">
        <v>649</v>
      </c>
      <c r="H180" s="13" t="s">
        <v>136</v>
      </c>
    </row>
    <row r="181" spans="2:8" x14ac:dyDescent="0.2">
      <c r="B181" s="347" t="str">
        <f t="shared" si="2"/>
        <v>Standardisierter Steuersatz (SST) 2020</v>
      </c>
      <c r="C181" s="348" t="s">
        <v>183</v>
      </c>
      <c r="D181" s="336" t="str">
        <f>"Standardisierter Steuersatz (SST) " &amp; $G$2</f>
        <v>Standardisierter Steuersatz (SST) 2020</v>
      </c>
      <c r="E181" s="336" t="str">
        <f>"Taux fiscal standardisé (TFS) " &amp; $G$2</f>
        <v>Taux fiscal standardisé (TFS) 2020</v>
      </c>
      <c r="F181" s="336" t="str">
        <f>"Aliquota d'imposta standardizzata (AIS) " &amp; $G$2</f>
        <v>Aliquota d'imposta standardizzata (AIS) 2020</v>
      </c>
      <c r="G181" s="336" t="str">
        <f>"Standardized tax rate (STRate) " &amp; $G$2</f>
        <v>Standardized tax rate (STRate) 2020</v>
      </c>
      <c r="H181" s="336" t="s">
        <v>136</v>
      </c>
    </row>
    <row r="182" spans="2:8" x14ac:dyDescent="0.2">
      <c r="B182" s="343" t="str">
        <f t="shared" si="2"/>
        <v>Steuereinnahmen der Kantone und Gemeinden</v>
      </c>
      <c r="C182" s="348" t="s">
        <v>136</v>
      </c>
      <c r="D182" s="13" t="s">
        <v>595</v>
      </c>
      <c r="E182" s="13" t="s">
        <v>603</v>
      </c>
      <c r="F182" s="13" t="s">
        <v>610</v>
      </c>
      <c r="G182" s="13" t="s">
        <v>617</v>
      </c>
      <c r="H182" s="13" t="s">
        <v>136</v>
      </c>
    </row>
    <row r="183" spans="2:8" x14ac:dyDescent="0.2">
      <c r="B183" s="343" t="str">
        <f t="shared" si="2"/>
        <v>Debitorenverluste auf Steuereinnahmen</v>
      </c>
      <c r="C183" s="348" t="s">
        <v>136</v>
      </c>
      <c r="D183" s="13" t="s">
        <v>596</v>
      </c>
      <c r="E183" s="13" t="s">
        <v>604</v>
      </c>
      <c r="F183" s="13" t="s">
        <v>611</v>
      </c>
      <c r="G183" s="13" t="s">
        <v>618</v>
      </c>
      <c r="H183" s="13" t="s">
        <v>136</v>
      </c>
    </row>
    <row r="184" spans="2:8" x14ac:dyDescent="0.2">
      <c r="B184" s="343" t="str">
        <f t="shared" si="2"/>
        <v>Einnahmen direkte Bundessteuer (DBSt)</v>
      </c>
      <c r="C184" s="348" t="s">
        <v>136</v>
      </c>
      <c r="D184" s="13" t="s">
        <v>597</v>
      </c>
      <c r="E184" s="13" t="s">
        <v>605</v>
      </c>
      <c r="F184" s="13" t="s">
        <v>612</v>
      </c>
      <c r="G184" s="13" t="s">
        <v>619</v>
      </c>
      <c r="H184" s="13" t="s">
        <v>136</v>
      </c>
    </row>
    <row r="185" spans="2:8" x14ac:dyDescent="0.2">
      <c r="B185" s="343" t="str">
        <f t="shared" si="2"/>
        <v>Kantonsanteil</v>
      </c>
      <c r="C185" s="348" t="s">
        <v>136</v>
      </c>
      <c r="D185" s="13" t="s">
        <v>590</v>
      </c>
      <c r="E185" s="13" t="s">
        <v>680</v>
      </c>
      <c r="F185" s="13" t="s">
        <v>624</v>
      </c>
      <c r="G185" s="13" t="s">
        <v>625</v>
      </c>
      <c r="H185" s="13" t="s">
        <v>136</v>
      </c>
    </row>
    <row r="186" spans="2:8" x14ac:dyDescent="0.2">
      <c r="B186" s="343" t="str">
        <f t="shared" si="2"/>
        <v>Anteil der Kantone an DBSt</v>
      </c>
      <c r="C186" s="348" t="s">
        <v>136</v>
      </c>
      <c r="D186" s="13" t="s">
        <v>598</v>
      </c>
      <c r="E186" s="13" t="s">
        <v>681</v>
      </c>
      <c r="F186" s="13" t="s">
        <v>626</v>
      </c>
      <c r="G186" s="13" t="s">
        <v>627</v>
      </c>
      <c r="H186" s="13" t="s">
        <v>136</v>
      </c>
    </row>
    <row r="187" spans="2:8" x14ac:dyDescent="0.2">
      <c r="B187" s="343" t="str">
        <f t="shared" si="2"/>
        <v>Standardisierte Steuererträge (SSE)</v>
      </c>
      <c r="C187" s="348" t="s">
        <v>136</v>
      </c>
      <c r="D187" s="13" t="s">
        <v>599</v>
      </c>
      <c r="E187" s="13" t="s">
        <v>606</v>
      </c>
      <c r="F187" s="13" t="s">
        <v>613</v>
      </c>
      <c r="G187" s="13" t="s">
        <v>620</v>
      </c>
      <c r="H187" s="13" t="s">
        <v>136</v>
      </c>
    </row>
    <row r="188" spans="2:8" x14ac:dyDescent="0.2">
      <c r="B188" s="343" t="str">
        <f t="shared" si="2"/>
        <v>Massgebende Wohnbevölkerung</v>
      </c>
      <c r="C188" s="348" t="s">
        <v>136</v>
      </c>
      <c r="D188" s="13" t="s">
        <v>0</v>
      </c>
      <c r="E188" s="13" t="s">
        <v>298</v>
      </c>
      <c r="F188" s="13" t="s">
        <v>314</v>
      </c>
      <c r="G188" s="13" t="s">
        <v>259</v>
      </c>
      <c r="H188" s="13" t="s">
        <v>136</v>
      </c>
    </row>
    <row r="189" spans="2:8" x14ac:dyDescent="0.2">
      <c r="B189" s="343" t="str">
        <f t="shared" si="2"/>
        <v>Standardisierte Steuererträge pro Kopf</v>
      </c>
      <c r="C189" s="348" t="s">
        <v>136</v>
      </c>
      <c r="D189" s="13" t="s">
        <v>600</v>
      </c>
      <c r="E189" s="13" t="s">
        <v>607</v>
      </c>
      <c r="F189" s="13" t="s">
        <v>614</v>
      </c>
      <c r="G189" s="13" t="s">
        <v>621</v>
      </c>
      <c r="H189" s="13" t="s">
        <v>136</v>
      </c>
    </row>
    <row r="190" spans="2:8" x14ac:dyDescent="0.2">
      <c r="B190" s="343" t="str">
        <f t="shared" si="2"/>
        <v>Ressourcenpotenzial pro Kopf</v>
      </c>
      <c r="C190" s="348" t="s">
        <v>136</v>
      </c>
      <c r="D190" s="13" t="s">
        <v>601</v>
      </c>
      <c r="E190" s="13" t="s">
        <v>608</v>
      </c>
      <c r="F190" s="13" t="s">
        <v>615</v>
      </c>
      <c r="G190" s="13" t="s">
        <v>622</v>
      </c>
      <c r="H190" s="13" t="s">
        <v>136</v>
      </c>
    </row>
    <row r="191" spans="2:8" x14ac:dyDescent="0.2">
      <c r="B191" s="345" t="str">
        <f t="shared" si="2"/>
        <v>Standardisierter Steuersatz (SST)</v>
      </c>
      <c r="C191" s="348" t="s">
        <v>136</v>
      </c>
      <c r="D191" s="13" t="s">
        <v>602</v>
      </c>
      <c r="E191" s="13" t="s">
        <v>609</v>
      </c>
      <c r="F191" s="13" t="s">
        <v>616</v>
      </c>
      <c r="G191" s="13" t="s">
        <v>623</v>
      </c>
      <c r="H191" s="13" t="s">
        <v>136</v>
      </c>
    </row>
    <row r="192" spans="2:8" x14ac:dyDescent="0.2">
      <c r="B192" s="346" t="str">
        <f t="shared" si="2"/>
        <v>Auszahlungen an die ressourcenschwachen Kantone 2020</v>
      </c>
      <c r="C192" s="348" t="s">
        <v>181</v>
      </c>
      <c r="D192" s="336" t="str">
        <f>"Auszahlungen an die ressourcenschwachen Kantone " &amp; $G$2</f>
        <v>Auszahlungen an die ressourcenschwachen Kantone 2020</v>
      </c>
      <c r="E192" s="336" t="str">
        <f>"Montants reçus par les cantons à faible potentiel de ressources " &amp; $G$2</f>
        <v>Montants reçus par les cantons à faible potentiel de ressources 2020</v>
      </c>
      <c r="F192" s="336" t="str">
        <f>"Versamenti ai Cantoni finanziariamente deboli " &amp; $G$2</f>
        <v>Versamenti ai Cantoni finanziariamente deboli 2020</v>
      </c>
      <c r="G192" s="336" t="str">
        <f>"Outpayments to financially weak cantons " &amp; $G$2</f>
        <v>Outpayments to financially weak cantons 2020</v>
      </c>
      <c r="H192" s="336" t="s">
        <v>136</v>
      </c>
    </row>
    <row r="193" spans="2:8" x14ac:dyDescent="0.2">
      <c r="B193" s="343" t="str">
        <f t="shared" si="2"/>
        <v>Ressourcen-
index</v>
      </c>
      <c r="C193" s="348" t="s">
        <v>136</v>
      </c>
      <c r="D193" s="13" t="s">
        <v>117</v>
      </c>
      <c r="E193" s="13" t="s">
        <v>449</v>
      </c>
      <c r="F193" s="13" t="s">
        <v>495</v>
      </c>
      <c r="G193" s="13" t="s">
        <v>468</v>
      </c>
      <c r="H193" s="13" t="s">
        <v>136</v>
      </c>
    </row>
    <row r="194" spans="2:8" ht="11.25" customHeight="1" x14ac:dyDescent="0.2">
      <c r="B194" s="343" t="str">
        <f t="shared" si="2"/>
        <v>Auszahlung in
Indexpunkten</v>
      </c>
      <c r="C194" s="348" t="s">
        <v>136</v>
      </c>
      <c r="D194" s="13" t="s">
        <v>630</v>
      </c>
      <c r="E194" s="13" t="s">
        <v>712</v>
      </c>
      <c r="F194" s="13" t="s">
        <v>721</v>
      </c>
      <c r="G194" s="13" t="s">
        <v>665</v>
      </c>
      <c r="H194" s="13" t="s">
        <v>136</v>
      </c>
    </row>
    <row r="195" spans="2:8" ht="11.25" customHeight="1" x14ac:dyDescent="0.2">
      <c r="B195" s="343" t="str">
        <f t="shared" si="2"/>
        <v>Index SSE
nach Ausgleich</v>
      </c>
      <c r="C195" s="348" t="s">
        <v>136</v>
      </c>
      <c r="D195" s="13" t="s">
        <v>631</v>
      </c>
      <c r="E195" s="13" t="s">
        <v>463</v>
      </c>
      <c r="F195" s="13" t="s">
        <v>506</v>
      </c>
      <c r="G195" s="13" t="s">
        <v>666</v>
      </c>
      <c r="H195" s="13" t="s">
        <v>136</v>
      </c>
    </row>
    <row r="196" spans="2:8" x14ac:dyDescent="0.2">
      <c r="B196" s="343" t="str">
        <f t="shared" si="2"/>
        <v>Auszahlung
pro Einwohner</v>
      </c>
      <c r="C196" s="348" t="s">
        <v>136</v>
      </c>
      <c r="D196" s="13" t="s">
        <v>122</v>
      </c>
      <c r="E196" s="13" t="s">
        <v>456</v>
      </c>
      <c r="F196" s="13" t="s">
        <v>501</v>
      </c>
      <c r="G196" s="13" t="s">
        <v>540</v>
      </c>
      <c r="H196" s="13" t="s">
        <v>136</v>
      </c>
    </row>
    <row r="197" spans="2:8" x14ac:dyDescent="0.2">
      <c r="B197" s="343" t="str">
        <f t="shared" si="2"/>
        <v>Auszahlung</v>
      </c>
      <c r="C197" s="348" t="s">
        <v>136</v>
      </c>
      <c r="D197" s="13" t="s">
        <v>121</v>
      </c>
      <c r="E197" s="13" t="s">
        <v>457</v>
      </c>
      <c r="F197" s="13" t="s">
        <v>376</v>
      </c>
      <c r="G197" s="13" t="s">
        <v>294</v>
      </c>
      <c r="H197" s="13" t="s">
        <v>136</v>
      </c>
    </row>
    <row r="198" spans="2:8" x14ac:dyDescent="0.2">
      <c r="B198" s="343" t="str">
        <f t="shared" si="2"/>
        <v>Garantierte Mindestausstattung</v>
      </c>
      <c r="C198" s="348"/>
      <c r="D198" s="13" t="s">
        <v>632</v>
      </c>
      <c r="E198" s="13" t="s">
        <v>707</v>
      </c>
      <c r="F198" s="13" t="s">
        <v>714</v>
      </c>
      <c r="G198" s="13" t="s">
        <v>667</v>
      </c>
      <c r="H198" s="13" t="s">
        <v>136</v>
      </c>
    </row>
    <row r="199" spans="2:8" x14ac:dyDescent="0.2">
      <c r="B199" s="343" t="str">
        <f t="shared" si="2"/>
        <v>Beginn Progression</v>
      </c>
      <c r="C199" s="348"/>
      <c r="D199" s="13" t="s">
        <v>633</v>
      </c>
      <c r="E199" s="13" t="s">
        <v>708</v>
      </c>
      <c r="F199" s="13" t="s">
        <v>715</v>
      </c>
      <c r="G199" s="13" t="s">
        <v>668</v>
      </c>
      <c r="H199" s="13" t="s">
        <v>136</v>
      </c>
    </row>
    <row r="200" spans="2:8" x14ac:dyDescent="0.2">
      <c r="B200" s="343" t="str">
        <f t="shared" si="2"/>
        <v>Maximale Grenzabschöpfung</v>
      </c>
      <c r="C200" s="348"/>
      <c r="D200" s="13" t="s">
        <v>634</v>
      </c>
      <c r="E200" s="13" t="s">
        <v>709</v>
      </c>
      <c r="F200" s="13" t="s">
        <v>716</v>
      </c>
      <c r="G200" s="13" t="s">
        <v>669</v>
      </c>
      <c r="H200" s="13" t="s">
        <v>136</v>
      </c>
    </row>
    <row r="201" spans="2:8" x14ac:dyDescent="0.2">
      <c r="B201" s="343" t="str">
        <f t="shared" si="2"/>
        <v>SSE pro Einwohner</v>
      </c>
      <c r="C201" s="348"/>
      <c r="D201" s="13" t="s">
        <v>635</v>
      </c>
      <c r="E201" s="13" t="s">
        <v>710</v>
      </c>
      <c r="F201" s="13" t="s">
        <v>717</v>
      </c>
      <c r="G201" s="13" t="s">
        <v>670</v>
      </c>
      <c r="H201" s="13" t="s">
        <v>136</v>
      </c>
    </row>
    <row r="202" spans="2:8" x14ac:dyDescent="0.2">
      <c r="B202" s="343" t="str">
        <f t="shared" si="2"/>
        <v>Progressionsmass p</v>
      </c>
      <c r="C202" s="348"/>
      <c r="D202" s="13" t="s">
        <v>126</v>
      </c>
      <c r="E202" s="13" t="s">
        <v>458</v>
      </c>
      <c r="F202" s="13" t="s">
        <v>718</v>
      </c>
      <c r="G202" s="13" t="s">
        <v>295</v>
      </c>
      <c r="H202" s="13" t="s">
        <v>136</v>
      </c>
    </row>
    <row r="203" spans="2:8" x14ac:dyDescent="0.2">
      <c r="B203" s="345" t="str">
        <f t="shared" si="2"/>
        <v>Progressionsmass t</v>
      </c>
      <c r="C203" s="348" t="s">
        <v>136</v>
      </c>
      <c r="D203" s="13" t="s">
        <v>645</v>
      </c>
      <c r="E203" s="13" t="s">
        <v>711</v>
      </c>
      <c r="F203" s="13" t="s">
        <v>719</v>
      </c>
      <c r="G203" s="13" t="s">
        <v>675</v>
      </c>
      <c r="H203" s="13" t="s">
        <v>136</v>
      </c>
    </row>
    <row r="204" spans="2:8" x14ac:dyDescent="0.2">
      <c r="B204" s="346" t="str">
        <f t="shared" si="2"/>
        <v>Dotationen im Ressourcenausgleich 2020</v>
      </c>
      <c r="C204" s="348" t="s">
        <v>179</v>
      </c>
      <c r="D204" s="336" t="str">
        <f>"Dotationen im Ressourcenausgleich " &amp; $G$2</f>
        <v>Dotationen im Ressourcenausgleich 2020</v>
      </c>
      <c r="E204" s="336" t="str">
        <f>"Dotations de la péréquation des ressources " &amp; $G$2</f>
        <v>Dotations de la péréquation des ressources 2020</v>
      </c>
      <c r="F204" s="336" t="str">
        <f>"Dotazioni nella perequazione delle risorse " &amp; $G$2</f>
        <v>Dotazioni nella perequazione delle risorse 2020</v>
      </c>
      <c r="G204" s="336" t="str">
        <f>"Resource equalization endowments " &amp; $G$2</f>
        <v>Resource equalization endowments 2020</v>
      </c>
      <c r="H204" s="336" t="s">
        <v>136</v>
      </c>
    </row>
    <row r="205" spans="2:8" x14ac:dyDescent="0.2">
      <c r="B205" s="343" t="str">
        <f t="shared" si="2"/>
        <v>Vertikaler
Ressourcenausgleich
(VRA)</v>
      </c>
      <c r="C205" s="348" t="s">
        <v>136</v>
      </c>
      <c r="D205" s="13" t="s">
        <v>408</v>
      </c>
      <c r="E205" s="13" t="s">
        <v>450</v>
      </c>
      <c r="F205" s="13" t="s">
        <v>496</v>
      </c>
      <c r="G205" s="13" t="s">
        <v>533</v>
      </c>
      <c r="H205" s="13" t="s">
        <v>136</v>
      </c>
    </row>
    <row r="206" spans="2:8" ht="11.25" customHeight="1" x14ac:dyDescent="0.2">
      <c r="B206" s="343" t="str">
        <f t="shared" si="2"/>
        <v>Horizontaler
Ressourcenausgleich
(HRA)</v>
      </c>
      <c r="C206" s="348" t="s">
        <v>136</v>
      </c>
      <c r="D206" s="13" t="s">
        <v>552</v>
      </c>
      <c r="E206" s="13" t="s">
        <v>451</v>
      </c>
      <c r="F206" s="13" t="s">
        <v>497</v>
      </c>
      <c r="G206" s="13" t="s">
        <v>534</v>
      </c>
      <c r="H206" s="13" t="s">
        <v>136</v>
      </c>
    </row>
    <row r="207" spans="2:8" x14ac:dyDescent="0.2">
      <c r="B207" s="343" t="str">
        <f t="shared" si="2"/>
        <v>Ausgleich
Total</v>
      </c>
      <c r="C207" s="348" t="s">
        <v>136</v>
      </c>
      <c r="D207" s="13" t="s">
        <v>409</v>
      </c>
      <c r="E207" s="13" t="s">
        <v>452</v>
      </c>
      <c r="F207" s="13" t="s">
        <v>498</v>
      </c>
      <c r="G207" s="13" t="s">
        <v>535</v>
      </c>
      <c r="H207" s="13" t="s">
        <v>136</v>
      </c>
    </row>
    <row r="208" spans="2:8" x14ac:dyDescent="0.2">
      <c r="B208" s="343" t="str">
        <f t="shared" si="2"/>
        <v>Dotation 2020</v>
      </c>
      <c r="C208" s="348" t="s">
        <v>136</v>
      </c>
      <c r="D208" s="13" t="str">
        <f>"Dotation " &amp; $G$2</f>
        <v>Dotation 2020</v>
      </c>
      <c r="E208" s="13" t="str">
        <f>"Dotation " &amp; $G$2</f>
        <v>Dotation 2020</v>
      </c>
      <c r="F208" s="13" t="str">
        <f>"Dotazione " &amp; $G$2</f>
        <v>Dotazione 2020</v>
      </c>
      <c r="G208" s="13" t="str">
        <f>"Endowment " &amp; $G$2</f>
        <v>Endowment 2020</v>
      </c>
      <c r="H208" s="13" t="s">
        <v>136</v>
      </c>
    </row>
    <row r="209" spans="2:8" x14ac:dyDescent="0.2">
      <c r="B209" s="343" t="str">
        <f t="shared" si="2"/>
        <v>Anteile</v>
      </c>
      <c r="C209" s="348"/>
      <c r="D209" s="13" t="s">
        <v>640</v>
      </c>
      <c r="E209" s="13" t="s">
        <v>713</v>
      </c>
      <c r="F209" s="13" t="s">
        <v>720</v>
      </c>
      <c r="G209" s="13" t="s">
        <v>671</v>
      </c>
      <c r="H209" s="13" t="s">
        <v>136</v>
      </c>
    </row>
    <row r="210" spans="2:8" x14ac:dyDescent="0.2">
      <c r="B210" s="345" t="str">
        <f t="shared" si="2"/>
        <v>VRA in % des HRA</v>
      </c>
      <c r="C210" s="348" t="s">
        <v>136</v>
      </c>
      <c r="D210" s="13" t="s">
        <v>641</v>
      </c>
      <c r="E210" s="13" t="s">
        <v>642</v>
      </c>
      <c r="F210" s="13" t="s">
        <v>643</v>
      </c>
      <c r="G210" s="13" t="s">
        <v>644</v>
      </c>
      <c r="H210" s="13" t="s">
        <v>136</v>
      </c>
    </row>
    <row r="211" spans="2:8" x14ac:dyDescent="0.2">
      <c r="B211" s="346" t="str">
        <f t="shared" si="2"/>
        <v>Einzahlungen der ressourcenstarken Kantone 2020</v>
      </c>
      <c r="C211" s="348" t="s">
        <v>180</v>
      </c>
      <c r="D211" s="336" t="str">
        <f>"Einzahlungen der ressourcenstarken Kantone " &amp; $G$2</f>
        <v>Einzahlungen der ressourcenstarken Kantone 2020</v>
      </c>
      <c r="E211" s="336" t="str">
        <f>"Montants versés par les cantons à fort potentiel de ressources " &amp; $G$2</f>
        <v>Montants versés par les cantons à fort potentiel de ressources 2020</v>
      </c>
      <c r="F211" s="336" t="str">
        <f>"Contributi dei Cantoni finanziariamente forti " &amp; $G$2</f>
        <v>Contributi dei Cantoni finanziariamente forti 2020</v>
      </c>
      <c r="G211" s="336" t="str">
        <f>"Inpayments of financially strong cantons " &amp; $G$2</f>
        <v>Inpayments of financially strong cantons 2020</v>
      </c>
      <c r="H211" s="336" t="s">
        <v>136</v>
      </c>
    </row>
    <row r="212" spans="2:8" x14ac:dyDescent="0.2">
      <c r="B212" s="343" t="str">
        <f t="shared" ref="B212:B227" si="3">HLOOKUP($B$9,$D$9:$G$227,ROW()-$B$8,FALSE)</f>
        <v>Ressourcen-
index</v>
      </c>
      <c r="C212" s="348" t="s">
        <v>136</v>
      </c>
      <c r="D212" s="13" t="s">
        <v>117</v>
      </c>
      <c r="E212" s="13" t="s">
        <v>449</v>
      </c>
      <c r="F212" s="13" t="s">
        <v>495</v>
      </c>
      <c r="G212" s="13" t="s">
        <v>468</v>
      </c>
      <c r="H212" s="13" t="s">
        <v>136</v>
      </c>
    </row>
    <row r="213" spans="2:8" x14ac:dyDescent="0.2">
      <c r="B213" s="343" t="str">
        <f t="shared" si="3"/>
        <v>Massgebende
Wohn-
bevölkerung</v>
      </c>
      <c r="C213" s="348" t="s">
        <v>136</v>
      </c>
      <c r="D213" s="13" t="s">
        <v>410</v>
      </c>
      <c r="E213" s="13" t="s">
        <v>446</v>
      </c>
      <c r="F213" s="13" t="s">
        <v>492</v>
      </c>
      <c r="G213" s="13" t="s">
        <v>536</v>
      </c>
      <c r="H213" s="13" t="s">
        <v>136</v>
      </c>
    </row>
    <row r="214" spans="2:8" x14ac:dyDescent="0.2">
      <c r="B214" s="343" t="str">
        <f t="shared" si="3"/>
        <v>Summe der
gewichteten
Abweichungen</v>
      </c>
      <c r="C214" s="348" t="s">
        <v>136</v>
      </c>
      <c r="D214" s="13" t="s">
        <v>411</v>
      </c>
      <c r="E214" s="13" t="s">
        <v>453</v>
      </c>
      <c r="F214" s="13" t="s">
        <v>499</v>
      </c>
      <c r="G214" s="13" t="s">
        <v>537</v>
      </c>
      <c r="H214" s="13" t="s">
        <v>136</v>
      </c>
    </row>
    <row r="215" spans="2:8" x14ac:dyDescent="0.2">
      <c r="B215" s="343" t="str">
        <f t="shared" si="3"/>
        <v>Einzahlung
pro Einwohner</v>
      </c>
      <c r="C215" s="348" t="s">
        <v>136</v>
      </c>
      <c r="D215" s="13" t="s">
        <v>412</v>
      </c>
      <c r="E215" s="13" t="s">
        <v>454</v>
      </c>
      <c r="F215" s="13" t="s">
        <v>500</v>
      </c>
      <c r="G215" s="13" t="s">
        <v>538</v>
      </c>
      <c r="H215" s="13" t="s">
        <v>136</v>
      </c>
    </row>
    <row r="216" spans="2:8" x14ac:dyDescent="0.2">
      <c r="B216" s="343" t="str">
        <f t="shared" si="3"/>
        <v>Einzahlung</v>
      </c>
      <c r="C216" s="348" t="s">
        <v>136</v>
      </c>
      <c r="D216" s="13" t="s">
        <v>123</v>
      </c>
      <c r="E216" s="13" t="s">
        <v>455</v>
      </c>
      <c r="F216" s="13" t="s">
        <v>374</v>
      </c>
      <c r="G216" s="13" t="s">
        <v>293</v>
      </c>
      <c r="H216" s="13" t="s">
        <v>136</v>
      </c>
    </row>
    <row r="217" spans="2:8" x14ac:dyDescent="0.2">
      <c r="B217" s="345" t="str">
        <f t="shared" si="3"/>
        <v>Dotation/E[Schweiz]*E</v>
      </c>
      <c r="C217" s="348" t="s">
        <v>136</v>
      </c>
      <c r="D217" s="13" t="s">
        <v>98</v>
      </c>
      <c r="E217" s="13" t="s">
        <v>248</v>
      </c>
      <c r="F217" s="13" t="s">
        <v>375</v>
      </c>
      <c r="G217" s="13" t="s">
        <v>539</v>
      </c>
      <c r="H217" s="13" t="s">
        <v>136</v>
      </c>
    </row>
    <row r="218" spans="2:8" x14ac:dyDescent="0.2">
      <c r="B218" s="346" t="str">
        <f t="shared" si="3"/>
        <v>Standardisierter Steuerertrag (SSE) 2020</v>
      </c>
      <c r="C218" s="348" t="s">
        <v>182</v>
      </c>
      <c r="D218" s="336" t="str">
        <f>"Standardisierter Steuerertrag (SSE) " &amp; $G$2</f>
        <v>Standardisierter Steuerertrag (SSE) 2020</v>
      </c>
      <c r="E218" s="336" t="str">
        <f>"Recettes fiscales standardisées (RFS) " &amp; $G$2</f>
        <v>Recettes fiscales standardisées (RFS) 2020</v>
      </c>
      <c r="F218" s="336" t="str">
        <f>"Gettito fiscale standardizzato (GFS) " &amp; $G$2</f>
        <v>Gettito fiscale standardizzato (GFS) 2020</v>
      </c>
      <c r="G218" s="336" t="str">
        <f>"Standardized tax revenue (STR) " &amp; $G$2</f>
        <v>Standardized tax revenue (STR) 2020</v>
      </c>
      <c r="H218" s="336" t="s">
        <v>136</v>
      </c>
    </row>
    <row r="219" spans="2:8" x14ac:dyDescent="0.2">
      <c r="B219" s="343" t="str">
        <f t="shared" si="3"/>
        <v>Ressourcen-
index</v>
      </c>
      <c r="C219" s="348" t="s">
        <v>136</v>
      </c>
      <c r="D219" s="13" t="s">
        <v>117</v>
      </c>
      <c r="E219" s="13" t="s">
        <v>449</v>
      </c>
      <c r="F219" s="13" t="s">
        <v>495</v>
      </c>
      <c r="G219" s="13" t="s">
        <v>468</v>
      </c>
      <c r="H219" s="13" t="s">
        <v>136</v>
      </c>
    </row>
    <row r="220" spans="2:8" x14ac:dyDescent="0.2">
      <c r="B220" s="343" t="str">
        <f t="shared" si="3"/>
        <v>Standardisierter
Steuerertrag
(SSE)</v>
      </c>
      <c r="C220" s="348" t="s">
        <v>136</v>
      </c>
      <c r="D220" s="13" t="s">
        <v>413</v>
      </c>
      <c r="E220" s="13" t="s">
        <v>459</v>
      </c>
      <c r="F220" s="13" t="s">
        <v>502</v>
      </c>
      <c r="G220" s="13" t="s">
        <v>541</v>
      </c>
      <c r="H220" s="13" t="s">
        <v>136</v>
      </c>
    </row>
    <row r="221" spans="2:8" x14ac:dyDescent="0.2">
      <c r="B221" s="343" t="str">
        <f t="shared" si="3"/>
        <v>Massgebende
Wohn-
bevölkerung</v>
      </c>
      <c r="C221" s="348" t="s">
        <v>136</v>
      </c>
      <c r="D221" s="13" t="s">
        <v>410</v>
      </c>
      <c r="E221" s="13" t="s">
        <v>446</v>
      </c>
      <c r="F221" s="13" t="s">
        <v>492</v>
      </c>
      <c r="G221" s="13" t="s">
        <v>536</v>
      </c>
      <c r="H221" s="13" t="s">
        <v>136</v>
      </c>
    </row>
    <row r="222" spans="2:8" x14ac:dyDescent="0.2">
      <c r="B222" s="343" t="str">
        <f t="shared" si="3"/>
        <v>Standardisierter
Steuerertrag pro
Einwohner vor
Ausgleich</v>
      </c>
      <c r="C222" s="348" t="s">
        <v>136</v>
      </c>
      <c r="D222" s="13" t="s">
        <v>414</v>
      </c>
      <c r="E222" s="13" t="s">
        <v>460</v>
      </c>
      <c r="F222" s="13" t="s">
        <v>503</v>
      </c>
      <c r="G222" s="13" t="s">
        <v>542</v>
      </c>
      <c r="H222" s="13" t="s">
        <v>136</v>
      </c>
    </row>
    <row r="223" spans="2:8" x14ac:dyDescent="0.2">
      <c r="B223" s="343" t="str">
        <f t="shared" si="3"/>
        <v>Ressourcen-
ausgleich pro
Einwohner</v>
      </c>
      <c r="C223" s="348" t="s">
        <v>136</v>
      </c>
      <c r="D223" s="13" t="s">
        <v>415</v>
      </c>
      <c r="E223" s="13" t="s">
        <v>461</v>
      </c>
      <c r="F223" s="13" t="s">
        <v>504</v>
      </c>
      <c r="G223" s="13" t="s">
        <v>543</v>
      </c>
      <c r="H223" s="13" t="s">
        <v>136</v>
      </c>
    </row>
    <row r="224" spans="2:8" x14ac:dyDescent="0.2">
      <c r="B224" s="343" t="str">
        <f t="shared" si="3"/>
        <v>Standardisierter
Steuerertrag pro
Einwohner nach
Ausgleich</v>
      </c>
      <c r="C224" s="348" t="s">
        <v>136</v>
      </c>
      <c r="D224" s="13" t="s">
        <v>416</v>
      </c>
      <c r="E224" s="13" t="s">
        <v>462</v>
      </c>
      <c r="F224" s="13" t="s">
        <v>505</v>
      </c>
      <c r="G224" s="13" t="s">
        <v>544</v>
      </c>
      <c r="H224" s="13" t="s">
        <v>136</v>
      </c>
    </row>
    <row r="225" spans="2:8" x14ac:dyDescent="0.2">
      <c r="B225" s="343" t="str">
        <f t="shared" si="3"/>
        <v>Index SSE
nach
Ausgleich</v>
      </c>
      <c r="C225" s="348" t="s">
        <v>136</v>
      </c>
      <c r="D225" s="13" t="s">
        <v>99</v>
      </c>
      <c r="E225" s="13" t="s">
        <v>463</v>
      </c>
      <c r="F225" s="13" t="s">
        <v>506</v>
      </c>
      <c r="G225" s="13" t="s">
        <v>545</v>
      </c>
      <c r="H225" s="13" t="s">
        <v>136</v>
      </c>
    </row>
    <row r="226" spans="2:8" x14ac:dyDescent="0.2">
      <c r="B226" s="343" t="str">
        <f t="shared" si="3"/>
        <v>H / F[Schweiz]</v>
      </c>
      <c r="C226" s="348" t="s">
        <v>136</v>
      </c>
      <c r="D226" s="13" t="s">
        <v>100</v>
      </c>
      <c r="E226" s="13" t="s">
        <v>249</v>
      </c>
      <c r="F226" s="13" t="s">
        <v>377</v>
      </c>
      <c r="G226" s="13" t="s">
        <v>261</v>
      </c>
      <c r="H226" s="13" t="s">
        <v>136</v>
      </c>
    </row>
    <row r="227" spans="2:8" x14ac:dyDescent="0.2">
      <c r="B227" s="345" t="str">
        <f t="shared" si="3"/>
        <v>Minimum</v>
      </c>
      <c r="C227" s="348" t="s">
        <v>136</v>
      </c>
      <c r="D227" s="13" t="s">
        <v>41</v>
      </c>
      <c r="E227" s="13" t="s">
        <v>41</v>
      </c>
      <c r="F227" s="13" t="s">
        <v>378</v>
      </c>
      <c r="G227" s="13" t="s">
        <v>41</v>
      </c>
      <c r="H227" s="13" t="s">
        <v>136</v>
      </c>
    </row>
  </sheetData>
  <pageMargins left="0.39370078740157483" right="0.39370078740157483" top="0.78740157480314965" bottom="0.78740157480314965" header="0.31496062992125984" footer="0.31496062992125984"/>
  <pageSetup paperSize="9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7"/>
  <sheetViews>
    <sheetView showGridLines="0" zoomScaleNormal="100" workbookViewId="0">
      <selection activeCell="A50" sqref="A50"/>
    </sheetView>
  </sheetViews>
  <sheetFormatPr baseColWidth="10" defaultColWidth="9.140625" defaultRowHeight="12.75" x14ac:dyDescent="0.2"/>
  <cols>
    <col min="1" max="1" width="3.5703125" customWidth="1"/>
    <col min="2" max="2" width="16.7109375" customWidth="1"/>
    <col min="3" max="5" width="17.7109375" customWidth="1"/>
    <col min="6" max="6" width="3.5703125" customWidth="1"/>
    <col min="7" max="7" width="11.42578125" customWidth="1"/>
  </cols>
  <sheetData>
    <row r="1" spans="1:6" ht="48" customHeight="1" x14ac:dyDescent="0.2"/>
    <row r="2" spans="1:6" ht="28.5" customHeight="1" x14ac:dyDescent="0.2">
      <c r="A2" s="352" t="str">
        <f>DFIE!B72</f>
        <v>Zahlungen im</v>
      </c>
      <c r="B2" s="352"/>
      <c r="C2" s="352"/>
      <c r="D2" s="352"/>
      <c r="E2" s="352"/>
      <c r="F2" s="352"/>
    </row>
    <row r="3" spans="1:6" ht="27.75" customHeight="1" x14ac:dyDescent="0.2">
      <c r="A3" s="359" t="str">
        <f>DFIE!B73</f>
        <v>Ressourcenausgleich 2020</v>
      </c>
      <c r="B3" s="359"/>
      <c r="C3" s="359"/>
      <c r="D3" s="359"/>
      <c r="E3" s="359"/>
      <c r="F3" s="359"/>
    </row>
    <row r="4" spans="1:6" ht="24" customHeight="1" x14ac:dyDescent="0.2">
      <c r="B4" s="14"/>
    </row>
    <row r="5" spans="1:6" ht="24" customHeight="1" x14ac:dyDescent="0.2">
      <c r="B5" s="14"/>
    </row>
    <row r="6" spans="1:6" x14ac:dyDescent="0.2">
      <c r="B6" s="15" t="str">
        <f>DFIE!B74</f>
        <v>(+) Einzahlungen; (-) Auszahlungen in CHF</v>
      </c>
    </row>
    <row r="7" spans="1:6" ht="16.5" customHeight="1" x14ac:dyDescent="0.2">
      <c r="B7" s="355"/>
      <c r="C7" s="357" t="str">
        <f>DFIE!B75</f>
        <v>Ressourcen-
index</v>
      </c>
      <c r="D7" s="353" t="str">
        <f>DFIE!B76</f>
        <v>Ausgleichszahlungen</v>
      </c>
      <c r="E7" s="354"/>
    </row>
    <row r="8" spans="1:6" ht="16.5" customHeight="1" x14ac:dyDescent="0.2">
      <c r="B8" s="356"/>
      <c r="C8" s="358"/>
      <c r="D8" s="29" t="str">
        <f>DFIE!B64</f>
        <v>Total</v>
      </c>
      <c r="E8" s="30" t="str">
        <f>DFIE!B77</f>
        <v>Pro Einwohner</v>
      </c>
    </row>
    <row r="9" spans="1:6" x14ac:dyDescent="0.2">
      <c r="B9" s="16" t="str">
        <f>DFIE!B28</f>
        <v>Zürich</v>
      </c>
      <c r="C9" s="17">
        <f>RP!I9</f>
        <v>121.6556882035641</v>
      </c>
      <c r="D9" s="18">
        <f>SUM(EINZ!G9,-AUSZ!G9)</f>
        <v>569284506.08970034</v>
      </c>
      <c r="E9" s="19">
        <f>-SSE!G9</f>
        <v>387.09975048716899</v>
      </c>
    </row>
    <row r="10" spans="1:6" x14ac:dyDescent="0.2">
      <c r="B10" s="20" t="str">
        <f>DFIE!B29</f>
        <v>Bern</v>
      </c>
      <c r="C10" s="21">
        <f>RP!I10</f>
        <v>77.597792682509919</v>
      </c>
      <c r="D10" s="22">
        <f>SUM(EINZ!G10,-AUSZ!G10)</f>
        <v>-1034041528.2936935</v>
      </c>
      <c r="E10" s="23">
        <f>-SSE!G10</f>
        <v>-1012.383110225093</v>
      </c>
    </row>
    <row r="11" spans="1:6" x14ac:dyDescent="0.2">
      <c r="B11" s="16" t="str">
        <f>DFIE!B30</f>
        <v>Luzern</v>
      </c>
      <c r="C11" s="17">
        <f>RP!I11</f>
        <v>89.064091528532501</v>
      </c>
      <c r="D11" s="18">
        <f>SUM(EINZ!G11,-AUSZ!G11)</f>
        <v>-135717407.36812755</v>
      </c>
      <c r="E11" s="19">
        <f>-SSE!G11</f>
        <v>-339.05730849540043</v>
      </c>
    </row>
    <row r="12" spans="1:6" x14ac:dyDescent="0.2">
      <c r="B12" s="20" t="str">
        <f>DFIE!B31</f>
        <v>Uri</v>
      </c>
      <c r="C12" s="21">
        <f>RP!I12</f>
        <v>71.289251007437002</v>
      </c>
      <c r="D12" s="22">
        <f>SUM(EINZ!G12,-AUSZ!G12)</f>
        <v>-53982089.451402701</v>
      </c>
      <c r="E12" s="23">
        <f>-SSE!G12</f>
        <v>-1478.1379172717307</v>
      </c>
    </row>
    <row r="13" spans="1:6" x14ac:dyDescent="0.2">
      <c r="B13" s="16" t="str">
        <f>DFIE!B32</f>
        <v>Schwyz</v>
      </c>
      <c r="C13" s="17">
        <f>RP!I13</f>
        <v>181.3482436399066</v>
      </c>
      <c r="D13" s="18">
        <f>SUM(EINZ!G13,-AUSZ!G13)</f>
        <v>225364244.52333665</v>
      </c>
      <c r="E13" s="19">
        <f>-SSE!G13</f>
        <v>1454.116097330708</v>
      </c>
    </row>
    <row r="14" spans="1:6" x14ac:dyDescent="0.2">
      <c r="B14" s="20" t="str">
        <f>DFIE!B33</f>
        <v>Obwalden</v>
      </c>
      <c r="C14" s="21">
        <f>RP!I14</f>
        <v>115.44984636418096</v>
      </c>
      <c r="D14" s="22">
        <f>SUM(EINZ!G14,-AUSZ!G14)</f>
        <v>10309069.877505606</v>
      </c>
      <c r="E14" s="23">
        <f>-SSE!G14</f>
        <v>276.16908852867817</v>
      </c>
    </row>
    <row r="15" spans="1:6" x14ac:dyDescent="0.2">
      <c r="B15" s="16" t="str">
        <f>DFIE!B34</f>
        <v>Nidwalden</v>
      </c>
      <c r="C15" s="17">
        <f>RP!I15</f>
        <v>158.02636045117836</v>
      </c>
      <c r="D15" s="18">
        <f>SUM(EINZ!G15,-AUSZ!G15)</f>
        <v>44179720.108314425</v>
      </c>
      <c r="E15" s="19">
        <f>-SSE!G15</f>
        <v>1037.2327788055647</v>
      </c>
    </row>
    <row r="16" spans="1:6" x14ac:dyDescent="0.2">
      <c r="B16" s="20" t="str">
        <f>DFIE!B35</f>
        <v>Glarus</v>
      </c>
      <c r="C16" s="21">
        <f>RP!I16</f>
        <v>70.299520765952877</v>
      </c>
      <c r="D16" s="22">
        <f>SUM(EINZ!G16,-AUSZ!G16)</f>
        <v>-62920552.896355525</v>
      </c>
      <c r="E16" s="23">
        <f>-SSE!G16</f>
        <v>-1556.5661072093758</v>
      </c>
    </row>
    <row r="17" spans="2:5" x14ac:dyDescent="0.2">
      <c r="B17" s="16" t="str">
        <f>DFIE!B36</f>
        <v>Zug</v>
      </c>
      <c r="C17" s="17">
        <f>RP!I17</f>
        <v>249.69262334127799</v>
      </c>
      <c r="D17" s="18">
        <f>SUM(EINZ!G17,-AUSZ!G17)</f>
        <v>328529379.70409286</v>
      </c>
      <c r="E17" s="19">
        <f>-SSE!G17</f>
        <v>2675.7855303643373</v>
      </c>
    </row>
    <row r="18" spans="2:5" x14ac:dyDescent="0.2">
      <c r="B18" s="20" t="str">
        <f>DFIE!B37</f>
        <v>Freiburg</v>
      </c>
      <c r="C18" s="21">
        <f>RP!I18</f>
        <v>79.176038955722007</v>
      </c>
      <c r="D18" s="22">
        <f>SUM(EINZ!G18,-AUSZ!G18)</f>
        <v>-278296492.2868582</v>
      </c>
      <c r="E18" s="23">
        <f>-SSE!G18</f>
        <v>-905.62219259067672</v>
      </c>
    </row>
    <row r="19" spans="2:5" x14ac:dyDescent="0.2">
      <c r="B19" s="16" t="str">
        <f>DFIE!B38</f>
        <v>Solothurn</v>
      </c>
      <c r="C19" s="17">
        <f>RP!I19</f>
        <v>72.433172163139531</v>
      </c>
      <c r="D19" s="18">
        <f>SUM(EINZ!G19,-AUSZ!G19)</f>
        <v>-371528848.39770341</v>
      </c>
      <c r="E19" s="19">
        <f>-SSE!G19</f>
        <v>-1389.2469111357477</v>
      </c>
    </row>
    <row r="20" spans="2:5" x14ac:dyDescent="0.2">
      <c r="B20" s="20" t="str">
        <f>DFIE!B39</f>
        <v>Basel-Stadt</v>
      </c>
      <c r="C20" s="21">
        <f>RP!I20</f>
        <v>145.9554284560933</v>
      </c>
      <c r="D20" s="22">
        <f>SUM(EINZ!G20,-AUSZ!G20)</f>
        <v>159772531.58228183</v>
      </c>
      <c r="E20" s="23">
        <f>-SSE!G20</f>
        <v>821.46245927002644</v>
      </c>
    </row>
    <row r="21" spans="2:5" x14ac:dyDescent="0.2">
      <c r="B21" s="16" t="str">
        <f>DFIE!B40</f>
        <v>Basel-Landschaft</v>
      </c>
      <c r="C21" s="17">
        <f>RP!I21</f>
        <v>96.935011299311427</v>
      </c>
      <c r="D21" s="18">
        <f>SUM(EINZ!G21,-AUSZ!G21)</f>
        <v>-13821911.943003036</v>
      </c>
      <c r="E21" s="19">
        <f>-SSE!G21</f>
        <v>-48.706777632526254</v>
      </c>
    </row>
    <row r="22" spans="2:5" x14ac:dyDescent="0.2">
      <c r="B22" s="20" t="str">
        <f>DFIE!B41</f>
        <v>Schaffhausen</v>
      </c>
      <c r="C22" s="21">
        <f>RP!I22</f>
        <v>91.084830574546373</v>
      </c>
      <c r="D22" s="22">
        <f>SUM(EINZ!G22,-AUSZ!G22)</f>
        <v>-20026154.998318031</v>
      </c>
      <c r="E22" s="23">
        <f>-SSE!G22</f>
        <v>-248.27299567517102</v>
      </c>
    </row>
    <row r="23" spans="2:5" x14ac:dyDescent="0.2">
      <c r="B23" s="16" t="str">
        <f>DFIE!B42</f>
        <v>Appenzell A.Rh.</v>
      </c>
      <c r="C23" s="17">
        <f>RP!I23</f>
        <v>85.017840620330304</v>
      </c>
      <c r="D23" s="18">
        <f>SUM(EINZ!G23,-AUSZ!G23)</f>
        <v>-29907468.283709534</v>
      </c>
      <c r="E23" s="19">
        <f>-SSE!G23</f>
        <v>-548.06030732048089</v>
      </c>
    </row>
    <row r="24" spans="2:5" x14ac:dyDescent="0.2">
      <c r="B24" s="20" t="str">
        <f>DFIE!B43</f>
        <v>Appenzell I.Rh.</v>
      </c>
      <c r="C24" s="21">
        <f>RP!I24</f>
        <v>91.12572243458041</v>
      </c>
      <c r="D24" s="22">
        <f>SUM(EINZ!G24,-AUSZ!G24)</f>
        <v>-3946497.8158352822</v>
      </c>
      <c r="E24" s="23">
        <f>-SSE!G24</f>
        <v>-246.53798070728291</v>
      </c>
    </row>
    <row r="25" spans="2:5" x14ac:dyDescent="0.2">
      <c r="B25" s="16" t="str">
        <f>DFIE!B44</f>
        <v>St. Gallen</v>
      </c>
      <c r="C25" s="17">
        <f>RP!I25</f>
        <v>79.486715819980489</v>
      </c>
      <c r="D25" s="18">
        <f>SUM(EINZ!G25,-AUSZ!G25)</f>
        <v>-443464892.19649047</v>
      </c>
      <c r="E25" s="19">
        <f>-SSE!G25</f>
        <v>-885.09292154979119</v>
      </c>
    </row>
    <row r="26" spans="2:5" x14ac:dyDescent="0.2">
      <c r="B26" s="20" t="str">
        <f>DFIE!B45</f>
        <v>Graubünden</v>
      </c>
      <c r="C26" s="21">
        <f>RP!I26</f>
        <v>82.90159072918739</v>
      </c>
      <c r="D26" s="22">
        <f>SUM(EINZ!G26,-AUSZ!G26)</f>
        <v>-137061491.14066237</v>
      </c>
      <c r="E26" s="23">
        <f>-SSE!G26</f>
        <v>-670.43879923331497</v>
      </c>
    </row>
    <row r="27" spans="2:5" x14ac:dyDescent="0.2">
      <c r="B27" s="16" t="str">
        <f>DFIE!B46</f>
        <v>Aargau</v>
      </c>
      <c r="C27" s="17">
        <f>RP!I27</f>
        <v>82.207335252677225</v>
      </c>
      <c r="D27" s="18">
        <f>SUM(EINZ!G27,-AUSZ!G27)</f>
        <v>-467108415.13117832</v>
      </c>
      <c r="E27" s="19">
        <f>-SSE!G27</f>
        <v>-712.40429213872483</v>
      </c>
    </row>
    <row r="28" spans="2:5" x14ac:dyDescent="0.2">
      <c r="B28" s="20" t="str">
        <f>DFIE!B47</f>
        <v>Thurgau</v>
      </c>
      <c r="C28" s="21">
        <f>RP!I28</f>
        <v>77.736472419111493</v>
      </c>
      <c r="D28" s="22">
        <f>SUM(EINZ!G28,-AUSZ!G28)</f>
        <v>-268482311.28871733</v>
      </c>
      <c r="E28" s="23">
        <f>-SSE!G28</f>
        <v>-1002.8386797093905</v>
      </c>
    </row>
    <row r="29" spans="2:5" x14ac:dyDescent="0.2">
      <c r="B29" s="16" t="str">
        <f>DFIE!B48</f>
        <v>Tessin</v>
      </c>
      <c r="C29" s="17">
        <f>RP!I29</f>
        <v>96.50537644843871</v>
      </c>
      <c r="D29" s="18">
        <f>SUM(EINZ!G29,-AUSZ!G29)</f>
        <v>-21035850.564884044</v>
      </c>
      <c r="E29" s="19">
        <f>-SSE!G29</f>
        <v>-59.497005654982352</v>
      </c>
    </row>
    <row r="30" spans="2:5" x14ac:dyDescent="0.2">
      <c r="B30" s="20" t="str">
        <f>DFIE!B49</f>
        <v>Waadt</v>
      </c>
      <c r="C30" s="21">
        <f>RP!I30</f>
        <v>99.86524008938018</v>
      </c>
      <c r="D30" s="22">
        <f>SUM(EINZ!G30,-AUSZ!G30)</f>
        <v>-322458.73413057521</v>
      </c>
      <c r="E30" s="23">
        <f>-SSE!G30</f>
        <v>-0.41475392507823478</v>
      </c>
    </row>
    <row r="31" spans="2:5" x14ac:dyDescent="0.2">
      <c r="B31" s="16" t="str">
        <f>DFIE!B50</f>
        <v>Wallis</v>
      </c>
      <c r="C31" s="17">
        <f>RP!I31</f>
        <v>65.407417610365442</v>
      </c>
      <c r="D31" s="18">
        <f>SUM(EINZ!G31,-AUSZ!G31)</f>
        <v>-680219467.84900796</v>
      </c>
      <c r="E31" s="19">
        <f>-SSE!G31</f>
        <v>-1990.6832947733853</v>
      </c>
    </row>
    <row r="32" spans="2:5" x14ac:dyDescent="0.2">
      <c r="B32" s="20" t="str">
        <f>DFIE!B51</f>
        <v>Neuenburg</v>
      </c>
      <c r="C32" s="21">
        <f>RP!I32</f>
        <v>82.871655675730892</v>
      </c>
      <c r="D32" s="22">
        <f>SUM(EINZ!G32,-AUSZ!G32)</f>
        <v>-120416693.62311153</v>
      </c>
      <c r="E32" s="23">
        <f>-SSE!G32</f>
        <v>-672.23012105598184</v>
      </c>
    </row>
    <row r="33" spans="2:5" x14ac:dyDescent="0.2">
      <c r="B33" s="16" t="str">
        <f>DFIE!B52</f>
        <v>Genf</v>
      </c>
      <c r="C33" s="17">
        <f>RP!I33</f>
        <v>143.74913820780961</v>
      </c>
      <c r="D33" s="18">
        <f>SUM(EINZ!G33,-AUSZ!G33)</f>
        <v>378880482.29007643</v>
      </c>
      <c r="E33" s="19">
        <f>-SSE!G33</f>
        <v>782.0245805665304</v>
      </c>
    </row>
    <row r="34" spans="2:5" x14ac:dyDescent="0.2">
      <c r="B34" s="20" t="str">
        <f>DFIE!B53</f>
        <v>Jura</v>
      </c>
      <c r="C34" s="21">
        <f>RP!I34</f>
        <v>64.894273837629598</v>
      </c>
      <c r="D34" s="22">
        <f>SUM(EINZ!G34,-AUSZ!G34)</f>
        <v>-148499303.17508015</v>
      </c>
      <c r="E34" s="23">
        <f>-SSE!G34</f>
        <v>-2036.5060136647244</v>
      </c>
    </row>
    <row r="35" spans="2:5" x14ac:dyDescent="0.2">
      <c r="B35" s="24" t="str">
        <f>DFIE!B54</f>
        <v>Schweiz</v>
      </c>
      <c r="C35" s="25">
        <f>RP!I35</f>
        <v>100</v>
      </c>
      <c r="D35" s="26">
        <f>SUM(D9:D34)</f>
        <v>-2574479901.2629619</v>
      </c>
      <c r="E35" s="27"/>
    </row>
    <row r="36" spans="2:5" ht="92.25" customHeight="1" x14ac:dyDescent="0.2">
      <c r="B36" s="351" t="str">
        <f>DFIE!B78</f>
        <v>Die Berechnung des Ressourcenausgleichs wird im technischen Bericht detailliert beschrieben:
www.efv.admin.ch → Themen  → Finanzausgleich  → Dokumentation</v>
      </c>
      <c r="C36" s="351"/>
      <c r="D36" s="351"/>
      <c r="E36" s="351"/>
    </row>
    <row r="37" spans="2:5" ht="21.75" customHeight="1" x14ac:dyDescent="0.2"/>
  </sheetData>
  <mergeCells count="6">
    <mergeCell ref="B36:E36"/>
    <mergeCell ref="A2:F2"/>
    <mergeCell ref="D7:E7"/>
    <mergeCell ref="B7:B8"/>
    <mergeCell ref="C7:C8"/>
    <mergeCell ref="A3:F3"/>
  </mergeCells>
  <conditionalFormatting sqref="D9:D34">
    <cfRule type="expression" dxfId="73" priority="2">
      <formula>$F$23="Nicht optimiert!"</formula>
    </cfRule>
  </conditionalFormatting>
  <conditionalFormatting sqref="B9:C34 E9:E34">
    <cfRule type="expression" dxfId="72" priority="35">
      <formula>SIGN(#REF!-100)&lt;&gt;SIGN($G9-100)</formula>
    </cfRule>
  </conditionalFormatting>
  <pageMargins left="0.78740157480314965" right="0.78740157480314965" top="0.98425196850393704" bottom="0.78740157480314965" header="0.51181102362204722" footer="0.51181102362204722"/>
  <pageSetup paperSize="9" scale="95" orientation="portrait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3"/>
  <sheetViews>
    <sheetView showGridLines="0" zoomScaleNormal="100" workbookViewId="0">
      <pane ySplit="8" topLeftCell="A9" activePane="bottomLeft" state="frozen"/>
      <selection activeCell="A100" sqref="A100"/>
      <selection pane="bottomLeft" activeCell="A100" sqref="A100"/>
    </sheetView>
  </sheetViews>
  <sheetFormatPr baseColWidth="10" defaultColWidth="9.140625" defaultRowHeight="12.75" x14ac:dyDescent="0.2"/>
  <cols>
    <col min="1" max="1" width="4.42578125" customWidth="1"/>
    <col min="2" max="2" width="17.140625" customWidth="1"/>
    <col min="3" max="5" width="23.7109375" customWidth="1"/>
    <col min="6" max="6" width="1.42578125" customWidth="1"/>
    <col min="7" max="7" width="4" customWidth="1"/>
    <col min="8" max="8" width="13.140625" customWidth="1"/>
    <col min="9" max="9" width="10" customWidth="1"/>
  </cols>
  <sheetData>
    <row r="1" spans="1:9" ht="18" customHeight="1" x14ac:dyDescent="0.25">
      <c r="B1" s="6" t="str">
        <f>DFIE!B79</f>
        <v>Einkommen natürlicher Personen 2020</v>
      </c>
    </row>
    <row r="2" spans="1:9" ht="12.75" customHeight="1" x14ac:dyDescent="0.2"/>
    <row r="3" spans="1:9" ht="0.75" customHeight="1" x14ac:dyDescent="0.2"/>
    <row r="4" spans="1:9" ht="12" customHeight="1" x14ac:dyDescent="0.2">
      <c r="B4" s="34" t="str">
        <f>DFIE!B55</f>
        <v>Spalte</v>
      </c>
      <c r="C4" s="35" t="s">
        <v>30</v>
      </c>
      <c r="D4" s="35" t="s">
        <v>31</v>
      </c>
      <c r="E4" s="36" t="s">
        <v>32</v>
      </c>
      <c r="H4" s="36" t="s">
        <v>33</v>
      </c>
      <c r="I4" s="36" t="s">
        <v>34</v>
      </c>
    </row>
    <row r="5" spans="1:9" ht="12" customHeight="1" x14ac:dyDescent="0.2">
      <c r="B5" s="34" t="str">
        <f>DFIE!B56</f>
        <v>Formel</v>
      </c>
      <c r="C5" s="37"/>
      <c r="D5" s="38"/>
      <c r="E5" s="39" t="s">
        <v>104</v>
      </c>
    </row>
    <row r="6" spans="1:9" ht="28.5" customHeight="1" x14ac:dyDescent="0.2">
      <c r="B6" s="64"/>
      <c r="C6" s="368" t="str">
        <f>DFIE!B80</f>
        <v>Steuerpflichtige mit steuerbarem Einkommen
grösser oder gleich dem Freibetrag</v>
      </c>
      <c r="D6" s="368"/>
      <c r="E6" s="364" t="str">
        <f>DFIE!B83</f>
        <v>Massgebendes
Einkommen der
natürlichen
Personen</v>
      </c>
      <c r="H6" s="360" t="str">
        <f>DFIE!B84</f>
        <v>Freibetrag pro
steuerpflichtige Person</v>
      </c>
      <c r="I6" s="361"/>
    </row>
    <row r="7" spans="1:9" ht="30.75" customHeight="1" x14ac:dyDescent="0.2">
      <c r="A7" s="51"/>
      <c r="B7" s="65"/>
      <c r="C7" s="63" t="str">
        <f>DFIE!B81</f>
        <v>Steuerpflichtige</v>
      </c>
      <c r="D7" s="63" t="str">
        <f>DFIE!B82</f>
        <v>Steuerbares Einkommen
der Steuerpflichtigen</v>
      </c>
      <c r="E7" s="364"/>
      <c r="F7" s="51"/>
      <c r="H7" s="362"/>
      <c r="I7" s="363"/>
    </row>
    <row r="8" spans="1:9" ht="12.75" customHeight="1" x14ac:dyDescent="0.2">
      <c r="B8" s="34" t="str">
        <f>DFIE!B58</f>
        <v>Einheit</v>
      </c>
      <c r="C8" s="41" t="str">
        <f>DFIE!B61</f>
        <v>Anzahl</v>
      </c>
      <c r="D8" s="41" t="str">
        <f>DFIE!$B$60</f>
        <v>CHF 1'000</v>
      </c>
      <c r="E8" s="42" t="str">
        <f>DFIE!$B$60</f>
        <v>CHF 1'000</v>
      </c>
      <c r="H8" s="44" t="str">
        <f>DFIE!B85</f>
        <v>Bemessungsjahr</v>
      </c>
      <c r="I8" s="45" t="str">
        <f>DFIE!$B$59</f>
        <v>CHF</v>
      </c>
    </row>
    <row r="9" spans="1:9" ht="12.75" customHeight="1" x14ac:dyDescent="0.2">
      <c r="A9" s="365" t="str">
        <f>DFIE!B69</f>
        <v>Bemessungsjahr 2014</v>
      </c>
      <c r="B9" s="46" t="str">
        <f>DFIE!B28</f>
        <v>Zürich</v>
      </c>
      <c r="C9" s="61">
        <v>617323</v>
      </c>
      <c r="D9" s="61">
        <v>55934613.799999997</v>
      </c>
      <c r="E9" s="18">
        <f t="shared" ref="E9:E34" si="0">D9-($I$9/1000*C9)</f>
        <v>36921065.399999991</v>
      </c>
      <c r="F9" s="54"/>
      <c r="H9" s="52">
        <f>DFIE!$G$2-6</f>
        <v>2014</v>
      </c>
      <c r="I9" s="53">
        <v>30800</v>
      </c>
    </row>
    <row r="10" spans="1:9" x14ac:dyDescent="0.2">
      <c r="A10" s="365"/>
      <c r="B10" s="47" t="str">
        <f>DFIE!B29</f>
        <v>Bern</v>
      </c>
      <c r="C10" s="43">
        <v>413275</v>
      </c>
      <c r="D10" s="43">
        <v>29272701.600000001</v>
      </c>
      <c r="E10" s="22">
        <f t="shared" si="0"/>
        <v>16543831.600000001</v>
      </c>
      <c r="F10" s="54"/>
    </row>
    <row r="11" spans="1:9" ht="12.75" customHeight="1" x14ac:dyDescent="0.2">
      <c r="A11" s="365"/>
      <c r="B11" s="46" t="str">
        <f>DFIE!B30</f>
        <v>Luzern</v>
      </c>
      <c r="C11" s="61">
        <v>162401</v>
      </c>
      <c r="D11" s="61">
        <v>12026348</v>
      </c>
      <c r="E11" s="18">
        <f t="shared" si="0"/>
        <v>7024397.2000000002</v>
      </c>
      <c r="F11" s="54"/>
    </row>
    <row r="12" spans="1:9" x14ac:dyDescent="0.2">
      <c r="A12" s="365"/>
      <c r="B12" s="47" t="str">
        <f>DFIE!B31</f>
        <v>Uri</v>
      </c>
      <c r="C12" s="43">
        <v>14352</v>
      </c>
      <c r="D12" s="43">
        <v>956339.6</v>
      </c>
      <c r="E12" s="22">
        <f t="shared" si="0"/>
        <v>514297.99999999994</v>
      </c>
      <c r="F12" s="54"/>
    </row>
    <row r="13" spans="1:9" x14ac:dyDescent="0.2">
      <c r="A13" s="365"/>
      <c r="B13" s="46" t="str">
        <f>DFIE!B32</f>
        <v>Schwyz</v>
      </c>
      <c r="C13" s="61">
        <v>65661</v>
      </c>
      <c r="D13" s="61">
        <v>8456738</v>
      </c>
      <c r="E13" s="18">
        <f t="shared" si="0"/>
        <v>6434379.2000000002</v>
      </c>
      <c r="F13" s="54"/>
    </row>
    <row r="14" spans="1:9" x14ac:dyDescent="0.2">
      <c r="A14" s="365"/>
      <c r="B14" s="47" t="str">
        <f>DFIE!B33</f>
        <v>Obwalden</v>
      </c>
      <c r="C14" s="43">
        <v>15209</v>
      </c>
      <c r="D14" s="43">
        <v>1191924.8999999999</v>
      </c>
      <c r="E14" s="22">
        <f t="shared" si="0"/>
        <v>723487.7</v>
      </c>
      <c r="F14" s="54"/>
    </row>
    <row r="15" spans="1:9" x14ac:dyDescent="0.2">
      <c r="A15" s="365"/>
      <c r="B15" s="46" t="str">
        <f>DFIE!B34</f>
        <v>Nidwalden</v>
      </c>
      <c r="C15" s="61">
        <v>18816</v>
      </c>
      <c r="D15" s="61">
        <v>2046267.1</v>
      </c>
      <c r="E15" s="18">
        <f t="shared" si="0"/>
        <v>1466734.3</v>
      </c>
      <c r="F15" s="54"/>
    </row>
    <row r="16" spans="1:9" x14ac:dyDescent="0.2">
      <c r="A16" s="365"/>
      <c r="B16" s="47" t="str">
        <f>DFIE!B35</f>
        <v>Glarus</v>
      </c>
      <c r="C16" s="43">
        <v>15809</v>
      </c>
      <c r="D16" s="43">
        <v>1089244.5</v>
      </c>
      <c r="E16" s="22">
        <f t="shared" si="0"/>
        <v>602327.30000000005</v>
      </c>
      <c r="F16" s="54"/>
    </row>
    <row r="17" spans="1:6" x14ac:dyDescent="0.2">
      <c r="A17" s="365"/>
      <c r="B17" s="46" t="str">
        <f>DFIE!B36</f>
        <v>Zug</v>
      </c>
      <c r="C17" s="61">
        <v>52975</v>
      </c>
      <c r="D17" s="61">
        <v>6355895</v>
      </c>
      <c r="E17" s="18">
        <f t="shared" si="0"/>
        <v>4724265</v>
      </c>
      <c r="F17" s="54"/>
    </row>
    <row r="18" spans="1:6" x14ac:dyDescent="0.2">
      <c r="A18" s="365"/>
      <c r="B18" s="47" t="str">
        <f>DFIE!B37</f>
        <v>Freiburg</v>
      </c>
      <c r="C18" s="43">
        <v>115084</v>
      </c>
      <c r="D18" s="43">
        <v>8465069.3000000007</v>
      </c>
      <c r="E18" s="22">
        <f t="shared" si="0"/>
        <v>4920482.1000000006</v>
      </c>
      <c r="F18" s="54"/>
    </row>
    <row r="19" spans="1:6" x14ac:dyDescent="0.2">
      <c r="A19" s="365"/>
      <c r="B19" s="46" t="str">
        <f>DFIE!B38</f>
        <v>Solothurn</v>
      </c>
      <c r="C19" s="61">
        <v>113664</v>
      </c>
      <c r="D19" s="61">
        <v>8232110.7000000002</v>
      </c>
      <c r="E19" s="18">
        <f t="shared" si="0"/>
        <v>4731259.5</v>
      </c>
      <c r="F19" s="54"/>
    </row>
    <row r="20" spans="1:6" x14ac:dyDescent="0.2">
      <c r="A20" s="365"/>
      <c r="B20" s="47" t="str">
        <f>DFIE!B39</f>
        <v>Basel-Stadt</v>
      </c>
      <c r="C20" s="43">
        <v>80226</v>
      </c>
      <c r="D20" s="43">
        <v>7378839.7000000002</v>
      </c>
      <c r="E20" s="22">
        <f t="shared" si="0"/>
        <v>4907878.9000000004</v>
      </c>
      <c r="F20" s="54"/>
    </row>
    <row r="21" spans="1:6" x14ac:dyDescent="0.2">
      <c r="A21" s="365"/>
      <c r="B21" s="46" t="str">
        <f>DFIE!B40</f>
        <v>Basel-Landschaft</v>
      </c>
      <c r="C21" s="61">
        <v>122690</v>
      </c>
      <c r="D21" s="61">
        <v>10531200.1</v>
      </c>
      <c r="E21" s="18">
        <f t="shared" si="0"/>
        <v>6752348.0999999996</v>
      </c>
      <c r="F21" s="54"/>
    </row>
    <row r="22" spans="1:6" x14ac:dyDescent="0.2">
      <c r="A22" s="365"/>
      <c r="B22" s="47" t="str">
        <f>DFIE!B41</f>
        <v>Schaffhausen</v>
      </c>
      <c r="C22" s="43">
        <v>32495</v>
      </c>
      <c r="D22" s="43">
        <v>2343687.5</v>
      </c>
      <c r="E22" s="22">
        <f t="shared" si="0"/>
        <v>1342841.5</v>
      </c>
      <c r="F22" s="54"/>
    </row>
    <row r="23" spans="1:6" x14ac:dyDescent="0.2">
      <c r="A23" s="365"/>
      <c r="B23" s="46" t="str">
        <f>DFIE!B42</f>
        <v>Appenzell A.Rh.</v>
      </c>
      <c r="C23" s="61">
        <v>21719</v>
      </c>
      <c r="D23" s="61">
        <v>1621512.4</v>
      </c>
      <c r="E23" s="18">
        <f t="shared" si="0"/>
        <v>952567.19999999984</v>
      </c>
      <c r="F23" s="54"/>
    </row>
    <row r="24" spans="1:6" x14ac:dyDescent="0.2">
      <c r="A24" s="365"/>
      <c r="B24" s="47" t="str">
        <f>DFIE!B43</f>
        <v>Appenzell I.Rh.</v>
      </c>
      <c r="C24" s="43">
        <v>6301</v>
      </c>
      <c r="D24" s="43">
        <v>488950.4</v>
      </c>
      <c r="E24" s="22">
        <f t="shared" si="0"/>
        <v>294879.59999999998</v>
      </c>
      <c r="F24" s="54"/>
    </row>
    <row r="25" spans="1:6" x14ac:dyDescent="0.2">
      <c r="A25" s="365"/>
      <c r="B25" s="46" t="str">
        <f>DFIE!B44</f>
        <v>St. Gallen</v>
      </c>
      <c r="C25" s="61">
        <v>197092</v>
      </c>
      <c r="D25" s="61">
        <v>13954554.9</v>
      </c>
      <c r="E25" s="18">
        <f t="shared" si="0"/>
        <v>7884121.2999999998</v>
      </c>
      <c r="F25" s="54"/>
    </row>
    <row r="26" spans="1:6" x14ac:dyDescent="0.2">
      <c r="A26" s="365"/>
      <c r="B26" s="47" t="str">
        <f>DFIE!B45</f>
        <v>Graubünden</v>
      </c>
      <c r="C26" s="43">
        <v>79082</v>
      </c>
      <c r="D26" s="43">
        <v>5840235.2000000002</v>
      </c>
      <c r="E26" s="22">
        <f t="shared" si="0"/>
        <v>3404509.6</v>
      </c>
      <c r="F26" s="54"/>
    </row>
    <row r="27" spans="1:6" x14ac:dyDescent="0.2">
      <c r="A27" s="365"/>
      <c r="B27" s="46" t="str">
        <f>DFIE!B46</f>
        <v>Aargau</v>
      </c>
      <c r="C27" s="61">
        <v>276506</v>
      </c>
      <c r="D27" s="61">
        <v>20810149.399999999</v>
      </c>
      <c r="E27" s="18">
        <f t="shared" si="0"/>
        <v>12293764.599999998</v>
      </c>
      <c r="F27" s="54"/>
    </row>
    <row r="28" spans="1:6" x14ac:dyDescent="0.2">
      <c r="A28" s="365"/>
      <c r="B28" s="47" t="str">
        <f>DFIE!B47</f>
        <v>Thurgau</v>
      </c>
      <c r="C28" s="43">
        <v>107885</v>
      </c>
      <c r="D28" s="43">
        <v>7886200.0999999996</v>
      </c>
      <c r="E28" s="22">
        <f t="shared" si="0"/>
        <v>4563342.0999999996</v>
      </c>
      <c r="F28" s="54"/>
    </row>
    <row r="29" spans="1:6" x14ac:dyDescent="0.2">
      <c r="A29" s="365"/>
      <c r="B29" s="46" t="str">
        <f>DFIE!B48</f>
        <v>Tessin</v>
      </c>
      <c r="C29" s="61">
        <v>130744</v>
      </c>
      <c r="D29" s="61">
        <v>10721029.300000001</v>
      </c>
      <c r="E29" s="18">
        <f t="shared" si="0"/>
        <v>6694114.1000000006</v>
      </c>
      <c r="F29" s="54"/>
    </row>
    <row r="30" spans="1:6" x14ac:dyDescent="0.2">
      <c r="A30" s="365"/>
      <c r="B30" s="47" t="str">
        <f>DFIE!B49</f>
        <v>Waadt</v>
      </c>
      <c r="C30" s="43">
        <v>281383</v>
      </c>
      <c r="D30" s="43">
        <v>25196243.699999999</v>
      </c>
      <c r="E30" s="22">
        <f t="shared" si="0"/>
        <v>16529647.299999999</v>
      </c>
      <c r="F30" s="54"/>
    </row>
    <row r="31" spans="1:6" x14ac:dyDescent="0.2">
      <c r="A31" s="365"/>
      <c r="B31" s="46" t="str">
        <f>DFIE!B50</f>
        <v>Wallis</v>
      </c>
      <c r="C31" s="61">
        <v>126655</v>
      </c>
      <c r="D31" s="61">
        <v>8800788.6999999993</v>
      </c>
      <c r="E31" s="18">
        <f t="shared" si="0"/>
        <v>4899814.6999999993</v>
      </c>
      <c r="F31" s="54"/>
    </row>
    <row r="32" spans="1:6" x14ac:dyDescent="0.2">
      <c r="A32" s="365"/>
      <c r="B32" s="47" t="str">
        <f>DFIE!B51</f>
        <v>Neuenburg</v>
      </c>
      <c r="C32" s="43">
        <v>66481</v>
      </c>
      <c r="D32" s="43">
        <v>4891834.5999999996</v>
      </c>
      <c r="E32" s="22">
        <f t="shared" si="0"/>
        <v>2844219.8</v>
      </c>
      <c r="F32" s="54"/>
    </row>
    <row r="33" spans="1:9" x14ac:dyDescent="0.2">
      <c r="A33" s="365"/>
      <c r="B33" s="46" t="str">
        <f>DFIE!B52</f>
        <v>Genf</v>
      </c>
      <c r="C33" s="61">
        <v>167524</v>
      </c>
      <c r="D33" s="61">
        <v>19681162.399999999</v>
      </c>
      <c r="E33" s="18">
        <f t="shared" si="0"/>
        <v>14521423.199999999</v>
      </c>
      <c r="F33" s="54"/>
    </row>
    <row r="34" spans="1:9" x14ac:dyDescent="0.2">
      <c r="A34" s="365"/>
      <c r="B34" s="47" t="str">
        <f>DFIE!B53</f>
        <v>Jura</v>
      </c>
      <c r="C34" s="43">
        <v>27307</v>
      </c>
      <c r="D34" s="43">
        <v>1803255.8</v>
      </c>
      <c r="E34" s="22">
        <f t="shared" si="0"/>
        <v>962200.20000000007</v>
      </c>
      <c r="F34" s="54"/>
    </row>
    <row r="35" spans="1:9" x14ac:dyDescent="0.2">
      <c r="A35" s="365"/>
      <c r="B35" s="24" t="str">
        <f>DFIE!B54</f>
        <v>Schweiz</v>
      </c>
      <c r="C35" s="31">
        <f>SUM(C9:C34)</f>
        <v>3328659</v>
      </c>
      <c r="D35" s="31">
        <f>SUM(D9:D34)</f>
        <v>275976896.69999999</v>
      </c>
      <c r="E35" s="26">
        <f>SUM(E9:E34)</f>
        <v>173454199.49999994</v>
      </c>
      <c r="F35" s="56"/>
      <c r="H35" s="51"/>
      <c r="I35" s="51"/>
    </row>
    <row r="36" spans="1:9" ht="15" customHeight="1" x14ac:dyDescent="0.25">
      <c r="A36" s="32"/>
      <c r="C36" s="55"/>
      <c r="D36" s="55"/>
      <c r="E36" s="55"/>
      <c r="H36" s="51"/>
      <c r="I36" s="51"/>
    </row>
    <row r="37" spans="1:9" ht="12.75" customHeight="1" x14ac:dyDescent="0.2">
      <c r="A37" s="366" t="str">
        <f>DFIE!B70</f>
        <v>Bemessungsjahr 2015</v>
      </c>
      <c r="B37" s="48" t="str">
        <f>DFIE!B28</f>
        <v>Zürich</v>
      </c>
      <c r="C37" s="49">
        <v>628774</v>
      </c>
      <c r="D37" s="49">
        <v>57603167.799999997</v>
      </c>
      <c r="E37" s="50">
        <f t="shared" ref="E37:E62" si="1">D37-($I$37/1000*C37)</f>
        <v>38236928.599999994</v>
      </c>
      <c r="F37" s="57"/>
      <c r="H37" s="52">
        <f>DFIE!$G$2-5</f>
        <v>2015</v>
      </c>
      <c r="I37" s="53">
        <v>30800</v>
      </c>
    </row>
    <row r="38" spans="1:9" x14ac:dyDescent="0.2">
      <c r="A38" s="366"/>
      <c r="B38" s="47" t="str">
        <f>DFIE!B29</f>
        <v>Bern</v>
      </c>
      <c r="C38" s="43">
        <v>420221</v>
      </c>
      <c r="D38" s="43">
        <v>30039696</v>
      </c>
      <c r="E38" s="22">
        <f t="shared" si="1"/>
        <v>17096889.199999999</v>
      </c>
      <c r="F38" s="57"/>
    </row>
    <row r="39" spans="1:9" x14ac:dyDescent="0.2">
      <c r="A39" s="366"/>
      <c r="B39" s="46" t="str">
        <f>DFIE!B30</f>
        <v>Luzern</v>
      </c>
      <c r="C39" s="61">
        <v>164416</v>
      </c>
      <c r="D39" s="61">
        <v>12328818.800000001</v>
      </c>
      <c r="E39" s="18">
        <f t="shared" si="1"/>
        <v>7264806.0000000009</v>
      </c>
      <c r="F39" s="57"/>
    </row>
    <row r="40" spans="1:9" x14ac:dyDescent="0.2">
      <c r="A40" s="366"/>
      <c r="B40" s="47" t="str">
        <f>DFIE!B31</f>
        <v>Uri</v>
      </c>
      <c r="C40" s="43">
        <v>14498</v>
      </c>
      <c r="D40" s="43">
        <v>972121.5</v>
      </c>
      <c r="E40" s="22">
        <f t="shared" si="1"/>
        <v>525583.1</v>
      </c>
      <c r="F40" s="57"/>
    </row>
    <row r="41" spans="1:9" x14ac:dyDescent="0.2">
      <c r="A41" s="366"/>
      <c r="B41" s="46" t="str">
        <f>DFIE!B32</f>
        <v>Schwyz</v>
      </c>
      <c r="C41" s="61">
        <v>66270</v>
      </c>
      <c r="D41" s="61">
        <v>7492379.2999999998</v>
      </c>
      <c r="E41" s="18">
        <f t="shared" si="1"/>
        <v>5451263.2999999998</v>
      </c>
      <c r="F41" s="57"/>
    </row>
    <row r="42" spans="1:9" x14ac:dyDescent="0.2">
      <c r="A42" s="366"/>
      <c r="B42" s="47" t="str">
        <f>DFIE!B33</f>
        <v>Obwalden</v>
      </c>
      <c r="C42" s="43">
        <v>15356</v>
      </c>
      <c r="D42" s="43">
        <v>1832887</v>
      </c>
      <c r="E42" s="22">
        <f t="shared" si="1"/>
        <v>1359922.2</v>
      </c>
      <c r="F42" s="57"/>
    </row>
    <row r="43" spans="1:9" x14ac:dyDescent="0.2">
      <c r="A43" s="366"/>
      <c r="B43" s="46" t="str">
        <f>DFIE!B34</f>
        <v>Nidwalden</v>
      </c>
      <c r="C43" s="61">
        <v>18935</v>
      </c>
      <c r="D43" s="61">
        <v>1789615.5</v>
      </c>
      <c r="E43" s="18">
        <f t="shared" si="1"/>
        <v>1206417.5</v>
      </c>
      <c r="F43" s="57"/>
    </row>
    <row r="44" spans="1:9" x14ac:dyDescent="0.2">
      <c r="A44" s="366"/>
      <c r="B44" s="47" t="str">
        <f>DFIE!B35</f>
        <v>Glarus</v>
      </c>
      <c r="C44" s="43">
        <v>15899</v>
      </c>
      <c r="D44" s="43">
        <v>1093998.7</v>
      </c>
      <c r="E44" s="22">
        <f t="shared" si="1"/>
        <v>604309.5</v>
      </c>
      <c r="F44" s="57"/>
    </row>
    <row r="45" spans="1:9" x14ac:dyDescent="0.2">
      <c r="A45" s="366"/>
      <c r="B45" s="46" t="str">
        <f>DFIE!B36</f>
        <v>Zug</v>
      </c>
      <c r="C45" s="61">
        <v>53996</v>
      </c>
      <c r="D45" s="61">
        <v>6629977.4000000004</v>
      </c>
      <c r="E45" s="18">
        <f t="shared" si="1"/>
        <v>4966900.6000000006</v>
      </c>
      <c r="F45" s="57"/>
    </row>
    <row r="46" spans="1:9" x14ac:dyDescent="0.2">
      <c r="A46" s="366"/>
      <c r="B46" s="47" t="str">
        <f>DFIE!B37</f>
        <v>Freiburg</v>
      </c>
      <c r="C46" s="43">
        <v>117188</v>
      </c>
      <c r="D46" s="43">
        <v>8765662.5</v>
      </c>
      <c r="E46" s="22">
        <f t="shared" si="1"/>
        <v>5156272.0999999996</v>
      </c>
      <c r="F46" s="57"/>
    </row>
    <row r="47" spans="1:9" x14ac:dyDescent="0.2">
      <c r="A47" s="366"/>
      <c r="B47" s="46" t="str">
        <f>DFIE!B38</f>
        <v>Solothurn</v>
      </c>
      <c r="C47" s="61">
        <v>114704</v>
      </c>
      <c r="D47" s="61">
        <v>8342007.7000000002</v>
      </c>
      <c r="E47" s="18">
        <f t="shared" si="1"/>
        <v>4809124.5</v>
      </c>
      <c r="F47" s="57"/>
    </row>
    <row r="48" spans="1:9" x14ac:dyDescent="0.2">
      <c r="A48" s="366"/>
      <c r="B48" s="47" t="str">
        <f>DFIE!B39</f>
        <v>Basel-Stadt</v>
      </c>
      <c r="C48" s="43">
        <v>80174</v>
      </c>
      <c r="D48" s="43">
        <v>7452195.0999999996</v>
      </c>
      <c r="E48" s="22">
        <f t="shared" si="1"/>
        <v>4982835.8999999994</v>
      </c>
      <c r="F48" s="57"/>
    </row>
    <row r="49" spans="1:9" x14ac:dyDescent="0.2">
      <c r="A49" s="366"/>
      <c r="B49" s="46" t="str">
        <f>DFIE!B40</f>
        <v>Basel-Landschaft</v>
      </c>
      <c r="C49" s="61">
        <v>123422</v>
      </c>
      <c r="D49" s="61">
        <v>10684402.300000001</v>
      </c>
      <c r="E49" s="18">
        <f t="shared" si="1"/>
        <v>6883004.7000000011</v>
      </c>
      <c r="F49" s="57"/>
    </row>
    <row r="50" spans="1:9" x14ac:dyDescent="0.2">
      <c r="A50" s="366"/>
      <c r="B50" s="47" t="str">
        <f>DFIE!B41</f>
        <v>Schaffhausen</v>
      </c>
      <c r="C50" s="43">
        <v>32786</v>
      </c>
      <c r="D50" s="43">
        <v>2378685.5</v>
      </c>
      <c r="E50" s="22">
        <f t="shared" si="1"/>
        <v>1368876.7</v>
      </c>
      <c r="F50" s="57"/>
    </row>
    <row r="51" spans="1:9" x14ac:dyDescent="0.2">
      <c r="A51" s="366"/>
      <c r="B51" s="46" t="str">
        <f>DFIE!B42</f>
        <v>Appenzell A.Rh.</v>
      </c>
      <c r="C51" s="61">
        <v>21830</v>
      </c>
      <c r="D51" s="61">
        <v>1652071.1</v>
      </c>
      <c r="E51" s="18">
        <f t="shared" si="1"/>
        <v>979707.10000000009</v>
      </c>
      <c r="F51" s="57"/>
    </row>
    <row r="52" spans="1:9" x14ac:dyDescent="0.2">
      <c r="A52" s="366"/>
      <c r="B52" s="47" t="str">
        <f>DFIE!B43</f>
        <v>Appenzell I.Rh.</v>
      </c>
      <c r="C52" s="43">
        <v>6417</v>
      </c>
      <c r="D52" s="43">
        <v>526097</v>
      </c>
      <c r="E52" s="22">
        <f t="shared" si="1"/>
        <v>328453.40000000002</v>
      </c>
      <c r="F52" s="57"/>
    </row>
    <row r="53" spans="1:9" x14ac:dyDescent="0.2">
      <c r="A53" s="366"/>
      <c r="B53" s="46" t="str">
        <f>DFIE!B44</f>
        <v>St. Gallen</v>
      </c>
      <c r="C53" s="61">
        <v>201084</v>
      </c>
      <c r="D53" s="61">
        <v>14308751.4</v>
      </c>
      <c r="E53" s="18">
        <f t="shared" si="1"/>
        <v>8115364.2000000002</v>
      </c>
      <c r="F53" s="57"/>
    </row>
    <row r="54" spans="1:9" x14ac:dyDescent="0.2">
      <c r="A54" s="366"/>
      <c r="B54" s="47" t="str">
        <f>DFIE!B45</f>
        <v>Graubünden</v>
      </c>
      <c r="C54" s="43">
        <v>79264</v>
      </c>
      <c r="D54" s="43">
        <v>5888931.5</v>
      </c>
      <c r="E54" s="22">
        <f t="shared" si="1"/>
        <v>3447600.3</v>
      </c>
      <c r="F54" s="57"/>
    </row>
    <row r="55" spans="1:9" x14ac:dyDescent="0.2">
      <c r="A55" s="366"/>
      <c r="B55" s="46" t="str">
        <f>DFIE!B46</f>
        <v>Aargau</v>
      </c>
      <c r="C55" s="61">
        <v>279443</v>
      </c>
      <c r="D55" s="61">
        <v>21195492.5</v>
      </c>
      <c r="E55" s="18">
        <f t="shared" si="1"/>
        <v>12588648.1</v>
      </c>
      <c r="F55" s="57"/>
    </row>
    <row r="56" spans="1:9" x14ac:dyDescent="0.2">
      <c r="A56" s="366"/>
      <c r="B56" s="47" t="str">
        <f>DFIE!B47</f>
        <v>Thurgau</v>
      </c>
      <c r="C56" s="43">
        <v>109284</v>
      </c>
      <c r="D56" s="43">
        <v>8117380.7000000002</v>
      </c>
      <c r="E56" s="22">
        <f t="shared" si="1"/>
        <v>4751433.5</v>
      </c>
      <c r="F56" s="57"/>
    </row>
    <row r="57" spans="1:9" x14ac:dyDescent="0.2">
      <c r="A57" s="366"/>
      <c r="B57" s="46" t="str">
        <f>DFIE!B48</f>
        <v>Tessin</v>
      </c>
      <c r="C57" s="61">
        <v>131353</v>
      </c>
      <c r="D57" s="61">
        <v>10840230.9</v>
      </c>
      <c r="E57" s="18">
        <f t="shared" si="1"/>
        <v>6794558.5</v>
      </c>
      <c r="F57" s="57"/>
    </row>
    <row r="58" spans="1:9" x14ac:dyDescent="0.2">
      <c r="A58" s="366"/>
      <c r="B58" s="47" t="str">
        <f>DFIE!B49</f>
        <v>Waadt</v>
      </c>
      <c r="C58" s="43">
        <v>286588</v>
      </c>
      <c r="D58" s="43">
        <v>25822531.600000001</v>
      </c>
      <c r="E58" s="22">
        <f t="shared" si="1"/>
        <v>16995621.200000003</v>
      </c>
      <c r="F58" s="57"/>
    </row>
    <row r="59" spans="1:9" x14ac:dyDescent="0.2">
      <c r="A59" s="366"/>
      <c r="B59" s="46" t="str">
        <f>DFIE!B50</f>
        <v>Wallis</v>
      </c>
      <c r="C59" s="61">
        <v>128594</v>
      </c>
      <c r="D59" s="61">
        <v>8946555.1999999993</v>
      </c>
      <c r="E59" s="18">
        <f t="shared" si="1"/>
        <v>4985859.9999999991</v>
      </c>
      <c r="F59" s="57"/>
    </row>
    <row r="60" spans="1:9" x14ac:dyDescent="0.2">
      <c r="A60" s="366"/>
      <c r="B60" s="47" t="str">
        <f>DFIE!B51</f>
        <v>Neuenburg</v>
      </c>
      <c r="C60" s="43">
        <v>66700</v>
      </c>
      <c r="D60" s="43">
        <v>4964056.5</v>
      </c>
      <c r="E60" s="22">
        <f t="shared" si="1"/>
        <v>2909696.5</v>
      </c>
      <c r="F60" s="57"/>
    </row>
    <row r="61" spans="1:9" x14ac:dyDescent="0.2">
      <c r="A61" s="366"/>
      <c r="B61" s="46" t="str">
        <f>DFIE!B52</f>
        <v>Genf</v>
      </c>
      <c r="C61" s="61">
        <v>168564</v>
      </c>
      <c r="D61" s="61">
        <v>18370565.300000001</v>
      </c>
      <c r="E61" s="18">
        <f t="shared" si="1"/>
        <v>13178794.100000001</v>
      </c>
      <c r="F61" s="57"/>
    </row>
    <row r="62" spans="1:9" x14ac:dyDescent="0.2">
      <c r="A62" s="366"/>
      <c r="B62" s="47" t="str">
        <f>DFIE!B53</f>
        <v>Jura</v>
      </c>
      <c r="C62" s="43">
        <v>27493</v>
      </c>
      <c r="D62" s="43">
        <v>1836447.3</v>
      </c>
      <c r="E62" s="22">
        <f t="shared" si="1"/>
        <v>989662.9</v>
      </c>
      <c r="F62" s="57"/>
    </row>
    <row r="63" spans="1:9" x14ac:dyDescent="0.2">
      <c r="A63" s="366"/>
      <c r="B63" s="24" t="str">
        <f>DFIE!B54</f>
        <v>Schweiz</v>
      </c>
      <c r="C63" s="31">
        <f>SUM(C37:C62)</f>
        <v>3373253</v>
      </c>
      <c r="D63" s="31">
        <f>SUM(D37:D62)</f>
        <v>279874726.09999996</v>
      </c>
      <c r="E63" s="26">
        <f>SUM(E37:E62)</f>
        <v>175978533.69999999</v>
      </c>
      <c r="F63" s="58"/>
      <c r="H63" s="51"/>
      <c r="I63" s="51"/>
    </row>
    <row r="64" spans="1:9" ht="14.25" customHeight="1" x14ac:dyDescent="0.2">
      <c r="A64" s="33"/>
    </row>
    <row r="65" spans="1:9" x14ac:dyDescent="0.2">
      <c r="A65" s="367" t="str">
        <f>DFIE!B71</f>
        <v>Bemessungsjahr 2016</v>
      </c>
      <c r="B65" s="48" t="str">
        <f>DFIE!B28</f>
        <v>Zürich</v>
      </c>
      <c r="C65" s="49">
        <v>634528</v>
      </c>
      <c r="D65" s="49">
        <v>58704274</v>
      </c>
      <c r="E65" s="50">
        <f t="shared" ref="E65:E90" si="2">D65-($I$65/1000*C65)</f>
        <v>39160811.599999994</v>
      </c>
      <c r="F65" s="59"/>
      <c r="H65" s="52">
        <f>DFIE!$G$2-4</f>
        <v>2016</v>
      </c>
      <c r="I65" s="53">
        <v>30800</v>
      </c>
    </row>
    <row r="66" spans="1:9" x14ac:dyDescent="0.2">
      <c r="A66" s="367"/>
      <c r="B66" s="47" t="str">
        <f>DFIE!B29</f>
        <v>Bern</v>
      </c>
      <c r="C66" s="43">
        <v>427963</v>
      </c>
      <c r="D66" s="43">
        <v>31136725.100000001</v>
      </c>
      <c r="E66" s="22">
        <f t="shared" si="2"/>
        <v>17955464.700000003</v>
      </c>
      <c r="F66" s="59"/>
    </row>
    <row r="67" spans="1:9" x14ac:dyDescent="0.2">
      <c r="A67" s="367"/>
      <c r="B67" s="46" t="str">
        <f>DFIE!B30</f>
        <v>Luzern</v>
      </c>
      <c r="C67" s="61">
        <v>167479</v>
      </c>
      <c r="D67" s="61">
        <v>12750762.300000001</v>
      </c>
      <c r="E67" s="18">
        <f t="shared" si="2"/>
        <v>7592409.1000000006</v>
      </c>
      <c r="F67" s="59"/>
    </row>
    <row r="68" spans="1:9" x14ac:dyDescent="0.2">
      <c r="A68" s="367"/>
      <c r="B68" s="47" t="str">
        <f>DFIE!B31</f>
        <v>Uri</v>
      </c>
      <c r="C68" s="43">
        <v>14848</v>
      </c>
      <c r="D68" s="43">
        <v>1016913.4</v>
      </c>
      <c r="E68" s="22">
        <f t="shared" si="2"/>
        <v>559595</v>
      </c>
      <c r="F68" s="59"/>
    </row>
    <row r="69" spans="1:9" x14ac:dyDescent="0.2">
      <c r="A69" s="367"/>
      <c r="B69" s="46" t="str">
        <f>DFIE!B32</f>
        <v>Schwyz</v>
      </c>
      <c r="C69" s="61">
        <v>67896</v>
      </c>
      <c r="D69" s="61">
        <v>7901516.9000000004</v>
      </c>
      <c r="E69" s="18">
        <f t="shared" si="2"/>
        <v>5810320.1000000006</v>
      </c>
      <c r="F69" s="59"/>
    </row>
    <row r="70" spans="1:9" x14ac:dyDescent="0.2">
      <c r="A70" s="367"/>
      <c r="B70" s="47" t="str">
        <f>DFIE!B33</f>
        <v>Obwalden</v>
      </c>
      <c r="C70" s="43">
        <v>15606</v>
      </c>
      <c r="D70" s="43">
        <v>1277638.3999999999</v>
      </c>
      <c r="E70" s="22">
        <f t="shared" si="2"/>
        <v>796973.59999999986</v>
      </c>
      <c r="F70" s="59"/>
    </row>
    <row r="71" spans="1:9" x14ac:dyDescent="0.2">
      <c r="A71" s="367"/>
      <c r="B71" s="46" t="str">
        <f>DFIE!B34</f>
        <v>Nidwalden</v>
      </c>
      <c r="C71" s="61">
        <v>19120</v>
      </c>
      <c r="D71" s="61">
        <v>1841244.9</v>
      </c>
      <c r="E71" s="18">
        <f t="shared" si="2"/>
        <v>1252348.8999999999</v>
      </c>
      <c r="F71" s="59"/>
    </row>
    <row r="72" spans="1:9" x14ac:dyDescent="0.2">
      <c r="A72" s="367"/>
      <c r="B72" s="47" t="str">
        <f>DFIE!B35</f>
        <v>Glarus</v>
      </c>
      <c r="C72" s="43">
        <v>16069</v>
      </c>
      <c r="D72" s="43">
        <v>1115458.7</v>
      </c>
      <c r="E72" s="22">
        <f t="shared" si="2"/>
        <v>620533.5</v>
      </c>
      <c r="F72" s="59"/>
    </row>
    <row r="73" spans="1:9" x14ac:dyDescent="0.2">
      <c r="A73" s="367"/>
      <c r="B73" s="46" t="str">
        <f>DFIE!B36</f>
        <v>Zug</v>
      </c>
      <c r="C73" s="61">
        <v>54940</v>
      </c>
      <c r="D73" s="61">
        <v>6841081.9000000004</v>
      </c>
      <c r="E73" s="18">
        <f t="shared" si="2"/>
        <v>5148929.9000000004</v>
      </c>
      <c r="F73" s="59"/>
    </row>
    <row r="74" spans="1:9" x14ac:dyDescent="0.2">
      <c r="A74" s="367"/>
      <c r="B74" s="47" t="str">
        <f>DFIE!B37</f>
        <v>Freiburg</v>
      </c>
      <c r="C74" s="43">
        <v>120935</v>
      </c>
      <c r="D74" s="43">
        <v>9058126.3000000007</v>
      </c>
      <c r="E74" s="22">
        <f t="shared" si="2"/>
        <v>5333328.3000000007</v>
      </c>
      <c r="F74" s="59"/>
    </row>
    <row r="75" spans="1:9" x14ac:dyDescent="0.2">
      <c r="A75" s="367"/>
      <c r="B75" s="46" t="str">
        <f>DFIE!B38</f>
        <v>Solothurn</v>
      </c>
      <c r="C75" s="61">
        <v>116193</v>
      </c>
      <c r="D75" s="61">
        <v>8594057.3000000007</v>
      </c>
      <c r="E75" s="18">
        <f t="shared" si="2"/>
        <v>5015312.9000000004</v>
      </c>
      <c r="F75" s="59"/>
    </row>
    <row r="76" spans="1:9" x14ac:dyDescent="0.2">
      <c r="A76" s="367"/>
      <c r="B76" s="47" t="str">
        <f>DFIE!B39</f>
        <v>Basel-Stadt</v>
      </c>
      <c r="C76" s="43">
        <v>80389</v>
      </c>
      <c r="D76" s="43">
        <v>7577935</v>
      </c>
      <c r="E76" s="22">
        <f t="shared" si="2"/>
        <v>5101953.8</v>
      </c>
      <c r="F76" s="59"/>
    </row>
    <row r="77" spans="1:9" x14ac:dyDescent="0.2">
      <c r="A77" s="367"/>
      <c r="B77" s="46" t="str">
        <f>DFIE!B40</f>
        <v>Basel-Landschaft</v>
      </c>
      <c r="C77" s="61">
        <v>124479</v>
      </c>
      <c r="D77" s="61">
        <v>10924072.4</v>
      </c>
      <c r="E77" s="18">
        <f t="shared" si="2"/>
        <v>7090119.2000000002</v>
      </c>
      <c r="F77" s="59"/>
    </row>
    <row r="78" spans="1:9" x14ac:dyDescent="0.2">
      <c r="A78" s="367"/>
      <c r="B78" s="47" t="str">
        <f>DFIE!B41</f>
        <v>Schaffhausen</v>
      </c>
      <c r="C78" s="43">
        <v>33371</v>
      </c>
      <c r="D78" s="43">
        <v>2442000.2000000002</v>
      </c>
      <c r="E78" s="22">
        <f t="shared" si="2"/>
        <v>1414173.4000000001</v>
      </c>
      <c r="F78" s="59"/>
    </row>
    <row r="79" spans="1:9" x14ac:dyDescent="0.2">
      <c r="A79" s="367"/>
      <c r="B79" s="46" t="str">
        <f>DFIE!B42</f>
        <v>Appenzell A.Rh.</v>
      </c>
      <c r="C79" s="61">
        <v>22821</v>
      </c>
      <c r="D79" s="61">
        <v>1746927.7</v>
      </c>
      <c r="E79" s="18">
        <f t="shared" si="2"/>
        <v>1044040.8999999999</v>
      </c>
      <c r="F79" s="59"/>
    </row>
    <row r="80" spans="1:9" x14ac:dyDescent="0.2">
      <c r="A80" s="367"/>
      <c r="B80" s="47" t="str">
        <f>DFIE!B43</f>
        <v>Appenzell I.Rh.</v>
      </c>
      <c r="C80" s="43">
        <v>6538</v>
      </c>
      <c r="D80" s="43">
        <v>514750.6</v>
      </c>
      <c r="E80" s="22">
        <f t="shared" si="2"/>
        <v>313380.19999999995</v>
      </c>
      <c r="F80" s="59"/>
    </row>
    <row r="81" spans="1:9" x14ac:dyDescent="0.2">
      <c r="A81" s="367"/>
      <c r="B81" s="46" t="str">
        <f>DFIE!B44</f>
        <v>St. Gallen</v>
      </c>
      <c r="C81" s="61">
        <v>204255</v>
      </c>
      <c r="D81" s="61">
        <v>14776170.199999999</v>
      </c>
      <c r="E81" s="18">
        <f t="shared" si="2"/>
        <v>8485116.1999999993</v>
      </c>
      <c r="F81" s="59"/>
    </row>
    <row r="82" spans="1:9" x14ac:dyDescent="0.2">
      <c r="A82" s="367"/>
      <c r="B82" s="47" t="str">
        <f>DFIE!B45</f>
        <v>Graubünden</v>
      </c>
      <c r="C82" s="43">
        <v>80730</v>
      </c>
      <c r="D82" s="43">
        <v>6066891.7999999998</v>
      </c>
      <c r="E82" s="22">
        <f t="shared" si="2"/>
        <v>3580407.8</v>
      </c>
      <c r="F82" s="59"/>
    </row>
    <row r="83" spans="1:9" x14ac:dyDescent="0.2">
      <c r="A83" s="367"/>
      <c r="B83" s="46" t="str">
        <f>DFIE!B46</f>
        <v>Aargau</v>
      </c>
      <c r="C83" s="61">
        <v>285338</v>
      </c>
      <c r="D83" s="61">
        <v>22053762</v>
      </c>
      <c r="E83" s="18">
        <f t="shared" si="2"/>
        <v>13265351.6</v>
      </c>
      <c r="F83" s="59"/>
    </row>
    <row r="84" spans="1:9" x14ac:dyDescent="0.2">
      <c r="A84" s="367"/>
      <c r="B84" s="47" t="str">
        <f>DFIE!B47</f>
        <v>Thurgau</v>
      </c>
      <c r="C84" s="43">
        <v>112026</v>
      </c>
      <c r="D84" s="43">
        <v>8431365.0999999996</v>
      </c>
      <c r="E84" s="22">
        <f t="shared" si="2"/>
        <v>4980964.2999999989</v>
      </c>
      <c r="F84" s="59"/>
    </row>
    <row r="85" spans="1:9" x14ac:dyDescent="0.2">
      <c r="A85" s="367"/>
      <c r="B85" s="46" t="str">
        <f>DFIE!B48</f>
        <v>Tessin</v>
      </c>
      <c r="C85" s="61">
        <v>132728</v>
      </c>
      <c r="D85" s="61">
        <v>11050251</v>
      </c>
      <c r="E85" s="18">
        <f t="shared" si="2"/>
        <v>6962228.5999999996</v>
      </c>
      <c r="F85" s="59"/>
    </row>
    <row r="86" spans="1:9" x14ac:dyDescent="0.2">
      <c r="A86" s="367"/>
      <c r="B86" s="47" t="str">
        <f>DFIE!B49</f>
        <v>Waadt</v>
      </c>
      <c r="C86" s="43">
        <v>293581</v>
      </c>
      <c r="D86" s="43">
        <v>26819599.899999999</v>
      </c>
      <c r="E86" s="22">
        <f t="shared" si="2"/>
        <v>17777305.099999998</v>
      </c>
      <c r="F86" s="59"/>
    </row>
    <row r="87" spans="1:9" x14ac:dyDescent="0.2">
      <c r="A87" s="367"/>
      <c r="B87" s="46" t="str">
        <f>DFIE!B50</f>
        <v>Wallis</v>
      </c>
      <c r="C87" s="61">
        <v>132312</v>
      </c>
      <c r="D87" s="61">
        <v>9418996.4000000004</v>
      </c>
      <c r="E87" s="18">
        <f t="shared" si="2"/>
        <v>5343786.8000000007</v>
      </c>
      <c r="F87" s="59"/>
    </row>
    <row r="88" spans="1:9" x14ac:dyDescent="0.2">
      <c r="A88" s="367"/>
      <c r="B88" s="47" t="str">
        <f>DFIE!B51</f>
        <v>Neuenburg</v>
      </c>
      <c r="C88" s="43">
        <v>67282</v>
      </c>
      <c r="D88" s="43">
        <v>4999394.9000000004</v>
      </c>
      <c r="E88" s="22">
        <f t="shared" si="2"/>
        <v>2927109.3000000003</v>
      </c>
      <c r="F88" s="59"/>
    </row>
    <row r="89" spans="1:9" x14ac:dyDescent="0.2">
      <c r="A89" s="367"/>
      <c r="B89" s="46" t="str">
        <f>DFIE!B52</f>
        <v>Genf</v>
      </c>
      <c r="C89" s="61">
        <v>170361</v>
      </c>
      <c r="D89" s="61">
        <v>18405245.300000001</v>
      </c>
      <c r="E89" s="18">
        <f t="shared" si="2"/>
        <v>13158126.5</v>
      </c>
      <c r="F89" s="59"/>
    </row>
    <row r="90" spans="1:9" x14ac:dyDescent="0.2">
      <c r="A90" s="367"/>
      <c r="B90" s="47" t="str">
        <f>DFIE!B53</f>
        <v>Jura</v>
      </c>
      <c r="C90" s="43">
        <v>27940</v>
      </c>
      <c r="D90" s="43">
        <v>1861756.7</v>
      </c>
      <c r="E90" s="22">
        <f t="shared" si="2"/>
        <v>1001204.7</v>
      </c>
      <c r="F90" s="59"/>
    </row>
    <row r="91" spans="1:9" x14ac:dyDescent="0.2">
      <c r="A91" s="367"/>
      <c r="B91" s="24" t="str">
        <f>DFIE!B54</f>
        <v>Schweiz</v>
      </c>
      <c r="C91" s="31">
        <f>SUM(C65:C90)</f>
        <v>3429728</v>
      </c>
      <c r="D91" s="31">
        <f>SUM(D65:D90)</f>
        <v>287326918.39999998</v>
      </c>
      <c r="E91" s="26">
        <f>SUM(E65:E90)</f>
        <v>181691296.00000003</v>
      </c>
      <c r="F91" s="60"/>
      <c r="H91" s="51"/>
      <c r="I91" s="51"/>
    </row>
    <row r="93" spans="1:9" x14ac:dyDescent="0.2">
      <c r="H93" s="40"/>
      <c r="I93" s="40"/>
    </row>
  </sheetData>
  <mergeCells count="6">
    <mergeCell ref="H6:I7"/>
    <mergeCell ref="E6:E7"/>
    <mergeCell ref="A9:A35"/>
    <mergeCell ref="A37:A63"/>
    <mergeCell ref="A65:A91"/>
    <mergeCell ref="C6:D6"/>
  </mergeCells>
  <conditionalFormatting sqref="C9:D34 C37:D62 C65:D90 I9">
    <cfRule type="expression" dxfId="71" priority="10" stopIfTrue="1">
      <formula>ISBLANK(C9)</formula>
    </cfRule>
  </conditionalFormatting>
  <conditionalFormatting sqref="I37">
    <cfRule type="expression" dxfId="70" priority="2" stopIfTrue="1">
      <formula>ISBLANK(I37)</formula>
    </cfRule>
  </conditionalFormatting>
  <conditionalFormatting sqref="I65">
    <cfRule type="expression" dxfId="69" priority="1" stopIfTrue="1">
      <formula>ISBLANK(I65)</formula>
    </cfRule>
  </conditionalFormatting>
  <pageMargins left="0.78740157480314965" right="0.78740157480314965" top="0.98425196850393704" bottom="0.78740157480314965" header="0.51181102362204722" footer="0.51181102362204722"/>
  <pageSetup paperSize="9" scale="95" fitToHeight="3" orientation="landscape"/>
  <headerFooter scaleWithDoc="0" alignWithMargins="0">
    <oddHeader>&amp;L&amp;F&amp;R&amp;A</oddHeader>
    <oddFooter>&amp;C&amp;P / &amp;N</oddFooter>
  </headerFooter>
  <rowBreaks count="2" manualBreakCount="2">
    <brk id="36" max="16383" man="1"/>
    <brk id="64" max="16383" man="1"/>
  </rowBreaks>
  <customProperties>
    <customPr name="EpmWorksheetKeyString_GUID" r:id="rId1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91"/>
  <sheetViews>
    <sheetView showGridLines="0" zoomScaleNormal="100" zoomScaleSheetLayoutView="70" workbookViewId="0">
      <pane xSplit="2" ySplit="8" topLeftCell="C9" activePane="bottomRight" state="frozen"/>
      <selection activeCell="A100" sqref="A100"/>
      <selection pane="topRight" activeCell="A100" sqref="A100"/>
      <selection pane="bottomLeft" activeCell="A100" sqref="A100"/>
      <selection pane="bottomRight" activeCell="A110" sqref="A110"/>
    </sheetView>
  </sheetViews>
  <sheetFormatPr baseColWidth="10" defaultColWidth="9.140625" defaultRowHeight="12.75" x14ac:dyDescent="0.2"/>
  <cols>
    <col min="1" max="1" width="4.42578125" customWidth="1"/>
    <col min="2" max="2" width="17.140625" customWidth="1"/>
    <col min="3" max="10" width="17.7109375" customWidth="1"/>
    <col min="11" max="11" width="1.42578125" customWidth="1"/>
    <col min="12" max="12" width="11.140625" customWidth="1"/>
    <col min="13" max="13" width="34.7109375" customWidth="1"/>
    <col min="14" max="14" width="16.5703125" customWidth="1"/>
    <col min="15" max="15" width="1.42578125" customWidth="1"/>
    <col min="16" max="16" width="17.28515625" customWidth="1"/>
    <col min="17" max="27" width="18.7109375" customWidth="1"/>
    <col min="28" max="28" width="4.42578125" customWidth="1"/>
  </cols>
  <sheetData>
    <row r="1" spans="1:28" ht="18" customHeight="1" x14ac:dyDescent="0.25">
      <c r="B1" s="6" t="str">
        <f>DFIE!B86</f>
        <v>Quellenbesteuerte Einkommen natürlicher Personen 2020</v>
      </c>
      <c r="P1" s="6" t="str">
        <f>B1</f>
        <v>Quellenbesteuerte Einkommen natürlicher Personen 2020</v>
      </c>
    </row>
    <row r="2" spans="1:28" ht="12.75" customHeight="1" x14ac:dyDescent="0.2">
      <c r="A2" s="40"/>
    </row>
    <row r="3" spans="1:28" ht="12.75" customHeight="1" x14ac:dyDescent="0.2">
      <c r="C3" s="371" t="str">
        <f>DFIE!B87</f>
        <v>Bruttoeinkommen</v>
      </c>
      <c r="D3" s="372"/>
      <c r="E3" s="372"/>
      <c r="F3" s="372"/>
      <c r="G3" s="372"/>
      <c r="H3" s="372"/>
      <c r="I3" s="372"/>
      <c r="J3" s="373"/>
      <c r="Q3" s="371" t="str">
        <f>DFIE!B118</f>
        <v>Massgebende quellenbesteuerte Einkommen</v>
      </c>
      <c r="R3" s="374"/>
      <c r="S3" s="374"/>
      <c r="T3" s="374"/>
      <c r="U3" s="374"/>
      <c r="V3" s="374"/>
      <c r="W3" s="374"/>
      <c r="X3" s="374"/>
      <c r="Y3" s="374"/>
      <c r="Z3" s="374"/>
      <c r="AA3" s="375"/>
    </row>
    <row r="4" spans="1:28" ht="12" customHeight="1" x14ac:dyDescent="0.2">
      <c r="A4" s="13"/>
      <c r="B4" s="109" t="str">
        <f>DFIE!$B$55</f>
        <v>Spalte</v>
      </c>
      <c r="C4" s="74" t="s">
        <v>30</v>
      </c>
      <c r="D4" s="74" t="s">
        <v>31</v>
      </c>
      <c r="E4" s="74" t="s">
        <v>32</v>
      </c>
      <c r="F4" s="74" t="s">
        <v>43</v>
      </c>
      <c r="G4" s="74" t="s">
        <v>42</v>
      </c>
      <c r="H4" s="74" t="s">
        <v>33</v>
      </c>
      <c r="I4" s="74" t="s">
        <v>93</v>
      </c>
      <c r="J4" s="75" t="s">
        <v>35</v>
      </c>
      <c r="K4" s="14"/>
      <c r="L4" s="51"/>
      <c r="M4" s="51"/>
      <c r="N4" s="51"/>
      <c r="O4" s="14"/>
      <c r="P4" s="109" t="str">
        <f>DFIE!$B$55</f>
        <v>Spalte</v>
      </c>
      <c r="Q4" s="74" t="s">
        <v>72</v>
      </c>
      <c r="R4" s="74" t="s">
        <v>52</v>
      </c>
      <c r="S4" s="74" t="s">
        <v>51</v>
      </c>
      <c r="T4" s="74" t="s">
        <v>50</v>
      </c>
      <c r="U4" s="74" t="s">
        <v>61</v>
      </c>
      <c r="V4" s="74" t="s">
        <v>73</v>
      </c>
      <c r="W4" s="74" t="s">
        <v>74</v>
      </c>
      <c r="X4" s="74" t="s">
        <v>75</v>
      </c>
      <c r="Y4" s="74" t="s">
        <v>62</v>
      </c>
      <c r="Z4" s="75" t="s">
        <v>114</v>
      </c>
      <c r="AA4" s="75" t="s">
        <v>263</v>
      </c>
      <c r="AB4" s="13"/>
    </row>
    <row r="5" spans="1:28" ht="12" customHeight="1" x14ac:dyDescent="0.2">
      <c r="A5" s="51"/>
      <c r="B5" s="109" t="str">
        <f>DFIE!$B$56</f>
        <v>Formel</v>
      </c>
      <c r="C5" s="110"/>
      <c r="D5" s="110"/>
      <c r="E5" s="110"/>
      <c r="F5" s="110"/>
      <c r="G5" s="110"/>
      <c r="H5" s="110"/>
      <c r="I5" s="110"/>
      <c r="J5" s="68"/>
      <c r="K5" s="14"/>
      <c r="O5" s="14"/>
      <c r="P5" s="109" t="str">
        <f>DFIE!$B$56</f>
        <v>Formel</v>
      </c>
      <c r="Q5" s="71" t="s">
        <v>107</v>
      </c>
      <c r="R5" s="71" t="s">
        <v>108</v>
      </c>
      <c r="S5" s="71" t="s">
        <v>109</v>
      </c>
      <c r="T5" s="71" t="s">
        <v>110</v>
      </c>
      <c r="U5" s="71" t="s">
        <v>111</v>
      </c>
      <c r="V5" s="71" t="s">
        <v>112</v>
      </c>
      <c r="W5" s="71" t="s">
        <v>113</v>
      </c>
      <c r="X5" s="71" t="s">
        <v>115</v>
      </c>
      <c r="Y5" s="71" t="s">
        <v>116</v>
      </c>
      <c r="Z5" s="73"/>
      <c r="AA5" s="72" t="str">
        <f>DFIE!$B$119</f>
        <v>(Q + Y) oder Z</v>
      </c>
      <c r="AB5" s="51"/>
    </row>
    <row r="6" spans="1:28" ht="12" customHeight="1" x14ac:dyDescent="0.2">
      <c r="A6" s="13"/>
      <c r="B6" s="109" t="str">
        <f>DFIE!$B$57</f>
        <v>Kategorie</v>
      </c>
      <c r="C6" s="76">
        <v>0</v>
      </c>
      <c r="D6" s="76">
        <v>1</v>
      </c>
      <c r="E6" s="76" t="s">
        <v>56</v>
      </c>
      <c r="F6" s="76" t="s">
        <v>57</v>
      </c>
      <c r="G6" s="76" t="s">
        <v>58</v>
      </c>
      <c r="H6" s="76" t="s">
        <v>59</v>
      </c>
      <c r="I6" s="76" t="s">
        <v>60</v>
      </c>
      <c r="J6" s="77"/>
      <c r="K6" s="14"/>
      <c r="L6" s="51"/>
      <c r="M6" s="51"/>
      <c r="N6" s="51"/>
      <c r="O6" s="14"/>
      <c r="P6" s="109" t="str">
        <f>DFIE!$B$57</f>
        <v>Kategorie</v>
      </c>
      <c r="Q6" s="71">
        <v>0</v>
      </c>
      <c r="R6" s="71">
        <v>1</v>
      </c>
      <c r="S6" s="71" t="s">
        <v>56</v>
      </c>
      <c r="T6" s="71" t="s">
        <v>57</v>
      </c>
      <c r="U6" s="71" t="s">
        <v>58</v>
      </c>
      <c r="V6" s="71" t="s">
        <v>59</v>
      </c>
      <c r="W6" s="71" t="s">
        <v>60</v>
      </c>
      <c r="X6" s="71"/>
      <c r="Y6" s="71"/>
      <c r="Z6" s="376" t="str">
        <f>DFIE!B116</f>
        <v>Ergebnis auf
der Basis
geschätzter
Daten</v>
      </c>
      <c r="AA6" s="369" t="str">
        <f>DFIE!B117</f>
        <v>Massgebende
quellenbesteuerte
Einkommen</v>
      </c>
      <c r="AB6" s="13"/>
    </row>
    <row r="7" spans="1:28" ht="81" customHeight="1" x14ac:dyDescent="0.2">
      <c r="A7" s="51"/>
      <c r="B7" s="80"/>
      <c r="C7" s="69" t="str">
        <f>DFIE!B88</f>
        <v>Gebietsansässige
Ausländer und
ausländische
Verwaltungsräte</v>
      </c>
      <c r="D7" s="69" t="str">
        <f>DFIE!B89</f>
        <v>Vollständig
besteuerte
Grenzgänger</v>
      </c>
      <c r="E7" s="69" t="str">
        <f>DFIE!B90</f>
        <v>Begrenzt
besteuerte
Grenzgänger
aus Österreich</v>
      </c>
      <c r="F7" s="69" t="str">
        <f>DFIE!B91</f>
        <v>Begrenzt
besteuerte
Grenzgänger
aus Deutschland</v>
      </c>
      <c r="G7" s="69" t="str">
        <f>DFIE!B92</f>
        <v>Begrenzt besteuerte
Grenzgänger aus
Frankreich mit
Besteuerung durch
den Kanton Genf</v>
      </c>
      <c r="H7" s="69" t="str">
        <f>DFIE!B93</f>
        <v>Begrenzt besteuerte
Grenzgänger aus
Frankreich mit
Besteuerung durch
Frankreich</v>
      </c>
      <c r="I7" s="69" t="str">
        <f>DFIE!B94</f>
        <v>Begrenzt
besteuerte
Grenzgänger
aus Italien</v>
      </c>
      <c r="J7" s="79" t="str">
        <f>DFIE!B64</f>
        <v>Total</v>
      </c>
      <c r="K7" s="14"/>
      <c r="L7" s="51"/>
      <c r="M7" s="51"/>
      <c r="N7" s="51"/>
      <c r="O7" s="14"/>
      <c r="P7" s="80"/>
      <c r="Q7" s="70" t="str">
        <f>DFIE!B88</f>
        <v>Gebietsansässige
Ausländer und
ausländische
Verwaltungsräte</v>
      </c>
      <c r="R7" s="70" t="str">
        <f>DFIE!B89</f>
        <v>Vollständig
besteuerte
Grenzgänger</v>
      </c>
      <c r="S7" s="70" t="str">
        <f>DFIE!B90</f>
        <v>Begrenzt
besteuerte
Grenzgänger
aus Österreich</v>
      </c>
      <c r="T7" s="70" t="str">
        <f>DFIE!B91</f>
        <v>Begrenzt
besteuerte
Grenzgänger
aus Deutschland</v>
      </c>
      <c r="U7" s="70" t="str">
        <f>DFIE!B92</f>
        <v>Begrenzt besteuerte
Grenzgänger aus
Frankreich mit
Besteuerung durch
den Kanton Genf</v>
      </c>
      <c r="V7" s="70" t="str">
        <f>DFIE!B93</f>
        <v>Begrenzt besteuerte
Grenzgänger aus
Frankreich mit
Besteuerung durch
Frankreich</v>
      </c>
      <c r="W7" s="70" t="str">
        <f>DFIE!B94</f>
        <v>Begrenzt
besteuerte
Grenzgänger
aus Italien</v>
      </c>
      <c r="X7" s="70" t="str">
        <f>DFIE!B114</f>
        <v>Grenzgänger
Total</v>
      </c>
      <c r="Y7" s="70" t="str">
        <f>DFIE!B115</f>
        <v>Ergebnis auf
der Basis der
Bruttolöhne
(Grenzgänger)</v>
      </c>
      <c r="Z7" s="377"/>
      <c r="AA7" s="370"/>
      <c r="AB7" s="51"/>
    </row>
    <row r="8" spans="1:28" ht="12.75" customHeight="1" x14ac:dyDescent="0.2">
      <c r="A8" s="14"/>
      <c r="B8" s="78" t="str">
        <f>DFIE!$B$58</f>
        <v>Einheit</v>
      </c>
      <c r="C8" s="41" t="str">
        <f>DFIE!$B$59</f>
        <v>CHF</v>
      </c>
      <c r="D8" s="41" t="str">
        <f>DFIE!$B$59</f>
        <v>CHF</v>
      </c>
      <c r="E8" s="41" t="str">
        <f>DFIE!$B$59</f>
        <v>CHF</v>
      </c>
      <c r="F8" s="41" t="str">
        <f>DFIE!$B$59</f>
        <v>CHF</v>
      </c>
      <c r="G8" s="41" t="str">
        <f>DFIE!$B$59</f>
        <v>CHF</v>
      </c>
      <c r="H8" s="41" t="str">
        <f>DFIE!$B$59</f>
        <v>CHF</v>
      </c>
      <c r="I8" s="41" t="str">
        <f>DFIE!$B$59</f>
        <v>CHF</v>
      </c>
      <c r="J8" s="42" t="str">
        <f>DFIE!$B$59</f>
        <v>CHF</v>
      </c>
      <c r="P8" s="78" t="str">
        <f>DFIE!$B$58</f>
        <v>Einheit</v>
      </c>
      <c r="Q8" s="41" t="str">
        <f>DFIE!$B$60</f>
        <v>CHF 1'000</v>
      </c>
      <c r="R8" s="41" t="str">
        <f>DFIE!$B$60</f>
        <v>CHF 1'000</v>
      </c>
      <c r="S8" s="41" t="str">
        <f>DFIE!$B$60</f>
        <v>CHF 1'000</v>
      </c>
      <c r="T8" s="41" t="str">
        <f>DFIE!$B$60</f>
        <v>CHF 1'000</v>
      </c>
      <c r="U8" s="41" t="str">
        <f>DFIE!$B$60</f>
        <v>CHF 1'000</v>
      </c>
      <c r="V8" s="41" t="str">
        <f>DFIE!$B$60</f>
        <v>CHF 1'000</v>
      </c>
      <c r="W8" s="41" t="str">
        <f>DFIE!$B$60</f>
        <v>CHF 1'000</v>
      </c>
      <c r="X8" s="41" t="str">
        <f>DFIE!$B$60</f>
        <v>CHF 1'000</v>
      </c>
      <c r="Y8" s="41" t="str">
        <f>DFIE!$B$60</f>
        <v>CHF 1'000</v>
      </c>
      <c r="Z8" s="42" t="s">
        <v>37</v>
      </c>
      <c r="AA8" s="42" t="str">
        <f>DFIE!$B$60</f>
        <v>CHF 1'000</v>
      </c>
      <c r="AB8" s="14"/>
    </row>
    <row r="9" spans="1:28" x14ac:dyDescent="0.2">
      <c r="A9" s="365" t="str">
        <f>DFIE!$B$69</f>
        <v>Bemessungsjahr 2014</v>
      </c>
      <c r="B9" s="46" t="str">
        <f>DFIE!$B28</f>
        <v>Zürich</v>
      </c>
      <c r="C9" s="61">
        <v>5668437813.3599997</v>
      </c>
      <c r="D9" s="61">
        <v>59302747</v>
      </c>
      <c r="E9" s="61">
        <v>0</v>
      </c>
      <c r="F9" s="61">
        <v>589250790.64999998</v>
      </c>
      <c r="G9" s="61">
        <v>0</v>
      </c>
      <c r="H9" s="61">
        <v>0</v>
      </c>
      <c r="I9" s="61">
        <v>0</v>
      </c>
      <c r="J9" s="18">
        <f t="shared" ref="J9:J35" si="0">SUM(C9:I9)</f>
        <v>6316991351.0099993</v>
      </c>
      <c r="K9" s="102"/>
      <c r="L9" s="102"/>
      <c r="M9" s="102"/>
      <c r="N9" s="102"/>
      <c r="O9" s="102"/>
      <c r="P9" s="16" t="str">
        <f>DFIE!$B28</f>
        <v>Zürich</v>
      </c>
      <c r="Q9" s="91">
        <f>IF(DFIE!$G$2=2008,"",C9*N$16/1000)</f>
        <v>2057642.9262496799</v>
      </c>
      <c r="R9" s="91">
        <f>IF(DFIE!$G$2=2008,"",D9*N$17/1000)</f>
        <v>21526.897160999997</v>
      </c>
      <c r="S9" s="91">
        <f>IF(DFIE!$G$2=2008,"",E9*N$18/1000)</f>
        <v>0</v>
      </c>
      <c r="T9" s="91">
        <f>IF(DFIE!$G$2=2008,"",F9*N$19/1000)</f>
        <v>99685.284132518776</v>
      </c>
      <c r="U9" s="91">
        <f>IF(DFIE!$G$2=2008,"",G9*N$20/1000)</f>
        <v>0</v>
      </c>
      <c r="V9" s="91">
        <f>IF(DFIE!$G$2=2008,"",H9*N$21/1000)</f>
        <v>0</v>
      </c>
      <c r="W9" s="91">
        <f>IF(DFIE!$G$2=2008,"",I9*N$22/1000)</f>
        <v>0</v>
      </c>
      <c r="X9" s="91">
        <f>IF(DFIE!$G$2=2008,"",SUM(R9:W9))</f>
        <v>121212.18129351878</v>
      </c>
      <c r="Y9" s="91">
        <f>IF(DFIE!$G$2=2008,"",X9*$N$11)</f>
        <v>90909.13597013909</v>
      </c>
      <c r="Z9" s="92">
        <v>0</v>
      </c>
      <c r="AA9" s="18">
        <f>IF(DFIE!$G$2=2008,0,IF(Z9=0,Y9+Q9,Z9))</f>
        <v>2148552.0622198191</v>
      </c>
      <c r="AB9" s="365" t="str">
        <f>DFIE!$B$69</f>
        <v>Bemessungsjahr 2014</v>
      </c>
    </row>
    <row r="10" spans="1:28" x14ac:dyDescent="0.2">
      <c r="A10" s="365"/>
      <c r="B10" s="47" t="str">
        <f>DFIE!$B29</f>
        <v>Bern</v>
      </c>
      <c r="C10" s="43">
        <v>1743849343.98</v>
      </c>
      <c r="D10" s="43">
        <v>168886240.16</v>
      </c>
      <c r="E10" s="43">
        <v>183086</v>
      </c>
      <c r="F10" s="43">
        <v>18932027.050000001</v>
      </c>
      <c r="G10" s="43">
        <v>0</v>
      </c>
      <c r="H10" s="43">
        <v>153026730.83000001</v>
      </c>
      <c r="I10" s="43">
        <v>0</v>
      </c>
      <c r="J10" s="22">
        <f t="shared" si="0"/>
        <v>2084877428.02</v>
      </c>
      <c r="K10" s="102"/>
      <c r="L10" s="83" t="str">
        <f>DFIE!$B$95</f>
        <v>Standardisierter Steuersatz SST(2017)</v>
      </c>
      <c r="M10" s="82"/>
      <c r="N10" s="101">
        <v>0.26600000000000001</v>
      </c>
      <c r="O10" s="102"/>
      <c r="P10" s="20" t="str">
        <f>DFIE!$B29</f>
        <v>Bern</v>
      </c>
      <c r="Q10" s="93">
        <f>IF(DFIE!$G$2=2008,"",C10*N$16/1000)</f>
        <v>633017.31186473998</v>
      </c>
      <c r="R10" s="93">
        <f>IF(DFIE!$G$2=2008,"",D10*N$17/1000)</f>
        <v>61305.705178080003</v>
      </c>
      <c r="S10" s="93">
        <f>IF(DFIE!$G$2=2008,"",E10*N$18/1000)</f>
        <v>58.152690750000005</v>
      </c>
      <c r="T10" s="93">
        <f>IF(DFIE!$G$2=2008,"",F10*N$19/1000)</f>
        <v>3202.7865310150378</v>
      </c>
      <c r="U10" s="93">
        <f>IF(DFIE!$G$2=2008,"",G10*N$20/1000)</f>
        <v>0</v>
      </c>
      <c r="V10" s="93">
        <f>IF(DFIE!$G$2=2008,"",H10*N$21/1000)</f>
        <v>25887.980779511279</v>
      </c>
      <c r="W10" s="93">
        <f>IF(DFIE!$G$2=2008,"",I10*N$22/1000)</f>
        <v>0</v>
      </c>
      <c r="X10" s="93">
        <f>IF(DFIE!$G$2=2008,"",SUM(R10:W10))</f>
        <v>90454.625179356313</v>
      </c>
      <c r="Y10" s="93">
        <f>IF(DFIE!$G$2=2008,"",X10*$N$11)</f>
        <v>67840.968884517235</v>
      </c>
      <c r="Z10" s="94">
        <v>0</v>
      </c>
      <c r="AA10" s="22">
        <f>IF(DFIE!$G$2=2008,0,IF(Z10=0,Y10+Q10,Z10))</f>
        <v>700858.28074925719</v>
      </c>
      <c r="AB10" s="365"/>
    </row>
    <row r="11" spans="1:28" x14ac:dyDescent="0.2">
      <c r="A11" s="365"/>
      <c r="B11" s="46" t="str">
        <f>DFIE!$B30</f>
        <v>Luzern</v>
      </c>
      <c r="C11" s="61">
        <v>708205136.65999997</v>
      </c>
      <c r="D11" s="61">
        <v>63051062.390000001</v>
      </c>
      <c r="E11" s="61">
        <v>1054769.6000000001</v>
      </c>
      <c r="F11" s="61">
        <v>7747325.7300000004</v>
      </c>
      <c r="G11" s="61">
        <v>0</v>
      </c>
      <c r="H11" s="61">
        <v>0</v>
      </c>
      <c r="I11" s="61">
        <v>0</v>
      </c>
      <c r="J11" s="18">
        <f t="shared" si="0"/>
        <v>780058294.38</v>
      </c>
      <c r="K11" s="103"/>
      <c r="L11" s="83" t="str">
        <f>DFIE!$B$98</f>
        <v>Faktor Delta</v>
      </c>
      <c r="M11" s="83"/>
      <c r="N11" s="101">
        <v>0.75</v>
      </c>
      <c r="O11" s="103"/>
      <c r="P11" s="16" t="str">
        <f>DFIE!$B30</f>
        <v>Luzern</v>
      </c>
      <c r="Q11" s="91">
        <f>IF(DFIE!$G$2=2008,"",C11*N$16/1000)</f>
        <v>257078.46460757998</v>
      </c>
      <c r="R11" s="91">
        <f>IF(DFIE!$G$2=2008,"",D11*N$17/1000)</f>
        <v>22887.535647569999</v>
      </c>
      <c r="S11" s="91">
        <f>IF(DFIE!$G$2=2008,"",E11*N$18/1000)</f>
        <v>335.02119420000002</v>
      </c>
      <c r="T11" s="91">
        <f>IF(DFIE!$G$2=2008,"",F11*N$19/1000)</f>
        <v>1310.6378114661654</v>
      </c>
      <c r="U11" s="91">
        <f>IF(DFIE!$G$2=2008,"",G11*N$20/1000)</f>
        <v>0</v>
      </c>
      <c r="V11" s="91">
        <f>IF(DFIE!$G$2=2008,"",H11*N$21/1000)</f>
        <v>0</v>
      </c>
      <c r="W11" s="91">
        <f>IF(DFIE!$G$2=2008,"",I11*N$22/1000)</f>
        <v>0</v>
      </c>
      <c r="X11" s="91">
        <f>IF(DFIE!$G$2=2008,"",SUM(R11:W11))</f>
        <v>24533.194653236162</v>
      </c>
      <c r="Y11" s="91">
        <f>IF(DFIE!$G$2=2008,"",X11*$N$11)</f>
        <v>18399.895989927121</v>
      </c>
      <c r="Z11" s="95">
        <v>0</v>
      </c>
      <c r="AA11" s="18">
        <f>IF(DFIE!$G$2=2008,0,IF(Z11=0,Y11+Q11,Z11))</f>
        <v>275478.3605975071</v>
      </c>
      <c r="AB11" s="365"/>
    </row>
    <row r="12" spans="1:28" x14ac:dyDescent="0.2">
      <c r="A12" s="365"/>
      <c r="B12" s="47" t="str">
        <f>DFIE!$B31</f>
        <v>Uri</v>
      </c>
      <c r="C12" s="43">
        <v>89293814</v>
      </c>
      <c r="D12" s="43">
        <v>930146</v>
      </c>
      <c r="E12" s="43">
        <v>0</v>
      </c>
      <c r="F12" s="43">
        <v>0</v>
      </c>
      <c r="G12" s="43">
        <v>0</v>
      </c>
      <c r="H12" s="43">
        <v>0</v>
      </c>
      <c r="I12" s="43">
        <v>0</v>
      </c>
      <c r="J12" s="22">
        <f t="shared" si="0"/>
        <v>90223960</v>
      </c>
      <c r="K12" s="54"/>
      <c r="L12" s="54"/>
      <c r="M12" s="54"/>
      <c r="N12" s="104"/>
      <c r="O12" s="54"/>
      <c r="P12" s="20" t="str">
        <f>DFIE!$B31</f>
        <v>Uri</v>
      </c>
      <c r="Q12" s="93">
        <f>IF(DFIE!$G$2=2008,"",C12*N$16/1000)</f>
        <v>32413.654482000002</v>
      </c>
      <c r="R12" s="93">
        <f>IF(DFIE!$G$2=2008,"",D12*N$17/1000)</f>
        <v>337.64299799999998</v>
      </c>
      <c r="S12" s="93">
        <f>IF(DFIE!$G$2=2008,"",E12*N$18/1000)</f>
        <v>0</v>
      </c>
      <c r="T12" s="93">
        <f>IF(DFIE!$G$2=2008,"",F12*N$19/1000)</f>
        <v>0</v>
      </c>
      <c r="U12" s="93">
        <f>IF(DFIE!$G$2=2008,"",G12*N$20/1000)</f>
        <v>0</v>
      </c>
      <c r="V12" s="93">
        <f>IF(DFIE!$G$2=2008,"",H12*N$21/1000)</f>
        <v>0</v>
      </c>
      <c r="W12" s="93">
        <f>IF(DFIE!$G$2=2008,"",I12*N$22/1000)</f>
        <v>0</v>
      </c>
      <c r="X12" s="93">
        <f>IF(DFIE!$G$2=2008,"",SUM(R12:W12))</f>
        <v>337.64299799999998</v>
      </c>
      <c r="Y12" s="93">
        <f>IF(DFIE!$G$2=2008,"",X12*$N$11)</f>
        <v>253.23224849999997</v>
      </c>
      <c r="Z12" s="94">
        <v>0</v>
      </c>
      <c r="AA12" s="22">
        <f>IF(DFIE!$G$2=2008,0,IF(Z12=0,Y12+Q12,Z12))</f>
        <v>32666.886730500002</v>
      </c>
      <c r="AB12" s="365"/>
    </row>
    <row r="13" spans="1:28" x14ac:dyDescent="0.2">
      <c r="A13" s="365"/>
      <c r="B13" s="46" t="str">
        <f>DFIE!$B32</f>
        <v>Schwyz</v>
      </c>
      <c r="C13" s="61">
        <v>349260811.99000001</v>
      </c>
      <c r="D13" s="61">
        <v>61723203.43</v>
      </c>
      <c r="E13" s="61">
        <v>1447629.95</v>
      </c>
      <c r="F13" s="61">
        <v>676269.62</v>
      </c>
      <c r="G13" s="61">
        <v>0</v>
      </c>
      <c r="H13" s="61">
        <v>0</v>
      </c>
      <c r="I13" s="61">
        <v>0</v>
      </c>
      <c r="J13" s="18">
        <f t="shared" si="0"/>
        <v>413107914.99000001</v>
      </c>
      <c r="K13" s="103"/>
      <c r="L13" s="82" t="str">
        <f>DFIE!$B$99</f>
        <v>Gamma 2014</v>
      </c>
      <c r="M13" s="82"/>
      <c r="N13" s="101">
        <v>0.36299999999999999</v>
      </c>
      <c r="O13" s="103"/>
      <c r="P13" s="16" t="str">
        <f>DFIE!$B32</f>
        <v>Schwyz</v>
      </c>
      <c r="Q13" s="91">
        <f>IF(DFIE!$G$2=2008,"",C13*N$16/1000)</f>
        <v>126781.67475237</v>
      </c>
      <c r="R13" s="91">
        <f>IF(DFIE!$G$2=2008,"",D13*N$17/1000)</f>
        <v>22405.522845089999</v>
      </c>
      <c r="S13" s="91">
        <f>IF(DFIE!$G$2=2008,"",E13*N$18/1000)</f>
        <v>459.80346286874999</v>
      </c>
      <c r="T13" s="91">
        <f>IF(DFIE!$G$2=2008,"",F13*N$19/1000)</f>
        <v>114.40651466165413</v>
      </c>
      <c r="U13" s="91">
        <f>IF(DFIE!$G$2=2008,"",G13*N$20/1000)</f>
        <v>0</v>
      </c>
      <c r="V13" s="91">
        <f>IF(DFIE!$G$2=2008,"",H13*N$21/1000)</f>
        <v>0</v>
      </c>
      <c r="W13" s="91">
        <f>IF(DFIE!$G$2=2008,"",I13*N$22/1000)</f>
        <v>0</v>
      </c>
      <c r="X13" s="91">
        <f>IF(DFIE!$G$2=2008,"",SUM(R13:W13))</f>
        <v>22979.732822620404</v>
      </c>
      <c r="Y13" s="91">
        <f>IF(DFIE!$G$2=2008,"",X13*$N$11)</f>
        <v>17234.799616965305</v>
      </c>
      <c r="Z13" s="95">
        <v>0</v>
      </c>
      <c r="AA13" s="18">
        <f>IF(DFIE!$G$2=2008,0,IF(Z13=0,Y13+Q13,Z13))</f>
        <v>144016.47436933531</v>
      </c>
      <c r="AB13" s="365"/>
    </row>
    <row r="14" spans="1:28" x14ac:dyDescent="0.2">
      <c r="A14" s="365"/>
      <c r="B14" s="47" t="str">
        <f>DFIE!$B33</f>
        <v>Obwalden</v>
      </c>
      <c r="C14" s="43">
        <v>91189030.959999993</v>
      </c>
      <c r="D14" s="43">
        <v>5795927.7999999998</v>
      </c>
      <c r="E14" s="43">
        <v>410015.6</v>
      </c>
      <c r="F14" s="43">
        <v>682356.41</v>
      </c>
      <c r="G14" s="43">
        <v>0</v>
      </c>
      <c r="H14" s="43">
        <v>0</v>
      </c>
      <c r="I14" s="43">
        <v>0</v>
      </c>
      <c r="J14" s="22">
        <f t="shared" si="0"/>
        <v>98077330.769999981</v>
      </c>
      <c r="K14" s="103"/>
      <c r="L14" s="54"/>
      <c r="M14" s="54"/>
      <c r="N14" s="54"/>
      <c r="O14" s="103"/>
      <c r="P14" s="20" t="str">
        <f>DFIE!$B33</f>
        <v>Obwalden</v>
      </c>
      <c r="Q14" s="93">
        <f>IF(DFIE!$G$2=2008,"",C14*N$16/1000)</f>
        <v>33101.618238479998</v>
      </c>
      <c r="R14" s="93">
        <f>IF(DFIE!$G$2=2008,"",D14*N$17/1000)</f>
        <v>2103.9217914000001</v>
      </c>
      <c r="S14" s="93">
        <f>IF(DFIE!$G$2=2008,"",E14*N$18/1000)</f>
        <v>130.23120494999998</v>
      </c>
      <c r="T14" s="93">
        <f>IF(DFIE!$G$2=2008,"",F14*N$19/1000)</f>
        <v>115.43623477443609</v>
      </c>
      <c r="U14" s="93">
        <f>IF(DFIE!$G$2=2008,"",G14*N$20/1000)</f>
        <v>0</v>
      </c>
      <c r="V14" s="93">
        <f>IF(DFIE!$G$2=2008,"",H14*N$21/1000)</f>
        <v>0</v>
      </c>
      <c r="W14" s="93">
        <f>IF(DFIE!$G$2=2008,"",I14*N$22/1000)</f>
        <v>0</v>
      </c>
      <c r="X14" s="93">
        <f>IF(DFIE!$G$2=2008,"",SUM(R14:W14))</f>
        <v>2349.5892311244361</v>
      </c>
      <c r="Y14" s="93">
        <f>IF(DFIE!$G$2=2008,"",X14*$N$11)</f>
        <v>1762.1919233433271</v>
      </c>
      <c r="Z14" s="94">
        <v>0</v>
      </c>
      <c r="AA14" s="22">
        <f>IF(DFIE!$G$2=2008,0,IF(Z14=0,Y14+Q14,Z14))</f>
        <v>34863.810161823327</v>
      </c>
      <c r="AB14" s="365"/>
    </row>
    <row r="15" spans="1:28" x14ac:dyDescent="0.2">
      <c r="A15" s="365"/>
      <c r="B15" s="46" t="str">
        <f>DFIE!$B34</f>
        <v>Nidwalden</v>
      </c>
      <c r="C15" s="61">
        <v>97338320.219999999</v>
      </c>
      <c r="D15" s="61">
        <v>1605918.19</v>
      </c>
      <c r="E15" s="61">
        <v>3287812.15</v>
      </c>
      <c r="F15" s="61">
        <v>536428.85</v>
      </c>
      <c r="G15" s="61">
        <v>0</v>
      </c>
      <c r="H15" s="61">
        <v>0</v>
      </c>
      <c r="I15" s="61">
        <v>0</v>
      </c>
      <c r="J15" s="18">
        <f t="shared" si="0"/>
        <v>102768479.41</v>
      </c>
      <c r="K15" s="103"/>
      <c r="L15" s="82" t="str">
        <f>DFIE!$B$57</f>
        <v>Kategorie</v>
      </c>
      <c r="M15" s="82" t="str">
        <f>DFIE!$B$106</f>
        <v>Formel für Gewicht</v>
      </c>
      <c r="N15" s="88" t="str">
        <f>DFIE!$B$107</f>
        <v>Gewicht (ω)</v>
      </c>
      <c r="O15" s="103"/>
      <c r="P15" s="16" t="str">
        <f>DFIE!$B34</f>
        <v>Nidwalden</v>
      </c>
      <c r="Q15" s="91">
        <f>IF(DFIE!$G$2=2008,"",C15*N$16/1000)</f>
        <v>35333.810239859995</v>
      </c>
      <c r="R15" s="91">
        <f>IF(DFIE!$G$2=2008,"",D15*N$17/1000)</f>
        <v>582.94830296999999</v>
      </c>
      <c r="S15" s="91">
        <f>IF(DFIE!$G$2=2008,"",E15*N$18/1000)</f>
        <v>1044.29133414375</v>
      </c>
      <c r="T15" s="91">
        <f>IF(DFIE!$G$2=2008,"",F15*N$19/1000)</f>
        <v>90.749241541353371</v>
      </c>
      <c r="U15" s="91">
        <f>IF(DFIE!$G$2=2008,"",G15*N$20/1000)</f>
        <v>0</v>
      </c>
      <c r="V15" s="91">
        <f>IF(DFIE!$G$2=2008,"",H15*N$21/1000)</f>
        <v>0</v>
      </c>
      <c r="W15" s="91">
        <f>IF(DFIE!$G$2=2008,"",I15*N$22/1000)</f>
        <v>0</v>
      </c>
      <c r="X15" s="91">
        <f>IF(DFIE!$G$2=2008,"",SUM(R15:W15))</f>
        <v>1717.9888786551032</v>
      </c>
      <c r="Y15" s="91">
        <f>IF(DFIE!$G$2=2008,"",X15*$N$11)</f>
        <v>1288.4916589913273</v>
      </c>
      <c r="Z15" s="95">
        <v>0</v>
      </c>
      <c r="AA15" s="18">
        <f>IF(DFIE!$G$2=2008,0,IF(Z15=0,Y15+Q15,Z15))</f>
        <v>36622.301898851321</v>
      </c>
      <c r="AB15" s="365"/>
    </row>
    <row r="16" spans="1:28" x14ac:dyDescent="0.2">
      <c r="A16" s="365"/>
      <c r="B16" s="47" t="str">
        <f>DFIE!$B35</f>
        <v>Glarus</v>
      </c>
      <c r="C16" s="43">
        <v>127028403.91</v>
      </c>
      <c r="D16" s="43">
        <v>295313.59999999998</v>
      </c>
      <c r="E16" s="43">
        <v>3639014.6</v>
      </c>
      <c r="F16" s="43">
        <v>573394.75</v>
      </c>
      <c r="G16" s="43">
        <v>0</v>
      </c>
      <c r="H16" s="43">
        <v>0</v>
      </c>
      <c r="I16" s="43">
        <v>0</v>
      </c>
      <c r="J16" s="22">
        <f t="shared" si="0"/>
        <v>131536126.85999998</v>
      </c>
      <c r="K16" s="103"/>
      <c r="L16" s="89">
        <v>0</v>
      </c>
      <c r="M16" s="89" t="s">
        <v>67</v>
      </c>
      <c r="N16" s="90">
        <f>IF(DFIE!$G$2=2008,"",N13)</f>
        <v>0.36299999999999999</v>
      </c>
      <c r="O16" s="103"/>
      <c r="P16" s="20" t="str">
        <f>DFIE!$B35</f>
        <v>Glarus</v>
      </c>
      <c r="Q16" s="93">
        <f>IF(DFIE!$G$2=2008,"",C16*N$16/1000)</f>
        <v>46111.310619329997</v>
      </c>
      <c r="R16" s="93">
        <f>IF(DFIE!$G$2=2008,"",D16*N$17/1000)</f>
        <v>107.1988368</v>
      </c>
      <c r="S16" s="93">
        <f>IF(DFIE!$G$2=2008,"",E16*N$18/1000)</f>
        <v>1155.842012325</v>
      </c>
      <c r="T16" s="93">
        <f>IF(DFIE!$G$2=2008,"",F16*N$19/1000)</f>
        <v>97.002871240601493</v>
      </c>
      <c r="U16" s="93">
        <f>IF(DFIE!$G$2=2008,"",G16*N$20/1000)</f>
        <v>0</v>
      </c>
      <c r="V16" s="93">
        <f>IF(DFIE!$G$2=2008,"",H16*N$21/1000)</f>
        <v>0</v>
      </c>
      <c r="W16" s="93">
        <f>IF(DFIE!$G$2=2008,"",I16*N$22/1000)</f>
        <v>0</v>
      </c>
      <c r="X16" s="93">
        <f>IF(DFIE!$G$2=2008,"",SUM(R16:W16))</f>
        <v>1360.0437203656015</v>
      </c>
      <c r="Y16" s="93">
        <f>IF(DFIE!$G$2=2008,"",X16*$N$11)</f>
        <v>1020.0327902742011</v>
      </c>
      <c r="Z16" s="94">
        <v>0</v>
      </c>
      <c r="AA16" s="22">
        <f>IF(DFIE!$G$2=2008,0,IF(Z16=0,Y16+Q16,Z16))</f>
        <v>47131.343409604196</v>
      </c>
      <c r="AB16" s="365"/>
    </row>
    <row r="17" spans="1:28" x14ac:dyDescent="0.2">
      <c r="A17" s="365"/>
      <c r="B17" s="46" t="str">
        <f>DFIE!$B36</f>
        <v>Zug</v>
      </c>
      <c r="C17" s="61">
        <v>564544997</v>
      </c>
      <c r="D17" s="61">
        <v>91308613</v>
      </c>
      <c r="E17" s="61">
        <v>5307299</v>
      </c>
      <c r="F17" s="61">
        <v>7942819</v>
      </c>
      <c r="G17" s="61">
        <v>0</v>
      </c>
      <c r="H17" s="61">
        <v>0</v>
      </c>
      <c r="I17" s="61">
        <v>0</v>
      </c>
      <c r="J17" s="18">
        <f t="shared" si="0"/>
        <v>669103728</v>
      </c>
      <c r="K17" s="103"/>
      <c r="L17" s="89">
        <v>1</v>
      </c>
      <c r="M17" s="89" t="s">
        <v>67</v>
      </c>
      <c r="N17" s="90">
        <f>IF(DFIE!$G$2=2008,"",N13)</f>
        <v>0.36299999999999999</v>
      </c>
      <c r="O17" s="103"/>
      <c r="P17" s="16" t="str">
        <f>DFIE!$B36</f>
        <v>Zug</v>
      </c>
      <c r="Q17" s="91">
        <f>IF(DFIE!$G$2=2008,"",C17*N$16/1000)</f>
        <v>204929.83391099999</v>
      </c>
      <c r="R17" s="91">
        <f>IF(DFIE!$G$2=2008,"",D17*N$17/1000)</f>
        <v>33145.026518999999</v>
      </c>
      <c r="S17" s="91">
        <f>IF(DFIE!$G$2=2008,"",E17*N$18/1000)</f>
        <v>1685.730844875</v>
      </c>
      <c r="T17" s="91">
        <f>IF(DFIE!$G$2=2008,"",F17*N$19/1000)</f>
        <v>1343.7099812030076</v>
      </c>
      <c r="U17" s="91">
        <f>IF(DFIE!$G$2=2008,"",G17*N$20/1000)</f>
        <v>0</v>
      </c>
      <c r="V17" s="91">
        <f>IF(DFIE!$G$2=2008,"",H17*N$21/1000)</f>
        <v>0</v>
      </c>
      <c r="W17" s="91">
        <f>IF(DFIE!$G$2=2008,"",I17*N$22/1000)</f>
        <v>0</v>
      </c>
      <c r="X17" s="91">
        <f>IF(DFIE!$G$2=2008,"",SUM(R17:W17))</f>
        <v>36174.467345078003</v>
      </c>
      <c r="Y17" s="91">
        <f>IF(DFIE!$G$2=2008,"",X17*$N$11)</f>
        <v>27130.8505088085</v>
      </c>
      <c r="Z17" s="95">
        <v>0</v>
      </c>
      <c r="AA17" s="18">
        <f>IF(DFIE!$G$2=2008,0,IF(Z17=0,Y17+Q17,Z17))</f>
        <v>232060.6844198085</v>
      </c>
      <c r="AB17" s="365"/>
    </row>
    <row r="18" spans="1:28" x14ac:dyDescent="0.2">
      <c r="A18" s="365"/>
      <c r="B18" s="47" t="str">
        <f>DFIE!$B37</f>
        <v>Freiburg</v>
      </c>
      <c r="C18" s="43">
        <v>609268639.19999599</v>
      </c>
      <c r="D18" s="43">
        <v>84387074.450000107</v>
      </c>
      <c r="E18" s="43">
        <v>2194540.7999999998</v>
      </c>
      <c r="F18" s="43">
        <v>658991</v>
      </c>
      <c r="G18" s="43">
        <v>0</v>
      </c>
      <c r="H18" s="43">
        <v>0</v>
      </c>
      <c r="I18" s="43">
        <v>0</v>
      </c>
      <c r="J18" s="22">
        <f t="shared" si="0"/>
        <v>696509245.44999599</v>
      </c>
      <c r="K18" s="54"/>
      <c r="L18" s="89" t="s">
        <v>56</v>
      </c>
      <c r="M18" s="89" t="s">
        <v>91</v>
      </c>
      <c r="N18" s="90">
        <f>IF(DFIE!$G$2=2008,"",IF(DFIE!$G$2-6&lt;2006,0.03/$N$7,0.875*N13))</f>
        <v>0.31762499999999999</v>
      </c>
      <c r="O18" s="54"/>
      <c r="P18" s="20" t="str">
        <f>DFIE!$B37</f>
        <v>Freiburg</v>
      </c>
      <c r="Q18" s="93">
        <f>IF(DFIE!$G$2=2008,"",C18*N$16/1000)</f>
        <v>221164.51602959854</v>
      </c>
      <c r="R18" s="93">
        <f>IF(DFIE!$G$2=2008,"",D18*N$17/1000)</f>
        <v>30632.508025350038</v>
      </c>
      <c r="S18" s="93">
        <f>IF(DFIE!$G$2=2008,"",E18*N$18/1000)</f>
        <v>697.04102160000002</v>
      </c>
      <c r="T18" s="93">
        <f>IF(DFIE!$G$2=2008,"",F18*N$19/1000)</f>
        <v>111.48343984962406</v>
      </c>
      <c r="U18" s="93">
        <f>IF(DFIE!$G$2=2008,"",G18*N$20/1000)</f>
        <v>0</v>
      </c>
      <c r="V18" s="93">
        <f>IF(DFIE!$G$2=2008,"",H18*N$21/1000)</f>
        <v>0</v>
      </c>
      <c r="W18" s="93">
        <f>IF(DFIE!$G$2=2008,"",I18*N$22/1000)</f>
        <v>0</v>
      </c>
      <c r="X18" s="93">
        <f>IF(DFIE!$G$2=2008,"",SUM(R18:W18))</f>
        <v>31441.032486799661</v>
      </c>
      <c r="Y18" s="93">
        <f>IF(DFIE!$G$2=2008,"",X18*$N$11)</f>
        <v>23580.774365099744</v>
      </c>
      <c r="Z18" s="94">
        <v>0</v>
      </c>
      <c r="AA18" s="22">
        <f>IF(DFIE!$G$2=2008,0,IF(Z18=0,Y18+Q18,Z18))</f>
        <v>244745.29039469827</v>
      </c>
      <c r="AB18" s="365"/>
    </row>
    <row r="19" spans="1:28" x14ac:dyDescent="0.2">
      <c r="A19" s="365"/>
      <c r="B19" s="46" t="str">
        <f>DFIE!$B38</f>
        <v>Solothurn</v>
      </c>
      <c r="C19" s="61">
        <v>370593174</v>
      </c>
      <c r="D19" s="61">
        <v>28695784</v>
      </c>
      <c r="E19" s="61">
        <v>557732</v>
      </c>
      <c r="F19" s="61">
        <v>43521526</v>
      </c>
      <c r="G19" s="61">
        <v>0</v>
      </c>
      <c r="H19" s="61">
        <v>88966406</v>
      </c>
      <c r="I19" s="61">
        <v>0</v>
      </c>
      <c r="J19" s="18">
        <f t="shared" si="0"/>
        <v>532334622</v>
      </c>
      <c r="K19" s="54"/>
      <c r="L19" s="89" t="s">
        <v>57</v>
      </c>
      <c r="M19" s="89" t="str">
        <f>DFIE!$B$108</f>
        <v>0.045 / SST(2017)</v>
      </c>
      <c r="N19" s="90">
        <f>IF(DFIE!$G$2=2008,"",0.045/ROUND($N$10,3))</f>
        <v>0.16917293233082706</v>
      </c>
      <c r="O19" s="54"/>
      <c r="P19" s="16" t="str">
        <f>DFIE!$B38</f>
        <v>Solothurn</v>
      </c>
      <c r="Q19" s="91">
        <f>IF(DFIE!$G$2=2008,"",C19*N$16/1000)</f>
        <v>134525.322162</v>
      </c>
      <c r="R19" s="91">
        <f>IF(DFIE!$G$2=2008,"",D19*N$17/1000)</f>
        <v>10416.569592</v>
      </c>
      <c r="S19" s="91">
        <f>IF(DFIE!$G$2=2008,"",E19*N$18/1000)</f>
        <v>177.14962649999998</v>
      </c>
      <c r="T19" s="91">
        <f>IF(DFIE!$G$2=2008,"",F19*N$19/1000)</f>
        <v>7362.6641729323301</v>
      </c>
      <c r="U19" s="91">
        <f>IF(DFIE!$G$2=2008,"",G19*N$20/1000)</f>
        <v>0</v>
      </c>
      <c r="V19" s="91">
        <f>IF(DFIE!$G$2=2008,"",H19*N$21/1000)</f>
        <v>15050.707781954887</v>
      </c>
      <c r="W19" s="91">
        <f>IF(DFIE!$G$2=2008,"",I19*N$22/1000)</f>
        <v>0</v>
      </c>
      <c r="X19" s="91">
        <f>IF(DFIE!$G$2=2008,"",SUM(R19:W19))</f>
        <v>33007.09117338722</v>
      </c>
      <c r="Y19" s="91">
        <f>IF(DFIE!$G$2=2008,"",X19*$N$11)</f>
        <v>24755.318380040415</v>
      </c>
      <c r="Z19" s="95">
        <v>0</v>
      </c>
      <c r="AA19" s="18">
        <f>IF(DFIE!$G$2=2008,0,IF(Z19=0,Y19+Q19,Z19))</f>
        <v>159280.6405420404</v>
      </c>
      <c r="AB19" s="365"/>
    </row>
    <row r="20" spans="1:28" x14ac:dyDescent="0.2">
      <c r="A20" s="365"/>
      <c r="B20" s="47" t="str">
        <f>DFIE!$B39</f>
        <v>Basel-Stadt</v>
      </c>
      <c r="C20" s="43">
        <v>794373896.62</v>
      </c>
      <c r="D20" s="43">
        <v>289767376.06</v>
      </c>
      <c r="E20" s="43">
        <v>1226617.43</v>
      </c>
      <c r="F20" s="43">
        <v>1499196519.71</v>
      </c>
      <c r="G20" s="43">
        <v>0</v>
      </c>
      <c r="H20" s="43">
        <v>1708437095.47</v>
      </c>
      <c r="I20" s="43">
        <v>0</v>
      </c>
      <c r="J20" s="22">
        <f t="shared" si="0"/>
        <v>4293001505.29</v>
      </c>
      <c r="K20" s="54"/>
      <c r="L20" s="89" t="s">
        <v>58</v>
      </c>
      <c r="M20" s="89" t="str">
        <f>DFIE!$B$109</f>
        <v>γ - 0.035 / SST(2017)</v>
      </c>
      <c r="N20" s="90">
        <f>IF(DFIE!$G$2=2008,"",N13-0.035/ROUND($N$10,3))</f>
        <v>0.23142105263157894</v>
      </c>
      <c r="O20" s="54"/>
      <c r="P20" s="20" t="str">
        <f>DFIE!$B39</f>
        <v>Basel-Stadt</v>
      </c>
      <c r="Q20" s="93">
        <f>IF(DFIE!$G$2=2008,"",C20*N$16/1000)</f>
        <v>288357.72447305999</v>
      </c>
      <c r="R20" s="93">
        <f>IF(DFIE!$G$2=2008,"",D20*N$17/1000)</f>
        <v>105185.55750978</v>
      </c>
      <c r="S20" s="93">
        <f>IF(DFIE!$G$2=2008,"",E20*N$18/1000)</f>
        <v>389.60436120374993</v>
      </c>
      <c r="T20" s="93">
        <f>IF(DFIE!$G$2=2008,"",F20*N$19/1000)</f>
        <v>253623.47137951126</v>
      </c>
      <c r="U20" s="93">
        <f>IF(DFIE!$G$2=2008,"",G20*N$20/1000)</f>
        <v>0</v>
      </c>
      <c r="V20" s="93">
        <f>IF(DFIE!$G$2=2008,"",H20*N$21/1000)</f>
        <v>289021.31314342108</v>
      </c>
      <c r="W20" s="93">
        <f>IF(DFIE!$G$2=2008,"",I20*N$22/1000)</f>
        <v>0</v>
      </c>
      <c r="X20" s="93">
        <f>IF(DFIE!$G$2=2008,"",SUM(R20:W20))</f>
        <v>648219.94639391615</v>
      </c>
      <c r="Y20" s="93">
        <f>IF(DFIE!$G$2=2008,"",X20*$N$11)</f>
        <v>486164.95979543711</v>
      </c>
      <c r="Z20" s="94">
        <v>0</v>
      </c>
      <c r="AA20" s="22">
        <f>IF(DFIE!$G$2=2008,0,IF(Z20=0,Y20+Q20,Z20))</f>
        <v>774522.68426849716</v>
      </c>
      <c r="AB20" s="365"/>
    </row>
    <row r="21" spans="1:28" x14ac:dyDescent="0.2">
      <c r="A21" s="365"/>
      <c r="B21" s="46" t="str">
        <f>DFIE!$B40</f>
        <v>Basel-Landschaft</v>
      </c>
      <c r="C21" s="61">
        <v>410162336</v>
      </c>
      <c r="D21" s="61">
        <v>85583752</v>
      </c>
      <c r="E21" s="61">
        <v>1642627</v>
      </c>
      <c r="F21" s="61">
        <v>749435114</v>
      </c>
      <c r="G21" s="61">
        <v>0</v>
      </c>
      <c r="H21" s="61">
        <v>1019976859</v>
      </c>
      <c r="I21" s="61">
        <v>0</v>
      </c>
      <c r="J21" s="18">
        <f t="shared" si="0"/>
        <v>2266800688</v>
      </c>
      <c r="K21" s="54"/>
      <c r="L21" s="89" t="s">
        <v>59</v>
      </c>
      <c r="M21" s="89" t="str">
        <f>DFIE!$B$108</f>
        <v>0.045 / SST(2017)</v>
      </c>
      <c r="N21" s="90">
        <f>IF(DFIE!$G$2=2008,"",0.045/ROUND($N$10,3))</f>
        <v>0.16917293233082706</v>
      </c>
      <c r="O21" s="54"/>
      <c r="P21" s="16" t="str">
        <f>DFIE!$B40</f>
        <v>Basel-Landschaft</v>
      </c>
      <c r="Q21" s="91">
        <f>IF(DFIE!$G$2=2008,"",C21*N$16/1000)</f>
        <v>148888.927968</v>
      </c>
      <c r="R21" s="91">
        <f>IF(DFIE!$G$2=2008,"",D21*N$17/1000)</f>
        <v>31066.901976000001</v>
      </c>
      <c r="S21" s="91">
        <f>IF(DFIE!$G$2=2008,"",E21*N$18/1000)</f>
        <v>521.739400875</v>
      </c>
      <c r="T21" s="91">
        <f>IF(DFIE!$G$2=2008,"",F21*N$19/1000)</f>
        <v>126784.13582706766</v>
      </c>
      <c r="U21" s="91">
        <f>IF(DFIE!$G$2=2008,"",G21*N$20/1000)</f>
        <v>0</v>
      </c>
      <c r="V21" s="91">
        <f>IF(DFIE!$G$2=2008,"",H21*N$21/1000)</f>
        <v>172552.47614661651</v>
      </c>
      <c r="W21" s="91">
        <f>IF(DFIE!$G$2=2008,"",I21*N$22/1000)</f>
        <v>0</v>
      </c>
      <c r="X21" s="91">
        <f>IF(DFIE!$G$2=2008,"",SUM(R21:W21))</f>
        <v>330925.25335055916</v>
      </c>
      <c r="Y21" s="91">
        <f>IF(DFIE!$G$2=2008,"",X21*$N$11)</f>
        <v>248193.94001291937</v>
      </c>
      <c r="Z21" s="95">
        <v>0</v>
      </c>
      <c r="AA21" s="18">
        <f>IF(DFIE!$G$2=2008,0,IF(Z21=0,Y21+Q21,Z21))</f>
        <v>397082.86798091937</v>
      </c>
      <c r="AB21" s="365"/>
    </row>
    <row r="22" spans="1:28" x14ac:dyDescent="0.2">
      <c r="A22" s="365"/>
      <c r="B22" s="47" t="str">
        <f>DFIE!$B41</f>
        <v>Schaffhausen</v>
      </c>
      <c r="C22" s="43">
        <v>291948015</v>
      </c>
      <c r="D22" s="43">
        <v>32419727.600000001</v>
      </c>
      <c r="E22" s="43">
        <v>655721</v>
      </c>
      <c r="F22" s="43">
        <v>388730397</v>
      </c>
      <c r="G22" s="43">
        <v>0</v>
      </c>
      <c r="H22" s="43">
        <v>0</v>
      </c>
      <c r="I22" s="43">
        <v>0</v>
      </c>
      <c r="J22" s="22">
        <f t="shared" si="0"/>
        <v>713753860.60000002</v>
      </c>
      <c r="K22" s="54"/>
      <c r="L22" s="89" t="s">
        <v>60</v>
      </c>
      <c r="M22" s="89" t="s">
        <v>92</v>
      </c>
      <c r="N22" s="90">
        <f>IF(DFIE!$G$2=2008,"",0.6*N13)</f>
        <v>0.21779999999999999</v>
      </c>
      <c r="O22" s="54"/>
      <c r="P22" s="20" t="str">
        <f>DFIE!$B41</f>
        <v>Schaffhausen</v>
      </c>
      <c r="Q22" s="93">
        <f>IF(DFIE!$G$2=2008,"",C22*N$16/1000)</f>
        <v>105977.129445</v>
      </c>
      <c r="R22" s="93">
        <f>IF(DFIE!$G$2=2008,"",D22*N$17/1000)</f>
        <v>11768.3611188</v>
      </c>
      <c r="S22" s="93">
        <f>IF(DFIE!$G$2=2008,"",E22*N$18/1000)</f>
        <v>208.27338262500001</v>
      </c>
      <c r="T22" s="93">
        <f>IF(DFIE!$G$2=2008,"",F22*N$19/1000)</f>
        <v>65762.661146616534</v>
      </c>
      <c r="U22" s="93">
        <f>IF(DFIE!$G$2=2008,"",G22*N$20/1000)</f>
        <v>0</v>
      </c>
      <c r="V22" s="93">
        <f>IF(DFIE!$G$2=2008,"",H22*N$21/1000)</f>
        <v>0</v>
      </c>
      <c r="W22" s="93">
        <f>IF(DFIE!$G$2=2008,"",I22*N$22/1000)</f>
        <v>0</v>
      </c>
      <c r="X22" s="93">
        <f>IF(DFIE!$G$2=2008,"",SUM(R22:W22))</f>
        <v>77739.295648041531</v>
      </c>
      <c r="Y22" s="93">
        <f>IF(DFIE!$G$2=2008,"",X22*$N$11)</f>
        <v>58304.471736031148</v>
      </c>
      <c r="Z22" s="94">
        <v>0</v>
      </c>
      <c r="AA22" s="22">
        <f>IF(DFIE!$G$2=2008,0,IF(Z22=0,Y22+Q22,Z22))</f>
        <v>164281.60118103115</v>
      </c>
      <c r="AB22" s="365"/>
    </row>
    <row r="23" spans="1:28" x14ac:dyDescent="0.2">
      <c r="A23" s="365"/>
      <c r="B23" s="46" t="str">
        <f>DFIE!$B42</f>
        <v>Appenzell A.Rh.</v>
      </c>
      <c r="C23" s="61">
        <v>91383042.329999998</v>
      </c>
      <c r="D23" s="61">
        <v>8275263.4000000004</v>
      </c>
      <c r="E23" s="61">
        <v>14182330</v>
      </c>
      <c r="F23" s="61">
        <v>4231757</v>
      </c>
      <c r="G23" s="61">
        <v>0</v>
      </c>
      <c r="H23" s="61">
        <v>0</v>
      </c>
      <c r="I23" s="61">
        <v>0</v>
      </c>
      <c r="J23" s="18">
        <f t="shared" si="0"/>
        <v>118072392.73</v>
      </c>
      <c r="K23" s="54"/>
      <c r="L23" s="54"/>
      <c r="M23" s="54"/>
      <c r="N23" s="54"/>
      <c r="O23" s="54"/>
      <c r="P23" s="16" t="str">
        <f>DFIE!$B42</f>
        <v>Appenzell A.Rh.</v>
      </c>
      <c r="Q23" s="91">
        <f>IF(DFIE!$G$2=2008,"",C23*N$16/1000)</f>
        <v>33172.044365789996</v>
      </c>
      <c r="R23" s="91">
        <f>IF(DFIE!$G$2=2008,"",D23*N$17/1000)</f>
        <v>3003.9206142000003</v>
      </c>
      <c r="S23" s="91">
        <f>IF(DFIE!$G$2=2008,"",E23*N$18/1000)</f>
        <v>4504.6625662500001</v>
      </c>
      <c r="T23" s="91">
        <f>IF(DFIE!$G$2=2008,"",F23*N$19/1000)</f>
        <v>715.89874060150373</v>
      </c>
      <c r="U23" s="91">
        <f>IF(DFIE!$G$2=2008,"",G23*N$20/1000)</f>
        <v>0</v>
      </c>
      <c r="V23" s="91">
        <f>IF(DFIE!$G$2=2008,"",H23*N$21/1000)</f>
        <v>0</v>
      </c>
      <c r="W23" s="91">
        <f>IF(DFIE!$G$2=2008,"",I23*N$22/1000)</f>
        <v>0</v>
      </c>
      <c r="X23" s="91">
        <f>IF(DFIE!$G$2=2008,"",SUM(R23:W23))</f>
        <v>8224.4819210515034</v>
      </c>
      <c r="Y23" s="91">
        <f>IF(DFIE!$G$2=2008,"",X23*$N$11)</f>
        <v>6168.3614407886271</v>
      </c>
      <c r="Z23" s="95">
        <v>0</v>
      </c>
      <c r="AA23" s="18">
        <f>IF(DFIE!$G$2=2008,0,IF(Z23=0,Y23+Q23,Z23))</f>
        <v>39340.405806578623</v>
      </c>
      <c r="AB23" s="365"/>
    </row>
    <row r="24" spans="1:28" x14ac:dyDescent="0.2">
      <c r="A24" s="365"/>
      <c r="B24" s="47" t="str">
        <f>DFIE!$B43</f>
        <v>Appenzell I.Rh.</v>
      </c>
      <c r="C24" s="43">
        <v>20553535.210000001</v>
      </c>
      <c r="D24" s="43">
        <v>1945239.87</v>
      </c>
      <c r="E24" s="43">
        <v>5623348.9500000002</v>
      </c>
      <c r="F24" s="43">
        <v>766167.46</v>
      </c>
      <c r="G24" s="43">
        <v>0</v>
      </c>
      <c r="H24" s="43">
        <v>0</v>
      </c>
      <c r="I24" s="43">
        <v>0</v>
      </c>
      <c r="J24" s="22">
        <f t="shared" si="0"/>
        <v>28888291.490000002</v>
      </c>
      <c r="K24" s="54"/>
      <c r="L24" s="54"/>
      <c r="M24" s="54"/>
      <c r="N24" s="54"/>
      <c r="O24" s="54"/>
      <c r="P24" s="20" t="str">
        <f>DFIE!$B43</f>
        <v>Appenzell I.Rh.</v>
      </c>
      <c r="Q24" s="93">
        <f>IF(DFIE!$G$2=2008,"",C24*N$16/1000)</f>
        <v>7460.9332812299999</v>
      </c>
      <c r="R24" s="93">
        <f>IF(DFIE!$G$2=2008,"",D24*N$17/1000)</f>
        <v>706.12207281000008</v>
      </c>
      <c r="S24" s="93">
        <f>IF(DFIE!$G$2=2008,"",E24*N$18/1000)</f>
        <v>1786.1162102437499</v>
      </c>
      <c r="T24" s="93">
        <f>IF(DFIE!$G$2=2008,"",F24*N$19/1000)</f>
        <v>129.61479586466166</v>
      </c>
      <c r="U24" s="93">
        <f>IF(DFIE!$G$2=2008,"",G24*N$20/1000)</f>
        <v>0</v>
      </c>
      <c r="V24" s="93">
        <f>IF(DFIE!$G$2=2008,"",H24*N$21/1000)</f>
        <v>0</v>
      </c>
      <c r="W24" s="93">
        <f>IF(DFIE!$G$2=2008,"",I24*N$22/1000)</f>
        <v>0</v>
      </c>
      <c r="X24" s="93">
        <f>IF(DFIE!$G$2=2008,"",SUM(R24:W24))</f>
        <v>2621.8530789184115</v>
      </c>
      <c r="Y24" s="93">
        <f>IF(DFIE!$G$2=2008,"",X24*$N$11)</f>
        <v>1966.3898091888086</v>
      </c>
      <c r="Z24" s="94">
        <v>0</v>
      </c>
      <c r="AA24" s="22">
        <f>IF(DFIE!$G$2=2008,0,IF(Z24=0,Y24+Q24,Z24))</f>
        <v>9427.3230904188094</v>
      </c>
      <c r="AB24" s="365"/>
    </row>
    <row r="25" spans="1:28" x14ac:dyDescent="0.2">
      <c r="A25" s="365"/>
      <c r="B25" s="46" t="str">
        <f>DFIE!$B44</f>
        <v>St. Gallen</v>
      </c>
      <c r="C25" s="61">
        <v>1060418881.5700001</v>
      </c>
      <c r="D25" s="61">
        <v>85708788.109999999</v>
      </c>
      <c r="E25" s="61">
        <v>504135052.23000002</v>
      </c>
      <c r="F25" s="61">
        <v>86858830.25</v>
      </c>
      <c r="G25" s="61">
        <v>0</v>
      </c>
      <c r="H25" s="61">
        <v>0</v>
      </c>
      <c r="I25" s="61">
        <v>0</v>
      </c>
      <c r="J25" s="18">
        <f t="shared" si="0"/>
        <v>1737121552.1600001</v>
      </c>
      <c r="K25" s="54"/>
      <c r="L25" s="54"/>
      <c r="M25" s="54"/>
      <c r="N25" s="54"/>
      <c r="O25" s="54"/>
      <c r="P25" s="16" t="str">
        <f>DFIE!$B44</f>
        <v>St. Gallen</v>
      </c>
      <c r="Q25" s="91">
        <f>IF(DFIE!$G$2=2008,"",C25*N$16/1000)</f>
        <v>384932.05400990997</v>
      </c>
      <c r="R25" s="91">
        <f>IF(DFIE!$G$2=2008,"",D25*N$17/1000)</f>
        <v>31112.290083930002</v>
      </c>
      <c r="S25" s="91">
        <f>IF(DFIE!$G$2=2008,"",E25*N$18/1000)</f>
        <v>160125.89596455375</v>
      </c>
      <c r="T25" s="91">
        <f>IF(DFIE!$G$2=2008,"",F25*N$19/1000)</f>
        <v>14694.163012218045</v>
      </c>
      <c r="U25" s="91">
        <f>IF(DFIE!$G$2=2008,"",G25*N$20/1000)</f>
        <v>0</v>
      </c>
      <c r="V25" s="91">
        <f>IF(DFIE!$G$2=2008,"",H25*N$21/1000)</f>
        <v>0</v>
      </c>
      <c r="W25" s="91">
        <f>IF(DFIE!$G$2=2008,"",I25*N$22/1000)</f>
        <v>0</v>
      </c>
      <c r="X25" s="91">
        <f>IF(DFIE!$G$2=2008,"",SUM(R25:W25))</f>
        <v>205932.34906070182</v>
      </c>
      <c r="Y25" s="91">
        <f>IF(DFIE!$G$2=2008,"",X25*$N$11)</f>
        <v>154449.26179552637</v>
      </c>
      <c r="Z25" s="95">
        <v>0</v>
      </c>
      <c r="AA25" s="18">
        <f>IF(DFIE!$G$2=2008,0,IF(Z25=0,Y25+Q25,Z25))</f>
        <v>539381.31580543634</v>
      </c>
      <c r="AB25" s="365"/>
    </row>
    <row r="26" spans="1:28" x14ac:dyDescent="0.2">
      <c r="A26" s="365"/>
      <c r="B26" s="47" t="str">
        <f>DFIE!$B45</f>
        <v>Graubünden</v>
      </c>
      <c r="C26" s="43">
        <v>912245558.73000002</v>
      </c>
      <c r="D26" s="43">
        <v>177745748.96000001</v>
      </c>
      <c r="E26" s="43">
        <v>25602606.370000001</v>
      </c>
      <c r="F26" s="43">
        <v>1082599.67</v>
      </c>
      <c r="G26" s="43">
        <v>0</v>
      </c>
      <c r="H26" s="43">
        <v>0</v>
      </c>
      <c r="I26" s="43">
        <v>91492530.5</v>
      </c>
      <c r="J26" s="22">
        <f t="shared" si="0"/>
        <v>1208169044.23</v>
      </c>
      <c r="K26" s="54"/>
      <c r="L26" s="54"/>
      <c r="M26" s="54"/>
      <c r="N26" s="54"/>
      <c r="O26" s="54"/>
      <c r="P26" s="20" t="str">
        <f>DFIE!$B45</f>
        <v>Graubünden</v>
      </c>
      <c r="Q26" s="93">
        <f>IF(DFIE!$G$2=2008,"",C26*N$16/1000)</f>
        <v>331145.13781898998</v>
      </c>
      <c r="R26" s="93">
        <f>IF(DFIE!$G$2=2008,"",D26*N$17/1000)</f>
        <v>64521.706872479997</v>
      </c>
      <c r="S26" s="93">
        <f>IF(DFIE!$G$2=2008,"",E26*N$18/1000)</f>
        <v>8132.0278482712501</v>
      </c>
      <c r="T26" s="93">
        <f>IF(DFIE!$G$2=2008,"",F26*N$19/1000)</f>
        <v>183.1465607142857</v>
      </c>
      <c r="U26" s="93">
        <f>IF(DFIE!$G$2=2008,"",G26*N$20/1000)</f>
        <v>0</v>
      </c>
      <c r="V26" s="93">
        <f>IF(DFIE!$G$2=2008,"",H26*N$21/1000)</f>
        <v>0</v>
      </c>
      <c r="W26" s="93">
        <f>IF(DFIE!$G$2=2008,"",I26*N$22/1000)</f>
        <v>19927.073142900001</v>
      </c>
      <c r="X26" s="93">
        <f>IF(DFIE!$G$2=2008,"",SUM(R26:W26))</f>
        <v>92763.95442436554</v>
      </c>
      <c r="Y26" s="93">
        <f>IF(DFIE!$G$2=2008,"",X26*$N$11)</f>
        <v>69572.965818274155</v>
      </c>
      <c r="Z26" s="94">
        <v>0</v>
      </c>
      <c r="AA26" s="22">
        <f>IF(DFIE!$G$2=2008,0,IF(Z26=0,Y26+Q26,Z26))</f>
        <v>400718.10363726411</v>
      </c>
      <c r="AB26" s="365"/>
    </row>
    <row r="27" spans="1:28" x14ac:dyDescent="0.2">
      <c r="A27" s="365"/>
      <c r="B27" s="46" t="str">
        <f>DFIE!$B46</f>
        <v>Aargau</v>
      </c>
      <c r="C27" s="61">
        <v>1251428566</v>
      </c>
      <c r="D27" s="61">
        <v>301605337</v>
      </c>
      <c r="E27" s="61">
        <v>4200509.5</v>
      </c>
      <c r="F27" s="61">
        <v>934274184</v>
      </c>
      <c r="G27" s="61">
        <v>0</v>
      </c>
      <c r="H27" s="61">
        <v>0</v>
      </c>
      <c r="I27" s="61">
        <v>0</v>
      </c>
      <c r="J27" s="18">
        <f t="shared" si="0"/>
        <v>2491508596.5</v>
      </c>
      <c r="K27" s="54"/>
      <c r="L27" s="54"/>
      <c r="M27" s="54"/>
      <c r="N27" s="54"/>
      <c r="O27" s="54"/>
      <c r="P27" s="16" t="str">
        <f>DFIE!$B46</f>
        <v>Aargau</v>
      </c>
      <c r="Q27" s="91">
        <f>IF(DFIE!$G$2=2008,"",C27*N$16/1000)</f>
        <v>454268.56945800001</v>
      </c>
      <c r="R27" s="91">
        <f>IF(DFIE!$G$2=2008,"",D27*N$17/1000)</f>
        <v>109482.737331</v>
      </c>
      <c r="S27" s="91">
        <f>IF(DFIE!$G$2=2008,"",E27*N$18/1000)</f>
        <v>1334.1868299374999</v>
      </c>
      <c r="T27" s="91">
        <f>IF(DFIE!$G$2=2008,"",F27*N$19/1000)</f>
        <v>158053.90330827067</v>
      </c>
      <c r="U27" s="91">
        <f>IF(DFIE!$G$2=2008,"",G27*N$20/1000)</f>
        <v>0</v>
      </c>
      <c r="V27" s="91">
        <f>IF(DFIE!$G$2=2008,"",H27*N$21/1000)</f>
        <v>0</v>
      </c>
      <c r="W27" s="91">
        <f>IF(DFIE!$G$2=2008,"",I27*N$22/1000)</f>
        <v>0</v>
      </c>
      <c r="X27" s="91">
        <f>IF(DFIE!$G$2=2008,"",SUM(R27:W27))</f>
        <v>268870.82746920816</v>
      </c>
      <c r="Y27" s="91">
        <f>IF(DFIE!$G$2=2008,"",X27*$N$11)</f>
        <v>201653.12060190612</v>
      </c>
      <c r="Z27" s="95">
        <v>0</v>
      </c>
      <c r="AA27" s="18">
        <f>IF(DFIE!$G$2=2008,0,IF(Z27=0,Y27+Q27,Z27))</f>
        <v>655921.6900599061</v>
      </c>
      <c r="AB27" s="365"/>
    </row>
    <row r="28" spans="1:28" x14ac:dyDescent="0.2">
      <c r="A28" s="365"/>
      <c r="B28" s="47" t="str">
        <f>DFIE!$B47</f>
        <v>Thurgau</v>
      </c>
      <c r="C28" s="43">
        <v>628898280.55999994</v>
      </c>
      <c r="D28" s="43">
        <v>66352596.310000002</v>
      </c>
      <c r="E28" s="43">
        <v>17569607.780000001</v>
      </c>
      <c r="F28" s="43">
        <v>300330938.26999998</v>
      </c>
      <c r="G28" s="43">
        <v>0</v>
      </c>
      <c r="H28" s="43">
        <v>0</v>
      </c>
      <c r="I28" s="43">
        <v>0</v>
      </c>
      <c r="J28" s="22">
        <f t="shared" si="0"/>
        <v>1013151422.9199998</v>
      </c>
      <c r="K28" s="54"/>
      <c r="L28" s="54"/>
      <c r="M28" s="54"/>
      <c r="N28" s="54"/>
      <c r="O28" s="54"/>
      <c r="P28" s="20" t="str">
        <f>DFIE!$B47</f>
        <v>Thurgau</v>
      </c>
      <c r="Q28" s="93">
        <f>IF(DFIE!$G$2=2008,"",C28*N$16/1000)</f>
        <v>228290.07584327995</v>
      </c>
      <c r="R28" s="93">
        <f>IF(DFIE!$G$2=2008,"",D28*N$17/1000)</f>
        <v>24085.99246053</v>
      </c>
      <c r="S28" s="93">
        <f>IF(DFIE!$G$2=2008,"",E28*N$18/1000)</f>
        <v>5580.5466711225008</v>
      </c>
      <c r="T28" s="93">
        <f>IF(DFIE!$G$2=2008,"",F28*N$19/1000)</f>
        <v>50807.865496804508</v>
      </c>
      <c r="U28" s="93">
        <f>IF(DFIE!$G$2=2008,"",G28*N$20/1000)</f>
        <v>0</v>
      </c>
      <c r="V28" s="93">
        <f>IF(DFIE!$G$2=2008,"",H28*N$21/1000)</f>
        <v>0</v>
      </c>
      <c r="W28" s="93">
        <f>IF(DFIE!$G$2=2008,"",I28*N$22/1000)</f>
        <v>0</v>
      </c>
      <c r="X28" s="93">
        <f>IF(DFIE!$G$2=2008,"",SUM(R28:W28))</f>
        <v>80474.404628457007</v>
      </c>
      <c r="Y28" s="93">
        <f>IF(DFIE!$G$2=2008,"",X28*$N$11)</f>
        <v>60355.803471342755</v>
      </c>
      <c r="Z28" s="94">
        <v>0</v>
      </c>
      <c r="AA28" s="22">
        <f>IF(DFIE!$G$2=2008,0,IF(Z28=0,Y28+Q28,Z28))</f>
        <v>288645.87931462273</v>
      </c>
      <c r="AB28" s="365"/>
    </row>
    <row r="29" spans="1:28" x14ac:dyDescent="0.2">
      <c r="A29" s="365"/>
      <c r="B29" s="46" t="str">
        <f>DFIE!$B48</f>
        <v>Tessin</v>
      </c>
      <c r="C29" s="61">
        <v>1027133486</v>
      </c>
      <c r="D29" s="61">
        <v>639416296</v>
      </c>
      <c r="E29" s="61">
        <v>607337</v>
      </c>
      <c r="F29" s="61">
        <v>0</v>
      </c>
      <c r="G29" s="61">
        <v>0</v>
      </c>
      <c r="H29" s="61">
        <v>0</v>
      </c>
      <c r="I29" s="61">
        <v>2758064836</v>
      </c>
      <c r="J29" s="18">
        <f t="shared" si="0"/>
        <v>4425221955</v>
      </c>
      <c r="K29" s="54"/>
      <c r="L29" s="54"/>
      <c r="M29" s="54"/>
      <c r="N29" s="104"/>
      <c r="O29" s="54"/>
      <c r="P29" s="16" t="str">
        <f>DFIE!$B48</f>
        <v>Tessin</v>
      </c>
      <c r="Q29" s="91">
        <f>IF(DFIE!$G$2=2008,"",C29*N$16/1000)</f>
        <v>372849.455418</v>
      </c>
      <c r="R29" s="91">
        <f>IF(DFIE!$G$2=2008,"",D29*N$17/1000)</f>
        <v>232108.115448</v>
      </c>
      <c r="S29" s="91">
        <f>IF(DFIE!$G$2=2008,"",E29*N$18/1000)</f>
        <v>192.90541462499999</v>
      </c>
      <c r="T29" s="91">
        <f>IF(DFIE!$G$2=2008,"",F29*N$19/1000)</f>
        <v>0</v>
      </c>
      <c r="U29" s="91">
        <f>IF(DFIE!$G$2=2008,"",G29*N$20/1000)</f>
        <v>0</v>
      </c>
      <c r="V29" s="91">
        <f>IF(DFIE!$G$2=2008,"",H29*N$21/1000)</f>
        <v>0</v>
      </c>
      <c r="W29" s="91">
        <f>IF(DFIE!$G$2=2008,"",I29*N$22/1000)</f>
        <v>600706.52128079999</v>
      </c>
      <c r="X29" s="91">
        <f>IF(DFIE!$G$2=2008,"",SUM(R29:W29))</f>
        <v>833007.54214342497</v>
      </c>
      <c r="Y29" s="91">
        <f>IF(DFIE!$G$2=2008,"",X29*$N$11)</f>
        <v>624755.65660756873</v>
      </c>
      <c r="Z29" s="95">
        <v>0</v>
      </c>
      <c r="AA29" s="18">
        <f>IF(DFIE!$G$2=2008,0,IF(Z29=0,Y29+Q29,Z29))</f>
        <v>997605.11202556873</v>
      </c>
      <c r="AB29" s="365"/>
    </row>
    <row r="30" spans="1:28" x14ac:dyDescent="0.2">
      <c r="A30" s="365"/>
      <c r="B30" s="47" t="str">
        <f>DFIE!$B49</f>
        <v>Waadt</v>
      </c>
      <c r="C30" s="43">
        <v>2999862702</v>
      </c>
      <c r="D30" s="43">
        <v>0</v>
      </c>
      <c r="E30" s="43">
        <v>0</v>
      </c>
      <c r="F30" s="43">
        <v>0</v>
      </c>
      <c r="G30" s="43">
        <v>0</v>
      </c>
      <c r="H30" s="43">
        <v>2258473033</v>
      </c>
      <c r="I30" s="43">
        <v>0</v>
      </c>
      <c r="J30" s="22">
        <f t="shared" si="0"/>
        <v>5258335735</v>
      </c>
      <c r="K30" s="54"/>
      <c r="L30" s="54"/>
      <c r="M30" s="54"/>
      <c r="N30" s="54"/>
      <c r="O30" s="54"/>
      <c r="P30" s="20" t="str">
        <f>DFIE!$B49</f>
        <v>Waadt</v>
      </c>
      <c r="Q30" s="93">
        <f>IF(DFIE!$G$2=2008,"",C30*N$16/1000)</f>
        <v>1088950.1608259999</v>
      </c>
      <c r="R30" s="93">
        <f>IF(DFIE!$G$2=2008,"",D30*N$17/1000)</f>
        <v>0</v>
      </c>
      <c r="S30" s="93">
        <f>IF(DFIE!$G$2=2008,"",E30*N$18/1000)</f>
        <v>0</v>
      </c>
      <c r="T30" s="93">
        <f>IF(DFIE!$G$2=2008,"",F30*N$19/1000)</f>
        <v>0</v>
      </c>
      <c r="U30" s="93">
        <f>IF(DFIE!$G$2=2008,"",G30*N$20/1000)</f>
        <v>0</v>
      </c>
      <c r="V30" s="93">
        <f>IF(DFIE!$G$2=2008,"",H30*N$21/1000)</f>
        <v>382072.50558270677</v>
      </c>
      <c r="W30" s="93">
        <f>IF(DFIE!$G$2=2008,"",I30*N$22/1000)</f>
        <v>0</v>
      </c>
      <c r="X30" s="93">
        <f>IF(DFIE!$G$2=2008,"",SUM(R30:W30))</f>
        <v>382072.50558270677</v>
      </c>
      <c r="Y30" s="93">
        <f>IF(DFIE!$G$2=2008,"",X30*$N$11)</f>
        <v>286554.37918703008</v>
      </c>
      <c r="Z30" s="94">
        <v>0</v>
      </c>
      <c r="AA30" s="22">
        <f>IF(DFIE!$G$2=2008,0,IF(Z30=0,Y30+Q30,Z30))</f>
        <v>1375504.5400130299</v>
      </c>
      <c r="AB30" s="365"/>
    </row>
    <row r="31" spans="1:28" x14ac:dyDescent="0.2">
      <c r="A31" s="365"/>
      <c r="B31" s="46" t="str">
        <f>DFIE!$B50</f>
        <v>Wallis</v>
      </c>
      <c r="C31" s="61">
        <v>1111406119.95</v>
      </c>
      <c r="D31" s="61">
        <v>11059277.810000001</v>
      </c>
      <c r="E31" s="61">
        <v>0</v>
      </c>
      <c r="F31" s="61">
        <v>345195.65</v>
      </c>
      <c r="G31" s="61">
        <v>0</v>
      </c>
      <c r="H31" s="61">
        <v>100384412.40000001</v>
      </c>
      <c r="I31" s="61">
        <v>66644636.57</v>
      </c>
      <c r="J31" s="18">
        <f t="shared" si="0"/>
        <v>1289839642.3800001</v>
      </c>
      <c r="K31" s="54"/>
      <c r="L31" s="54"/>
      <c r="M31" s="54"/>
      <c r="N31" s="54"/>
      <c r="O31" s="54"/>
      <c r="P31" s="16" t="str">
        <f>DFIE!$B50</f>
        <v>Wallis</v>
      </c>
      <c r="Q31" s="91">
        <f>IF(DFIE!$G$2=2008,"",C31*N$16/1000)</f>
        <v>403440.42154185002</v>
      </c>
      <c r="R31" s="91">
        <f>IF(DFIE!$G$2=2008,"",D31*N$17/1000)</f>
        <v>4014.51784503</v>
      </c>
      <c r="S31" s="91">
        <f>IF(DFIE!$G$2=2008,"",E31*N$18/1000)</f>
        <v>0</v>
      </c>
      <c r="T31" s="91">
        <f>IF(DFIE!$G$2=2008,"",F31*N$19/1000)</f>
        <v>58.397760338345861</v>
      </c>
      <c r="U31" s="91">
        <f>IF(DFIE!$G$2=2008,"",G31*N$20/1000)</f>
        <v>0</v>
      </c>
      <c r="V31" s="91">
        <f>IF(DFIE!$G$2=2008,"",H31*N$21/1000)</f>
        <v>16982.325406015039</v>
      </c>
      <c r="W31" s="91">
        <f>IF(DFIE!$G$2=2008,"",I31*N$22/1000)</f>
        <v>14515.201844945999</v>
      </c>
      <c r="X31" s="91">
        <f>IF(DFIE!$G$2=2008,"",SUM(R31:W31))</f>
        <v>35570.442856329384</v>
      </c>
      <c r="Y31" s="91">
        <f>IF(DFIE!$G$2=2008,"",X31*$N$11)</f>
        <v>26677.83214224704</v>
      </c>
      <c r="Z31" s="95">
        <v>0</v>
      </c>
      <c r="AA31" s="18">
        <f>IF(DFIE!$G$2=2008,0,IF(Z31=0,Y31+Q31,Z31))</f>
        <v>430118.25368409709</v>
      </c>
      <c r="AB31" s="365"/>
    </row>
    <row r="32" spans="1:28" x14ac:dyDescent="0.2">
      <c r="A32" s="365"/>
      <c r="B32" s="47" t="str">
        <f>DFIE!$B51</f>
        <v>Neuenburg</v>
      </c>
      <c r="C32" s="43">
        <v>409576152</v>
      </c>
      <c r="D32" s="43">
        <v>44520028</v>
      </c>
      <c r="E32" s="43">
        <v>57867</v>
      </c>
      <c r="F32" s="43">
        <v>3584</v>
      </c>
      <c r="G32" s="43">
        <v>0</v>
      </c>
      <c r="H32" s="43">
        <v>956475310</v>
      </c>
      <c r="I32" s="43">
        <v>0</v>
      </c>
      <c r="J32" s="22">
        <f t="shared" si="0"/>
        <v>1410632941</v>
      </c>
      <c r="K32" s="54"/>
      <c r="L32" s="54"/>
      <c r="M32" s="54"/>
      <c r="N32" s="54"/>
      <c r="O32" s="54"/>
      <c r="P32" s="20" t="str">
        <f>DFIE!$B51</f>
        <v>Neuenburg</v>
      </c>
      <c r="Q32" s="93">
        <f>IF(DFIE!$G$2=2008,"",C32*N$16/1000)</f>
        <v>148676.14317600001</v>
      </c>
      <c r="R32" s="93">
        <f>IF(DFIE!$G$2=2008,"",D32*N$17/1000)</f>
        <v>16160.770164</v>
      </c>
      <c r="S32" s="93">
        <f>IF(DFIE!$G$2=2008,"",E32*N$18/1000)</f>
        <v>18.380005874999998</v>
      </c>
      <c r="T32" s="93">
        <f>IF(DFIE!$G$2=2008,"",F32*N$19/1000)</f>
        <v>0.60631578947368414</v>
      </c>
      <c r="U32" s="93">
        <f>IF(DFIE!$G$2=2008,"",G32*N$20/1000)</f>
        <v>0</v>
      </c>
      <c r="V32" s="93">
        <f>IF(DFIE!$G$2=2008,"",H32*N$21/1000)</f>
        <v>161809.73289473684</v>
      </c>
      <c r="W32" s="93">
        <f>IF(DFIE!$G$2=2008,"",I32*N$22/1000)</f>
        <v>0</v>
      </c>
      <c r="X32" s="93">
        <f>IF(DFIE!$G$2=2008,"",SUM(R32:W32))</f>
        <v>177989.4893804013</v>
      </c>
      <c r="Y32" s="93">
        <f>IF(DFIE!$G$2=2008,"",X32*$N$11)</f>
        <v>133492.11703530097</v>
      </c>
      <c r="Z32" s="94">
        <v>0</v>
      </c>
      <c r="AA32" s="22">
        <f>IF(DFIE!$G$2=2008,0,IF(Z32=0,Y32+Q32,Z32))</f>
        <v>282168.26021130098</v>
      </c>
      <c r="AB32" s="365"/>
    </row>
    <row r="33" spans="1:28" x14ac:dyDescent="0.2">
      <c r="A33" s="365"/>
      <c r="B33" s="46" t="str">
        <f>DFIE!$B52</f>
        <v>Genf</v>
      </c>
      <c r="C33" s="61">
        <v>2215385195</v>
      </c>
      <c r="D33" s="61">
        <v>483378839</v>
      </c>
      <c r="E33" s="61">
        <v>1621389</v>
      </c>
      <c r="F33" s="61">
        <v>0</v>
      </c>
      <c r="G33" s="61">
        <v>8117304028</v>
      </c>
      <c r="H33" s="61">
        <v>0</v>
      </c>
      <c r="I33" s="61">
        <v>0</v>
      </c>
      <c r="J33" s="18">
        <f t="shared" si="0"/>
        <v>10817689451</v>
      </c>
      <c r="K33" s="54"/>
      <c r="L33" s="54"/>
      <c r="M33" s="54"/>
      <c r="N33" s="54"/>
      <c r="O33" s="54"/>
      <c r="P33" s="16" t="str">
        <f>DFIE!$B52</f>
        <v>Genf</v>
      </c>
      <c r="Q33" s="91">
        <f>IF(DFIE!$G$2=2008,"",C33*N$16/1000)</f>
        <v>804184.82578499999</v>
      </c>
      <c r="R33" s="91">
        <f>IF(DFIE!$G$2=2008,"",D33*N$17/1000)</f>
        <v>175466.51855699997</v>
      </c>
      <c r="S33" s="91">
        <f>IF(DFIE!$G$2=2008,"",E33*N$18/1000)</f>
        <v>514.99368112499997</v>
      </c>
      <c r="T33" s="91">
        <f>IF(DFIE!$G$2=2008,"",F33*N$19/1000)</f>
        <v>0</v>
      </c>
      <c r="U33" s="91">
        <f>IF(DFIE!$G$2=2008,"",G33*N$20/1000)</f>
        <v>1878515.0426903157</v>
      </c>
      <c r="V33" s="91">
        <f>IF(DFIE!$G$2=2008,"",H33*N$21/1000)</f>
        <v>0</v>
      </c>
      <c r="W33" s="91">
        <f>IF(DFIE!$G$2=2008,"",I33*N$22/1000)</f>
        <v>0</v>
      </c>
      <c r="X33" s="91">
        <f>IF(DFIE!$G$2=2008,"",SUM(R33:W33))</f>
        <v>2054496.5549284406</v>
      </c>
      <c r="Y33" s="91">
        <f>IF(DFIE!$G$2=2008,"",X33*$N$11)</f>
        <v>1540872.4161963305</v>
      </c>
      <c r="Z33" s="95">
        <v>0</v>
      </c>
      <c r="AA33" s="18">
        <f>IF(DFIE!$G$2=2008,0,IF(Z33=0,Y33+Q33,Z33))</f>
        <v>2345057.2419813303</v>
      </c>
      <c r="AB33" s="365"/>
    </row>
    <row r="34" spans="1:28" x14ac:dyDescent="0.2">
      <c r="A34" s="365"/>
      <c r="B34" s="47" t="str">
        <f>DFIE!$B53</f>
        <v>Jura</v>
      </c>
      <c r="C34" s="43">
        <v>90213481.769999996</v>
      </c>
      <c r="D34" s="43">
        <v>11484419</v>
      </c>
      <c r="E34" s="43">
        <v>0</v>
      </c>
      <c r="F34" s="43">
        <v>610686.69999999995</v>
      </c>
      <c r="G34" s="43">
        <v>0</v>
      </c>
      <c r="H34" s="43">
        <v>532850630</v>
      </c>
      <c r="I34" s="43">
        <v>0</v>
      </c>
      <c r="J34" s="22">
        <f t="shared" si="0"/>
        <v>635159217.47000003</v>
      </c>
      <c r="K34" s="54"/>
      <c r="L34" s="54"/>
      <c r="M34" s="54"/>
      <c r="N34" s="54"/>
      <c r="O34" s="54"/>
      <c r="P34" s="20" t="str">
        <f>DFIE!$B53</f>
        <v>Jura</v>
      </c>
      <c r="Q34" s="93">
        <f>IF(DFIE!$G$2=2008,"",C34*N$16/1000)</f>
        <v>32747.49388251</v>
      </c>
      <c r="R34" s="93">
        <f>IF(DFIE!$G$2=2008,"",D34*N$17/1000)</f>
        <v>4168.8440970000001</v>
      </c>
      <c r="S34" s="93">
        <f>IF(DFIE!$G$2=2008,"",E34*N$18/1000)</f>
        <v>0</v>
      </c>
      <c r="T34" s="93">
        <f>IF(DFIE!$G$2=2008,"",F34*N$19/1000)</f>
        <v>103.31165977443608</v>
      </c>
      <c r="U34" s="93">
        <f>IF(DFIE!$G$2=2008,"",G34*N$20/1000)</f>
        <v>0</v>
      </c>
      <c r="V34" s="93">
        <f>IF(DFIE!$G$2=2008,"",H34*N$21/1000)</f>
        <v>90143.903571428571</v>
      </c>
      <c r="W34" s="93">
        <f>IF(DFIE!$G$2=2008,"",I34*N$22/1000)</f>
        <v>0</v>
      </c>
      <c r="X34" s="93">
        <f>IF(DFIE!$G$2=2008,"",SUM(R34:W34))</f>
        <v>94416.059328203002</v>
      </c>
      <c r="Y34" s="93">
        <f>IF(DFIE!$G$2=2008,"",X34*$N$11)</f>
        <v>70812.044496152259</v>
      </c>
      <c r="Z34" s="94">
        <v>0</v>
      </c>
      <c r="AA34" s="22">
        <f>IF(DFIE!$G$2=2008,0,IF(Z34=0,Y34+Q34,Z34))</f>
        <v>103559.53837866226</v>
      </c>
      <c r="AB34" s="365"/>
    </row>
    <row r="35" spans="1:28" x14ac:dyDescent="0.2">
      <c r="A35" s="365"/>
      <c r="B35" s="24" t="str">
        <f>DFIE!$B54</f>
        <v>Schweiz</v>
      </c>
      <c r="C35" s="67">
        <f t="shared" ref="C35:I35" si="1">SUM(C9:C34)</f>
        <v>23733998734.019997</v>
      </c>
      <c r="D35" s="67">
        <f t="shared" si="1"/>
        <v>2805244719.1399999</v>
      </c>
      <c r="E35" s="67">
        <f t="shared" si="1"/>
        <v>595206912.96000004</v>
      </c>
      <c r="F35" s="67">
        <f t="shared" si="1"/>
        <v>4636387902.7699995</v>
      </c>
      <c r="G35" s="67">
        <f t="shared" si="1"/>
        <v>8117304028</v>
      </c>
      <c r="H35" s="67">
        <f t="shared" si="1"/>
        <v>6818590476.6999998</v>
      </c>
      <c r="I35" s="67">
        <f t="shared" si="1"/>
        <v>2916202003.0700002</v>
      </c>
      <c r="J35" s="66">
        <f t="shared" si="0"/>
        <v>49622934776.659996</v>
      </c>
      <c r="K35" s="54"/>
      <c r="L35" s="54"/>
      <c r="M35" s="54"/>
      <c r="N35" s="54"/>
      <c r="O35" s="54"/>
      <c r="P35" s="24" t="str">
        <f>DFIE!$B54</f>
        <v>Schweiz</v>
      </c>
      <c r="Q35" s="31">
        <f>SUM(Q9:Q34)</f>
        <v>8615441.5404492579</v>
      </c>
      <c r="R35" s="31">
        <f t="shared" ref="R35:Y35" si="2">SUM(R9:R34)</f>
        <v>1018303.83304782</v>
      </c>
      <c r="S35" s="31">
        <f t="shared" si="2"/>
        <v>189052.59572891999</v>
      </c>
      <c r="T35" s="31">
        <f t="shared" si="2"/>
        <v>784351.3369347743</v>
      </c>
      <c r="U35" s="31">
        <f t="shared" si="2"/>
        <v>1878515.0426903157</v>
      </c>
      <c r="V35" s="31">
        <f t="shared" si="2"/>
        <v>1153520.945306391</v>
      </c>
      <c r="W35" s="31">
        <f t="shared" si="2"/>
        <v>635148.79626864602</v>
      </c>
      <c r="X35" s="31">
        <f t="shared" si="2"/>
        <v>5658892.5499768676</v>
      </c>
      <c r="Y35" s="31">
        <f t="shared" si="2"/>
        <v>4244169.412482651</v>
      </c>
      <c r="Z35" s="66">
        <f>IF(DFIE!$G$2=2008,"",SUM(Z9:Z34))</f>
        <v>0</v>
      </c>
      <c r="AA35" s="26">
        <f>SUM(AA9:AA34)</f>
        <v>12859610.952931909</v>
      </c>
      <c r="AB35" s="365"/>
    </row>
    <row r="36" spans="1:28" ht="14.25" customHeight="1" x14ac:dyDescent="0.2">
      <c r="A36" s="33"/>
      <c r="B36" s="81"/>
      <c r="C36" s="81"/>
      <c r="D36" s="81"/>
      <c r="E36" s="81"/>
      <c r="F36" s="81"/>
      <c r="G36" s="81"/>
      <c r="H36" s="81"/>
      <c r="I36" s="81"/>
      <c r="J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</row>
    <row r="37" spans="1:28" x14ac:dyDescent="0.2">
      <c r="A37" s="366" t="str">
        <f>DFIE!$B$70</f>
        <v>Bemessungsjahr 2015</v>
      </c>
      <c r="B37" s="48" t="str">
        <f>DFIE!$B28</f>
        <v>Zürich</v>
      </c>
      <c r="C37" s="49">
        <v>6051010990.4499998</v>
      </c>
      <c r="D37" s="49">
        <v>51249753.5</v>
      </c>
      <c r="E37" s="49">
        <v>0</v>
      </c>
      <c r="F37" s="49">
        <v>599090031.13999999</v>
      </c>
      <c r="G37" s="49">
        <v>0</v>
      </c>
      <c r="H37" s="49">
        <v>0</v>
      </c>
      <c r="I37" s="49">
        <v>0</v>
      </c>
      <c r="J37" s="50">
        <f t="shared" ref="J37:J63" si="3">SUM(C37:I37)</f>
        <v>6701350775.0900002</v>
      </c>
      <c r="K37" s="105"/>
      <c r="L37" s="57"/>
      <c r="M37" s="57"/>
      <c r="N37" s="57"/>
      <c r="O37" s="105"/>
      <c r="P37" s="96" t="str">
        <f>DFIE!$B28</f>
        <v>Zürich</v>
      </c>
      <c r="Q37" s="97">
        <f t="shared" ref="Q37:Q62" si="4">C37*N$44/1000</f>
        <v>2226772.0444856002</v>
      </c>
      <c r="R37" s="97">
        <f t="shared" ref="R37:R62" si="5">D37*N$45/1000</f>
        <v>18859.909287999999</v>
      </c>
      <c r="S37" s="98">
        <f t="shared" ref="S37:S62" si="6">E37*N$46/1000</f>
        <v>0</v>
      </c>
      <c r="T37" s="98">
        <f t="shared" ref="T37:T62" si="7">F37*N$47/1000</f>
        <v>102505.89886425855</v>
      </c>
      <c r="U37" s="98">
        <f t="shared" ref="U37:U62" si="8">G37*N$48/1000</f>
        <v>0</v>
      </c>
      <c r="V37" s="98">
        <f t="shared" ref="V37:V62" si="9">H37*N$49/1000</f>
        <v>0</v>
      </c>
      <c r="W37" s="98">
        <f t="shared" ref="W37:W62" si="10">I37*N$50/1000</f>
        <v>0</v>
      </c>
      <c r="X37" s="98">
        <f t="shared" ref="X37:X62" si="11">SUM(R37:W37)</f>
        <v>121365.80815225854</v>
      </c>
      <c r="Y37" s="98">
        <f>X37*$N$39</f>
        <v>91024.356114193914</v>
      </c>
      <c r="Z37" s="92">
        <v>0</v>
      </c>
      <c r="AA37" s="99">
        <f>IF(Z37=0,Y37+Q37,Z37)</f>
        <v>2317796.400599794</v>
      </c>
      <c r="AB37" s="366" t="str">
        <f>DFIE!$B$70</f>
        <v>Bemessungsjahr 2015</v>
      </c>
    </row>
    <row r="38" spans="1:28" x14ac:dyDescent="0.2">
      <c r="A38" s="366"/>
      <c r="B38" s="47" t="str">
        <f>DFIE!$B29</f>
        <v>Bern</v>
      </c>
      <c r="C38" s="43">
        <v>1412850418.9100001</v>
      </c>
      <c r="D38" s="43">
        <v>178766299.13999999</v>
      </c>
      <c r="E38" s="43">
        <v>218759.8</v>
      </c>
      <c r="F38" s="43">
        <v>21319379.07</v>
      </c>
      <c r="G38" s="43">
        <v>0</v>
      </c>
      <c r="H38" s="43">
        <v>155639166.52000001</v>
      </c>
      <c r="I38" s="43">
        <v>0</v>
      </c>
      <c r="J38" s="22">
        <f t="shared" si="3"/>
        <v>1768794023.4400001</v>
      </c>
      <c r="K38" s="105"/>
      <c r="L38" s="83" t="str">
        <f>DFIE!$B$96</f>
        <v>Standardisierter Steuersatz SST(2018)</v>
      </c>
      <c r="M38" s="82"/>
      <c r="N38" s="101">
        <v>0.26300000000000001</v>
      </c>
      <c r="O38" s="105"/>
      <c r="P38" s="20" t="str">
        <f>DFIE!$B29</f>
        <v>Bern</v>
      </c>
      <c r="Q38" s="93">
        <f t="shared" si="4"/>
        <v>519928.95415887999</v>
      </c>
      <c r="R38" s="93">
        <f t="shared" si="5"/>
        <v>65785.998083519997</v>
      </c>
      <c r="S38" s="93">
        <f t="shared" si="6"/>
        <v>70.440655599999999</v>
      </c>
      <c r="T38" s="93">
        <f t="shared" si="7"/>
        <v>3647.802502471483</v>
      </c>
      <c r="U38" s="93">
        <f t="shared" si="8"/>
        <v>0</v>
      </c>
      <c r="V38" s="93">
        <f t="shared" si="9"/>
        <v>26630.275640304182</v>
      </c>
      <c r="W38" s="93">
        <f t="shared" si="10"/>
        <v>0</v>
      </c>
      <c r="X38" s="93">
        <f t="shared" si="11"/>
        <v>96134.516881895674</v>
      </c>
      <c r="Y38" s="93">
        <f t="shared" ref="Y38:Y62" si="12">X38*$N$39</f>
        <v>72100.887661421759</v>
      </c>
      <c r="Z38" s="94">
        <v>0</v>
      </c>
      <c r="AA38" s="22">
        <f t="shared" ref="AA38:AA62" si="13">IF(Z38=0,Y38+Q38,Z38)</f>
        <v>592029.84182030172</v>
      </c>
      <c r="AB38" s="366"/>
    </row>
    <row r="39" spans="1:28" x14ac:dyDescent="0.2">
      <c r="A39" s="366"/>
      <c r="B39" s="46" t="str">
        <f>DFIE!$B30</f>
        <v>Luzern</v>
      </c>
      <c r="C39" s="61">
        <v>721881314</v>
      </c>
      <c r="D39" s="61">
        <v>71694495</v>
      </c>
      <c r="E39" s="61">
        <v>1255196</v>
      </c>
      <c r="F39" s="61">
        <v>8682062</v>
      </c>
      <c r="G39" s="61">
        <v>0</v>
      </c>
      <c r="H39" s="61">
        <v>0</v>
      </c>
      <c r="I39" s="61">
        <v>0</v>
      </c>
      <c r="J39" s="18">
        <f t="shared" si="3"/>
        <v>803513067</v>
      </c>
      <c r="K39" s="105"/>
      <c r="L39" s="83" t="str">
        <f>DFIE!$B$98</f>
        <v>Faktor Delta</v>
      </c>
      <c r="M39" s="83"/>
      <c r="N39" s="101">
        <v>0.75</v>
      </c>
      <c r="O39" s="105"/>
      <c r="P39" s="16" t="str">
        <f>DFIE!$B30</f>
        <v>Luzern</v>
      </c>
      <c r="Q39" s="91">
        <f t="shared" si="4"/>
        <v>265652.32355199999</v>
      </c>
      <c r="R39" s="91">
        <f t="shared" si="5"/>
        <v>26383.57416</v>
      </c>
      <c r="S39" s="91">
        <f t="shared" si="6"/>
        <v>404.173112</v>
      </c>
      <c r="T39" s="91">
        <f t="shared" si="7"/>
        <v>1485.52391634981</v>
      </c>
      <c r="U39" s="91">
        <f t="shared" si="8"/>
        <v>0</v>
      </c>
      <c r="V39" s="91">
        <f t="shared" si="9"/>
        <v>0</v>
      </c>
      <c r="W39" s="91">
        <f t="shared" si="10"/>
        <v>0</v>
      </c>
      <c r="X39" s="91">
        <f t="shared" si="11"/>
        <v>28273.271188349812</v>
      </c>
      <c r="Y39" s="91">
        <f t="shared" si="12"/>
        <v>21204.953391262359</v>
      </c>
      <c r="Z39" s="95">
        <v>0</v>
      </c>
      <c r="AA39" s="18">
        <f t="shared" si="13"/>
        <v>286857.27694326232</v>
      </c>
      <c r="AB39" s="366"/>
    </row>
    <row r="40" spans="1:28" x14ac:dyDescent="0.2">
      <c r="A40" s="366"/>
      <c r="B40" s="47" t="str">
        <f>DFIE!$B31</f>
        <v>Uri</v>
      </c>
      <c r="C40" s="43">
        <v>87150345</v>
      </c>
      <c r="D40" s="43">
        <v>471105</v>
      </c>
      <c r="E40" s="43">
        <v>0</v>
      </c>
      <c r="F40" s="43">
        <v>27911</v>
      </c>
      <c r="G40" s="43">
        <v>0</v>
      </c>
      <c r="H40" s="43">
        <v>0</v>
      </c>
      <c r="I40" s="43">
        <v>0</v>
      </c>
      <c r="J40" s="22">
        <f t="shared" si="3"/>
        <v>87649361</v>
      </c>
      <c r="K40" s="105"/>
      <c r="L40" s="57"/>
      <c r="M40" s="57"/>
      <c r="N40" s="57"/>
      <c r="O40" s="105"/>
      <c r="P40" s="20" t="str">
        <f>DFIE!$B31</f>
        <v>Uri</v>
      </c>
      <c r="Q40" s="93">
        <f t="shared" si="4"/>
        <v>32071.326960000002</v>
      </c>
      <c r="R40" s="93">
        <f t="shared" si="5"/>
        <v>173.36663999999999</v>
      </c>
      <c r="S40" s="93">
        <f t="shared" si="6"/>
        <v>0</v>
      </c>
      <c r="T40" s="93">
        <f t="shared" si="7"/>
        <v>4.7756463878326993</v>
      </c>
      <c r="U40" s="93">
        <f t="shared" si="8"/>
        <v>0</v>
      </c>
      <c r="V40" s="93">
        <f t="shared" si="9"/>
        <v>0</v>
      </c>
      <c r="W40" s="93">
        <f t="shared" si="10"/>
        <v>0</v>
      </c>
      <c r="X40" s="93">
        <f t="shared" si="11"/>
        <v>178.14228638783268</v>
      </c>
      <c r="Y40" s="93">
        <f t="shared" si="12"/>
        <v>133.60671479087452</v>
      </c>
      <c r="Z40" s="94">
        <v>0</v>
      </c>
      <c r="AA40" s="22">
        <f t="shared" si="13"/>
        <v>32204.933674790878</v>
      </c>
      <c r="AB40" s="366"/>
    </row>
    <row r="41" spans="1:28" x14ac:dyDescent="0.2">
      <c r="A41" s="366"/>
      <c r="B41" s="46" t="str">
        <f>DFIE!$B32</f>
        <v>Schwyz</v>
      </c>
      <c r="C41" s="61">
        <v>359783849.5</v>
      </c>
      <c r="D41" s="61">
        <v>69444308.549999997</v>
      </c>
      <c r="E41" s="61">
        <v>1400289.7</v>
      </c>
      <c r="F41" s="61">
        <v>501121.56</v>
      </c>
      <c r="G41" s="61">
        <v>0</v>
      </c>
      <c r="H41" s="61">
        <v>0</v>
      </c>
      <c r="I41" s="61">
        <v>0</v>
      </c>
      <c r="J41" s="18">
        <f t="shared" si="3"/>
        <v>431129569.31</v>
      </c>
      <c r="K41" s="105"/>
      <c r="L41" s="82" t="str">
        <f>DFIE!$B$100</f>
        <v>Gamma 2015</v>
      </c>
      <c r="M41" s="82"/>
      <c r="N41" s="101">
        <v>0.36799999999999999</v>
      </c>
      <c r="O41" s="105"/>
      <c r="P41" s="16" t="str">
        <f>DFIE!$B32</f>
        <v>Schwyz</v>
      </c>
      <c r="Q41" s="91">
        <f t="shared" si="4"/>
        <v>132400.45661600001</v>
      </c>
      <c r="R41" s="91">
        <f t="shared" si="5"/>
        <v>25555.5055464</v>
      </c>
      <c r="S41" s="91">
        <f t="shared" si="6"/>
        <v>450.89328340000003</v>
      </c>
      <c r="T41" s="91">
        <f t="shared" si="7"/>
        <v>85.743232699619767</v>
      </c>
      <c r="U41" s="91">
        <f t="shared" si="8"/>
        <v>0</v>
      </c>
      <c r="V41" s="91">
        <f t="shared" si="9"/>
        <v>0</v>
      </c>
      <c r="W41" s="91">
        <f t="shared" si="10"/>
        <v>0</v>
      </c>
      <c r="X41" s="91">
        <f t="shared" si="11"/>
        <v>26092.142062499621</v>
      </c>
      <c r="Y41" s="91">
        <f t="shared" si="12"/>
        <v>19569.106546874715</v>
      </c>
      <c r="Z41" s="95">
        <v>0</v>
      </c>
      <c r="AA41" s="18">
        <f t="shared" si="13"/>
        <v>151969.56316287472</v>
      </c>
      <c r="AB41" s="366"/>
    </row>
    <row r="42" spans="1:28" x14ac:dyDescent="0.2">
      <c r="A42" s="366"/>
      <c r="B42" s="47" t="str">
        <f>DFIE!$B33</f>
        <v>Obwalden</v>
      </c>
      <c r="C42" s="43">
        <v>94163938</v>
      </c>
      <c r="D42" s="43">
        <v>5889763</v>
      </c>
      <c r="E42" s="43">
        <v>219508</v>
      </c>
      <c r="F42" s="43">
        <v>663275</v>
      </c>
      <c r="G42" s="43">
        <v>0</v>
      </c>
      <c r="H42" s="43">
        <v>0</v>
      </c>
      <c r="I42" s="43">
        <v>0</v>
      </c>
      <c r="J42" s="22">
        <f t="shared" si="3"/>
        <v>100936484</v>
      </c>
      <c r="K42" s="105"/>
      <c r="L42" s="57"/>
      <c r="M42" s="57"/>
      <c r="N42" s="57"/>
      <c r="O42" s="105"/>
      <c r="P42" s="20" t="str">
        <f>DFIE!$B33</f>
        <v>Obwalden</v>
      </c>
      <c r="Q42" s="93">
        <f t="shared" si="4"/>
        <v>34652.329184000002</v>
      </c>
      <c r="R42" s="93">
        <f t="shared" si="5"/>
        <v>2167.4327840000001</v>
      </c>
      <c r="S42" s="93">
        <f t="shared" si="6"/>
        <v>70.681576000000007</v>
      </c>
      <c r="T42" s="93">
        <f t="shared" si="7"/>
        <v>113.48811787072243</v>
      </c>
      <c r="U42" s="93">
        <f t="shared" si="8"/>
        <v>0</v>
      </c>
      <c r="V42" s="93">
        <f t="shared" si="9"/>
        <v>0</v>
      </c>
      <c r="W42" s="93">
        <f t="shared" si="10"/>
        <v>0</v>
      </c>
      <c r="X42" s="93">
        <f t="shared" si="11"/>
        <v>2351.6024778707224</v>
      </c>
      <c r="Y42" s="93">
        <f t="shared" si="12"/>
        <v>1763.7018584030418</v>
      </c>
      <c r="Z42" s="94">
        <v>0</v>
      </c>
      <c r="AA42" s="22">
        <f t="shared" si="13"/>
        <v>36416.031042403047</v>
      </c>
      <c r="AB42" s="366"/>
    </row>
    <row r="43" spans="1:28" x14ac:dyDescent="0.2">
      <c r="A43" s="366"/>
      <c r="B43" s="46" t="str">
        <f>DFIE!$B34</f>
        <v>Nidwalden</v>
      </c>
      <c r="C43" s="61">
        <v>100796954.69</v>
      </c>
      <c r="D43" s="61">
        <v>1870070</v>
      </c>
      <c r="E43" s="61">
        <v>4699818</v>
      </c>
      <c r="F43" s="61">
        <v>444908.96</v>
      </c>
      <c r="G43" s="61">
        <v>0</v>
      </c>
      <c r="H43" s="61">
        <v>0</v>
      </c>
      <c r="I43" s="61">
        <v>0</v>
      </c>
      <c r="J43" s="18">
        <f t="shared" si="3"/>
        <v>107811751.64999999</v>
      </c>
      <c r="K43" s="105"/>
      <c r="L43" s="82" t="str">
        <f>DFIE!$B$57</f>
        <v>Kategorie</v>
      </c>
      <c r="M43" s="82" t="str">
        <f>DFIE!$B$106</f>
        <v>Formel für Gewicht</v>
      </c>
      <c r="N43" s="88" t="str">
        <f>DFIE!$B$107</f>
        <v>Gewicht (ω)</v>
      </c>
      <c r="O43" s="105"/>
      <c r="P43" s="16" t="str">
        <f>DFIE!$B34</f>
        <v>Nidwalden</v>
      </c>
      <c r="Q43" s="91">
        <f t="shared" si="4"/>
        <v>37093.279325919997</v>
      </c>
      <c r="R43" s="91">
        <f t="shared" si="5"/>
        <v>688.18575999999996</v>
      </c>
      <c r="S43" s="91">
        <f t="shared" si="6"/>
        <v>1513.341396</v>
      </c>
      <c r="T43" s="91">
        <f t="shared" si="7"/>
        <v>76.125107224334599</v>
      </c>
      <c r="U43" s="91">
        <f t="shared" si="8"/>
        <v>0</v>
      </c>
      <c r="V43" s="91">
        <f t="shared" si="9"/>
        <v>0</v>
      </c>
      <c r="W43" s="91">
        <f t="shared" si="10"/>
        <v>0</v>
      </c>
      <c r="X43" s="91">
        <f t="shared" si="11"/>
        <v>2277.6522632243345</v>
      </c>
      <c r="Y43" s="91">
        <f t="shared" si="12"/>
        <v>1708.239197418251</v>
      </c>
      <c r="Z43" s="95">
        <v>0</v>
      </c>
      <c r="AA43" s="18">
        <f t="shared" si="13"/>
        <v>38801.518523338251</v>
      </c>
      <c r="AB43" s="366"/>
    </row>
    <row r="44" spans="1:28" x14ac:dyDescent="0.2">
      <c r="A44" s="366"/>
      <c r="B44" s="47" t="str">
        <f>DFIE!$B35</f>
        <v>Glarus</v>
      </c>
      <c r="C44" s="43">
        <v>124388280.02</v>
      </c>
      <c r="D44" s="43">
        <v>1535412.9</v>
      </c>
      <c r="E44" s="43">
        <v>2659258.7599999998</v>
      </c>
      <c r="F44" s="43">
        <v>372240.7</v>
      </c>
      <c r="G44" s="43">
        <v>0</v>
      </c>
      <c r="H44" s="43">
        <v>0</v>
      </c>
      <c r="I44" s="43">
        <v>0</v>
      </c>
      <c r="J44" s="22">
        <f t="shared" si="3"/>
        <v>128955192.38000001</v>
      </c>
      <c r="K44" s="105"/>
      <c r="L44" s="89">
        <v>0</v>
      </c>
      <c r="M44" s="89" t="s">
        <v>67</v>
      </c>
      <c r="N44" s="90">
        <f>N41</f>
        <v>0.36799999999999999</v>
      </c>
      <c r="O44" s="105"/>
      <c r="P44" s="20" t="str">
        <f>DFIE!$B35</f>
        <v>Glarus</v>
      </c>
      <c r="Q44" s="93">
        <f t="shared" si="4"/>
        <v>45774.887047359996</v>
      </c>
      <c r="R44" s="93">
        <f t="shared" si="5"/>
        <v>565.03194719999999</v>
      </c>
      <c r="S44" s="93">
        <f t="shared" si="6"/>
        <v>856.28132071999994</v>
      </c>
      <c r="T44" s="93">
        <f t="shared" si="7"/>
        <v>63.691374524714824</v>
      </c>
      <c r="U44" s="93">
        <f t="shared" si="8"/>
        <v>0</v>
      </c>
      <c r="V44" s="93">
        <f t="shared" si="9"/>
        <v>0</v>
      </c>
      <c r="W44" s="93">
        <f t="shared" si="10"/>
        <v>0</v>
      </c>
      <c r="X44" s="93">
        <f t="shared" si="11"/>
        <v>1485.0046424447146</v>
      </c>
      <c r="Y44" s="93">
        <f t="shared" si="12"/>
        <v>1113.7534818335359</v>
      </c>
      <c r="Z44" s="94">
        <v>0</v>
      </c>
      <c r="AA44" s="22">
        <f t="shared" si="13"/>
        <v>46888.64052919353</v>
      </c>
      <c r="AB44" s="366"/>
    </row>
    <row r="45" spans="1:28" x14ac:dyDescent="0.2">
      <c r="A45" s="366"/>
      <c r="B45" s="46" t="str">
        <f>DFIE!$B36</f>
        <v>Zug</v>
      </c>
      <c r="C45" s="61">
        <v>549922095</v>
      </c>
      <c r="D45" s="61">
        <v>89451192</v>
      </c>
      <c r="E45" s="61">
        <v>5419013</v>
      </c>
      <c r="F45" s="61">
        <v>8748704</v>
      </c>
      <c r="G45" s="61">
        <v>0</v>
      </c>
      <c r="H45" s="61">
        <v>0</v>
      </c>
      <c r="I45" s="61">
        <v>0</v>
      </c>
      <c r="J45" s="18">
        <f t="shared" si="3"/>
        <v>653541004</v>
      </c>
      <c r="K45" s="105"/>
      <c r="L45" s="89">
        <v>1</v>
      </c>
      <c r="M45" s="89" t="s">
        <v>67</v>
      </c>
      <c r="N45" s="90">
        <f>N41</f>
        <v>0.36799999999999999</v>
      </c>
      <c r="O45" s="105"/>
      <c r="P45" s="16" t="str">
        <f>DFIE!$B36</f>
        <v>Zug</v>
      </c>
      <c r="Q45" s="91">
        <f t="shared" si="4"/>
        <v>202371.33096000002</v>
      </c>
      <c r="R45" s="91">
        <f t="shared" si="5"/>
        <v>32918.038655999997</v>
      </c>
      <c r="S45" s="91">
        <f t="shared" si="6"/>
        <v>1744.922186</v>
      </c>
      <c r="T45" s="91">
        <f t="shared" si="7"/>
        <v>1496.9265399239544</v>
      </c>
      <c r="U45" s="91">
        <f t="shared" si="8"/>
        <v>0</v>
      </c>
      <c r="V45" s="91">
        <f t="shared" si="9"/>
        <v>0</v>
      </c>
      <c r="W45" s="91">
        <f t="shared" si="10"/>
        <v>0</v>
      </c>
      <c r="X45" s="91">
        <f t="shared" si="11"/>
        <v>36159.887381923952</v>
      </c>
      <c r="Y45" s="91">
        <f t="shared" si="12"/>
        <v>27119.915536442964</v>
      </c>
      <c r="Z45" s="95">
        <v>0</v>
      </c>
      <c r="AA45" s="18">
        <f t="shared" si="13"/>
        <v>229491.246496443</v>
      </c>
      <c r="AB45" s="366"/>
    </row>
    <row r="46" spans="1:28" x14ac:dyDescent="0.2">
      <c r="A46" s="366"/>
      <c r="B46" s="47" t="str">
        <f>DFIE!$B37</f>
        <v>Freiburg</v>
      </c>
      <c r="C46" s="43">
        <v>635875356</v>
      </c>
      <c r="D46" s="43">
        <v>88710408</v>
      </c>
      <c r="E46" s="43">
        <v>304076.7</v>
      </c>
      <c r="F46" s="43">
        <v>621808.5</v>
      </c>
      <c r="G46" s="43">
        <v>0</v>
      </c>
      <c r="H46" s="43">
        <v>0</v>
      </c>
      <c r="I46" s="43">
        <v>0</v>
      </c>
      <c r="J46" s="22">
        <f t="shared" si="3"/>
        <v>725511649.20000005</v>
      </c>
      <c r="K46" s="105"/>
      <c r="L46" s="89" t="s">
        <v>56</v>
      </c>
      <c r="M46" s="89" t="s">
        <v>91</v>
      </c>
      <c r="N46" s="90">
        <f>IF(DFIE!$G$2-5&lt;2006,0.03/$N$7,0.875*N41)</f>
        <v>0.32200000000000001</v>
      </c>
      <c r="O46" s="105"/>
      <c r="P46" s="20" t="str">
        <f>DFIE!$B37</f>
        <v>Freiburg</v>
      </c>
      <c r="Q46" s="93">
        <f t="shared" si="4"/>
        <v>234002.131008</v>
      </c>
      <c r="R46" s="93">
        <f t="shared" si="5"/>
        <v>32645.430144000002</v>
      </c>
      <c r="S46" s="93">
        <f t="shared" si="6"/>
        <v>97.912697399999999</v>
      </c>
      <c r="T46" s="93">
        <f t="shared" si="7"/>
        <v>106.39308935361215</v>
      </c>
      <c r="U46" s="93">
        <f t="shared" si="8"/>
        <v>0</v>
      </c>
      <c r="V46" s="93">
        <f t="shared" si="9"/>
        <v>0</v>
      </c>
      <c r="W46" s="93">
        <f t="shared" si="10"/>
        <v>0</v>
      </c>
      <c r="X46" s="93">
        <f t="shared" si="11"/>
        <v>32849.73593075361</v>
      </c>
      <c r="Y46" s="93">
        <f t="shared" si="12"/>
        <v>24637.301948065207</v>
      </c>
      <c r="Z46" s="94">
        <v>0</v>
      </c>
      <c r="AA46" s="22">
        <f t="shared" si="13"/>
        <v>258639.4329560652</v>
      </c>
      <c r="AB46" s="366"/>
    </row>
    <row r="47" spans="1:28" x14ac:dyDescent="0.2">
      <c r="A47" s="366"/>
      <c r="B47" s="46" t="str">
        <f>DFIE!$B38</f>
        <v>Solothurn</v>
      </c>
      <c r="C47" s="61">
        <v>397321345</v>
      </c>
      <c r="D47" s="61">
        <v>30413212</v>
      </c>
      <c r="E47" s="61">
        <v>811472</v>
      </c>
      <c r="F47" s="61">
        <v>47296580</v>
      </c>
      <c r="G47" s="61">
        <v>0</v>
      </c>
      <c r="H47" s="61">
        <v>93629411</v>
      </c>
      <c r="I47" s="61">
        <v>0</v>
      </c>
      <c r="J47" s="18">
        <f t="shared" si="3"/>
        <v>569472020</v>
      </c>
      <c r="K47" s="105"/>
      <c r="L47" s="89" t="s">
        <v>57</v>
      </c>
      <c r="M47" s="89" t="str">
        <f>DFIE!$B$110</f>
        <v>0.045 / SST(2018)</v>
      </c>
      <c r="N47" s="90">
        <f>0.045/ROUND($N$38,3)</f>
        <v>0.17110266159695817</v>
      </c>
      <c r="O47" s="105"/>
      <c r="P47" s="16" t="str">
        <f>DFIE!$B38</f>
        <v>Solothurn</v>
      </c>
      <c r="Q47" s="91">
        <f t="shared" si="4"/>
        <v>146214.25496000002</v>
      </c>
      <c r="R47" s="91">
        <f t="shared" si="5"/>
        <v>11192.062015999998</v>
      </c>
      <c r="S47" s="91">
        <f t="shared" si="6"/>
        <v>261.29398400000002</v>
      </c>
      <c r="T47" s="91">
        <f t="shared" si="7"/>
        <v>8092.5707224334601</v>
      </c>
      <c r="U47" s="91">
        <f t="shared" si="8"/>
        <v>0</v>
      </c>
      <c r="V47" s="91">
        <f t="shared" si="9"/>
        <v>16020.241425855511</v>
      </c>
      <c r="W47" s="91">
        <f t="shared" si="10"/>
        <v>0</v>
      </c>
      <c r="X47" s="91">
        <f t="shared" si="11"/>
        <v>35566.168148288969</v>
      </c>
      <c r="Y47" s="91">
        <f t="shared" si="12"/>
        <v>26674.626111216727</v>
      </c>
      <c r="Z47" s="95">
        <v>0</v>
      </c>
      <c r="AA47" s="18">
        <f t="shared" si="13"/>
        <v>172888.88107121675</v>
      </c>
      <c r="AB47" s="366"/>
    </row>
    <row r="48" spans="1:28" x14ac:dyDescent="0.2">
      <c r="A48" s="366"/>
      <c r="B48" s="47" t="str">
        <f>DFIE!$B39</f>
        <v>Basel-Stadt</v>
      </c>
      <c r="C48" s="43">
        <v>681615409.01999998</v>
      </c>
      <c r="D48" s="43">
        <v>370807401.02999997</v>
      </c>
      <c r="E48" s="43">
        <v>2253349.12</v>
      </c>
      <c r="F48" s="43">
        <v>1544265963.8</v>
      </c>
      <c r="G48" s="43">
        <v>0</v>
      </c>
      <c r="H48" s="43">
        <v>1643127012.1700001</v>
      </c>
      <c r="I48" s="43">
        <v>0</v>
      </c>
      <c r="J48" s="22">
        <f t="shared" si="3"/>
        <v>4242069135.1399999</v>
      </c>
      <c r="K48" s="105"/>
      <c r="L48" s="89" t="s">
        <v>58</v>
      </c>
      <c r="M48" s="89" t="str">
        <f>DFIE!$B$111</f>
        <v>γ - 0.035 / SST(2018)</v>
      </c>
      <c r="N48" s="90">
        <f>N41-0.035/ROUND($N$38,3)</f>
        <v>0.23492015209125475</v>
      </c>
      <c r="O48" s="105"/>
      <c r="P48" s="20" t="str">
        <f>DFIE!$B39</f>
        <v>Basel-Stadt</v>
      </c>
      <c r="Q48" s="93">
        <f t="shared" si="4"/>
        <v>250834.47051935998</v>
      </c>
      <c r="R48" s="93">
        <f t="shared" si="5"/>
        <v>136457.12357904</v>
      </c>
      <c r="S48" s="93">
        <f t="shared" si="6"/>
        <v>725.57841664000011</v>
      </c>
      <c r="T48" s="93">
        <f t="shared" si="7"/>
        <v>264228.01661977184</v>
      </c>
      <c r="U48" s="93">
        <f t="shared" si="8"/>
        <v>0</v>
      </c>
      <c r="V48" s="93">
        <f t="shared" si="9"/>
        <v>281143.40512414451</v>
      </c>
      <c r="W48" s="93">
        <f t="shared" si="10"/>
        <v>0</v>
      </c>
      <c r="X48" s="93">
        <f t="shared" si="11"/>
        <v>682554.12373959634</v>
      </c>
      <c r="Y48" s="93">
        <f t="shared" si="12"/>
        <v>511915.59280469723</v>
      </c>
      <c r="Z48" s="94">
        <v>0</v>
      </c>
      <c r="AA48" s="22">
        <f t="shared" si="13"/>
        <v>762750.06332405726</v>
      </c>
      <c r="AB48" s="366"/>
    </row>
    <row r="49" spans="1:28" x14ac:dyDescent="0.2">
      <c r="A49" s="366"/>
      <c r="B49" s="46" t="str">
        <f>DFIE!$B40</f>
        <v>Basel-Landschaft</v>
      </c>
      <c r="C49" s="61">
        <v>415080802.49000001</v>
      </c>
      <c r="D49" s="61">
        <v>99841991.260000005</v>
      </c>
      <c r="E49" s="61">
        <v>1764212.35</v>
      </c>
      <c r="F49" s="61">
        <v>774458947.50999999</v>
      </c>
      <c r="G49" s="61">
        <v>0</v>
      </c>
      <c r="H49" s="61">
        <v>1041333809.65</v>
      </c>
      <c r="I49" s="61">
        <v>0</v>
      </c>
      <c r="J49" s="18">
        <f t="shared" si="3"/>
        <v>2332479763.2600002</v>
      </c>
      <c r="K49" s="105"/>
      <c r="L49" s="89" t="s">
        <v>59</v>
      </c>
      <c r="M49" s="89" t="str">
        <f>DFIE!$B$110</f>
        <v>0.045 / SST(2018)</v>
      </c>
      <c r="N49" s="90">
        <f>0.045/ROUND($N$38,3)</f>
        <v>0.17110266159695817</v>
      </c>
      <c r="O49" s="105"/>
      <c r="P49" s="16" t="str">
        <f>DFIE!$B40</f>
        <v>Basel-Landschaft</v>
      </c>
      <c r="Q49" s="91">
        <f t="shared" si="4"/>
        <v>152749.73531632</v>
      </c>
      <c r="R49" s="91">
        <f t="shared" si="5"/>
        <v>36741.852783679999</v>
      </c>
      <c r="S49" s="91">
        <f t="shared" si="6"/>
        <v>568.07637669999997</v>
      </c>
      <c r="T49" s="91">
        <f t="shared" si="7"/>
        <v>132511.98721653991</v>
      </c>
      <c r="U49" s="91">
        <f t="shared" si="8"/>
        <v>0</v>
      </c>
      <c r="V49" s="91">
        <f t="shared" si="9"/>
        <v>178174.98644201522</v>
      </c>
      <c r="W49" s="91">
        <f t="shared" si="10"/>
        <v>0</v>
      </c>
      <c r="X49" s="91">
        <f t="shared" si="11"/>
        <v>347996.90281893511</v>
      </c>
      <c r="Y49" s="91">
        <f t="shared" si="12"/>
        <v>260997.67711420133</v>
      </c>
      <c r="Z49" s="95">
        <v>0</v>
      </c>
      <c r="AA49" s="18">
        <f t="shared" si="13"/>
        <v>413747.41243052133</v>
      </c>
      <c r="AB49" s="366"/>
    </row>
    <row r="50" spans="1:28" x14ac:dyDescent="0.2">
      <c r="A50" s="366"/>
      <c r="B50" s="47" t="str">
        <f>DFIE!$B41</f>
        <v>Schaffhausen</v>
      </c>
      <c r="C50" s="43">
        <v>270236373.36000001</v>
      </c>
      <c r="D50" s="43">
        <v>23549928.550000001</v>
      </c>
      <c r="E50" s="43">
        <v>694620.95</v>
      </c>
      <c r="F50" s="43">
        <v>382260594.81</v>
      </c>
      <c r="G50" s="43">
        <v>0</v>
      </c>
      <c r="H50" s="43">
        <v>0</v>
      </c>
      <c r="I50" s="43">
        <v>0</v>
      </c>
      <c r="J50" s="22">
        <f t="shared" si="3"/>
        <v>676741517.67000008</v>
      </c>
      <c r="K50" s="105"/>
      <c r="L50" s="89" t="s">
        <v>60</v>
      </c>
      <c r="M50" s="89" t="s">
        <v>92</v>
      </c>
      <c r="N50" s="90">
        <f>0.6*N41</f>
        <v>0.2208</v>
      </c>
      <c r="O50" s="105"/>
      <c r="P50" s="20" t="str">
        <f>DFIE!$B41</f>
        <v>Schaffhausen</v>
      </c>
      <c r="Q50" s="93">
        <f t="shared" si="4"/>
        <v>99446.985396480013</v>
      </c>
      <c r="R50" s="93">
        <f t="shared" si="5"/>
        <v>8666.3737063999997</v>
      </c>
      <c r="S50" s="93">
        <f t="shared" si="6"/>
        <v>223.66794589999998</v>
      </c>
      <c r="T50" s="93">
        <f t="shared" si="7"/>
        <v>65405.805195627378</v>
      </c>
      <c r="U50" s="93">
        <f t="shared" si="8"/>
        <v>0</v>
      </c>
      <c r="V50" s="93">
        <f t="shared" si="9"/>
        <v>0</v>
      </c>
      <c r="W50" s="93">
        <f t="shared" si="10"/>
        <v>0</v>
      </c>
      <c r="X50" s="93">
        <f t="shared" si="11"/>
        <v>74295.846847927372</v>
      </c>
      <c r="Y50" s="93">
        <f t="shared" si="12"/>
        <v>55721.885135945529</v>
      </c>
      <c r="Z50" s="94">
        <v>0</v>
      </c>
      <c r="AA50" s="22">
        <f t="shared" si="13"/>
        <v>155168.87053242553</v>
      </c>
      <c r="AB50" s="366"/>
    </row>
    <row r="51" spans="1:28" x14ac:dyDescent="0.2">
      <c r="A51" s="366"/>
      <c r="B51" s="46" t="str">
        <f>DFIE!$B42</f>
        <v>Appenzell A.Rh.</v>
      </c>
      <c r="C51" s="61">
        <v>83475340</v>
      </c>
      <c r="D51" s="61">
        <v>9235395</v>
      </c>
      <c r="E51" s="61">
        <v>14415122</v>
      </c>
      <c r="F51" s="61">
        <v>4984453</v>
      </c>
      <c r="G51" s="61">
        <v>0</v>
      </c>
      <c r="H51" s="61">
        <v>0</v>
      </c>
      <c r="I51" s="61">
        <v>0</v>
      </c>
      <c r="J51" s="18">
        <f t="shared" si="3"/>
        <v>112110310</v>
      </c>
      <c r="K51" s="105"/>
      <c r="L51" s="57"/>
      <c r="M51" s="57"/>
      <c r="N51" s="106"/>
      <c r="O51" s="105"/>
      <c r="P51" s="16" t="str">
        <f>DFIE!$B42</f>
        <v>Appenzell A.Rh.</v>
      </c>
      <c r="Q51" s="91">
        <f t="shared" si="4"/>
        <v>30718.92512</v>
      </c>
      <c r="R51" s="91">
        <f t="shared" si="5"/>
        <v>3398.62536</v>
      </c>
      <c r="S51" s="91">
        <f t="shared" si="6"/>
        <v>4641.6692839999996</v>
      </c>
      <c r="T51" s="91">
        <f t="shared" si="7"/>
        <v>852.85317490494299</v>
      </c>
      <c r="U51" s="91">
        <f t="shared" si="8"/>
        <v>0</v>
      </c>
      <c r="V51" s="91">
        <f t="shared" si="9"/>
        <v>0</v>
      </c>
      <c r="W51" s="91">
        <f t="shared" si="10"/>
        <v>0</v>
      </c>
      <c r="X51" s="91">
        <f t="shared" si="11"/>
        <v>8893.1478189049431</v>
      </c>
      <c r="Y51" s="91">
        <f t="shared" si="12"/>
        <v>6669.8608641787068</v>
      </c>
      <c r="Z51" s="95">
        <v>0</v>
      </c>
      <c r="AA51" s="18">
        <f t="shared" si="13"/>
        <v>37388.785984178707</v>
      </c>
      <c r="AB51" s="366"/>
    </row>
    <row r="52" spans="1:28" x14ac:dyDescent="0.2">
      <c r="A52" s="366"/>
      <c r="B52" s="47" t="str">
        <f>DFIE!$B43</f>
        <v>Appenzell I.Rh.</v>
      </c>
      <c r="C52" s="43">
        <v>21504292.219999999</v>
      </c>
      <c r="D52" s="43">
        <v>2605428.56</v>
      </c>
      <c r="E52" s="43">
        <v>5907019.3300000001</v>
      </c>
      <c r="F52" s="43">
        <v>564271.55000000005</v>
      </c>
      <c r="G52" s="43">
        <v>0</v>
      </c>
      <c r="H52" s="43">
        <v>0</v>
      </c>
      <c r="I52" s="43">
        <v>0</v>
      </c>
      <c r="J52" s="22">
        <f t="shared" si="3"/>
        <v>30581011.66</v>
      </c>
      <c r="K52" s="105"/>
      <c r="L52" s="57"/>
      <c r="M52" s="57"/>
      <c r="N52" s="57"/>
      <c r="O52" s="105"/>
      <c r="P52" s="20" t="str">
        <f>DFIE!$B43</f>
        <v>Appenzell I.Rh.</v>
      </c>
      <c r="Q52" s="93">
        <f t="shared" si="4"/>
        <v>7913.5795369599991</v>
      </c>
      <c r="R52" s="93">
        <f t="shared" si="5"/>
        <v>958.79771008</v>
      </c>
      <c r="S52" s="93">
        <f t="shared" si="6"/>
        <v>1902.06022426</v>
      </c>
      <c r="T52" s="93">
        <f t="shared" si="7"/>
        <v>96.54836406844106</v>
      </c>
      <c r="U52" s="93">
        <f t="shared" si="8"/>
        <v>0</v>
      </c>
      <c r="V52" s="93">
        <f t="shared" si="9"/>
        <v>0</v>
      </c>
      <c r="W52" s="93">
        <f t="shared" si="10"/>
        <v>0</v>
      </c>
      <c r="X52" s="93">
        <f t="shared" si="11"/>
        <v>2957.4062984084412</v>
      </c>
      <c r="Y52" s="93">
        <f t="shared" si="12"/>
        <v>2218.0547238063309</v>
      </c>
      <c r="Z52" s="94">
        <v>0</v>
      </c>
      <c r="AA52" s="22">
        <f t="shared" si="13"/>
        <v>10131.63426076633</v>
      </c>
      <c r="AB52" s="366"/>
    </row>
    <row r="53" spans="1:28" x14ac:dyDescent="0.2">
      <c r="A53" s="366"/>
      <c r="B53" s="46" t="str">
        <f>DFIE!$B44</f>
        <v>St. Gallen</v>
      </c>
      <c r="C53" s="61">
        <v>830945723.5</v>
      </c>
      <c r="D53" s="61">
        <v>51379534.780000001</v>
      </c>
      <c r="E53" s="61">
        <v>507262240.82999998</v>
      </c>
      <c r="F53" s="61">
        <v>89848122.560000002</v>
      </c>
      <c r="G53" s="61">
        <v>0</v>
      </c>
      <c r="H53" s="61">
        <v>0</v>
      </c>
      <c r="I53" s="61">
        <v>0</v>
      </c>
      <c r="J53" s="18">
        <f t="shared" si="3"/>
        <v>1479435621.6699998</v>
      </c>
      <c r="K53" s="105"/>
      <c r="L53" s="57"/>
      <c r="M53" s="57"/>
      <c r="N53" s="106"/>
      <c r="O53" s="105"/>
      <c r="P53" s="16" t="str">
        <f>DFIE!$B44</f>
        <v>St. Gallen</v>
      </c>
      <c r="Q53" s="91">
        <f t="shared" si="4"/>
        <v>305788.02624799998</v>
      </c>
      <c r="R53" s="91">
        <f t="shared" si="5"/>
        <v>18907.668799040002</v>
      </c>
      <c r="S53" s="91">
        <f t="shared" si="6"/>
        <v>163338.44154725998</v>
      </c>
      <c r="T53" s="91">
        <f t="shared" si="7"/>
        <v>15373.252909505703</v>
      </c>
      <c r="U53" s="91">
        <f t="shared" si="8"/>
        <v>0</v>
      </c>
      <c r="V53" s="91">
        <f t="shared" si="9"/>
        <v>0</v>
      </c>
      <c r="W53" s="91">
        <f t="shared" si="10"/>
        <v>0</v>
      </c>
      <c r="X53" s="91">
        <f t="shared" si="11"/>
        <v>197619.36325580569</v>
      </c>
      <c r="Y53" s="91">
        <f t="shared" si="12"/>
        <v>148214.52244185426</v>
      </c>
      <c r="Z53" s="95">
        <v>0</v>
      </c>
      <c r="AA53" s="18">
        <f t="shared" si="13"/>
        <v>454002.54868985421</v>
      </c>
      <c r="AB53" s="366"/>
    </row>
    <row r="54" spans="1:28" x14ac:dyDescent="0.2">
      <c r="A54" s="366"/>
      <c r="B54" s="47" t="str">
        <f>DFIE!$B45</f>
        <v>Graubünden</v>
      </c>
      <c r="C54" s="43">
        <v>898391518.88</v>
      </c>
      <c r="D54" s="43">
        <v>167516760.09</v>
      </c>
      <c r="E54" s="43">
        <v>23309163.359999999</v>
      </c>
      <c r="F54" s="43">
        <v>1447294.54</v>
      </c>
      <c r="G54" s="43">
        <v>0</v>
      </c>
      <c r="H54" s="43">
        <v>0</v>
      </c>
      <c r="I54" s="43">
        <v>100227356.79000001</v>
      </c>
      <c r="J54" s="22">
        <f t="shared" si="3"/>
        <v>1190892093.6599998</v>
      </c>
      <c r="K54" s="105"/>
      <c r="L54" s="57"/>
      <c r="M54" s="57"/>
      <c r="N54" s="57"/>
      <c r="O54" s="105"/>
      <c r="P54" s="20" t="str">
        <f>DFIE!$B45</f>
        <v>Graubünden</v>
      </c>
      <c r="Q54" s="93">
        <f t="shared" si="4"/>
        <v>330608.07894783997</v>
      </c>
      <c r="R54" s="93">
        <f t="shared" si="5"/>
        <v>61646.167713119998</v>
      </c>
      <c r="S54" s="93">
        <f t="shared" si="6"/>
        <v>7505.5506019200002</v>
      </c>
      <c r="T54" s="93">
        <f t="shared" si="7"/>
        <v>247.63594790874524</v>
      </c>
      <c r="U54" s="93">
        <f t="shared" si="8"/>
        <v>0</v>
      </c>
      <c r="V54" s="93">
        <f t="shared" si="9"/>
        <v>0</v>
      </c>
      <c r="W54" s="93">
        <f t="shared" si="10"/>
        <v>22130.200379231999</v>
      </c>
      <c r="X54" s="93">
        <f t="shared" si="11"/>
        <v>91529.554642180738</v>
      </c>
      <c r="Y54" s="93">
        <f t="shared" si="12"/>
        <v>68647.165981635553</v>
      </c>
      <c r="Z54" s="94">
        <v>0</v>
      </c>
      <c r="AA54" s="22">
        <f t="shared" si="13"/>
        <v>399255.24492947554</v>
      </c>
      <c r="AB54" s="366"/>
    </row>
    <row r="55" spans="1:28" x14ac:dyDescent="0.2">
      <c r="A55" s="366"/>
      <c r="B55" s="46" t="str">
        <f>DFIE!$B46</f>
        <v>Aargau</v>
      </c>
      <c r="C55" s="61">
        <v>1311840439</v>
      </c>
      <c r="D55" s="61">
        <v>304469633</v>
      </c>
      <c r="E55" s="61">
        <v>5933642</v>
      </c>
      <c r="F55" s="61">
        <v>953427967</v>
      </c>
      <c r="G55" s="61">
        <v>0</v>
      </c>
      <c r="H55" s="61">
        <v>0</v>
      </c>
      <c r="I55" s="61">
        <v>0</v>
      </c>
      <c r="J55" s="18">
        <f t="shared" si="3"/>
        <v>2575671681</v>
      </c>
      <c r="K55" s="105"/>
      <c r="L55" s="57"/>
      <c r="M55" s="57"/>
      <c r="N55" s="106"/>
      <c r="O55" s="105"/>
      <c r="P55" s="16" t="str">
        <f>DFIE!$B46</f>
        <v>Aargau</v>
      </c>
      <c r="Q55" s="91">
        <f t="shared" si="4"/>
        <v>482757.28155199997</v>
      </c>
      <c r="R55" s="91">
        <f t="shared" si="5"/>
        <v>112044.82494399999</v>
      </c>
      <c r="S55" s="91">
        <f t="shared" si="6"/>
        <v>1910.6327240000001</v>
      </c>
      <c r="T55" s="91">
        <f t="shared" si="7"/>
        <v>163134.06279467681</v>
      </c>
      <c r="U55" s="91">
        <f t="shared" si="8"/>
        <v>0</v>
      </c>
      <c r="V55" s="91">
        <f t="shared" si="9"/>
        <v>0</v>
      </c>
      <c r="W55" s="91">
        <f t="shared" si="10"/>
        <v>0</v>
      </c>
      <c r="X55" s="91">
        <f t="shared" si="11"/>
        <v>277089.52046267677</v>
      </c>
      <c r="Y55" s="91">
        <f t="shared" si="12"/>
        <v>207817.14034700757</v>
      </c>
      <c r="Z55" s="95">
        <v>0</v>
      </c>
      <c r="AA55" s="18">
        <f t="shared" si="13"/>
        <v>690574.42189900752</v>
      </c>
      <c r="AB55" s="366"/>
    </row>
    <row r="56" spans="1:28" x14ac:dyDescent="0.2">
      <c r="A56" s="366"/>
      <c r="B56" s="47" t="str">
        <f>DFIE!$B47</f>
        <v>Thurgau</v>
      </c>
      <c r="C56" s="43">
        <v>638532573.88</v>
      </c>
      <c r="D56" s="43">
        <v>66829387.960000001</v>
      </c>
      <c r="E56" s="43">
        <v>18195011.719999999</v>
      </c>
      <c r="F56" s="43">
        <v>304653889.93000001</v>
      </c>
      <c r="G56" s="43">
        <v>0</v>
      </c>
      <c r="H56" s="43">
        <v>0</v>
      </c>
      <c r="I56" s="43">
        <v>0</v>
      </c>
      <c r="J56" s="22">
        <f t="shared" si="3"/>
        <v>1028210863.49</v>
      </c>
      <c r="K56" s="105"/>
      <c r="L56" s="57"/>
      <c r="M56" s="57"/>
      <c r="N56" s="57"/>
      <c r="O56" s="105"/>
      <c r="P56" s="20" t="str">
        <f>DFIE!$B47</f>
        <v>Thurgau</v>
      </c>
      <c r="Q56" s="93">
        <f t="shared" si="4"/>
        <v>234979.98718783999</v>
      </c>
      <c r="R56" s="93">
        <f t="shared" si="5"/>
        <v>24593.214769280003</v>
      </c>
      <c r="S56" s="93">
        <f t="shared" si="6"/>
        <v>5858.7937738399996</v>
      </c>
      <c r="T56" s="93">
        <f t="shared" si="7"/>
        <v>52127.091432889727</v>
      </c>
      <c r="U56" s="93">
        <f t="shared" si="8"/>
        <v>0</v>
      </c>
      <c r="V56" s="93">
        <f t="shared" si="9"/>
        <v>0</v>
      </c>
      <c r="W56" s="93">
        <f t="shared" si="10"/>
        <v>0</v>
      </c>
      <c r="X56" s="93">
        <f t="shared" si="11"/>
        <v>82579.099976009733</v>
      </c>
      <c r="Y56" s="93">
        <f t="shared" si="12"/>
        <v>61934.324982007296</v>
      </c>
      <c r="Z56" s="94">
        <v>0</v>
      </c>
      <c r="AA56" s="22">
        <f t="shared" si="13"/>
        <v>296914.31216984731</v>
      </c>
      <c r="AB56" s="366"/>
    </row>
    <row r="57" spans="1:28" x14ac:dyDescent="0.2">
      <c r="A57" s="366"/>
      <c r="B57" s="46" t="str">
        <f>DFIE!$B48</f>
        <v>Tessin</v>
      </c>
      <c r="C57" s="61">
        <v>1056268232</v>
      </c>
      <c r="D57" s="61">
        <v>543041611</v>
      </c>
      <c r="E57" s="61">
        <v>443863</v>
      </c>
      <c r="F57" s="61">
        <v>0</v>
      </c>
      <c r="G57" s="61">
        <v>0</v>
      </c>
      <c r="H57" s="61">
        <v>0</v>
      </c>
      <c r="I57" s="61">
        <v>2877849262</v>
      </c>
      <c r="J57" s="18">
        <f t="shared" si="3"/>
        <v>4477602968</v>
      </c>
      <c r="K57" s="105"/>
      <c r="L57" s="57"/>
      <c r="M57" s="57"/>
      <c r="N57" s="106"/>
      <c r="O57" s="105"/>
      <c r="P57" s="16" t="str">
        <f>DFIE!$B48</f>
        <v>Tessin</v>
      </c>
      <c r="Q57" s="91">
        <f t="shared" si="4"/>
        <v>388706.70937599998</v>
      </c>
      <c r="R57" s="91">
        <f t="shared" si="5"/>
        <v>199839.312848</v>
      </c>
      <c r="S57" s="91">
        <f t="shared" si="6"/>
        <v>142.92388600000001</v>
      </c>
      <c r="T57" s="91">
        <f t="shared" si="7"/>
        <v>0</v>
      </c>
      <c r="U57" s="91">
        <f t="shared" si="8"/>
        <v>0</v>
      </c>
      <c r="V57" s="91">
        <f t="shared" si="9"/>
        <v>0</v>
      </c>
      <c r="W57" s="91">
        <f t="shared" si="10"/>
        <v>635429.1170496</v>
      </c>
      <c r="X57" s="91">
        <f t="shared" si="11"/>
        <v>835411.35378360003</v>
      </c>
      <c r="Y57" s="91">
        <f t="shared" si="12"/>
        <v>626558.51533770002</v>
      </c>
      <c r="Z57" s="95">
        <v>0</v>
      </c>
      <c r="AA57" s="18">
        <f t="shared" si="13"/>
        <v>1015265.2247137</v>
      </c>
      <c r="AB57" s="366"/>
    </row>
    <row r="58" spans="1:28" x14ac:dyDescent="0.2">
      <c r="A58" s="366"/>
      <c r="B58" s="47" t="str">
        <f>DFIE!$B49</f>
        <v>Waadt</v>
      </c>
      <c r="C58" s="43">
        <v>2933734337</v>
      </c>
      <c r="D58" s="43">
        <v>0</v>
      </c>
      <c r="E58" s="43">
        <v>0</v>
      </c>
      <c r="F58" s="43">
        <v>0</v>
      </c>
      <c r="G58" s="43">
        <v>0</v>
      </c>
      <c r="H58" s="43">
        <v>2259595294.77</v>
      </c>
      <c r="I58" s="43">
        <v>0</v>
      </c>
      <c r="J58" s="22">
        <f t="shared" si="3"/>
        <v>5193329631.7700005</v>
      </c>
      <c r="K58" s="105"/>
      <c r="L58" s="57"/>
      <c r="M58" s="57"/>
      <c r="N58" s="57"/>
      <c r="O58" s="105"/>
      <c r="P58" s="20" t="str">
        <f>DFIE!$B49</f>
        <v>Waadt</v>
      </c>
      <c r="Q58" s="93">
        <f t="shared" si="4"/>
        <v>1079614.2360159999</v>
      </c>
      <c r="R58" s="93">
        <f t="shared" si="5"/>
        <v>0</v>
      </c>
      <c r="S58" s="93">
        <f t="shared" si="6"/>
        <v>0</v>
      </c>
      <c r="T58" s="93">
        <f t="shared" si="7"/>
        <v>0</v>
      </c>
      <c r="U58" s="93">
        <f t="shared" si="8"/>
        <v>0</v>
      </c>
      <c r="V58" s="93">
        <f t="shared" si="9"/>
        <v>386622.76906711026</v>
      </c>
      <c r="W58" s="93">
        <f t="shared" si="10"/>
        <v>0</v>
      </c>
      <c r="X58" s="93">
        <f t="shared" si="11"/>
        <v>386622.76906711026</v>
      </c>
      <c r="Y58" s="93">
        <f t="shared" si="12"/>
        <v>289967.0768003327</v>
      </c>
      <c r="Z58" s="94">
        <v>0</v>
      </c>
      <c r="AA58" s="22">
        <f t="shared" si="13"/>
        <v>1369581.3128163326</v>
      </c>
      <c r="AB58" s="366"/>
    </row>
    <row r="59" spans="1:28" x14ac:dyDescent="0.2">
      <c r="A59" s="366"/>
      <c r="B59" s="46" t="str">
        <f>DFIE!$B50</f>
        <v>Wallis</v>
      </c>
      <c r="C59" s="61">
        <v>1155134872.25</v>
      </c>
      <c r="D59" s="61">
        <v>11155233.33</v>
      </c>
      <c r="E59" s="61">
        <v>0</v>
      </c>
      <c r="F59" s="61">
        <v>274275.8</v>
      </c>
      <c r="G59" s="61">
        <v>0</v>
      </c>
      <c r="H59" s="61">
        <v>105510868.93000001</v>
      </c>
      <c r="I59" s="61">
        <v>69909208.519999996</v>
      </c>
      <c r="J59" s="18">
        <f t="shared" si="3"/>
        <v>1341984458.8299999</v>
      </c>
      <c r="K59" s="105"/>
      <c r="L59" s="57"/>
      <c r="M59" s="57"/>
      <c r="N59" s="57"/>
      <c r="O59" s="105"/>
      <c r="P59" s="16" t="str">
        <f>DFIE!$B50</f>
        <v>Wallis</v>
      </c>
      <c r="Q59" s="91">
        <f t="shared" si="4"/>
        <v>425089.632988</v>
      </c>
      <c r="R59" s="91">
        <f t="shared" si="5"/>
        <v>4105.1258654399999</v>
      </c>
      <c r="S59" s="91">
        <f t="shared" si="6"/>
        <v>0</v>
      </c>
      <c r="T59" s="91">
        <f t="shared" si="7"/>
        <v>46.929319391634976</v>
      </c>
      <c r="U59" s="91">
        <f t="shared" si="8"/>
        <v>0</v>
      </c>
      <c r="V59" s="91">
        <f t="shared" si="9"/>
        <v>18053.190501330799</v>
      </c>
      <c r="W59" s="91">
        <f t="shared" si="10"/>
        <v>15435.953241215999</v>
      </c>
      <c r="X59" s="91">
        <f t="shared" si="11"/>
        <v>37641.198927378435</v>
      </c>
      <c r="Y59" s="91">
        <f t="shared" si="12"/>
        <v>28230.899195533828</v>
      </c>
      <c r="Z59" s="95">
        <v>0</v>
      </c>
      <c r="AA59" s="18">
        <f t="shared" si="13"/>
        <v>453320.53218353383</v>
      </c>
      <c r="AB59" s="366"/>
    </row>
    <row r="60" spans="1:28" x14ac:dyDescent="0.2">
      <c r="A60" s="366"/>
      <c r="B60" s="47" t="str">
        <f>DFIE!$B51</f>
        <v>Neuenburg</v>
      </c>
      <c r="C60" s="43">
        <v>439437904</v>
      </c>
      <c r="D60" s="43">
        <v>51338511</v>
      </c>
      <c r="E60" s="43">
        <v>4313</v>
      </c>
      <c r="F60" s="43">
        <v>303146</v>
      </c>
      <c r="G60" s="43">
        <v>0</v>
      </c>
      <c r="H60" s="43">
        <v>983341991</v>
      </c>
      <c r="I60" s="43">
        <v>0</v>
      </c>
      <c r="J60" s="22">
        <f t="shared" si="3"/>
        <v>1474425865</v>
      </c>
      <c r="K60" s="105"/>
      <c r="L60" s="57"/>
      <c r="M60" s="57"/>
      <c r="N60" s="57"/>
      <c r="O60" s="105"/>
      <c r="P60" s="20" t="str">
        <f>DFIE!$B51</f>
        <v>Neuenburg</v>
      </c>
      <c r="Q60" s="93">
        <f t="shared" si="4"/>
        <v>161713.14867199998</v>
      </c>
      <c r="R60" s="93">
        <f t="shared" si="5"/>
        <v>18892.572048000002</v>
      </c>
      <c r="S60" s="93">
        <f t="shared" si="6"/>
        <v>1.3887860000000001</v>
      </c>
      <c r="T60" s="93">
        <f t="shared" si="7"/>
        <v>51.869087452471483</v>
      </c>
      <c r="U60" s="93">
        <f t="shared" si="8"/>
        <v>0</v>
      </c>
      <c r="V60" s="93">
        <f t="shared" si="9"/>
        <v>168252.4319201521</v>
      </c>
      <c r="W60" s="93">
        <f t="shared" si="10"/>
        <v>0</v>
      </c>
      <c r="X60" s="93">
        <f t="shared" si="11"/>
        <v>187198.26184160457</v>
      </c>
      <c r="Y60" s="93">
        <f t="shared" si="12"/>
        <v>140398.69638120342</v>
      </c>
      <c r="Z60" s="94">
        <v>0</v>
      </c>
      <c r="AA60" s="22">
        <f t="shared" si="13"/>
        <v>302111.8450532034</v>
      </c>
      <c r="AB60" s="366"/>
    </row>
    <row r="61" spans="1:28" x14ac:dyDescent="0.2">
      <c r="A61" s="366"/>
      <c r="B61" s="46" t="str">
        <f>DFIE!$B52</f>
        <v>Genf</v>
      </c>
      <c r="C61" s="61">
        <v>2206952196</v>
      </c>
      <c r="D61" s="61">
        <v>509029639</v>
      </c>
      <c r="E61" s="61">
        <v>1595721</v>
      </c>
      <c r="F61" s="61">
        <v>0</v>
      </c>
      <c r="G61" s="61">
        <v>8191783359</v>
      </c>
      <c r="H61" s="61">
        <v>0</v>
      </c>
      <c r="I61" s="61">
        <v>0</v>
      </c>
      <c r="J61" s="18">
        <f t="shared" si="3"/>
        <v>10909360915</v>
      </c>
      <c r="K61" s="105"/>
      <c r="L61" s="57"/>
      <c r="M61" s="57"/>
      <c r="N61" s="57"/>
      <c r="O61" s="105"/>
      <c r="P61" s="16" t="str">
        <f>DFIE!$B52</f>
        <v>Genf</v>
      </c>
      <c r="Q61" s="91">
        <f t="shared" si="4"/>
        <v>812158.40812799998</v>
      </c>
      <c r="R61" s="91">
        <f t="shared" si="5"/>
        <v>187322.907152</v>
      </c>
      <c r="S61" s="91">
        <f t="shared" si="6"/>
        <v>513.82216200000005</v>
      </c>
      <c r="T61" s="91">
        <f t="shared" si="7"/>
        <v>0</v>
      </c>
      <c r="U61" s="91">
        <f t="shared" si="8"/>
        <v>1924414.9925948896</v>
      </c>
      <c r="V61" s="91">
        <f t="shared" si="9"/>
        <v>0</v>
      </c>
      <c r="W61" s="91">
        <f t="shared" si="10"/>
        <v>0</v>
      </c>
      <c r="X61" s="91">
        <f t="shared" si="11"/>
        <v>2112251.7219088897</v>
      </c>
      <c r="Y61" s="91">
        <f t="shared" si="12"/>
        <v>1584188.7914316673</v>
      </c>
      <c r="Z61" s="95">
        <v>0</v>
      </c>
      <c r="AA61" s="18">
        <f t="shared" si="13"/>
        <v>2396347.1995596671</v>
      </c>
      <c r="AB61" s="366"/>
    </row>
    <row r="62" spans="1:28" x14ac:dyDescent="0.2">
      <c r="A62" s="366"/>
      <c r="B62" s="47" t="str">
        <f>DFIE!$B53</f>
        <v>Jura</v>
      </c>
      <c r="C62" s="43">
        <v>90710430.799999997</v>
      </c>
      <c r="D62" s="43">
        <v>11084578</v>
      </c>
      <c r="E62" s="43">
        <v>0</v>
      </c>
      <c r="F62" s="43">
        <v>728239</v>
      </c>
      <c r="G62" s="43">
        <v>0</v>
      </c>
      <c r="H62" s="43">
        <v>538035318</v>
      </c>
      <c r="I62" s="43">
        <v>0</v>
      </c>
      <c r="J62" s="22">
        <f t="shared" si="3"/>
        <v>640558565.79999995</v>
      </c>
      <c r="K62" s="105"/>
      <c r="L62" s="57"/>
      <c r="M62" s="57"/>
      <c r="N62" s="57"/>
      <c r="O62" s="105"/>
      <c r="P62" s="20" t="str">
        <f>DFIE!$B53</f>
        <v>Jura</v>
      </c>
      <c r="Q62" s="93">
        <f t="shared" si="4"/>
        <v>33381.438534399997</v>
      </c>
      <c r="R62" s="93">
        <f t="shared" si="5"/>
        <v>4079.1247039999998</v>
      </c>
      <c r="S62" s="93">
        <f t="shared" si="6"/>
        <v>0</v>
      </c>
      <c r="T62" s="93">
        <f t="shared" si="7"/>
        <v>124.60363117870722</v>
      </c>
      <c r="U62" s="93">
        <f t="shared" si="8"/>
        <v>0</v>
      </c>
      <c r="V62" s="93">
        <f t="shared" si="9"/>
        <v>92059.274942965771</v>
      </c>
      <c r="W62" s="93">
        <f t="shared" si="10"/>
        <v>0</v>
      </c>
      <c r="X62" s="93">
        <f t="shared" si="11"/>
        <v>96263.003278144475</v>
      </c>
      <c r="Y62" s="93">
        <f t="shared" si="12"/>
        <v>72197.25245860836</v>
      </c>
      <c r="Z62" s="94">
        <v>0</v>
      </c>
      <c r="AA62" s="22">
        <f t="shared" si="13"/>
        <v>105578.69099300835</v>
      </c>
      <c r="AB62" s="366"/>
    </row>
    <row r="63" spans="1:28" x14ac:dyDescent="0.2">
      <c r="A63" s="366"/>
      <c r="B63" s="24" t="str">
        <f>DFIE!$B54</f>
        <v>Schweiz</v>
      </c>
      <c r="C63" s="67">
        <f t="shared" ref="C63:I63" si="14">SUM(C37:C62)</f>
        <v>23569005330.969997</v>
      </c>
      <c r="D63" s="67">
        <f t="shared" si="14"/>
        <v>2811381051.6499996</v>
      </c>
      <c r="E63" s="67">
        <f t="shared" si="14"/>
        <v>598765670.62</v>
      </c>
      <c r="F63" s="67">
        <f t="shared" si="14"/>
        <v>4744985187.4300003</v>
      </c>
      <c r="G63" s="67">
        <f t="shared" si="14"/>
        <v>8191783359</v>
      </c>
      <c r="H63" s="67">
        <f t="shared" si="14"/>
        <v>6820212872.0400009</v>
      </c>
      <c r="I63" s="67">
        <f t="shared" si="14"/>
        <v>3047985827.3099999</v>
      </c>
      <c r="J63" s="66">
        <f t="shared" si="3"/>
        <v>49784119299.019997</v>
      </c>
      <c r="K63" s="57"/>
      <c r="L63" s="57"/>
      <c r="M63" s="57"/>
      <c r="N63" s="57"/>
      <c r="O63" s="57"/>
      <c r="P63" s="24" t="str">
        <f>DFIE!$B54</f>
        <v>Schweiz</v>
      </c>
      <c r="Q63" s="100">
        <f t="shared" ref="Q63:Z63" si="15">SUM(Q37:Q62)</f>
        <v>8673393.9617969599</v>
      </c>
      <c r="R63" s="100">
        <f t="shared" si="15"/>
        <v>1034588.2270072</v>
      </c>
      <c r="S63" s="31">
        <f t="shared" si="15"/>
        <v>192802.54593963997</v>
      </c>
      <c r="T63" s="31">
        <f t="shared" si="15"/>
        <v>811879.59480741445</v>
      </c>
      <c r="U63" s="31">
        <f t="shared" si="15"/>
        <v>1924414.9925948896</v>
      </c>
      <c r="V63" s="31">
        <f t="shared" si="15"/>
        <v>1166956.5750638782</v>
      </c>
      <c r="W63" s="31">
        <f t="shared" si="15"/>
        <v>672995.27067004796</v>
      </c>
      <c r="X63" s="31">
        <f t="shared" si="15"/>
        <v>5803637.2060830705</v>
      </c>
      <c r="Y63" s="31">
        <f>SUM(Y37:Y62)</f>
        <v>4352727.9045623029</v>
      </c>
      <c r="Z63" s="66">
        <f t="shared" si="15"/>
        <v>0</v>
      </c>
      <c r="AA63" s="26">
        <f>SUM(AA37:AA62)</f>
        <v>13026121.866359266</v>
      </c>
      <c r="AB63" s="366"/>
    </row>
    <row r="64" spans="1:28" ht="14.25" customHeight="1" x14ac:dyDescent="0.2">
      <c r="A64" s="33"/>
      <c r="B64" s="81"/>
      <c r="C64" s="81"/>
      <c r="D64" s="81"/>
      <c r="E64" s="81"/>
      <c r="F64" s="81"/>
      <c r="G64" s="81"/>
      <c r="H64" s="81"/>
      <c r="I64" s="81"/>
      <c r="J64" s="81"/>
      <c r="P64" s="81"/>
      <c r="Q64" s="81"/>
      <c r="R64" s="81"/>
      <c r="S64" s="81"/>
      <c r="T64" s="81"/>
      <c r="U64" s="81"/>
      <c r="V64" s="81"/>
      <c r="W64" s="81"/>
      <c r="X64" s="81"/>
      <c r="Y64" s="81"/>
      <c r="Z64" s="81"/>
      <c r="AA64" s="81"/>
    </row>
    <row r="65" spans="1:28" ht="12.75" customHeight="1" x14ac:dyDescent="0.2">
      <c r="A65" s="367" t="str">
        <f>DFIE!$B$71</f>
        <v>Bemessungsjahr 2016</v>
      </c>
      <c r="B65" s="48" t="str">
        <f>DFIE!$B28</f>
        <v>Zürich</v>
      </c>
      <c r="C65" s="49">
        <v>5995343401</v>
      </c>
      <c r="D65" s="49">
        <v>60105393</v>
      </c>
      <c r="E65" s="49">
        <v>0</v>
      </c>
      <c r="F65" s="49">
        <v>613457544</v>
      </c>
      <c r="G65" s="49">
        <v>0</v>
      </c>
      <c r="H65" s="49">
        <v>0</v>
      </c>
      <c r="I65" s="49">
        <v>0</v>
      </c>
      <c r="J65" s="50">
        <f t="shared" ref="J65:J91" si="16">SUM(C65:I65)</f>
        <v>6668906338</v>
      </c>
      <c r="K65" s="107"/>
      <c r="L65" s="59"/>
      <c r="M65" s="59"/>
      <c r="N65" s="59"/>
      <c r="O65" s="107"/>
      <c r="P65" s="96" t="str">
        <f>DFIE!$B28</f>
        <v>Zürich</v>
      </c>
      <c r="Q65" s="97">
        <f>C65*N$77/1000</f>
        <v>2230267.745172</v>
      </c>
      <c r="R65" s="97">
        <f>D65*N$78/1000</f>
        <v>22359.206195999999</v>
      </c>
      <c r="S65" s="98">
        <f>E65*N$79/1000</f>
        <v>0</v>
      </c>
      <c r="T65" s="98">
        <f>F65*N$80/1000</f>
        <v>105768.54206896551</v>
      </c>
      <c r="U65" s="98">
        <f>G65*N$81/1000</f>
        <v>0</v>
      </c>
      <c r="V65" s="98">
        <f>H65*N$82/1000</f>
        <v>0</v>
      </c>
      <c r="W65" s="98">
        <f>I65*N$83/1000</f>
        <v>0</v>
      </c>
      <c r="X65" s="98">
        <f t="shared" ref="X65:X90" si="17">SUM(R65:W65)</f>
        <v>128127.74826496551</v>
      </c>
      <c r="Y65" s="98">
        <f>X65*$N$67</f>
        <v>96095.811198724143</v>
      </c>
      <c r="Z65" s="92">
        <v>0</v>
      </c>
      <c r="AA65" s="99">
        <f t="shared" ref="AA65:AA90" si="18">IF(Z65=0,Y65+Q65,Z65)</f>
        <v>2326363.556370724</v>
      </c>
      <c r="AB65" s="367" t="str">
        <f>DFIE!$B$71</f>
        <v>Bemessungsjahr 2016</v>
      </c>
    </row>
    <row r="66" spans="1:28" x14ac:dyDescent="0.2">
      <c r="A66" s="367"/>
      <c r="B66" s="47" t="str">
        <f>DFIE!$B29</f>
        <v>Bern</v>
      </c>
      <c r="C66" s="43">
        <v>1416598346</v>
      </c>
      <c r="D66" s="43">
        <v>178393473</v>
      </c>
      <c r="E66" s="43">
        <v>320553</v>
      </c>
      <c r="F66" s="43">
        <v>21335427</v>
      </c>
      <c r="G66" s="43">
        <v>0</v>
      </c>
      <c r="H66" s="43">
        <v>153084795</v>
      </c>
      <c r="I66" s="43">
        <v>0</v>
      </c>
      <c r="J66" s="22">
        <f t="shared" si="16"/>
        <v>1769732594</v>
      </c>
      <c r="K66" s="107"/>
      <c r="L66" s="83" t="str">
        <f>DFIE!$B$97</f>
        <v>Standardisierter Steuersatz SST(2019)</v>
      </c>
      <c r="M66" s="82"/>
      <c r="N66" s="101">
        <v>0.26100000000000001</v>
      </c>
      <c r="O66" s="107"/>
      <c r="P66" s="20" t="str">
        <f>DFIE!$B29</f>
        <v>Bern</v>
      </c>
      <c r="Q66" s="93">
        <f t="shared" ref="Q66:Q90" si="19">C66*N$77/1000</f>
        <v>526974.58471199998</v>
      </c>
      <c r="R66" s="93">
        <f t="shared" ref="R66:R90" si="20">D66*N$78/1000</f>
        <v>66362.371956000003</v>
      </c>
      <c r="S66" s="93">
        <f t="shared" ref="S66:S90" si="21">E66*N$79/1000</f>
        <v>104.3400015</v>
      </c>
      <c r="T66" s="93">
        <f t="shared" ref="T66:T90" si="22">F66*N$80/1000</f>
        <v>3678.5218965517238</v>
      </c>
      <c r="U66" s="93">
        <f t="shared" ref="U66:U90" si="23">G66*N$81/1000</f>
        <v>0</v>
      </c>
      <c r="V66" s="93">
        <f t="shared" ref="V66:V90" si="24">H66*N$82/1000</f>
        <v>26393.930172413791</v>
      </c>
      <c r="W66" s="93">
        <f t="shared" ref="W66:W90" si="25">I66*N$83/1000</f>
        <v>0</v>
      </c>
      <c r="X66" s="93">
        <f t="shared" si="17"/>
        <v>96539.164026465514</v>
      </c>
      <c r="Y66" s="93">
        <f t="shared" ref="Y66:Y90" si="26">X66*$N$67</f>
        <v>72404.373019849139</v>
      </c>
      <c r="Z66" s="94">
        <v>0</v>
      </c>
      <c r="AA66" s="22">
        <f t="shared" si="18"/>
        <v>599378.95773184916</v>
      </c>
      <c r="AB66" s="367"/>
    </row>
    <row r="67" spans="1:28" x14ac:dyDescent="0.2">
      <c r="A67" s="367"/>
      <c r="B67" s="46" t="str">
        <f>DFIE!$B30</f>
        <v>Luzern</v>
      </c>
      <c r="C67" s="61">
        <v>731143683</v>
      </c>
      <c r="D67" s="61">
        <v>80776314</v>
      </c>
      <c r="E67" s="61">
        <v>1250439</v>
      </c>
      <c r="F67" s="61">
        <v>10361796</v>
      </c>
      <c r="G67" s="61">
        <v>0</v>
      </c>
      <c r="H67" s="61">
        <v>0</v>
      </c>
      <c r="I67" s="61">
        <v>0</v>
      </c>
      <c r="J67" s="18">
        <f t="shared" si="16"/>
        <v>823532232</v>
      </c>
      <c r="K67" s="107"/>
      <c r="L67" s="83" t="str">
        <f>DFIE!$B$98</f>
        <v>Faktor Delta</v>
      </c>
      <c r="M67" s="83"/>
      <c r="N67" s="101">
        <v>0.75</v>
      </c>
      <c r="O67" s="107"/>
      <c r="P67" s="16" t="str">
        <f>DFIE!$B30</f>
        <v>Luzern</v>
      </c>
      <c r="Q67" s="91">
        <f t="shared" si="19"/>
        <v>271985.45007599995</v>
      </c>
      <c r="R67" s="91">
        <f t="shared" si="20"/>
        <v>30048.788807999998</v>
      </c>
      <c r="S67" s="91">
        <f t="shared" si="21"/>
        <v>407.01789450000001</v>
      </c>
      <c r="T67" s="91">
        <f t="shared" si="22"/>
        <v>1786.5165517241378</v>
      </c>
      <c r="U67" s="91">
        <f t="shared" si="23"/>
        <v>0</v>
      </c>
      <c r="V67" s="91">
        <f t="shared" si="24"/>
        <v>0</v>
      </c>
      <c r="W67" s="91">
        <f t="shared" si="25"/>
        <v>0</v>
      </c>
      <c r="X67" s="91">
        <f t="shared" si="17"/>
        <v>32242.323254224135</v>
      </c>
      <c r="Y67" s="91">
        <f t="shared" si="26"/>
        <v>24181.742440668102</v>
      </c>
      <c r="Z67" s="95">
        <v>0</v>
      </c>
      <c r="AA67" s="18">
        <f t="shared" si="18"/>
        <v>296167.19251666806</v>
      </c>
      <c r="AB67" s="367"/>
    </row>
    <row r="68" spans="1:28" x14ac:dyDescent="0.2">
      <c r="A68" s="367"/>
      <c r="B68" s="47" t="str">
        <f>DFIE!$B31</f>
        <v>Uri</v>
      </c>
      <c r="C68" s="43">
        <v>78767160</v>
      </c>
      <c r="D68" s="43">
        <v>1105931</v>
      </c>
      <c r="E68" s="43">
        <v>0</v>
      </c>
      <c r="F68" s="43">
        <v>83080</v>
      </c>
      <c r="G68" s="43">
        <v>0</v>
      </c>
      <c r="H68" s="43">
        <v>0</v>
      </c>
      <c r="I68" s="43">
        <v>0</v>
      </c>
      <c r="J68" s="22">
        <f t="shared" si="16"/>
        <v>79956171</v>
      </c>
      <c r="K68" s="107"/>
      <c r="L68" s="59"/>
      <c r="M68" s="59"/>
      <c r="N68" s="59"/>
      <c r="O68" s="107"/>
      <c r="P68" s="20" t="str">
        <f>DFIE!$B31</f>
        <v>Uri</v>
      </c>
      <c r="Q68" s="93">
        <f t="shared" si="19"/>
        <v>29301.383519999999</v>
      </c>
      <c r="R68" s="93">
        <f t="shared" si="20"/>
        <v>411.40633200000002</v>
      </c>
      <c r="S68" s="93">
        <f t="shared" si="21"/>
        <v>0</v>
      </c>
      <c r="T68" s="93">
        <f t="shared" si="22"/>
        <v>14.324137931034482</v>
      </c>
      <c r="U68" s="93">
        <f t="shared" si="23"/>
        <v>0</v>
      </c>
      <c r="V68" s="93">
        <f t="shared" si="24"/>
        <v>0</v>
      </c>
      <c r="W68" s="93">
        <f t="shared" si="25"/>
        <v>0</v>
      </c>
      <c r="X68" s="93">
        <f t="shared" si="17"/>
        <v>425.73046993103452</v>
      </c>
      <c r="Y68" s="93">
        <f t="shared" si="26"/>
        <v>319.29785244827588</v>
      </c>
      <c r="Z68" s="94">
        <v>0</v>
      </c>
      <c r="AA68" s="22">
        <f t="shared" si="18"/>
        <v>29620.681372448274</v>
      </c>
      <c r="AB68" s="367"/>
    </row>
    <row r="69" spans="1:28" x14ac:dyDescent="0.2">
      <c r="A69" s="367"/>
      <c r="B69" s="46" t="str">
        <f>DFIE!$B32</f>
        <v>Schwyz</v>
      </c>
      <c r="C69" s="61">
        <v>374020562.44</v>
      </c>
      <c r="D69" s="61">
        <v>74300388.150000006</v>
      </c>
      <c r="E69" s="61">
        <v>3096988.7</v>
      </c>
      <c r="F69" s="61">
        <v>443832.57</v>
      </c>
      <c r="G69" s="61">
        <v>0</v>
      </c>
      <c r="H69" s="61">
        <v>0</v>
      </c>
      <c r="I69" s="61">
        <v>0</v>
      </c>
      <c r="J69" s="18">
        <f t="shared" si="16"/>
        <v>451861771.86000001</v>
      </c>
      <c r="K69" s="107"/>
      <c r="L69" s="82" t="str">
        <f>DFIE!B101</f>
        <v>Berechnung Gamma 2016</v>
      </c>
      <c r="M69" s="82"/>
      <c r="N69" s="83"/>
      <c r="O69" s="107"/>
      <c r="P69" s="16" t="str">
        <f>DFIE!$B32</f>
        <v>Schwyz</v>
      </c>
      <c r="Q69" s="91">
        <f t="shared" si="19"/>
        <v>139135.64922768</v>
      </c>
      <c r="R69" s="91">
        <f t="shared" si="20"/>
        <v>27639.744391800003</v>
      </c>
      <c r="S69" s="91">
        <f t="shared" si="21"/>
        <v>1008.06982185</v>
      </c>
      <c r="T69" s="91">
        <f t="shared" si="22"/>
        <v>76.522856896551716</v>
      </c>
      <c r="U69" s="91">
        <f t="shared" si="23"/>
        <v>0</v>
      </c>
      <c r="V69" s="91">
        <f t="shared" si="24"/>
        <v>0</v>
      </c>
      <c r="W69" s="91">
        <f t="shared" si="25"/>
        <v>0</v>
      </c>
      <c r="X69" s="91">
        <f t="shared" si="17"/>
        <v>28724.337070546553</v>
      </c>
      <c r="Y69" s="91">
        <f t="shared" si="26"/>
        <v>21543.252802909916</v>
      </c>
      <c r="Z69" s="95">
        <v>0</v>
      </c>
      <c r="AA69" s="18">
        <f t="shared" si="18"/>
        <v>160678.9020305899</v>
      </c>
      <c r="AB69" s="367"/>
    </row>
    <row r="70" spans="1:28" x14ac:dyDescent="0.2">
      <c r="A70" s="367"/>
      <c r="B70" s="47" t="str">
        <f>DFIE!$B33</f>
        <v>Obwalden</v>
      </c>
      <c r="C70" s="43">
        <v>96260202.150000006</v>
      </c>
      <c r="D70" s="43">
        <v>5955904.75</v>
      </c>
      <c r="E70" s="43">
        <v>294350.75</v>
      </c>
      <c r="F70" s="43">
        <v>597000.05000000005</v>
      </c>
      <c r="G70" s="43">
        <v>0</v>
      </c>
      <c r="H70" s="43">
        <v>0</v>
      </c>
      <c r="I70" s="43">
        <v>0</v>
      </c>
      <c r="J70" s="22">
        <f t="shared" si="16"/>
        <v>103107457.7</v>
      </c>
      <c r="K70" s="107"/>
      <c r="L70" s="83"/>
      <c r="M70" s="83"/>
      <c r="N70" s="83"/>
      <c r="O70" s="107"/>
      <c r="P70" s="20" t="str">
        <f>DFIE!$B33</f>
        <v>Obwalden</v>
      </c>
      <c r="Q70" s="93">
        <f t="shared" si="19"/>
        <v>35808.795199799999</v>
      </c>
      <c r="R70" s="93">
        <f t="shared" si="20"/>
        <v>2215.5965669999996</v>
      </c>
      <c r="S70" s="93">
        <f t="shared" si="21"/>
        <v>95.811169125000006</v>
      </c>
      <c r="T70" s="93">
        <f t="shared" si="22"/>
        <v>102.93104310344827</v>
      </c>
      <c r="U70" s="93">
        <f t="shared" si="23"/>
        <v>0</v>
      </c>
      <c r="V70" s="93">
        <f t="shared" si="24"/>
        <v>0</v>
      </c>
      <c r="W70" s="93">
        <f t="shared" si="25"/>
        <v>0</v>
      </c>
      <c r="X70" s="93">
        <f t="shared" si="17"/>
        <v>2414.3387792284479</v>
      </c>
      <c r="Y70" s="93">
        <f t="shared" si="26"/>
        <v>1810.7540844213358</v>
      </c>
      <c r="Z70" s="94">
        <v>0</v>
      </c>
      <c r="AA70" s="22">
        <f t="shared" si="18"/>
        <v>37619.549284221335</v>
      </c>
      <c r="AB70" s="367"/>
    </row>
    <row r="71" spans="1:28" x14ac:dyDescent="0.2">
      <c r="A71" s="367"/>
      <c r="B71" s="46" t="str">
        <f>DFIE!$B34</f>
        <v>Nidwalden</v>
      </c>
      <c r="C71" s="61">
        <v>101431505</v>
      </c>
      <c r="D71" s="61">
        <v>3155623</v>
      </c>
      <c r="E71" s="61">
        <v>3302985</v>
      </c>
      <c r="F71" s="61">
        <v>470827</v>
      </c>
      <c r="G71" s="61">
        <v>0</v>
      </c>
      <c r="H71" s="61">
        <v>0</v>
      </c>
      <c r="I71" s="61">
        <v>0</v>
      </c>
      <c r="J71" s="18">
        <f t="shared" si="16"/>
        <v>108360940</v>
      </c>
      <c r="K71" s="107"/>
      <c r="L71" s="84" t="str">
        <f>DFIE!$B$102</f>
        <v>in CHF 1'000</v>
      </c>
      <c r="M71" s="84"/>
      <c r="N71" s="85"/>
      <c r="O71" s="107"/>
      <c r="P71" s="16" t="str">
        <f>DFIE!$B34</f>
        <v>Nidwalden</v>
      </c>
      <c r="Q71" s="91">
        <f t="shared" si="19"/>
        <v>37732.51986</v>
      </c>
      <c r="R71" s="91">
        <f t="shared" si="20"/>
        <v>1173.891756</v>
      </c>
      <c r="S71" s="91">
        <f t="shared" si="21"/>
        <v>1075.1216175</v>
      </c>
      <c r="T71" s="91">
        <f t="shared" si="22"/>
        <v>81.177068965517236</v>
      </c>
      <c r="U71" s="91">
        <f t="shared" si="23"/>
        <v>0</v>
      </c>
      <c r="V71" s="91">
        <f t="shared" si="24"/>
        <v>0</v>
      </c>
      <c r="W71" s="91">
        <f t="shared" si="25"/>
        <v>0</v>
      </c>
      <c r="X71" s="91">
        <f t="shared" si="17"/>
        <v>2330.1904424655172</v>
      </c>
      <c r="Y71" s="91">
        <f t="shared" si="26"/>
        <v>1747.642831849138</v>
      </c>
      <c r="Z71" s="95">
        <v>0</v>
      </c>
      <c r="AA71" s="18">
        <f t="shared" si="18"/>
        <v>39480.162691849138</v>
      </c>
      <c r="AB71" s="367"/>
    </row>
    <row r="72" spans="1:28" x14ac:dyDescent="0.2">
      <c r="A72" s="367"/>
      <c r="B72" s="47" t="str">
        <f>DFIE!$B35</f>
        <v>Glarus</v>
      </c>
      <c r="C72" s="43">
        <v>118588430.25</v>
      </c>
      <c r="D72" s="43">
        <v>1527559.8</v>
      </c>
      <c r="E72" s="43">
        <v>0</v>
      </c>
      <c r="F72" s="43">
        <v>271385.65000000002</v>
      </c>
      <c r="G72" s="43">
        <v>0</v>
      </c>
      <c r="H72" s="43">
        <v>0</v>
      </c>
      <c r="I72" s="43">
        <v>0</v>
      </c>
      <c r="J72" s="22">
        <f t="shared" si="16"/>
        <v>120387375.7</v>
      </c>
      <c r="K72" s="107"/>
      <c r="L72" s="83" t="str">
        <f>DFIE!$B$103</f>
        <v>A    Primäreinkommen der privaten Haushalte</v>
      </c>
      <c r="M72" s="83"/>
      <c r="N72" s="61">
        <v>487950747.43119502</v>
      </c>
      <c r="O72" s="107"/>
      <c r="P72" s="20" t="str">
        <f>DFIE!$B35</f>
        <v>Glarus</v>
      </c>
      <c r="Q72" s="93">
        <f t="shared" si="19"/>
        <v>44114.896053000004</v>
      </c>
      <c r="R72" s="93">
        <f t="shared" si="20"/>
        <v>568.25224560000004</v>
      </c>
      <c r="S72" s="93">
        <f t="shared" si="21"/>
        <v>0</v>
      </c>
      <c r="T72" s="93">
        <f t="shared" si="22"/>
        <v>46.790629310344826</v>
      </c>
      <c r="U72" s="93">
        <f t="shared" si="23"/>
        <v>0</v>
      </c>
      <c r="V72" s="93">
        <f t="shared" si="24"/>
        <v>0</v>
      </c>
      <c r="W72" s="93">
        <f t="shared" si="25"/>
        <v>0</v>
      </c>
      <c r="X72" s="93">
        <f t="shared" si="17"/>
        <v>615.04287491034484</v>
      </c>
      <c r="Y72" s="93">
        <f t="shared" si="26"/>
        <v>461.28215618275863</v>
      </c>
      <c r="Z72" s="94">
        <v>0</v>
      </c>
      <c r="AA72" s="22">
        <f t="shared" si="18"/>
        <v>44576.178209182763</v>
      </c>
      <c r="AB72" s="367"/>
    </row>
    <row r="73" spans="1:28" x14ac:dyDescent="0.2">
      <c r="A73" s="367"/>
      <c r="B73" s="46" t="str">
        <f>DFIE!$B36</f>
        <v>Zug</v>
      </c>
      <c r="C73" s="61">
        <v>587112697</v>
      </c>
      <c r="D73" s="61">
        <v>91588539</v>
      </c>
      <c r="E73" s="61">
        <v>6157833</v>
      </c>
      <c r="F73" s="61">
        <v>8264086</v>
      </c>
      <c r="G73" s="61">
        <v>0</v>
      </c>
      <c r="H73" s="61">
        <v>0</v>
      </c>
      <c r="I73" s="61">
        <v>0</v>
      </c>
      <c r="J73" s="18">
        <f t="shared" si="16"/>
        <v>693123155</v>
      </c>
      <c r="K73" s="107"/>
      <c r="L73" s="83" t="str">
        <f>DFIE!$B$104</f>
        <v>B    Massgebendes Einkommen</v>
      </c>
      <c r="M73" s="83"/>
      <c r="N73" s="86">
        <f>NP!E91</f>
        <v>181691296.00000003</v>
      </c>
      <c r="O73" s="107"/>
      <c r="P73" s="16" t="str">
        <f>DFIE!$B36</f>
        <v>Zug</v>
      </c>
      <c r="Q73" s="91">
        <f t="shared" si="19"/>
        <v>218405.92328400002</v>
      </c>
      <c r="R73" s="91">
        <f t="shared" si="20"/>
        <v>34070.936507999999</v>
      </c>
      <c r="S73" s="91">
        <f t="shared" si="21"/>
        <v>2004.3746415000001</v>
      </c>
      <c r="T73" s="91">
        <f t="shared" si="22"/>
        <v>1424.8424137931033</v>
      </c>
      <c r="U73" s="91">
        <f t="shared" si="23"/>
        <v>0</v>
      </c>
      <c r="V73" s="91">
        <f t="shared" si="24"/>
        <v>0</v>
      </c>
      <c r="W73" s="91">
        <f t="shared" si="25"/>
        <v>0</v>
      </c>
      <c r="X73" s="91">
        <f t="shared" si="17"/>
        <v>37500.153563293105</v>
      </c>
      <c r="Y73" s="91">
        <f t="shared" si="26"/>
        <v>28125.115172469828</v>
      </c>
      <c r="Z73" s="95">
        <v>0</v>
      </c>
      <c r="AA73" s="18">
        <f t="shared" si="18"/>
        <v>246531.03845646983</v>
      </c>
      <c r="AB73" s="367"/>
    </row>
    <row r="74" spans="1:28" x14ac:dyDescent="0.2">
      <c r="A74" s="367"/>
      <c r="B74" s="47" t="str">
        <f>DFIE!$B37</f>
        <v>Freiburg</v>
      </c>
      <c r="C74" s="43">
        <v>646043364.53000295</v>
      </c>
      <c r="D74" s="43">
        <v>78388402.459999993</v>
      </c>
      <c r="E74" s="43">
        <v>30040</v>
      </c>
      <c r="F74" s="43">
        <v>526565</v>
      </c>
      <c r="G74" s="43">
        <v>0</v>
      </c>
      <c r="H74" s="43">
        <v>0</v>
      </c>
      <c r="I74" s="43">
        <v>0</v>
      </c>
      <c r="J74" s="22">
        <f t="shared" si="16"/>
        <v>724988371.99000299</v>
      </c>
      <c r="K74" s="107"/>
      <c r="L74" s="82" t="str">
        <f>DFIE!$B$105</f>
        <v>C    Gamma (B / A)</v>
      </c>
      <c r="M74" s="82"/>
      <c r="N74" s="87">
        <f>ROUND(N73/N72,3)</f>
        <v>0.372</v>
      </c>
      <c r="O74" s="107"/>
      <c r="P74" s="20" t="str">
        <f>DFIE!$B37</f>
        <v>Freiburg</v>
      </c>
      <c r="Q74" s="93">
        <f t="shared" si="19"/>
        <v>240328.13160516109</v>
      </c>
      <c r="R74" s="93">
        <f t="shared" si="20"/>
        <v>29160.485715119998</v>
      </c>
      <c r="S74" s="93">
        <f t="shared" si="21"/>
        <v>9.7780199999999997</v>
      </c>
      <c r="T74" s="93">
        <f t="shared" si="22"/>
        <v>90.787068965517236</v>
      </c>
      <c r="U74" s="93">
        <f t="shared" si="23"/>
        <v>0</v>
      </c>
      <c r="V74" s="93">
        <f t="shared" si="24"/>
        <v>0</v>
      </c>
      <c r="W74" s="93">
        <f t="shared" si="25"/>
        <v>0</v>
      </c>
      <c r="X74" s="93">
        <f t="shared" si="17"/>
        <v>29261.050804085517</v>
      </c>
      <c r="Y74" s="93">
        <f t="shared" si="26"/>
        <v>21945.788103064137</v>
      </c>
      <c r="Z74" s="94">
        <v>0</v>
      </c>
      <c r="AA74" s="22">
        <f t="shared" si="18"/>
        <v>262273.91970822524</v>
      </c>
      <c r="AB74" s="367"/>
    </row>
    <row r="75" spans="1:28" x14ac:dyDescent="0.2">
      <c r="A75" s="367"/>
      <c r="B75" s="46" t="str">
        <f>DFIE!$B38</f>
        <v>Solothurn</v>
      </c>
      <c r="C75" s="61">
        <v>412853194</v>
      </c>
      <c r="D75" s="61">
        <v>32805762</v>
      </c>
      <c r="E75" s="61">
        <v>969666</v>
      </c>
      <c r="F75" s="61">
        <v>51224118</v>
      </c>
      <c r="G75" s="61">
        <v>0</v>
      </c>
      <c r="H75" s="61">
        <v>101579229</v>
      </c>
      <c r="I75" s="61">
        <v>0</v>
      </c>
      <c r="J75" s="18">
        <f t="shared" si="16"/>
        <v>599431969</v>
      </c>
      <c r="K75" s="107"/>
      <c r="L75" s="59"/>
      <c r="M75" s="59"/>
      <c r="N75" s="59"/>
      <c r="O75" s="107"/>
      <c r="P75" s="16" t="str">
        <f>DFIE!$B38</f>
        <v>Solothurn</v>
      </c>
      <c r="Q75" s="91">
        <f t="shared" si="19"/>
        <v>153581.388168</v>
      </c>
      <c r="R75" s="91">
        <f t="shared" si="20"/>
        <v>12203.743463999999</v>
      </c>
      <c r="S75" s="91">
        <f t="shared" si="21"/>
        <v>315.626283</v>
      </c>
      <c r="T75" s="91">
        <f t="shared" si="22"/>
        <v>8831.7444827586205</v>
      </c>
      <c r="U75" s="91">
        <f t="shared" si="23"/>
        <v>0</v>
      </c>
      <c r="V75" s="91">
        <f t="shared" si="24"/>
        <v>17513.660172413791</v>
      </c>
      <c r="W75" s="91">
        <f t="shared" si="25"/>
        <v>0</v>
      </c>
      <c r="X75" s="91">
        <f t="shared" si="17"/>
        <v>38864.774402172407</v>
      </c>
      <c r="Y75" s="91">
        <f t="shared" si="26"/>
        <v>29148.580801629305</v>
      </c>
      <c r="Z75" s="95">
        <v>0</v>
      </c>
      <c r="AA75" s="18">
        <f t="shared" si="18"/>
        <v>182729.96896962932</v>
      </c>
      <c r="AB75" s="367"/>
    </row>
    <row r="76" spans="1:28" x14ac:dyDescent="0.2">
      <c r="A76" s="367"/>
      <c r="B76" s="47" t="str">
        <f>DFIE!$B39</f>
        <v>Basel-Stadt</v>
      </c>
      <c r="C76" s="43">
        <v>674417029</v>
      </c>
      <c r="D76" s="43">
        <v>382365109.64999998</v>
      </c>
      <c r="E76" s="43">
        <v>2422995.8199999998</v>
      </c>
      <c r="F76" s="43">
        <v>1570882724.53</v>
      </c>
      <c r="G76" s="43">
        <v>0</v>
      </c>
      <c r="H76" s="43">
        <v>1623131730.3499999</v>
      </c>
      <c r="I76" s="43">
        <v>0</v>
      </c>
      <c r="J76" s="22">
        <f t="shared" si="16"/>
        <v>4253219589.3499999</v>
      </c>
      <c r="K76" s="107"/>
      <c r="L76" s="82" t="str">
        <f>DFIE!$B$57</f>
        <v>Kategorie</v>
      </c>
      <c r="M76" s="82" t="str">
        <f>DFIE!$B$106</f>
        <v>Formel für Gewicht</v>
      </c>
      <c r="N76" s="88" t="str">
        <f>DFIE!$B$107</f>
        <v>Gewicht (ω)</v>
      </c>
      <c r="O76" s="107"/>
      <c r="P76" s="20" t="str">
        <f>DFIE!$B39</f>
        <v>Basel-Stadt</v>
      </c>
      <c r="Q76" s="93">
        <f t="shared" si="19"/>
        <v>250883.134788</v>
      </c>
      <c r="R76" s="93">
        <f t="shared" si="20"/>
        <v>142239.8207898</v>
      </c>
      <c r="S76" s="93">
        <f t="shared" si="21"/>
        <v>788.68513940999992</v>
      </c>
      <c r="T76" s="93">
        <f t="shared" si="22"/>
        <v>270841.84905689652</v>
      </c>
      <c r="U76" s="93">
        <f t="shared" si="23"/>
        <v>0</v>
      </c>
      <c r="V76" s="93">
        <f t="shared" si="24"/>
        <v>279850.29833620688</v>
      </c>
      <c r="W76" s="93">
        <f t="shared" si="25"/>
        <v>0</v>
      </c>
      <c r="X76" s="93">
        <f t="shared" si="17"/>
        <v>693720.65332231345</v>
      </c>
      <c r="Y76" s="93">
        <f t="shared" si="26"/>
        <v>520290.48999173508</v>
      </c>
      <c r="Z76" s="94">
        <v>0</v>
      </c>
      <c r="AA76" s="22">
        <f t="shared" si="18"/>
        <v>771173.62477973511</v>
      </c>
      <c r="AB76" s="367"/>
    </row>
    <row r="77" spans="1:28" x14ac:dyDescent="0.2">
      <c r="A77" s="367"/>
      <c r="B77" s="46" t="str">
        <f>DFIE!$B40</f>
        <v>Basel-Landschaft</v>
      </c>
      <c r="C77" s="61">
        <v>403649969.18000001</v>
      </c>
      <c r="D77" s="61">
        <v>102005520.54000001</v>
      </c>
      <c r="E77" s="61">
        <v>1690876.75</v>
      </c>
      <c r="F77" s="61">
        <v>785459898.52999997</v>
      </c>
      <c r="G77" s="61">
        <v>0</v>
      </c>
      <c r="H77" s="61">
        <v>1050467331.55</v>
      </c>
      <c r="I77" s="61">
        <v>0</v>
      </c>
      <c r="J77" s="18">
        <f t="shared" si="16"/>
        <v>2343273596.5500002</v>
      </c>
      <c r="K77" s="107"/>
      <c r="L77" s="89">
        <v>0</v>
      </c>
      <c r="M77" s="89" t="s">
        <v>67</v>
      </c>
      <c r="N77" s="90">
        <f>N74</f>
        <v>0.372</v>
      </c>
      <c r="O77" s="107"/>
      <c r="P77" s="16" t="str">
        <f>DFIE!$B40</f>
        <v>Basel-Landschaft</v>
      </c>
      <c r="Q77" s="91">
        <f t="shared" si="19"/>
        <v>150157.78853496001</v>
      </c>
      <c r="R77" s="91">
        <f t="shared" si="20"/>
        <v>37946.053640880004</v>
      </c>
      <c r="S77" s="91">
        <f t="shared" si="21"/>
        <v>550.38038212499998</v>
      </c>
      <c r="T77" s="91">
        <f t="shared" si="22"/>
        <v>135424.12043620687</v>
      </c>
      <c r="U77" s="91">
        <f t="shared" si="23"/>
        <v>0</v>
      </c>
      <c r="V77" s="91">
        <f t="shared" si="24"/>
        <v>181115.0571637931</v>
      </c>
      <c r="W77" s="91">
        <f t="shared" si="25"/>
        <v>0</v>
      </c>
      <c r="X77" s="91">
        <f t="shared" si="17"/>
        <v>355035.61162300501</v>
      </c>
      <c r="Y77" s="91">
        <f t="shared" si="26"/>
        <v>266276.70871725376</v>
      </c>
      <c r="Z77" s="95">
        <v>0</v>
      </c>
      <c r="AA77" s="18">
        <f t="shared" si="18"/>
        <v>416434.49725221377</v>
      </c>
      <c r="AB77" s="367"/>
    </row>
    <row r="78" spans="1:28" x14ac:dyDescent="0.2">
      <c r="A78" s="367"/>
      <c r="B78" s="47" t="str">
        <f>DFIE!$B41</f>
        <v>Schaffhausen</v>
      </c>
      <c r="C78" s="43">
        <v>270190392</v>
      </c>
      <c r="D78" s="43">
        <v>26409324</v>
      </c>
      <c r="E78" s="43">
        <v>1091072</v>
      </c>
      <c r="F78" s="43">
        <v>385372955</v>
      </c>
      <c r="G78" s="43">
        <v>0</v>
      </c>
      <c r="H78" s="43">
        <v>0</v>
      </c>
      <c r="I78" s="43">
        <v>0</v>
      </c>
      <c r="J78" s="22">
        <f t="shared" si="16"/>
        <v>683063743</v>
      </c>
      <c r="K78" s="107"/>
      <c r="L78" s="89">
        <v>1</v>
      </c>
      <c r="M78" s="89" t="s">
        <v>67</v>
      </c>
      <c r="N78" s="90">
        <f>N74</f>
        <v>0.372</v>
      </c>
      <c r="O78" s="107"/>
      <c r="P78" s="20" t="str">
        <f>DFIE!$B41</f>
        <v>Schaffhausen</v>
      </c>
      <c r="Q78" s="93">
        <f t="shared" si="19"/>
        <v>100510.825824</v>
      </c>
      <c r="R78" s="93">
        <f t="shared" si="20"/>
        <v>9824.2685279999987</v>
      </c>
      <c r="S78" s="93">
        <f t="shared" si="21"/>
        <v>355.143936</v>
      </c>
      <c r="T78" s="93">
        <f t="shared" si="22"/>
        <v>66443.61293103447</v>
      </c>
      <c r="U78" s="93">
        <f t="shared" si="23"/>
        <v>0</v>
      </c>
      <c r="V78" s="93">
        <f t="shared" si="24"/>
        <v>0</v>
      </c>
      <c r="W78" s="93">
        <f t="shared" si="25"/>
        <v>0</v>
      </c>
      <c r="X78" s="93">
        <f t="shared" si="17"/>
        <v>76623.025395034463</v>
      </c>
      <c r="Y78" s="93">
        <f t="shared" si="26"/>
        <v>57467.269046275847</v>
      </c>
      <c r="Z78" s="94">
        <v>0</v>
      </c>
      <c r="AA78" s="22">
        <f t="shared" si="18"/>
        <v>157978.09487027585</v>
      </c>
      <c r="AB78" s="367"/>
    </row>
    <row r="79" spans="1:28" x14ac:dyDescent="0.2">
      <c r="A79" s="367"/>
      <c r="B79" s="46" t="str">
        <f>DFIE!$B42</f>
        <v>Appenzell A.Rh.</v>
      </c>
      <c r="C79" s="61">
        <v>16225256</v>
      </c>
      <c r="D79" s="61">
        <v>21311960</v>
      </c>
      <c r="E79" s="61">
        <v>14666041</v>
      </c>
      <c r="F79" s="61">
        <v>4752987</v>
      </c>
      <c r="G79" s="61">
        <v>0</v>
      </c>
      <c r="H79" s="61">
        <v>0</v>
      </c>
      <c r="I79" s="61">
        <v>0</v>
      </c>
      <c r="J79" s="18">
        <f t="shared" si="16"/>
        <v>56956244</v>
      </c>
      <c r="K79" s="107"/>
      <c r="L79" s="89" t="s">
        <v>56</v>
      </c>
      <c r="M79" s="89" t="s">
        <v>91</v>
      </c>
      <c r="N79" s="90">
        <f>IF(DFIE!$G$2-4&lt;2006,0.03/$N$7,0.875*N74)</f>
        <v>0.32550000000000001</v>
      </c>
      <c r="O79" s="107"/>
      <c r="P79" s="16" t="str">
        <f>DFIE!$B42</f>
        <v>Appenzell A.Rh.</v>
      </c>
      <c r="Q79" s="91">
        <f t="shared" si="19"/>
        <v>6035.7952319999995</v>
      </c>
      <c r="R79" s="91">
        <f t="shared" si="20"/>
        <v>7928.0491199999997</v>
      </c>
      <c r="S79" s="91">
        <f t="shared" si="21"/>
        <v>4773.7963454999999</v>
      </c>
      <c r="T79" s="91">
        <f t="shared" si="22"/>
        <v>819.48051724137929</v>
      </c>
      <c r="U79" s="91">
        <f t="shared" si="23"/>
        <v>0</v>
      </c>
      <c r="V79" s="91">
        <f t="shared" si="24"/>
        <v>0</v>
      </c>
      <c r="W79" s="91">
        <f t="shared" si="25"/>
        <v>0</v>
      </c>
      <c r="X79" s="91">
        <f t="shared" si="17"/>
        <v>13521.325982741379</v>
      </c>
      <c r="Y79" s="91">
        <f t="shared" si="26"/>
        <v>10140.994487056034</v>
      </c>
      <c r="Z79" s="95">
        <v>0</v>
      </c>
      <c r="AA79" s="18">
        <f t="shared" si="18"/>
        <v>16176.789719056032</v>
      </c>
      <c r="AB79" s="367"/>
    </row>
    <row r="80" spans="1:28" x14ac:dyDescent="0.2">
      <c r="A80" s="367"/>
      <c r="B80" s="47" t="str">
        <f>DFIE!$B43</f>
        <v>Appenzell I.Rh.</v>
      </c>
      <c r="C80" s="43">
        <v>22081474.66</v>
      </c>
      <c r="D80" s="43">
        <v>2611129.29</v>
      </c>
      <c r="E80" s="43">
        <v>4818532.29</v>
      </c>
      <c r="F80" s="43">
        <v>620358.13</v>
      </c>
      <c r="G80" s="43">
        <v>0</v>
      </c>
      <c r="H80" s="43">
        <v>0</v>
      </c>
      <c r="I80" s="43">
        <v>0</v>
      </c>
      <c r="J80" s="22">
        <f t="shared" si="16"/>
        <v>30131494.369999997</v>
      </c>
      <c r="K80" s="107"/>
      <c r="L80" s="89" t="s">
        <v>57</v>
      </c>
      <c r="M80" s="89" t="str">
        <f>DFIE!$B$112</f>
        <v>0.045 / SST(2019)</v>
      </c>
      <c r="N80" s="90">
        <f>0.045/ROUND($N$66,3)</f>
        <v>0.17241379310344826</v>
      </c>
      <c r="O80" s="107"/>
      <c r="P80" s="20" t="str">
        <f>DFIE!$B43</f>
        <v>Appenzell I.Rh.</v>
      </c>
      <c r="Q80" s="93">
        <f t="shared" si="19"/>
        <v>8214.3085735200002</v>
      </c>
      <c r="R80" s="93">
        <f t="shared" si="20"/>
        <v>971.34009588000004</v>
      </c>
      <c r="S80" s="93">
        <f t="shared" si="21"/>
        <v>1568.432260395</v>
      </c>
      <c r="T80" s="93">
        <f t="shared" si="22"/>
        <v>106.95829827586206</v>
      </c>
      <c r="U80" s="93">
        <f t="shared" si="23"/>
        <v>0</v>
      </c>
      <c r="V80" s="93">
        <f t="shared" si="24"/>
        <v>0</v>
      </c>
      <c r="W80" s="93">
        <f t="shared" si="25"/>
        <v>0</v>
      </c>
      <c r="X80" s="93">
        <f t="shared" si="17"/>
        <v>2646.7306545508618</v>
      </c>
      <c r="Y80" s="93">
        <f t="shared" si="26"/>
        <v>1985.0479909131464</v>
      </c>
      <c r="Z80" s="94">
        <v>0</v>
      </c>
      <c r="AA80" s="22">
        <f t="shared" si="18"/>
        <v>10199.356564433147</v>
      </c>
      <c r="AB80" s="367"/>
    </row>
    <row r="81" spans="1:28" x14ac:dyDescent="0.2">
      <c r="A81" s="367"/>
      <c r="B81" s="46" t="str">
        <f>DFIE!$B44</f>
        <v>St. Gallen</v>
      </c>
      <c r="C81" s="61">
        <v>821183869.13999999</v>
      </c>
      <c r="D81" s="61">
        <v>55615538.439999998</v>
      </c>
      <c r="E81" s="61">
        <v>515517690.5</v>
      </c>
      <c r="F81" s="61">
        <v>96880918.659999996</v>
      </c>
      <c r="G81" s="61">
        <v>0</v>
      </c>
      <c r="H81" s="61">
        <v>0</v>
      </c>
      <c r="I81" s="61">
        <v>0</v>
      </c>
      <c r="J81" s="18">
        <f t="shared" si="16"/>
        <v>1489198016.74</v>
      </c>
      <c r="K81" s="107"/>
      <c r="L81" s="89" t="s">
        <v>58</v>
      </c>
      <c r="M81" s="89" t="str">
        <f>DFIE!$B$113</f>
        <v>γ - 0.035 / SST(2019)</v>
      </c>
      <c r="N81" s="90">
        <f>N74-0.035/ROUND($N$66,3)</f>
        <v>0.23790038314176243</v>
      </c>
      <c r="O81" s="107"/>
      <c r="P81" s="16" t="str">
        <f>DFIE!$B44</f>
        <v>St. Gallen</v>
      </c>
      <c r="Q81" s="91">
        <f t="shared" si="19"/>
        <v>305480.39932008</v>
      </c>
      <c r="R81" s="91">
        <f t="shared" si="20"/>
        <v>20688.980299679999</v>
      </c>
      <c r="S81" s="91">
        <f t="shared" si="21"/>
        <v>167801.00825775001</v>
      </c>
      <c r="T81" s="91">
        <f t="shared" si="22"/>
        <v>16703.60666551724</v>
      </c>
      <c r="U81" s="91">
        <f t="shared" si="23"/>
        <v>0</v>
      </c>
      <c r="V81" s="91">
        <f t="shared" si="24"/>
        <v>0</v>
      </c>
      <c r="W81" s="91">
        <f t="shared" si="25"/>
        <v>0</v>
      </c>
      <c r="X81" s="91">
        <f t="shared" si="17"/>
        <v>205193.59522294725</v>
      </c>
      <c r="Y81" s="91">
        <f t="shared" si="26"/>
        <v>153895.19641721045</v>
      </c>
      <c r="Z81" s="95">
        <v>0</v>
      </c>
      <c r="AA81" s="18">
        <f t="shared" si="18"/>
        <v>459375.59573729045</v>
      </c>
      <c r="AB81" s="367"/>
    </row>
    <row r="82" spans="1:28" x14ac:dyDescent="0.2">
      <c r="A82" s="367"/>
      <c r="B82" s="47" t="str">
        <f>DFIE!$B45</f>
        <v>Graubünden</v>
      </c>
      <c r="C82" s="43">
        <v>896109654.30999994</v>
      </c>
      <c r="D82" s="43">
        <v>165927335.81999999</v>
      </c>
      <c r="E82" s="43">
        <v>23318912.649999999</v>
      </c>
      <c r="F82" s="43">
        <v>1091485.8999999999</v>
      </c>
      <c r="G82" s="43">
        <v>0</v>
      </c>
      <c r="H82" s="43">
        <v>0</v>
      </c>
      <c r="I82" s="43">
        <v>105150310.12</v>
      </c>
      <c r="J82" s="22">
        <f t="shared" si="16"/>
        <v>1191597698.8000002</v>
      </c>
      <c r="K82" s="107"/>
      <c r="L82" s="89" t="s">
        <v>59</v>
      </c>
      <c r="M82" s="89" t="str">
        <f>DFIE!$B$112</f>
        <v>0.045 / SST(2019)</v>
      </c>
      <c r="N82" s="90">
        <f>0.045/ROUND($N$66,3)</f>
        <v>0.17241379310344826</v>
      </c>
      <c r="O82" s="107"/>
      <c r="P82" s="20" t="str">
        <f>DFIE!$B45</f>
        <v>Graubünden</v>
      </c>
      <c r="Q82" s="93">
        <f t="shared" si="19"/>
        <v>333352.79140331998</v>
      </c>
      <c r="R82" s="93">
        <f t="shared" si="20"/>
        <v>61724.968925039997</v>
      </c>
      <c r="S82" s="93">
        <f t="shared" si="21"/>
        <v>7590.3060675750003</v>
      </c>
      <c r="T82" s="93">
        <f t="shared" si="22"/>
        <v>188.18722413793103</v>
      </c>
      <c r="U82" s="93">
        <f t="shared" si="23"/>
        <v>0</v>
      </c>
      <c r="V82" s="93">
        <f t="shared" si="24"/>
        <v>0</v>
      </c>
      <c r="W82" s="93">
        <f t="shared" si="25"/>
        <v>23469.549218783999</v>
      </c>
      <c r="X82" s="93">
        <f t="shared" si="17"/>
        <v>92973.01143553693</v>
      </c>
      <c r="Y82" s="93">
        <f t="shared" si="26"/>
        <v>69729.758576652705</v>
      </c>
      <c r="Z82" s="94">
        <v>0</v>
      </c>
      <c r="AA82" s="22">
        <f t="shared" si="18"/>
        <v>403082.54997997265</v>
      </c>
      <c r="AB82" s="367"/>
    </row>
    <row r="83" spans="1:28" x14ac:dyDescent="0.2">
      <c r="A83" s="367"/>
      <c r="B83" s="46" t="str">
        <f>DFIE!$B46</f>
        <v>Aargau</v>
      </c>
      <c r="C83" s="61">
        <v>1338866853</v>
      </c>
      <c r="D83" s="61">
        <v>321614118.5</v>
      </c>
      <c r="E83" s="61">
        <v>6356076</v>
      </c>
      <c r="F83" s="61">
        <v>958040188</v>
      </c>
      <c r="G83" s="61">
        <v>0</v>
      </c>
      <c r="H83" s="61">
        <v>0</v>
      </c>
      <c r="I83" s="61">
        <v>0</v>
      </c>
      <c r="J83" s="18">
        <f t="shared" si="16"/>
        <v>2624877235.5</v>
      </c>
      <c r="K83" s="107"/>
      <c r="L83" s="89" t="s">
        <v>60</v>
      </c>
      <c r="M83" s="89" t="s">
        <v>92</v>
      </c>
      <c r="N83" s="90">
        <f>0.6*N74</f>
        <v>0.22319999999999998</v>
      </c>
      <c r="O83" s="107"/>
      <c r="P83" s="16" t="str">
        <f>DFIE!$B46</f>
        <v>Aargau</v>
      </c>
      <c r="Q83" s="91">
        <f t="shared" si="19"/>
        <v>498058.469316</v>
      </c>
      <c r="R83" s="91">
        <f t="shared" si="20"/>
        <v>119640.452082</v>
      </c>
      <c r="S83" s="91">
        <f t="shared" si="21"/>
        <v>2068.9027380000002</v>
      </c>
      <c r="T83" s="91">
        <f t="shared" si="22"/>
        <v>165179.34275862068</v>
      </c>
      <c r="U83" s="91">
        <f t="shared" si="23"/>
        <v>0</v>
      </c>
      <c r="V83" s="91">
        <f t="shared" si="24"/>
        <v>0</v>
      </c>
      <c r="W83" s="91">
        <f t="shared" si="25"/>
        <v>0</v>
      </c>
      <c r="X83" s="91">
        <f t="shared" si="17"/>
        <v>286888.69757862069</v>
      </c>
      <c r="Y83" s="91">
        <f t="shared" si="26"/>
        <v>215166.52318396553</v>
      </c>
      <c r="Z83" s="95">
        <v>0</v>
      </c>
      <c r="AA83" s="18">
        <f t="shared" si="18"/>
        <v>713224.99249996548</v>
      </c>
      <c r="AB83" s="367"/>
    </row>
    <row r="84" spans="1:28" x14ac:dyDescent="0.2">
      <c r="A84" s="367"/>
      <c r="B84" s="47" t="str">
        <f>DFIE!$B47</f>
        <v>Thurgau</v>
      </c>
      <c r="C84" s="43">
        <v>652455282.14999998</v>
      </c>
      <c r="D84" s="43">
        <v>71259365.069999993</v>
      </c>
      <c r="E84" s="43">
        <v>18895993.879999999</v>
      </c>
      <c r="F84" s="43">
        <v>310965387.16000003</v>
      </c>
      <c r="G84" s="43">
        <v>0</v>
      </c>
      <c r="H84" s="43">
        <v>0</v>
      </c>
      <c r="I84" s="43">
        <v>0</v>
      </c>
      <c r="J84" s="22">
        <f t="shared" si="16"/>
        <v>1053576028.26</v>
      </c>
      <c r="K84" s="107"/>
      <c r="L84" s="59"/>
      <c r="M84" s="59"/>
      <c r="N84" s="59"/>
      <c r="O84" s="107"/>
      <c r="P84" s="20" t="str">
        <f>DFIE!$B47</f>
        <v>Thurgau</v>
      </c>
      <c r="Q84" s="93">
        <f t="shared" si="19"/>
        <v>242713.36495979998</v>
      </c>
      <c r="R84" s="93">
        <f t="shared" si="20"/>
        <v>26508.483806039996</v>
      </c>
      <c r="S84" s="93">
        <f t="shared" si="21"/>
        <v>6150.6460079400003</v>
      </c>
      <c r="T84" s="93">
        <f t="shared" si="22"/>
        <v>53614.721924137928</v>
      </c>
      <c r="U84" s="93">
        <f t="shared" si="23"/>
        <v>0</v>
      </c>
      <c r="V84" s="93">
        <f t="shared" si="24"/>
        <v>0</v>
      </c>
      <c r="W84" s="93">
        <f t="shared" si="25"/>
        <v>0</v>
      </c>
      <c r="X84" s="93">
        <f t="shared" si="17"/>
        <v>86273.851738117926</v>
      </c>
      <c r="Y84" s="93">
        <f t="shared" si="26"/>
        <v>64705.388803588445</v>
      </c>
      <c r="Z84" s="94">
        <v>0</v>
      </c>
      <c r="AA84" s="22">
        <f t="shared" si="18"/>
        <v>307418.75376338843</v>
      </c>
      <c r="AB84" s="367"/>
    </row>
    <row r="85" spans="1:28" x14ac:dyDescent="0.2">
      <c r="A85" s="367"/>
      <c r="B85" s="46" t="str">
        <f>DFIE!$B48</f>
        <v>Tessin</v>
      </c>
      <c r="C85" s="61">
        <v>1313711638</v>
      </c>
      <c r="D85" s="61">
        <v>560579628</v>
      </c>
      <c r="E85" s="61">
        <v>788655</v>
      </c>
      <c r="F85" s="61">
        <v>0</v>
      </c>
      <c r="G85" s="61">
        <v>0</v>
      </c>
      <c r="H85" s="61">
        <v>0</v>
      </c>
      <c r="I85" s="61">
        <v>2903125440</v>
      </c>
      <c r="J85" s="18">
        <f t="shared" si="16"/>
        <v>4778205361</v>
      </c>
      <c r="K85" s="107"/>
      <c r="L85" s="59"/>
      <c r="M85" s="59"/>
      <c r="N85" s="108"/>
      <c r="O85" s="107"/>
      <c r="P85" s="16" t="str">
        <f>DFIE!$B48</f>
        <v>Tessin</v>
      </c>
      <c r="Q85" s="91">
        <f t="shared" si="19"/>
        <v>488700.72933600005</v>
      </c>
      <c r="R85" s="91">
        <f t="shared" si="20"/>
        <v>208535.62161599999</v>
      </c>
      <c r="S85" s="91">
        <f t="shared" si="21"/>
        <v>256.70720249999999</v>
      </c>
      <c r="T85" s="91">
        <f t="shared" si="22"/>
        <v>0</v>
      </c>
      <c r="U85" s="91">
        <f t="shared" si="23"/>
        <v>0</v>
      </c>
      <c r="V85" s="91">
        <f t="shared" si="24"/>
        <v>0</v>
      </c>
      <c r="W85" s="91">
        <f t="shared" si="25"/>
        <v>647977.59820799995</v>
      </c>
      <c r="X85" s="91">
        <f t="shared" si="17"/>
        <v>856769.92702649999</v>
      </c>
      <c r="Y85" s="91">
        <f t="shared" si="26"/>
        <v>642577.445269875</v>
      </c>
      <c r="Z85" s="95">
        <v>0</v>
      </c>
      <c r="AA85" s="18">
        <f t="shared" si="18"/>
        <v>1131278.174605875</v>
      </c>
      <c r="AB85" s="367"/>
    </row>
    <row r="86" spans="1:28" x14ac:dyDescent="0.2">
      <c r="A86" s="367"/>
      <c r="B86" s="47" t="str">
        <f>DFIE!$B49</f>
        <v>Waadt</v>
      </c>
      <c r="C86" s="43">
        <v>2916658325</v>
      </c>
      <c r="D86" s="43">
        <v>0</v>
      </c>
      <c r="E86" s="43">
        <v>0</v>
      </c>
      <c r="F86" s="43">
        <v>0</v>
      </c>
      <c r="G86" s="43">
        <v>0</v>
      </c>
      <c r="H86" s="43">
        <v>2205575545</v>
      </c>
      <c r="I86" s="43">
        <v>0</v>
      </c>
      <c r="J86" s="22">
        <f t="shared" si="16"/>
        <v>5122233870</v>
      </c>
      <c r="K86" s="107"/>
      <c r="L86" s="59"/>
      <c r="M86" s="59"/>
      <c r="N86" s="59"/>
      <c r="O86" s="107"/>
      <c r="P86" s="20" t="str">
        <f>DFIE!$B49</f>
        <v>Waadt</v>
      </c>
      <c r="Q86" s="93">
        <f t="shared" si="19"/>
        <v>1084996.8969000001</v>
      </c>
      <c r="R86" s="93">
        <f t="shared" si="20"/>
        <v>0</v>
      </c>
      <c r="S86" s="93">
        <f t="shared" si="21"/>
        <v>0</v>
      </c>
      <c r="T86" s="93">
        <f t="shared" si="22"/>
        <v>0</v>
      </c>
      <c r="U86" s="93">
        <f t="shared" si="23"/>
        <v>0</v>
      </c>
      <c r="V86" s="93">
        <f t="shared" si="24"/>
        <v>380271.64568965515</v>
      </c>
      <c r="W86" s="93">
        <f t="shared" si="25"/>
        <v>0</v>
      </c>
      <c r="X86" s="93">
        <f t="shared" si="17"/>
        <v>380271.64568965515</v>
      </c>
      <c r="Y86" s="93">
        <f t="shared" si="26"/>
        <v>285203.73426724138</v>
      </c>
      <c r="Z86" s="94">
        <v>0</v>
      </c>
      <c r="AA86" s="22">
        <f t="shared" si="18"/>
        <v>1370200.6311672414</v>
      </c>
      <c r="AB86" s="367"/>
    </row>
    <row r="87" spans="1:28" x14ac:dyDescent="0.2">
      <c r="A87" s="367"/>
      <c r="B87" s="46" t="str">
        <f>DFIE!$B50</f>
        <v>Wallis</v>
      </c>
      <c r="C87" s="61">
        <v>1220019503.8900001</v>
      </c>
      <c r="D87" s="61">
        <v>13260119.199999999</v>
      </c>
      <c r="E87" s="61">
        <v>0</v>
      </c>
      <c r="F87" s="61">
        <v>493582.7</v>
      </c>
      <c r="G87" s="61">
        <v>0</v>
      </c>
      <c r="H87" s="61">
        <v>105127458.73999999</v>
      </c>
      <c r="I87" s="61">
        <v>67965616.030000001</v>
      </c>
      <c r="J87" s="18">
        <f t="shared" si="16"/>
        <v>1406866280.5600002</v>
      </c>
      <c r="K87" s="107"/>
      <c r="L87" s="59"/>
      <c r="M87" s="59"/>
      <c r="N87" s="59"/>
      <c r="O87" s="107"/>
      <c r="P87" s="16" t="str">
        <f>DFIE!$B50</f>
        <v>Wallis</v>
      </c>
      <c r="Q87" s="91">
        <f t="shared" si="19"/>
        <v>453847.25544708001</v>
      </c>
      <c r="R87" s="91">
        <f t="shared" si="20"/>
        <v>4932.7643423999998</v>
      </c>
      <c r="S87" s="91">
        <f t="shared" si="21"/>
        <v>0</v>
      </c>
      <c r="T87" s="91">
        <f t="shared" si="22"/>
        <v>85.100465517241375</v>
      </c>
      <c r="U87" s="91">
        <f t="shared" si="23"/>
        <v>0</v>
      </c>
      <c r="V87" s="91">
        <f t="shared" si="24"/>
        <v>18125.423920689653</v>
      </c>
      <c r="W87" s="91">
        <f t="shared" si="25"/>
        <v>15169.925497895998</v>
      </c>
      <c r="X87" s="91">
        <f t="shared" si="17"/>
        <v>38313.214226502896</v>
      </c>
      <c r="Y87" s="91">
        <f t="shared" si="26"/>
        <v>28734.910669877172</v>
      </c>
      <c r="Z87" s="95">
        <v>0</v>
      </c>
      <c r="AA87" s="18">
        <f t="shared" si="18"/>
        <v>482582.1661169572</v>
      </c>
      <c r="AB87" s="367"/>
    </row>
    <row r="88" spans="1:28" x14ac:dyDescent="0.2">
      <c r="A88" s="367"/>
      <c r="B88" s="47" t="str">
        <f>DFIE!$B51</f>
        <v>Neuenburg</v>
      </c>
      <c r="C88" s="43">
        <v>409008554</v>
      </c>
      <c r="D88" s="43">
        <v>44192614</v>
      </c>
      <c r="E88" s="43">
        <v>0</v>
      </c>
      <c r="F88" s="43">
        <v>76163</v>
      </c>
      <c r="G88" s="43">
        <v>0</v>
      </c>
      <c r="H88" s="43">
        <v>953085138</v>
      </c>
      <c r="I88" s="43">
        <v>0</v>
      </c>
      <c r="J88" s="22">
        <f t="shared" si="16"/>
        <v>1406362469</v>
      </c>
      <c r="K88" s="107"/>
      <c r="L88" s="59"/>
      <c r="M88" s="59"/>
      <c r="N88" s="59"/>
      <c r="O88" s="107"/>
      <c r="P88" s="20" t="str">
        <f>DFIE!$B51</f>
        <v>Neuenburg</v>
      </c>
      <c r="Q88" s="93">
        <f t="shared" si="19"/>
        <v>152151.182088</v>
      </c>
      <c r="R88" s="93">
        <f t="shared" si="20"/>
        <v>16439.652407999998</v>
      </c>
      <c r="S88" s="93">
        <f t="shared" si="21"/>
        <v>0</v>
      </c>
      <c r="T88" s="93">
        <f t="shared" si="22"/>
        <v>13.13155172413793</v>
      </c>
      <c r="U88" s="93">
        <f t="shared" si="23"/>
        <v>0</v>
      </c>
      <c r="V88" s="93">
        <f t="shared" si="24"/>
        <v>164325.02379310344</v>
      </c>
      <c r="W88" s="93">
        <f t="shared" si="25"/>
        <v>0</v>
      </c>
      <c r="X88" s="93">
        <f t="shared" si="17"/>
        <v>180777.80775282756</v>
      </c>
      <c r="Y88" s="93">
        <f t="shared" si="26"/>
        <v>135583.35581462068</v>
      </c>
      <c r="Z88" s="94">
        <v>0</v>
      </c>
      <c r="AA88" s="22">
        <f t="shared" si="18"/>
        <v>287734.53790262068</v>
      </c>
      <c r="AB88" s="367"/>
    </row>
    <row r="89" spans="1:28" x14ac:dyDescent="0.2">
      <c r="A89" s="367"/>
      <c r="B89" s="46" t="str">
        <f>DFIE!$B52</f>
        <v>Genf</v>
      </c>
      <c r="C89" s="61">
        <v>2145340536</v>
      </c>
      <c r="D89" s="61">
        <v>584695196</v>
      </c>
      <c r="E89" s="61">
        <v>2196541</v>
      </c>
      <c r="F89" s="61">
        <v>0</v>
      </c>
      <c r="G89" s="61">
        <v>8368684529</v>
      </c>
      <c r="H89" s="61">
        <v>0</v>
      </c>
      <c r="I89" s="61">
        <v>0</v>
      </c>
      <c r="J89" s="18">
        <f t="shared" si="16"/>
        <v>11100916802</v>
      </c>
      <c r="K89" s="107"/>
      <c r="L89" s="59"/>
      <c r="M89" s="59"/>
      <c r="N89" s="59"/>
      <c r="O89" s="107"/>
      <c r="P89" s="16" t="str">
        <f>DFIE!$B52</f>
        <v>Genf</v>
      </c>
      <c r="Q89" s="91">
        <f t="shared" si="19"/>
        <v>798066.67939199996</v>
      </c>
      <c r="R89" s="91">
        <f t="shared" si="20"/>
        <v>217506.61291200001</v>
      </c>
      <c r="S89" s="91">
        <f t="shared" si="21"/>
        <v>714.97409550000009</v>
      </c>
      <c r="T89" s="91">
        <f t="shared" si="22"/>
        <v>0</v>
      </c>
      <c r="U89" s="91">
        <f t="shared" si="23"/>
        <v>1990913.2558416398</v>
      </c>
      <c r="V89" s="91">
        <f t="shared" si="24"/>
        <v>0</v>
      </c>
      <c r="W89" s="91">
        <f t="shared" si="25"/>
        <v>0</v>
      </c>
      <c r="X89" s="91">
        <f t="shared" si="17"/>
        <v>2209134.8428491401</v>
      </c>
      <c r="Y89" s="91">
        <f t="shared" si="26"/>
        <v>1656851.132136855</v>
      </c>
      <c r="Z89" s="95">
        <v>0</v>
      </c>
      <c r="AA89" s="18">
        <f t="shared" si="18"/>
        <v>2454917.811528855</v>
      </c>
      <c r="AB89" s="367"/>
    </row>
    <row r="90" spans="1:28" x14ac:dyDescent="0.2">
      <c r="A90" s="367"/>
      <c r="B90" s="47" t="str">
        <f>DFIE!$B53</f>
        <v>Jura</v>
      </c>
      <c r="C90" s="43">
        <v>90618952</v>
      </c>
      <c r="D90" s="43">
        <v>12200324</v>
      </c>
      <c r="E90" s="43">
        <v>0</v>
      </c>
      <c r="F90" s="43">
        <v>1022644</v>
      </c>
      <c r="G90" s="43">
        <v>0</v>
      </c>
      <c r="H90" s="43">
        <v>535449499</v>
      </c>
      <c r="I90" s="43">
        <v>0</v>
      </c>
      <c r="J90" s="22">
        <f t="shared" si="16"/>
        <v>639291419</v>
      </c>
      <c r="K90" s="107"/>
      <c r="L90" s="59"/>
      <c r="M90" s="59"/>
      <c r="N90" s="59"/>
      <c r="O90" s="107"/>
      <c r="P90" s="20" t="str">
        <f>DFIE!$B53</f>
        <v>Jura</v>
      </c>
      <c r="Q90" s="93">
        <f t="shared" si="19"/>
        <v>33710.250143999998</v>
      </c>
      <c r="R90" s="93">
        <f t="shared" si="20"/>
        <v>4538.520528</v>
      </c>
      <c r="S90" s="93">
        <f t="shared" si="21"/>
        <v>0</v>
      </c>
      <c r="T90" s="93">
        <f t="shared" si="22"/>
        <v>176.31793103448274</v>
      </c>
      <c r="U90" s="93">
        <f t="shared" si="23"/>
        <v>0</v>
      </c>
      <c r="V90" s="93">
        <f t="shared" si="24"/>
        <v>92318.879137931013</v>
      </c>
      <c r="W90" s="93">
        <f t="shared" si="25"/>
        <v>0</v>
      </c>
      <c r="X90" s="93">
        <f t="shared" si="17"/>
        <v>97033.717596965493</v>
      </c>
      <c r="Y90" s="93">
        <f t="shared" si="26"/>
        <v>72775.28819772412</v>
      </c>
      <c r="Z90" s="94">
        <v>0</v>
      </c>
      <c r="AA90" s="22">
        <f t="shared" si="18"/>
        <v>106485.53834172411</v>
      </c>
      <c r="AB90" s="367"/>
    </row>
    <row r="91" spans="1:28" x14ac:dyDescent="0.2">
      <c r="A91" s="367"/>
      <c r="B91" s="24" t="str">
        <f>DFIE!$B54</f>
        <v>Schweiz</v>
      </c>
      <c r="C91" s="67">
        <f t="shared" ref="C91:I91" si="27">SUM(C65:C90)</f>
        <v>23748699833.700001</v>
      </c>
      <c r="D91" s="67">
        <f t="shared" si="27"/>
        <v>2972150572.6699996</v>
      </c>
      <c r="E91" s="67">
        <f t="shared" si="27"/>
        <v>607186242.33999991</v>
      </c>
      <c r="F91" s="67">
        <f t="shared" si="27"/>
        <v>4822694953.8800001</v>
      </c>
      <c r="G91" s="67">
        <f t="shared" si="27"/>
        <v>8368684529</v>
      </c>
      <c r="H91" s="67">
        <f t="shared" si="27"/>
        <v>6727500726.6399994</v>
      </c>
      <c r="I91" s="67">
        <f t="shared" si="27"/>
        <v>3076241366.1500001</v>
      </c>
      <c r="J91" s="66">
        <f t="shared" si="16"/>
        <v>50323158224.379997</v>
      </c>
      <c r="K91" s="59"/>
      <c r="L91" s="59"/>
      <c r="M91" s="59"/>
      <c r="N91" s="59"/>
      <c r="O91" s="59"/>
      <c r="P91" s="24" t="str">
        <f>DFIE!$B54</f>
        <v>Schweiz</v>
      </c>
      <c r="Q91" s="100">
        <f t="shared" ref="Q91:Z91" si="28">SUM(Q65:Q90)</f>
        <v>8834516.3381363992</v>
      </c>
      <c r="R91" s="100">
        <f t="shared" si="28"/>
        <v>1105640.0130332399</v>
      </c>
      <c r="S91" s="31">
        <f t="shared" si="28"/>
        <v>197639.12188167</v>
      </c>
      <c r="T91" s="31">
        <f t="shared" si="28"/>
        <v>831499.12997931032</v>
      </c>
      <c r="U91" s="31">
        <f t="shared" si="28"/>
        <v>1990913.2558416398</v>
      </c>
      <c r="V91" s="31">
        <f t="shared" si="28"/>
        <v>1159913.9183862067</v>
      </c>
      <c r="W91" s="31">
        <f t="shared" si="28"/>
        <v>686617.07292467996</v>
      </c>
      <c r="X91" s="31">
        <f t="shared" si="28"/>
        <v>5972222.5120467478</v>
      </c>
      <c r="Y91" s="31">
        <f>SUM(Y65:Y90)</f>
        <v>4479166.8840350602</v>
      </c>
      <c r="Z91" s="66">
        <f t="shared" si="28"/>
        <v>0</v>
      </c>
      <c r="AA91" s="26">
        <f>SUM(AA65:AA90)</f>
        <v>13313683.222171463</v>
      </c>
      <c r="AB91" s="367"/>
    </row>
  </sheetData>
  <mergeCells count="10">
    <mergeCell ref="AB37:AB63"/>
    <mergeCell ref="AB65:AB91"/>
    <mergeCell ref="A9:A35"/>
    <mergeCell ref="A37:A63"/>
    <mergeCell ref="A65:A91"/>
    <mergeCell ref="AA6:AA7"/>
    <mergeCell ref="C3:J3"/>
    <mergeCell ref="Q3:AA3"/>
    <mergeCell ref="Z6:Z7"/>
    <mergeCell ref="AB9:AB35"/>
  </mergeCells>
  <conditionalFormatting sqref="C9:I34">
    <cfRule type="expression" dxfId="68" priority="40" stopIfTrue="1">
      <formula>ISBLANK(C9)</formula>
    </cfRule>
  </conditionalFormatting>
  <conditionalFormatting sqref="C37:I37">
    <cfRule type="expression" dxfId="67" priority="34" stopIfTrue="1">
      <formula>ISBLANK(C37)</formula>
    </cfRule>
    <cfRule type="expression" dxfId="66" priority="26" stopIfTrue="1">
      <formula>ISBLANK(C37)</formula>
    </cfRule>
  </conditionalFormatting>
  <conditionalFormatting sqref="C65:I65 N72:N73">
    <cfRule type="expression" dxfId="65" priority="31" stopIfTrue="1">
      <formula>ISBLANK(C65)</formula>
    </cfRule>
  </conditionalFormatting>
  <conditionalFormatting sqref="N73">
    <cfRule type="expression" dxfId="64" priority="27" stopIfTrue="1">
      <formula>ISBLANK(N73)</formula>
    </cfRule>
  </conditionalFormatting>
  <conditionalFormatting sqref="C65:I65">
    <cfRule type="expression" dxfId="63" priority="25" stopIfTrue="1">
      <formula>ISBLANK(C65)</formula>
    </cfRule>
  </conditionalFormatting>
  <conditionalFormatting sqref="N72">
    <cfRule type="expression" dxfId="62" priority="19" stopIfTrue="1">
      <formula>ISBLANK(N72)</formula>
    </cfRule>
  </conditionalFormatting>
  <conditionalFormatting sqref="Z9:Z34">
    <cfRule type="expression" dxfId="61" priority="15" stopIfTrue="1">
      <formula>ISBLANK(Z9)</formula>
    </cfRule>
  </conditionalFormatting>
  <conditionalFormatting sqref="Z37">
    <cfRule type="expression" dxfId="60" priority="14" stopIfTrue="1">
      <formula>ISBLANK(Z37)</formula>
    </cfRule>
  </conditionalFormatting>
  <conditionalFormatting sqref="Z65">
    <cfRule type="expression" dxfId="59" priority="13" stopIfTrue="1">
      <formula>ISBLANK(Z65)</formula>
    </cfRule>
  </conditionalFormatting>
  <conditionalFormatting sqref="C38:I62">
    <cfRule type="expression" dxfId="58" priority="12" stopIfTrue="1">
      <formula>ISBLANK(C38)</formula>
    </cfRule>
  </conditionalFormatting>
  <conditionalFormatting sqref="C66:I90">
    <cfRule type="expression" dxfId="57" priority="11" stopIfTrue="1">
      <formula>ISBLANK(C66)</formula>
    </cfRule>
  </conditionalFormatting>
  <conditionalFormatting sqref="Z38:Z62">
    <cfRule type="expression" dxfId="56" priority="10" stopIfTrue="1">
      <formula>ISBLANK(Z38)</formula>
    </cfRule>
  </conditionalFormatting>
  <conditionalFormatting sqref="Z66:Z90">
    <cfRule type="expression" dxfId="55" priority="9" stopIfTrue="1">
      <formula>ISBLANK(Z66)</formula>
    </cfRule>
  </conditionalFormatting>
  <conditionalFormatting sqref="N13">
    <cfRule type="expression" dxfId="54" priority="8" stopIfTrue="1">
      <formula>ISBLANK(N13)</formula>
    </cfRule>
  </conditionalFormatting>
  <conditionalFormatting sqref="N10">
    <cfRule type="expression" dxfId="53" priority="7" stopIfTrue="1">
      <formula>ISBLANK(N10)</formula>
    </cfRule>
  </conditionalFormatting>
  <conditionalFormatting sqref="N11">
    <cfRule type="expression" dxfId="52" priority="6" stopIfTrue="1">
      <formula>ISBLANK(N11)</formula>
    </cfRule>
  </conditionalFormatting>
  <conditionalFormatting sqref="N39">
    <cfRule type="expression" dxfId="51" priority="4" stopIfTrue="1">
      <formula>ISBLANK(N39)</formula>
    </cfRule>
  </conditionalFormatting>
  <conditionalFormatting sqref="N38">
    <cfRule type="expression" dxfId="50" priority="5" stopIfTrue="1">
      <formula>ISBLANK(N38)</formula>
    </cfRule>
  </conditionalFormatting>
  <conditionalFormatting sqref="N41">
    <cfRule type="expression" dxfId="49" priority="3" stopIfTrue="1">
      <formula>ISBLANK(N41)</formula>
    </cfRule>
  </conditionalFormatting>
  <conditionalFormatting sqref="N67">
    <cfRule type="expression" dxfId="48" priority="1" stopIfTrue="1">
      <formula>ISBLANK(N67)</formula>
    </cfRule>
  </conditionalFormatting>
  <conditionalFormatting sqref="N66">
    <cfRule type="expression" dxfId="47" priority="2" stopIfTrue="1">
      <formula>ISBLANK(N66)</formula>
    </cfRule>
  </conditionalFormatting>
  <pageMargins left="0.70866141732283472" right="0.39370078740157483" top="0.98425196850393704" bottom="0.78740157480314965" header="0.51181102362204722" footer="0.51181102362204722"/>
  <pageSetup paperSize="9" scale="60" fitToWidth="2" orientation="landscape"/>
  <headerFooter scaleWithDoc="0" alignWithMargins="0">
    <oddHeader>&amp;L&amp;F&amp;R&amp;A</oddHeader>
    <oddFooter>&amp;C&amp;P / &amp;N</oddFooter>
  </headerFooter>
  <rowBreaks count="2" manualBreakCount="2">
    <brk id="36" max="16383" man="1"/>
    <brk id="64" max="16383" man="1"/>
  </rowBreaks>
  <colBreaks count="1" manualBreakCount="1">
    <brk id="15" max="1048575" man="1"/>
  </colBreaks>
  <customProperties>
    <customPr name="EpmWorksheetKeyString_GUID" r:id="rId1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1"/>
  <sheetViews>
    <sheetView showGridLines="0" zoomScaleNormal="100" zoomScaleSheetLayoutView="70" workbookViewId="0">
      <pane ySplit="8" topLeftCell="A9" activePane="bottomLeft" state="frozen"/>
      <selection activeCell="A100" sqref="A100"/>
      <selection pane="bottomLeft" activeCell="A50" sqref="A50"/>
    </sheetView>
  </sheetViews>
  <sheetFormatPr baseColWidth="10" defaultColWidth="9.140625" defaultRowHeight="12.75" x14ac:dyDescent="0.2"/>
  <cols>
    <col min="1" max="1" width="1.42578125" customWidth="1"/>
    <col min="2" max="4" width="16.7109375" customWidth="1"/>
    <col min="5" max="5" width="1.28515625" customWidth="1"/>
    <col min="6" max="7" width="16.7109375" customWidth="1"/>
    <col min="8" max="8" width="1.28515625" customWidth="1"/>
    <col min="9" max="10" width="16.7109375" customWidth="1"/>
    <col min="11" max="11" width="2.85546875" customWidth="1"/>
    <col min="12" max="12" width="3" customWidth="1"/>
    <col min="13" max="13" width="42.42578125" customWidth="1"/>
    <col min="14" max="15" width="9" customWidth="1"/>
    <col min="16" max="22" width="12" customWidth="1"/>
  </cols>
  <sheetData>
    <row r="1" spans="1:22" ht="18" customHeight="1" x14ac:dyDescent="0.2">
      <c r="B1" s="120" t="str">
        <f>DFIE!B120</f>
        <v>Vermögen natürlicher Personen 2020</v>
      </c>
    </row>
    <row r="2" spans="1:22" ht="12.75" customHeight="1" x14ac:dyDescent="0.2"/>
    <row r="3" spans="1:22" ht="20.25" customHeight="1" x14ac:dyDescent="0.2">
      <c r="A3" s="51"/>
      <c r="C3" s="378" t="str">
        <f>DFIE!B69</f>
        <v>Bemessungsjahr 2014</v>
      </c>
      <c r="D3" s="378"/>
      <c r="E3" s="51"/>
      <c r="F3" s="379" t="str">
        <f>DFIE!B70</f>
        <v>Bemessungsjahr 2015</v>
      </c>
      <c r="G3" s="379"/>
      <c r="H3" s="51"/>
      <c r="I3" s="380" t="str">
        <f>DFIE!B71</f>
        <v>Bemessungsjahr 2016</v>
      </c>
      <c r="J3" s="380"/>
      <c r="L3" s="126" t="str">
        <f>DFIE!$B$125</f>
        <v>Berechnung Alpha für Bemessungsjahr 2016</v>
      </c>
    </row>
    <row r="4" spans="1:22" ht="12" customHeight="1" x14ac:dyDescent="0.2">
      <c r="A4" s="13"/>
      <c r="B4" s="34" t="str">
        <f>DFIE!B55</f>
        <v>Spalte</v>
      </c>
      <c r="C4" s="35" t="s">
        <v>30</v>
      </c>
      <c r="D4" s="117" t="s">
        <v>31</v>
      </c>
      <c r="E4" s="118"/>
      <c r="F4" s="119" t="s">
        <v>43</v>
      </c>
      <c r="G4" s="117" t="s">
        <v>42</v>
      </c>
      <c r="H4" s="118"/>
      <c r="I4" s="119" t="s">
        <v>34</v>
      </c>
      <c r="J4" s="117" t="s">
        <v>35</v>
      </c>
      <c r="N4" s="130"/>
      <c r="O4" s="130"/>
      <c r="V4" s="13"/>
    </row>
    <row r="5" spans="1:22" ht="12" customHeight="1" x14ac:dyDescent="0.2">
      <c r="A5" s="13"/>
      <c r="B5" s="34" t="str">
        <f>DFIE!B56</f>
        <v>Formel</v>
      </c>
      <c r="C5" s="35"/>
      <c r="D5" s="121" t="str">
        <f>"C * " &amp;DFIE!$B$123</f>
        <v>C * Alpha</v>
      </c>
      <c r="E5" s="118"/>
      <c r="F5" s="119"/>
      <c r="G5" s="121" t="str">
        <f>"F * " &amp;DFIE!$B$123</f>
        <v>F * Alpha</v>
      </c>
      <c r="H5" s="118"/>
      <c r="I5" s="119"/>
      <c r="J5" s="121" t="str">
        <f>"I * " &amp;DFIE!$B$123</f>
        <v>I * Alpha</v>
      </c>
      <c r="L5" s="13"/>
      <c r="M5" s="13"/>
      <c r="N5" s="130"/>
      <c r="O5" s="130"/>
      <c r="V5" s="13"/>
    </row>
    <row r="6" spans="1:22" ht="12" customHeight="1" x14ac:dyDescent="0.2">
      <c r="A6" s="13"/>
      <c r="B6" s="34" t="str">
        <f>DFIE!$B$124</f>
        <v>Alpha</v>
      </c>
      <c r="C6" s="35"/>
      <c r="D6" s="180">
        <v>1.4999999999999999E-2</v>
      </c>
      <c r="E6" s="118"/>
      <c r="F6" s="119"/>
      <c r="G6" s="180">
        <v>1.4E-2</v>
      </c>
      <c r="H6" s="118"/>
      <c r="I6" s="119"/>
      <c r="J6" s="180">
        <f>$V$27</f>
        <v>1.4E-2</v>
      </c>
      <c r="L6" s="127"/>
      <c r="M6" s="127"/>
      <c r="N6" s="130"/>
      <c r="O6" s="130"/>
    </row>
    <row r="7" spans="1:22" ht="33.75" customHeight="1" x14ac:dyDescent="0.2">
      <c r="A7" s="51"/>
      <c r="B7" s="184"/>
      <c r="C7" s="185" t="str">
        <f>DFIE!$B$121</f>
        <v>Reinvermögen</v>
      </c>
      <c r="D7" s="114" t="str">
        <f>DFIE!$B$122</f>
        <v>Massgebendes
Vermögen</v>
      </c>
      <c r="E7" s="51"/>
      <c r="F7" s="186" t="str">
        <f>DFIE!$B$121</f>
        <v>Reinvermögen</v>
      </c>
      <c r="G7" s="114" t="str">
        <f>DFIE!$B$122</f>
        <v>Massgebendes
Vermögen</v>
      </c>
      <c r="H7" s="51"/>
      <c r="I7" s="186" t="str">
        <f>DFIE!$B$121</f>
        <v>Reinvermögen</v>
      </c>
      <c r="J7" s="114" t="str">
        <f>DFIE!$B$122</f>
        <v>Massgebendes
Vermögen</v>
      </c>
      <c r="L7" s="128"/>
      <c r="M7" s="179"/>
      <c r="N7" s="163"/>
      <c r="O7" s="163"/>
      <c r="P7" s="133">
        <f>DFIE!$G$2-9</f>
        <v>2011</v>
      </c>
      <c r="Q7" s="133">
        <f>DFIE!$G$2-8</f>
        <v>2012</v>
      </c>
      <c r="R7" s="133">
        <f>DFIE!$G$2-7</f>
        <v>2013</v>
      </c>
      <c r="S7" s="133">
        <f>DFIE!$G$2-6</f>
        <v>2014</v>
      </c>
      <c r="T7" s="133">
        <f>DFIE!$G$2-5</f>
        <v>2015</v>
      </c>
      <c r="U7" s="133">
        <f>DFIE!$G$2-4</f>
        <v>2016</v>
      </c>
      <c r="V7" s="178" t="str">
        <f>DFIE!$B$142</f>
        <v>Mittelwert</v>
      </c>
    </row>
    <row r="8" spans="1:22" x14ac:dyDescent="0.2">
      <c r="A8" s="13"/>
      <c r="B8" s="78" t="str">
        <f>DFIE!B58</f>
        <v>Einheit</v>
      </c>
      <c r="C8" s="41" t="str">
        <f>DFIE!$B$60</f>
        <v>CHF 1'000</v>
      </c>
      <c r="D8" s="122" t="str">
        <f>DFIE!$B$60</f>
        <v>CHF 1'000</v>
      </c>
      <c r="E8" s="118"/>
      <c r="F8" s="123" t="str">
        <f>DFIE!$B$60</f>
        <v>CHF 1'000</v>
      </c>
      <c r="G8" s="122" t="str">
        <f>DFIE!$B$60</f>
        <v>CHF 1'000</v>
      </c>
      <c r="H8" s="118"/>
      <c r="I8" s="123" t="str">
        <f>DFIE!$B$60</f>
        <v>CHF 1'000</v>
      </c>
      <c r="J8" s="122" t="str">
        <f>DFIE!$B$60</f>
        <v>CHF 1'000</v>
      </c>
      <c r="L8" s="129"/>
      <c r="N8" s="164" t="str">
        <f>DFIE!$B$58</f>
        <v>Einheit</v>
      </c>
      <c r="O8" s="164" t="str">
        <f>DFIE!$B$56</f>
        <v>Formel</v>
      </c>
      <c r="P8" s="3" t="s">
        <v>565</v>
      </c>
      <c r="Q8" s="3" t="s">
        <v>566</v>
      </c>
      <c r="R8" s="3" t="s">
        <v>567</v>
      </c>
      <c r="S8" s="3" t="s">
        <v>568</v>
      </c>
      <c r="T8" s="3" t="s">
        <v>569</v>
      </c>
      <c r="U8" s="3" t="s">
        <v>570</v>
      </c>
      <c r="V8" s="164"/>
    </row>
    <row r="9" spans="1:22" ht="12.75" customHeight="1" x14ac:dyDescent="0.2">
      <c r="A9" s="51"/>
      <c r="B9" s="46" t="str">
        <f>DFIE!$B28</f>
        <v>Zürich</v>
      </c>
      <c r="C9" s="61">
        <v>388717890</v>
      </c>
      <c r="D9" s="111">
        <f>C9*$D$6</f>
        <v>5830768.3499999996</v>
      </c>
      <c r="E9" s="83"/>
      <c r="F9" s="183">
        <v>391145948.08600003</v>
      </c>
      <c r="G9" s="111">
        <f>F9*$G$6</f>
        <v>5476043.2732040007</v>
      </c>
      <c r="H9" s="83"/>
      <c r="I9" s="183">
        <v>407000821</v>
      </c>
      <c r="J9" s="111">
        <f>I9*$J$6</f>
        <v>5698011.4939999999</v>
      </c>
      <c r="L9" s="134"/>
      <c r="M9" s="135" t="str">
        <f>DFIE!$B$126</f>
        <v>Fiskaleinnahmen</v>
      </c>
      <c r="N9" s="165"/>
      <c r="O9" s="165"/>
      <c r="P9" s="136"/>
      <c r="Q9" s="136"/>
      <c r="R9" s="136"/>
      <c r="S9" s="136"/>
      <c r="T9" s="136"/>
      <c r="U9" s="136"/>
      <c r="V9" s="170"/>
    </row>
    <row r="10" spans="1:22" ht="12.75" customHeight="1" x14ac:dyDescent="0.2">
      <c r="A10" s="51"/>
      <c r="B10" s="47" t="str">
        <f>DFIE!$B29</f>
        <v>Bern</v>
      </c>
      <c r="C10" s="43">
        <v>157636899.95199999</v>
      </c>
      <c r="D10" s="124">
        <f t="shared" ref="D10:D34" si="0">C10*$D$6</f>
        <v>2364553.4992799996</v>
      </c>
      <c r="E10" s="83"/>
      <c r="F10" s="125">
        <v>167648596.12</v>
      </c>
      <c r="G10" s="124">
        <f t="shared" ref="G10:G34" si="1">F10*$G$6</f>
        <v>2347080.3456800003</v>
      </c>
      <c r="H10" s="83"/>
      <c r="I10" s="125">
        <v>171532393.888412</v>
      </c>
      <c r="J10" s="124">
        <f t="shared" ref="J10:J34" si="2">I10*$J$6</f>
        <v>2401453.5144377681</v>
      </c>
      <c r="L10" s="137" t="s">
        <v>118</v>
      </c>
      <c r="M10" s="131" t="str">
        <f>DFIE!$B$127</f>
        <v>Einkommenssteuern natürliche Personen *</v>
      </c>
      <c r="N10" s="166" t="str">
        <f>DFIE!$B$60</f>
        <v>CHF 1'000</v>
      </c>
      <c r="O10" s="166"/>
      <c r="P10" s="138">
        <v>39786208.505960003</v>
      </c>
      <c r="Q10" s="138">
        <v>40347430.913709998</v>
      </c>
      <c r="R10" s="138">
        <v>40670236.162780002</v>
      </c>
      <c r="S10" s="138">
        <v>41220324.74306</v>
      </c>
      <c r="T10" s="138">
        <v>42317099.728720002</v>
      </c>
      <c r="U10" s="138">
        <v>42731223.666500002</v>
      </c>
      <c r="V10" s="171"/>
    </row>
    <row r="11" spans="1:22" ht="12.75" customHeight="1" x14ac:dyDescent="0.2">
      <c r="A11" s="51"/>
      <c r="B11" s="46" t="str">
        <f>DFIE!$B30</f>
        <v>Luzern</v>
      </c>
      <c r="C11" s="61">
        <v>80159577.295000002</v>
      </c>
      <c r="D11" s="111">
        <f t="shared" si="0"/>
        <v>1202393.659425</v>
      </c>
      <c r="E11" s="83"/>
      <c r="F11" s="183">
        <v>82538825.216000006</v>
      </c>
      <c r="G11" s="111">
        <f t="shared" si="1"/>
        <v>1155543.553024</v>
      </c>
      <c r="H11" s="83"/>
      <c r="I11" s="183">
        <v>88204992.101999998</v>
      </c>
      <c r="J11" s="111">
        <f t="shared" si="2"/>
        <v>1234869.889428</v>
      </c>
      <c r="L11" s="137" t="s">
        <v>119</v>
      </c>
      <c r="M11" s="131" t="str">
        <f>DFIE!$B$128</f>
        <v>Quellensteuern natürliche Personen *</v>
      </c>
      <c r="N11" s="166" t="str">
        <f>DFIE!$B$60</f>
        <v>CHF 1'000</v>
      </c>
      <c r="O11" s="166"/>
      <c r="P11" s="138">
        <v>2906920.8158499999</v>
      </c>
      <c r="Q11" s="138">
        <v>3135477.1194799999</v>
      </c>
      <c r="R11" s="138">
        <v>3314957.3563899999</v>
      </c>
      <c r="S11" s="138">
        <v>3489272.7677099998</v>
      </c>
      <c r="T11" s="138">
        <v>3492580.9331100001</v>
      </c>
      <c r="U11" s="138">
        <v>3642126.3690200001</v>
      </c>
      <c r="V11" s="171"/>
    </row>
    <row r="12" spans="1:22" ht="12.75" customHeight="1" x14ac:dyDescent="0.2">
      <c r="A12" s="51"/>
      <c r="B12" s="47" t="str">
        <f>DFIE!$B31</f>
        <v>Uri</v>
      </c>
      <c r="C12" s="43">
        <v>6444258.8459999999</v>
      </c>
      <c r="D12" s="124">
        <f t="shared" si="0"/>
        <v>96663.882689999999</v>
      </c>
      <c r="E12" s="83"/>
      <c r="F12" s="125">
        <v>6578047.9230000004</v>
      </c>
      <c r="G12" s="124">
        <f t="shared" si="1"/>
        <v>92092.670922000005</v>
      </c>
      <c r="H12" s="83"/>
      <c r="I12" s="125">
        <v>6636122.6739999996</v>
      </c>
      <c r="J12" s="124">
        <f t="shared" si="2"/>
        <v>92905.717435999992</v>
      </c>
      <c r="L12" s="134" t="s">
        <v>30</v>
      </c>
      <c r="M12" s="139" t="str">
        <f>DFIE!$B$129</f>
        <v>Direkte Bundessteuer (DBSt) natürliche Personen</v>
      </c>
      <c r="N12" s="165" t="str">
        <f>DFIE!$B$60</f>
        <v>CHF 1'000</v>
      </c>
      <c r="O12" s="165"/>
      <c r="P12" s="140">
        <v>9573830.3210899998</v>
      </c>
      <c r="Q12" s="140">
        <v>9753681.4047500007</v>
      </c>
      <c r="R12" s="140">
        <v>9654954.5125099998</v>
      </c>
      <c r="S12" s="140">
        <v>9487449.5333900005</v>
      </c>
      <c r="T12" s="140">
        <v>10394146.740390001</v>
      </c>
      <c r="U12" s="140">
        <v>10599472.656789999</v>
      </c>
      <c r="V12" s="172"/>
    </row>
    <row r="13" spans="1:22" ht="12.75" customHeight="1" x14ac:dyDescent="0.2">
      <c r="A13" s="51"/>
      <c r="B13" s="46" t="str">
        <f>DFIE!$B32</f>
        <v>Schwyz</v>
      </c>
      <c r="C13" s="61">
        <v>107875078.273</v>
      </c>
      <c r="D13" s="111">
        <f t="shared" si="0"/>
        <v>1618126.1740949999</v>
      </c>
      <c r="E13" s="83"/>
      <c r="F13" s="183">
        <v>110711709.67</v>
      </c>
      <c r="G13" s="111">
        <f t="shared" si="1"/>
        <v>1549963.9353800002</v>
      </c>
      <c r="H13" s="83"/>
      <c r="I13" s="183">
        <v>114451724.088</v>
      </c>
      <c r="J13" s="111">
        <f t="shared" si="2"/>
        <v>1602324.137232</v>
      </c>
      <c r="L13" s="137" t="s">
        <v>31</v>
      </c>
      <c r="M13" s="131" t="str">
        <f>DFIE!$B$130</f>
        <v>Kantonsanteil</v>
      </c>
      <c r="N13" s="166" t="str">
        <f>DFIE!$B$63</f>
        <v>Prozent</v>
      </c>
      <c r="O13" s="166"/>
      <c r="P13" s="141">
        <v>0.17</v>
      </c>
      <c r="Q13" s="141">
        <v>0.17</v>
      </c>
      <c r="R13" s="141">
        <v>0.17</v>
      </c>
      <c r="S13" s="141">
        <v>0.17</v>
      </c>
      <c r="T13" s="141">
        <v>0.17</v>
      </c>
      <c r="U13" s="141">
        <v>0.17</v>
      </c>
      <c r="V13" s="173"/>
    </row>
    <row r="14" spans="1:22" ht="12.75" customHeight="1" x14ac:dyDescent="0.2">
      <c r="A14" s="51"/>
      <c r="B14" s="47" t="str">
        <f>DFIE!$B33</f>
        <v>Obwalden</v>
      </c>
      <c r="C14" s="43">
        <v>12468979.35</v>
      </c>
      <c r="D14" s="124">
        <f t="shared" si="0"/>
        <v>187034.69024999999</v>
      </c>
      <c r="E14" s="83"/>
      <c r="F14" s="125">
        <v>12054002.073999999</v>
      </c>
      <c r="G14" s="124">
        <f t="shared" si="1"/>
        <v>168756.02903599999</v>
      </c>
      <c r="H14" s="83"/>
      <c r="I14" s="125">
        <v>12247251.195</v>
      </c>
      <c r="J14" s="124">
        <f t="shared" si="2"/>
        <v>171461.51673</v>
      </c>
      <c r="L14" s="142" t="s">
        <v>32</v>
      </c>
      <c r="M14" s="143" t="str">
        <f>DFIE!$B$131</f>
        <v>Anteil der Kantone an DBSt natürliche Personen</v>
      </c>
      <c r="N14" s="167" t="str">
        <f>DFIE!$B$60</f>
        <v>CHF 1'000</v>
      </c>
      <c r="O14" s="167" t="s">
        <v>585</v>
      </c>
      <c r="P14" s="144">
        <f>P12*P13</f>
        <v>1627551.1545853</v>
      </c>
      <c r="Q14" s="144">
        <f t="shared" ref="Q14:U14" si="3">Q12*Q13</f>
        <v>1658125.8388075002</v>
      </c>
      <c r="R14" s="144">
        <f t="shared" si="3"/>
        <v>1641342.2671267001</v>
      </c>
      <c r="S14" s="144">
        <f t="shared" si="3"/>
        <v>1612866.4206763003</v>
      </c>
      <c r="T14" s="144">
        <f t="shared" si="3"/>
        <v>1767004.9458663003</v>
      </c>
      <c r="U14" s="144">
        <f t="shared" si="3"/>
        <v>1801910.3516543</v>
      </c>
      <c r="V14" s="174"/>
    </row>
    <row r="15" spans="1:22" ht="12.75" customHeight="1" x14ac:dyDescent="0.2">
      <c r="A15" s="51"/>
      <c r="B15" s="46" t="str">
        <f>DFIE!$B34</f>
        <v>Nidwalden</v>
      </c>
      <c r="C15" s="61">
        <v>29560359.335000001</v>
      </c>
      <c r="D15" s="111">
        <f t="shared" si="0"/>
        <v>443405.39002499997</v>
      </c>
      <c r="E15" s="83"/>
      <c r="F15" s="183">
        <v>28735347.41</v>
      </c>
      <c r="G15" s="111">
        <f t="shared" si="1"/>
        <v>402294.86374</v>
      </c>
      <c r="H15" s="83"/>
      <c r="I15" s="183">
        <v>32678838.789999999</v>
      </c>
      <c r="J15" s="111">
        <f t="shared" si="2"/>
        <v>457503.74306000001</v>
      </c>
      <c r="L15" s="142" t="s">
        <v>43</v>
      </c>
      <c r="M15" s="132" t="str">
        <f>DFIE!$B$132</f>
        <v>Fiskaleinnahmen Einkommen</v>
      </c>
      <c r="N15" s="167" t="str">
        <f>DFIE!$B$60</f>
        <v>CHF 1'000</v>
      </c>
      <c r="O15" s="167" t="s">
        <v>572</v>
      </c>
      <c r="P15" s="144">
        <f>SUM(P10,P11,P14)</f>
        <v>44320680.476395302</v>
      </c>
      <c r="Q15" s="144">
        <f t="shared" ref="Q15:U15" si="4">SUM(Q10,Q11,Q14)</f>
        <v>45141033.871997498</v>
      </c>
      <c r="R15" s="144">
        <f t="shared" si="4"/>
        <v>45626535.786296703</v>
      </c>
      <c r="S15" s="144">
        <f t="shared" si="4"/>
        <v>46322463.931446299</v>
      </c>
      <c r="T15" s="144">
        <f t="shared" si="4"/>
        <v>47576685.607696302</v>
      </c>
      <c r="U15" s="144">
        <f t="shared" si="4"/>
        <v>48175260.387174301</v>
      </c>
      <c r="V15" s="175">
        <f>AVERAGE(P15:U15)</f>
        <v>46193776.676834404</v>
      </c>
    </row>
    <row r="16" spans="1:22" ht="12.75" customHeight="1" x14ac:dyDescent="0.2">
      <c r="A16" s="51"/>
      <c r="B16" s="47" t="str">
        <f>DFIE!$B35</f>
        <v>Glarus</v>
      </c>
      <c r="C16" s="43">
        <v>7320622.9570000004</v>
      </c>
      <c r="D16" s="124">
        <f t="shared" si="0"/>
        <v>109809.34435500001</v>
      </c>
      <c r="E16" s="83"/>
      <c r="F16" s="125">
        <v>7529963.2879999997</v>
      </c>
      <c r="G16" s="124">
        <f t="shared" si="1"/>
        <v>105419.486032</v>
      </c>
      <c r="H16" s="83"/>
      <c r="I16" s="125">
        <v>7730051.023</v>
      </c>
      <c r="J16" s="124">
        <f t="shared" si="2"/>
        <v>108220.714322</v>
      </c>
      <c r="L16" s="145" t="s">
        <v>42</v>
      </c>
      <c r="M16" s="132" t="str">
        <f>DFIE!$B$133</f>
        <v>Vermögenssteuern natürliche Personen *</v>
      </c>
      <c r="N16" s="168" t="str">
        <f>DFIE!$B$60</f>
        <v>CHF 1'000</v>
      </c>
      <c r="O16" s="168"/>
      <c r="P16" s="176">
        <v>5502045.55834</v>
      </c>
      <c r="Q16" s="146">
        <v>5540289.0224799998</v>
      </c>
      <c r="R16" s="146">
        <v>5785430.3572899997</v>
      </c>
      <c r="S16" s="146">
        <v>6322234.51829</v>
      </c>
      <c r="T16" s="146">
        <v>6604003.19704</v>
      </c>
      <c r="U16" s="177">
        <v>7009142.2837199997</v>
      </c>
      <c r="V16" s="175">
        <f>AVERAGE(P16:U16)</f>
        <v>6127190.8228599997</v>
      </c>
    </row>
    <row r="17" spans="1:22" ht="12.75" customHeight="1" x14ac:dyDescent="0.2">
      <c r="A17" s="51"/>
      <c r="B17" s="46" t="str">
        <f>DFIE!$B36</f>
        <v>Zug</v>
      </c>
      <c r="C17" s="61">
        <v>60873018.848988898</v>
      </c>
      <c r="D17" s="111">
        <f t="shared" si="0"/>
        <v>913095.28273483342</v>
      </c>
      <c r="E17" s="83"/>
      <c r="F17" s="183">
        <v>60127955.760844201</v>
      </c>
      <c r="G17" s="111">
        <f t="shared" si="1"/>
        <v>841791.38065181882</v>
      </c>
      <c r="H17" s="83"/>
      <c r="I17" s="183">
        <v>65474911.0051658</v>
      </c>
      <c r="J17" s="111">
        <f t="shared" si="2"/>
        <v>916648.75407232123</v>
      </c>
      <c r="L17" s="147"/>
      <c r="M17" s="148"/>
      <c r="N17" s="158"/>
      <c r="O17" s="158"/>
      <c r="P17" s="148"/>
      <c r="Q17" s="148"/>
      <c r="R17" s="148"/>
      <c r="S17" s="148"/>
      <c r="T17" s="148"/>
      <c r="U17" s="148"/>
      <c r="V17" s="148"/>
    </row>
    <row r="18" spans="1:22" ht="12.75" customHeight="1" x14ac:dyDescent="0.2">
      <c r="A18" s="51"/>
      <c r="B18" s="47" t="str">
        <f>DFIE!$B37</f>
        <v>Freiburg</v>
      </c>
      <c r="C18" s="43">
        <v>30020453.721999999</v>
      </c>
      <c r="D18" s="124">
        <f t="shared" si="0"/>
        <v>450306.80582999997</v>
      </c>
      <c r="E18" s="83"/>
      <c r="F18" s="125">
        <v>30469049.953000002</v>
      </c>
      <c r="G18" s="124">
        <f t="shared" si="1"/>
        <v>426566.69934200001</v>
      </c>
      <c r="H18" s="83"/>
      <c r="I18" s="125">
        <v>30231970.048999999</v>
      </c>
      <c r="J18" s="124">
        <f t="shared" si="2"/>
        <v>423247.580686</v>
      </c>
      <c r="L18" s="134"/>
      <c r="M18" s="135" t="str">
        <f>DFIE!$B$134</f>
        <v>Daten Finanzausgleich</v>
      </c>
      <c r="N18" s="165"/>
      <c r="O18" s="165"/>
      <c r="P18" s="149"/>
      <c r="Q18" s="149"/>
      <c r="R18" s="149"/>
      <c r="S18" s="149"/>
      <c r="T18" s="149"/>
      <c r="U18" s="149"/>
      <c r="V18" s="170"/>
    </row>
    <row r="19" spans="1:22" ht="12.75" customHeight="1" x14ac:dyDescent="0.2">
      <c r="A19" s="51"/>
      <c r="B19" s="46" t="str">
        <f>DFIE!$B38</f>
        <v>Solothurn</v>
      </c>
      <c r="C19" s="61">
        <v>24436134.802999999</v>
      </c>
      <c r="D19" s="111">
        <f t="shared" si="0"/>
        <v>366542.02204499999</v>
      </c>
      <c r="E19" s="83"/>
      <c r="F19" s="183">
        <v>27096884.199999999</v>
      </c>
      <c r="G19" s="111">
        <f t="shared" si="1"/>
        <v>379356.37880000001</v>
      </c>
      <c r="H19" s="83"/>
      <c r="I19" s="183">
        <v>28416212.697999999</v>
      </c>
      <c r="J19" s="111">
        <f t="shared" si="2"/>
        <v>397826.97777200001</v>
      </c>
      <c r="L19" s="137" t="s">
        <v>33</v>
      </c>
      <c r="M19" s="131" t="str">
        <f>DFIE!$B$135</f>
        <v>Massgebende Einkommen der natürlichen Personen</v>
      </c>
      <c r="N19" s="166" t="str">
        <f>DFIE!$B$60</f>
        <v>CHF 1'000</v>
      </c>
      <c r="O19" s="166"/>
      <c r="P19" s="138">
        <v>164431392.30000001</v>
      </c>
      <c r="Q19" s="138">
        <v>161331909.30000001</v>
      </c>
      <c r="R19" s="138">
        <v>166207085.80000001</v>
      </c>
      <c r="S19" s="150">
        <f>NP!$E$35</f>
        <v>173454199.49999994</v>
      </c>
      <c r="T19" s="150">
        <f>NP!$E$63</f>
        <v>175978533.69999999</v>
      </c>
      <c r="U19" s="150">
        <f>NP!$E$91</f>
        <v>181691296.00000003</v>
      </c>
      <c r="V19" s="171"/>
    </row>
    <row r="20" spans="1:22" ht="12.75" customHeight="1" x14ac:dyDescent="0.2">
      <c r="A20" s="51"/>
      <c r="B20" s="47" t="str">
        <f>DFIE!$B39</f>
        <v>Basel-Stadt</v>
      </c>
      <c r="C20" s="43">
        <v>58813113.383000001</v>
      </c>
      <c r="D20" s="124">
        <f t="shared" si="0"/>
        <v>882196.70074500004</v>
      </c>
      <c r="E20" s="83"/>
      <c r="F20" s="125">
        <v>56071245.079999998</v>
      </c>
      <c r="G20" s="124">
        <f t="shared" si="1"/>
        <v>784997.43111999996</v>
      </c>
      <c r="H20" s="83"/>
      <c r="I20" s="125">
        <v>56436859.892999999</v>
      </c>
      <c r="J20" s="124">
        <f t="shared" si="2"/>
        <v>790116.03850200004</v>
      </c>
      <c r="L20" s="137" t="s">
        <v>593</v>
      </c>
      <c r="M20" s="131" t="str">
        <f>DFIE!$B$136</f>
        <v>Massgebende quellenbesteuerte Einkommen</v>
      </c>
      <c r="N20" s="166" t="str">
        <f>DFIE!$B$60</f>
        <v>CHF 1'000</v>
      </c>
      <c r="O20" s="166"/>
      <c r="P20" s="138">
        <v>11677262.5510692</v>
      </c>
      <c r="Q20" s="138">
        <v>11787967.246507199</v>
      </c>
      <c r="R20" s="138">
        <v>12477188.042711301</v>
      </c>
      <c r="S20" s="150">
        <f>QS!$AA$35</f>
        <v>12859610.952931909</v>
      </c>
      <c r="T20" s="150">
        <f>QS!$AA$63</f>
        <v>13026121.866359266</v>
      </c>
      <c r="U20" s="150">
        <f>QS!$AA$91</f>
        <v>13313683.222171463</v>
      </c>
      <c r="V20" s="171"/>
    </row>
    <row r="21" spans="1:22" ht="12.75" customHeight="1" x14ac:dyDescent="0.2">
      <c r="A21" s="51"/>
      <c r="B21" s="46" t="str">
        <f>DFIE!$B40</f>
        <v>Basel-Landschaft</v>
      </c>
      <c r="C21" s="61">
        <v>43053496.538000003</v>
      </c>
      <c r="D21" s="111">
        <f t="shared" si="0"/>
        <v>645802.44807000004</v>
      </c>
      <c r="E21" s="83"/>
      <c r="F21" s="183">
        <v>44072419.119000003</v>
      </c>
      <c r="G21" s="111">
        <f t="shared" si="1"/>
        <v>617013.86766600003</v>
      </c>
      <c r="H21" s="83"/>
      <c r="I21" s="183">
        <v>43824256.009999998</v>
      </c>
      <c r="J21" s="111">
        <f t="shared" si="2"/>
        <v>613539.58413999993</v>
      </c>
      <c r="L21" s="145" t="s">
        <v>35</v>
      </c>
      <c r="M21" s="132" t="str">
        <f>DFIE!$B$137</f>
        <v>Massgebende Einkommen</v>
      </c>
      <c r="N21" s="168" t="str">
        <f>DFIE!$B$60</f>
        <v>CHF 1'000</v>
      </c>
      <c r="O21" s="168" t="s">
        <v>576</v>
      </c>
      <c r="P21" s="151">
        <f t="shared" ref="P21:U21" si="5">SUM(P19:P20)</f>
        <v>176108654.85106921</v>
      </c>
      <c r="Q21" s="151">
        <f t="shared" si="5"/>
        <v>173119876.54650721</v>
      </c>
      <c r="R21" s="151">
        <f t="shared" si="5"/>
        <v>178684273.8427113</v>
      </c>
      <c r="S21" s="151">
        <f t="shared" si="5"/>
        <v>186313810.45293185</v>
      </c>
      <c r="T21" s="151">
        <f t="shared" si="5"/>
        <v>189004655.56635925</v>
      </c>
      <c r="U21" s="151">
        <f t="shared" si="5"/>
        <v>195004979.22217149</v>
      </c>
      <c r="V21" s="175">
        <f>AVERAGE(P21:U21)</f>
        <v>183039375.08029175</v>
      </c>
    </row>
    <row r="22" spans="1:22" ht="12.75" customHeight="1" x14ac:dyDescent="0.2">
      <c r="A22" s="51"/>
      <c r="B22" s="47" t="str">
        <f>DFIE!$B41</f>
        <v>Schaffhausen</v>
      </c>
      <c r="C22" s="43">
        <v>13153457.369000001</v>
      </c>
      <c r="D22" s="124">
        <f t="shared" si="0"/>
        <v>197301.86053500001</v>
      </c>
      <c r="E22" s="83"/>
      <c r="F22" s="125">
        <v>12676075.273</v>
      </c>
      <c r="G22" s="124">
        <f t="shared" si="1"/>
        <v>177465.05382200002</v>
      </c>
      <c r="H22" s="83"/>
      <c r="I22" s="125">
        <v>13752696.355</v>
      </c>
      <c r="J22" s="124">
        <f t="shared" si="2"/>
        <v>192537.74897000002</v>
      </c>
      <c r="L22" s="142" t="s">
        <v>578</v>
      </c>
      <c r="M22" s="143" t="str">
        <f>DFIE!$B$138</f>
        <v>Reinvermögen</v>
      </c>
      <c r="N22" s="167" t="str">
        <f>DFIE!$B$60</f>
        <v>CHF 1'000</v>
      </c>
      <c r="O22" s="167"/>
      <c r="P22" s="152">
        <v>1474998524.2453699</v>
      </c>
      <c r="Q22" s="152">
        <v>1567924642.9280801</v>
      </c>
      <c r="R22" s="152">
        <v>1656429032.4124701</v>
      </c>
      <c r="S22" s="144">
        <f>$C$35</f>
        <v>1744744875.5549889</v>
      </c>
      <c r="T22" s="144">
        <f>$F$35</f>
        <v>1791713588.677844</v>
      </c>
      <c r="U22" s="144">
        <f>$I$35</f>
        <v>1866164307.4281514</v>
      </c>
      <c r="V22" s="174">
        <f>AVERAGE(P22:U22)</f>
        <v>1683662495.2078173</v>
      </c>
    </row>
    <row r="23" spans="1:22" ht="12.75" customHeight="1" x14ac:dyDescent="0.2">
      <c r="A23" s="51"/>
      <c r="B23" s="46" t="str">
        <f>DFIE!$B42</f>
        <v>Appenzell A.Rh.</v>
      </c>
      <c r="C23" s="61">
        <v>13823504.515000001</v>
      </c>
      <c r="D23" s="111">
        <f t="shared" si="0"/>
        <v>207352.567725</v>
      </c>
      <c r="E23" s="83"/>
      <c r="F23" s="183">
        <v>14056645.710000001</v>
      </c>
      <c r="G23" s="111">
        <f t="shared" si="1"/>
        <v>196793.03994000002</v>
      </c>
      <c r="H23" s="83"/>
      <c r="I23" s="183">
        <v>14711751.782</v>
      </c>
      <c r="J23" s="111">
        <f t="shared" si="2"/>
        <v>205964.52494800001</v>
      </c>
      <c r="L23" s="147"/>
      <c r="M23" s="148"/>
      <c r="N23" s="158"/>
      <c r="O23" s="158"/>
      <c r="P23" s="148"/>
      <c r="Q23" s="148"/>
      <c r="R23" s="148"/>
      <c r="S23" s="148"/>
      <c r="T23" s="148"/>
      <c r="U23" s="148"/>
      <c r="V23" s="148"/>
    </row>
    <row r="24" spans="1:22" ht="12.75" customHeight="1" x14ac:dyDescent="0.2">
      <c r="A24" s="51"/>
      <c r="B24" s="47" t="str">
        <f>DFIE!$B43</f>
        <v>Appenzell I.Rh.</v>
      </c>
      <c r="C24" s="43">
        <v>4732196.9040000001</v>
      </c>
      <c r="D24" s="124">
        <f t="shared" si="0"/>
        <v>70982.953559999994</v>
      </c>
      <c r="E24" s="83"/>
      <c r="F24" s="125">
        <v>5016260.6100000003</v>
      </c>
      <c r="G24" s="124">
        <f t="shared" si="1"/>
        <v>70227.648540000009</v>
      </c>
      <c r="H24" s="83"/>
      <c r="I24" s="125">
        <v>5246718.9630000005</v>
      </c>
      <c r="J24" s="124">
        <f t="shared" si="2"/>
        <v>73454.065482000005</v>
      </c>
      <c r="L24" s="134" t="s">
        <v>551</v>
      </c>
      <c r="M24" s="139" t="str">
        <f>DFIE!$B$139</f>
        <v>Ausschöpfung der Einkommen</v>
      </c>
      <c r="N24" s="165" t="str">
        <f>DFIE!$B$63</f>
        <v>Prozent</v>
      </c>
      <c r="O24" s="165" t="s">
        <v>579</v>
      </c>
      <c r="P24" s="149"/>
      <c r="Q24" s="149"/>
      <c r="R24" s="149"/>
      <c r="S24" s="149"/>
      <c r="T24" s="149"/>
      <c r="U24" s="149"/>
      <c r="V24" s="153">
        <f>V15/V21</f>
        <v>0.25237070797783873</v>
      </c>
    </row>
    <row r="25" spans="1:22" ht="12.75" customHeight="1" x14ac:dyDescent="0.2">
      <c r="A25" s="51"/>
      <c r="B25" s="46" t="str">
        <f>DFIE!$B44</f>
        <v>St. Gallen</v>
      </c>
      <c r="C25" s="61">
        <v>100352938.46699999</v>
      </c>
      <c r="D25" s="111">
        <f t="shared" si="0"/>
        <v>1505294.0770049999</v>
      </c>
      <c r="E25" s="83"/>
      <c r="F25" s="183">
        <v>103243175.91599999</v>
      </c>
      <c r="G25" s="111">
        <f t="shared" si="1"/>
        <v>1445404.462824</v>
      </c>
      <c r="H25" s="83"/>
      <c r="I25" s="183">
        <v>108079484.02</v>
      </c>
      <c r="J25" s="111">
        <f t="shared" si="2"/>
        <v>1513112.7762799999</v>
      </c>
      <c r="L25" s="142" t="s">
        <v>581</v>
      </c>
      <c r="M25" s="143" t="str">
        <f>DFIE!$B$140</f>
        <v>Ausschöpfung der Vermögen</v>
      </c>
      <c r="N25" s="167" t="str">
        <f>DFIE!$B$63</f>
        <v>Prozent</v>
      </c>
      <c r="O25" s="167" t="s">
        <v>582</v>
      </c>
      <c r="P25" s="154"/>
      <c r="Q25" s="154"/>
      <c r="R25" s="154"/>
      <c r="S25" s="154"/>
      <c r="T25" s="154"/>
      <c r="U25" s="154"/>
      <c r="V25" s="155">
        <f>V16/V22</f>
        <v>3.6392037242022847E-3</v>
      </c>
    </row>
    <row r="26" spans="1:22" ht="12.75" customHeight="1" x14ac:dyDescent="0.2">
      <c r="A26" s="51"/>
      <c r="B26" s="47" t="str">
        <f>DFIE!$B45</f>
        <v>Graubünden</v>
      </c>
      <c r="C26" s="43">
        <v>58464124.321999997</v>
      </c>
      <c r="D26" s="124">
        <f t="shared" si="0"/>
        <v>876961.86482999998</v>
      </c>
      <c r="E26" s="83"/>
      <c r="F26" s="125">
        <v>60329963.412</v>
      </c>
      <c r="G26" s="124">
        <f t="shared" si="1"/>
        <v>844619.48776799999</v>
      </c>
      <c r="H26" s="83"/>
      <c r="I26" s="125">
        <v>62244402.722000003</v>
      </c>
      <c r="J26" s="124">
        <f t="shared" si="2"/>
        <v>871421.63810800004</v>
      </c>
      <c r="L26" s="147"/>
      <c r="M26" s="156"/>
      <c r="N26" s="158"/>
      <c r="O26" s="158"/>
      <c r="P26" s="148"/>
      <c r="Q26" s="148"/>
      <c r="R26" s="148"/>
      <c r="S26" s="148"/>
      <c r="T26" s="148"/>
      <c r="U26" s="148"/>
      <c r="V26" s="148"/>
    </row>
    <row r="27" spans="1:22" ht="12.75" customHeight="1" x14ac:dyDescent="0.2">
      <c r="A27" s="51"/>
      <c r="B27" s="46" t="str">
        <f>DFIE!$B46</f>
        <v>Aargau</v>
      </c>
      <c r="C27" s="61">
        <v>112279164.119</v>
      </c>
      <c r="D27" s="111">
        <f t="shared" si="0"/>
        <v>1684187.4617850001</v>
      </c>
      <c r="E27" s="83"/>
      <c r="F27" s="183">
        <v>114583980.848</v>
      </c>
      <c r="G27" s="111">
        <f t="shared" si="1"/>
        <v>1604175.731872</v>
      </c>
      <c r="H27" s="83"/>
      <c r="I27" s="183">
        <v>118246773.758573</v>
      </c>
      <c r="J27" s="111">
        <f t="shared" si="2"/>
        <v>1655454.8326200219</v>
      </c>
      <c r="L27" s="159" t="s">
        <v>594</v>
      </c>
      <c r="M27" s="160" t="str">
        <f>DFIE!$B$141</f>
        <v>Faktor Alpha</v>
      </c>
      <c r="N27" s="169" t="str">
        <f>DFIE!$B$63</f>
        <v>Prozent</v>
      </c>
      <c r="O27" s="169" t="s">
        <v>584</v>
      </c>
      <c r="P27" s="161"/>
      <c r="Q27" s="161"/>
      <c r="R27" s="161"/>
      <c r="S27" s="161"/>
      <c r="T27" s="161"/>
      <c r="U27" s="161"/>
      <c r="V27" s="162">
        <f>ROUND(V25/V24,3)</f>
        <v>1.4E-2</v>
      </c>
    </row>
    <row r="28" spans="1:22" ht="12.75" customHeight="1" x14ac:dyDescent="0.2">
      <c r="A28" s="51"/>
      <c r="B28" s="47" t="str">
        <f>DFIE!$B47</f>
        <v>Thurgau</v>
      </c>
      <c r="C28" s="43">
        <v>51793230.399999999</v>
      </c>
      <c r="D28" s="124">
        <f t="shared" si="0"/>
        <v>776898.45600000001</v>
      </c>
      <c r="E28" s="83"/>
      <c r="F28" s="125">
        <v>54808882.700000003</v>
      </c>
      <c r="G28" s="124">
        <f t="shared" si="1"/>
        <v>767324.35780000011</v>
      </c>
      <c r="H28" s="83"/>
      <c r="I28" s="125">
        <v>57591072.399999999</v>
      </c>
      <c r="J28" s="124">
        <f t="shared" si="2"/>
        <v>806275.01359999995</v>
      </c>
    </row>
    <row r="29" spans="1:22" ht="12.75" customHeight="1" x14ac:dyDescent="0.2">
      <c r="A29" s="51"/>
      <c r="B29" s="46" t="str">
        <f>DFIE!$B48</f>
        <v>Tessin</v>
      </c>
      <c r="C29" s="61">
        <v>58870402.125</v>
      </c>
      <c r="D29" s="111">
        <f t="shared" si="0"/>
        <v>883056.03187499999</v>
      </c>
      <c r="E29" s="83"/>
      <c r="F29" s="183">
        <v>62787338.097000003</v>
      </c>
      <c r="G29" s="111">
        <f t="shared" si="1"/>
        <v>879022.73335800006</v>
      </c>
      <c r="H29" s="83"/>
      <c r="I29" s="183">
        <v>66430288.050999999</v>
      </c>
      <c r="J29" s="111">
        <f t="shared" si="2"/>
        <v>930024.03271399997</v>
      </c>
      <c r="L29" s="51"/>
    </row>
    <row r="30" spans="1:22" ht="12.75" customHeight="1" x14ac:dyDescent="0.2">
      <c r="A30" s="51"/>
      <c r="B30" s="47" t="str">
        <f>DFIE!$B49</f>
        <v>Waadt</v>
      </c>
      <c r="C30" s="43">
        <v>135875688.03</v>
      </c>
      <c r="D30" s="124">
        <f t="shared" si="0"/>
        <v>2038135.32045</v>
      </c>
      <c r="E30" s="83"/>
      <c r="F30" s="125">
        <v>143122730.32300001</v>
      </c>
      <c r="G30" s="124">
        <f t="shared" si="1"/>
        <v>2003718.2245220002</v>
      </c>
      <c r="H30" s="83"/>
      <c r="I30" s="125">
        <v>148219118.42399999</v>
      </c>
      <c r="J30" s="124">
        <f t="shared" si="2"/>
        <v>2075067.657936</v>
      </c>
      <c r="L30" s="157" t="str">
        <f>DFIE!$B$143</f>
        <v>* Fiskaleinnahmen der Kantone und Gemeinden</v>
      </c>
      <c r="M30" s="13"/>
    </row>
    <row r="31" spans="1:22" ht="12.75" customHeight="1" x14ac:dyDescent="0.2">
      <c r="A31" s="51"/>
      <c r="B31" s="46" t="str">
        <f>DFIE!$B50</f>
        <v>Wallis</v>
      </c>
      <c r="C31" s="61">
        <v>47499197.553000003</v>
      </c>
      <c r="D31" s="111">
        <f t="shared" si="0"/>
        <v>712487.96329500002</v>
      </c>
      <c r="E31" s="83"/>
      <c r="F31" s="183">
        <v>50820893.520000003</v>
      </c>
      <c r="G31" s="111">
        <f t="shared" si="1"/>
        <v>711492.50928000011</v>
      </c>
      <c r="H31" s="83"/>
      <c r="I31" s="183">
        <v>54125417.781999998</v>
      </c>
      <c r="J31" s="111">
        <f t="shared" si="2"/>
        <v>757755.848948</v>
      </c>
      <c r="L31" s="13"/>
      <c r="M31" s="130"/>
    </row>
    <row r="32" spans="1:22" ht="12.75" customHeight="1" x14ac:dyDescent="0.2">
      <c r="A32" s="51"/>
      <c r="B32" s="47" t="str">
        <f>DFIE!$B51</f>
        <v>Neuenburg</v>
      </c>
      <c r="C32" s="43">
        <v>18403739.822000001</v>
      </c>
      <c r="D32" s="124">
        <f t="shared" si="0"/>
        <v>276056.09733000002</v>
      </c>
      <c r="E32" s="83"/>
      <c r="F32" s="125">
        <v>19115248.636999998</v>
      </c>
      <c r="G32" s="124">
        <f t="shared" si="1"/>
        <v>267613.48091799999</v>
      </c>
      <c r="H32" s="83"/>
      <c r="I32" s="125">
        <v>19353197.015000001</v>
      </c>
      <c r="J32" s="124">
        <f t="shared" si="2"/>
        <v>270944.75821</v>
      </c>
      <c r="L32" s="13"/>
      <c r="M32" s="130"/>
    </row>
    <row r="33" spans="1:22" ht="12.75" customHeight="1" x14ac:dyDescent="0.2">
      <c r="A33" s="51"/>
      <c r="B33" s="46" t="str">
        <f>DFIE!$B52</f>
        <v>Genf</v>
      </c>
      <c r="C33" s="61">
        <v>115076510.626</v>
      </c>
      <c r="D33" s="111">
        <f t="shared" si="0"/>
        <v>1726147.6593899999</v>
      </c>
      <c r="E33" s="83"/>
      <c r="F33" s="183">
        <v>119038776.73199999</v>
      </c>
      <c r="G33" s="111">
        <f t="shared" si="1"/>
        <v>1666542.8742479999</v>
      </c>
      <c r="H33" s="83"/>
      <c r="I33" s="183">
        <v>125836835.73999999</v>
      </c>
      <c r="J33" s="111">
        <f t="shared" si="2"/>
        <v>1761715.7003599999</v>
      </c>
      <c r="L33" s="13"/>
      <c r="M33" s="130"/>
    </row>
    <row r="34" spans="1:22" ht="12.75" customHeight="1" x14ac:dyDescent="0.2">
      <c r="A34" s="51"/>
      <c r="B34" s="47" t="str">
        <f>DFIE!$B53</f>
        <v>Jura</v>
      </c>
      <c r="C34" s="43">
        <v>7040838</v>
      </c>
      <c r="D34" s="124">
        <f t="shared" si="0"/>
        <v>105612.56999999999</v>
      </c>
      <c r="E34" s="83"/>
      <c r="F34" s="125">
        <v>7333623</v>
      </c>
      <c r="G34" s="124">
        <f t="shared" si="1"/>
        <v>102670.72200000001</v>
      </c>
      <c r="H34" s="83"/>
      <c r="I34" s="125">
        <v>7460146</v>
      </c>
      <c r="J34" s="124">
        <f t="shared" si="2"/>
        <v>104442.04400000001</v>
      </c>
    </row>
    <row r="35" spans="1:22" ht="12.75" customHeight="1" x14ac:dyDescent="0.2">
      <c r="A35" s="40"/>
      <c r="B35" s="24" t="str">
        <f>DFIE!$B54</f>
        <v>Schweiz</v>
      </c>
      <c r="C35" s="31">
        <f>SUM(C9:C34)</f>
        <v>1744744875.5549889</v>
      </c>
      <c r="D35" s="112">
        <f>SUM(D9:D34)</f>
        <v>26171173.133324832</v>
      </c>
      <c r="E35" s="82"/>
      <c r="F35" s="113">
        <f>SUM(F9:F34)</f>
        <v>1791713588.677844</v>
      </c>
      <c r="G35" s="112">
        <f>SUM(G9:G34)</f>
        <v>25083990.241489816</v>
      </c>
      <c r="H35" s="82"/>
      <c r="I35" s="113">
        <f>SUM(I9:I34)</f>
        <v>1866164307.4281514</v>
      </c>
      <c r="J35" s="112">
        <f>SUM(J9:J34)</f>
        <v>26126300.303994115</v>
      </c>
    </row>
    <row r="36" spans="1:22" ht="10.5" customHeight="1" x14ac:dyDescent="0.2">
      <c r="B36" s="82"/>
      <c r="C36" s="115"/>
      <c r="D36" s="115"/>
      <c r="E36" s="181"/>
      <c r="F36" s="116"/>
      <c r="G36" s="116"/>
      <c r="I36" s="59"/>
      <c r="J36" s="59"/>
      <c r="N36" s="130"/>
      <c r="O36" s="130"/>
      <c r="V36" s="40"/>
    </row>
    <row r="37" spans="1:22" x14ac:dyDescent="0.2">
      <c r="A37" s="51"/>
      <c r="B37" s="51"/>
      <c r="C37" s="51"/>
      <c r="D37" s="51"/>
      <c r="E37" s="51"/>
      <c r="F37" s="51"/>
      <c r="G37" s="51"/>
      <c r="H37" s="51"/>
      <c r="I37" s="51"/>
      <c r="J37" s="51"/>
      <c r="N37" s="130"/>
      <c r="O37" s="130"/>
    </row>
    <row r="71" spans="2:4" x14ac:dyDescent="0.2">
      <c r="B71" s="82"/>
      <c r="C71" s="182"/>
      <c r="D71" s="182"/>
    </row>
  </sheetData>
  <mergeCells count="3">
    <mergeCell ref="C3:D3"/>
    <mergeCell ref="F3:G3"/>
    <mergeCell ref="I3:J3"/>
  </mergeCells>
  <conditionalFormatting sqref="D9:D34 G9:G34 J9:J34">
    <cfRule type="expression" dxfId="46" priority="14" stopIfTrue="1">
      <formula>ISBLANK(D9)</formula>
    </cfRule>
  </conditionalFormatting>
  <conditionalFormatting sqref="C9:C34 F9:F34 I9:I34">
    <cfRule type="expression" dxfId="45" priority="13" stopIfTrue="1">
      <formula>ISBLANK(C9)</formula>
    </cfRule>
  </conditionalFormatting>
  <conditionalFormatting sqref="P10:U13">
    <cfRule type="expression" dxfId="44" priority="7">
      <formula>ISBLANK(P10)</formula>
    </cfRule>
  </conditionalFormatting>
  <conditionalFormatting sqref="P19:R20">
    <cfRule type="expression" dxfId="43" priority="6">
      <formula>ISBLANK(P19)</formula>
    </cfRule>
  </conditionalFormatting>
  <conditionalFormatting sqref="P22:R22">
    <cfRule type="expression" dxfId="42" priority="5">
      <formula>ISBLANK(P22)</formula>
    </cfRule>
  </conditionalFormatting>
  <conditionalFormatting sqref="P16:U16">
    <cfRule type="expression" dxfId="41" priority="4">
      <formula>ISBLANK(P16)</formula>
    </cfRule>
  </conditionalFormatting>
  <conditionalFormatting sqref="D6">
    <cfRule type="expression" dxfId="40" priority="3" stopIfTrue="1">
      <formula>ISBLANK(D6)</formula>
    </cfRule>
  </conditionalFormatting>
  <conditionalFormatting sqref="G6">
    <cfRule type="expression" dxfId="39" priority="2" stopIfTrue="1">
      <formula>ISBLANK(G6)</formula>
    </cfRule>
  </conditionalFormatting>
  <conditionalFormatting sqref="J6">
    <cfRule type="expression" dxfId="38" priority="1" stopIfTrue="1">
      <formula>ISBLANK(J6)</formula>
    </cfRule>
  </conditionalFormatting>
  <pageMargins left="0.78740157480314965" right="0.47244094488188981" top="0.98425196850393704" bottom="0.78740157480314965" header="0.51181102362204722" footer="0.51181102362204722"/>
  <pageSetup paperSize="9" scale="92" orientation="landscape"/>
  <headerFooter scaleWithDoc="0" alignWithMargins="0">
    <oddHeader>&amp;L&amp;F&amp;R&amp;A</oddHeader>
    <oddFooter>&amp;C&amp;P / &amp;N</oddFooter>
  </headerFooter>
  <colBreaks count="1" manualBreakCount="1">
    <brk id="11" max="1048575" man="1"/>
  </colBreaks>
  <customProperties>
    <customPr name="EpmWorksheetKeyString_GUID" r:id="rId1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1"/>
  <sheetViews>
    <sheetView showGridLines="0" zoomScaleNormal="100" workbookViewId="0">
      <pane ySplit="8" topLeftCell="A9" activePane="bottomLeft" state="frozen"/>
      <selection activeCell="A100" sqref="A100"/>
      <selection pane="bottomLeft" activeCell="A100" sqref="A100"/>
    </sheetView>
  </sheetViews>
  <sheetFormatPr baseColWidth="10" defaultColWidth="9.140625" defaultRowHeight="12.75" x14ac:dyDescent="0.2"/>
  <cols>
    <col min="1" max="1" width="4.42578125" customWidth="1"/>
    <col min="2" max="2" width="17.140625" customWidth="1"/>
    <col min="3" max="5" width="25.7109375" customWidth="1"/>
    <col min="6" max="6" width="1.42578125" customWidth="1"/>
    <col min="7" max="7" width="3.28515625" customWidth="1"/>
    <col min="8" max="8" width="25.7109375" customWidth="1"/>
  </cols>
  <sheetData>
    <row r="1" spans="1:9" ht="18" customHeight="1" x14ac:dyDescent="0.25">
      <c r="B1" s="6" t="str">
        <f>DFIE!B144</f>
        <v>Gewinne juristischer Personen 2020</v>
      </c>
    </row>
    <row r="3" spans="1:9" ht="0.75" customHeight="1" x14ac:dyDescent="0.2"/>
    <row r="4" spans="1:9" ht="0.75" customHeight="1" x14ac:dyDescent="0.2"/>
    <row r="5" spans="1:9" ht="12" customHeight="1" x14ac:dyDescent="0.2">
      <c r="B5" s="34" t="str">
        <f>DFIE!B55</f>
        <v>Spalte</v>
      </c>
      <c r="C5" s="35" t="s">
        <v>30</v>
      </c>
      <c r="D5" s="35" t="s">
        <v>31</v>
      </c>
      <c r="E5" s="36" t="s">
        <v>32</v>
      </c>
      <c r="H5" s="119" t="s">
        <v>33</v>
      </c>
      <c r="I5" s="117" t="s">
        <v>34</v>
      </c>
    </row>
    <row r="6" spans="1:9" ht="12" customHeight="1" x14ac:dyDescent="0.2">
      <c r="B6" s="34" t="str">
        <f>DFIE!B56</f>
        <v>Formel</v>
      </c>
      <c r="C6" s="37"/>
      <c r="D6" s="188"/>
      <c r="E6" s="39" t="s">
        <v>77</v>
      </c>
    </row>
    <row r="7" spans="1:9" ht="43.5" customHeight="1" x14ac:dyDescent="0.2">
      <c r="A7" s="51"/>
      <c r="B7" s="187"/>
      <c r="C7" s="185" t="str">
        <f>DFIE!B145</f>
        <v>Massgebender Gewinn
ordentlich besteuerter
Unternehmen</v>
      </c>
      <c r="D7" s="185" t="str">
        <f>DFIE!B146</f>
        <v>Massgebender Gewinn
von Gesellschaften mit
besonderem Steuerstatus</v>
      </c>
      <c r="E7" s="195" t="str">
        <f>DFIE!B147</f>
        <v>Massgebender Gewinn
der juristischen Personen</v>
      </c>
      <c r="F7" s="51"/>
      <c r="H7" s="381" t="str">
        <f>DFIE!B148</f>
        <v>Beta-Faktoren</v>
      </c>
      <c r="I7" s="382"/>
    </row>
    <row r="8" spans="1:9" ht="12.75" customHeight="1" x14ac:dyDescent="0.2">
      <c r="B8" s="34" t="str">
        <f>DFIE!B58</f>
        <v>Einheit</v>
      </c>
      <c r="C8" s="41" t="str">
        <f>DFIE!$B$60</f>
        <v>CHF 1'000</v>
      </c>
      <c r="D8" s="41" t="str">
        <f>DFIE!$B$60</f>
        <v>CHF 1'000</v>
      </c>
      <c r="E8" s="42" t="str">
        <f>DFIE!$B$60</f>
        <v>CHF 1'000</v>
      </c>
      <c r="H8" s="383"/>
      <c r="I8" s="384"/>
    </row>
    <row r="9" spans="1:9" x14ac:dyDescent="0.2">
      <c r="A9" s="365" t="str">
        <f>DFIE!B69</f>
        <v>Bemessungsjahr 2014</v>
      </c>
      <c r="B9" s="46" t="str">
        <f>DFIE!$B28</f>
        <v>Zürich</v>
      </c>
      <c r="C9" s="61">
        <v>14492066</v>
      </c>
      <c r="D9" s="61">
        <v>731787.46849999996</v>
      </c>
      <c r="E9" s="18">
        <f>C9+D9</f>
        <v>15223853.468499999</v>
      </c>
      <c r="F9" s="54"/>
      <c r="H9" s="189" t="str">
        <f>DFIE!B149</f>
        <v>Holdinggesellschaften</v>
      </c>
      <c r="I9" s="190">
        <v>2.8000000000000001E-2</v>
      </c>
    </row>
    <row r="10" spans="1:9" x14ac:dyDescent="0.2">
      <c r="A10" s="365"/>
      <c r="B10" s="47" t="str">
        <f>DFIE!$B29</f>
        <v>Bern</v>
      </c>
      <c r="C10" s="43">
        <v>6254771.2000000002</v>
      </c>
      <c r="D10" s="43">
        <v>235989.02849999999</v>
      </c>
      <c r="E10" s="22">
        <f t="shared" ref="E10:E34" si="0">C10+D10</f>
        <v>6490760.2285000002</v>
      </c>
      <c r="F10" s="54"/>
      <c r="H10" s="191" t="str">
        <f>DFIE!B150</f>
        <v>Domizilgesellschaften</v>
      </c>
      <c r="I10" s="192">
        <v>0.124</v>
      </c>
    </row>
    <row r="11" spans="1:9" x14ac:dyDescent="0.2">
      <c r="A11" s="365"/>
      <c r="B11" s="46" t="str">
        <f>DFIE!$B30</f>
        <v>Luzern</v>
      </c>
      <c r="C11" s="61">
        <v>3265572.5</v>
      </c>
      <c r="D11" s="61">
        <v>120425.95699999999</v>
      </c>
      <c r="E11" s="18">
        <f t="shared" si="0"/>
        <v>3385998.4569999999</v>
      </c>
      <c r="F11" s="54"/>
      <c r="H11" s="193" t="str">
        <f>DFIE!B151</f>
        <v>Gemischte Gesellschaften</v>
      </c>
      <c r="I11" s="194">
        <v>0.125</v>
      </c>
    </row>
    <row r="12" spans="1:9" x14ac:dyDescent="0.2">
      <c r="A12" s="365"/>
      <c r="B12" s="47" t="str">
        <f>DFIE!$B31</f>
        <v>Uri</v>
      </c>
      <c r="C12" s="43">
        <v>196168.5</v>
      </c>
      <c r="D12" s="43">
        <v>1081.1323</v>
      </c>
      <c r="E12" s="22">
        <f t="shared" si="0"/>
        <v>197249.6323</v>
      </c>
      <c r="F12" s="54"/>
    </row>
    <row r="13" spans="1:9" x14ac:dyDescent="0.2">
      <c r="A13" s="365"/>
      <c r="B13" s="46" t="str">
        <f>DFIE!$B32</f>
        <v>Schwyz</v>
      </c>
      <c r="C13" s="61">
        <v>1322502.3999999999</v>
      </c>
      <c r="D13" s="61">
        <v>157147.99489999999</v>
      </c>
      <c r="E13" s="18">
        <f t="shared" si="0"/>
        <v>1479650.3949</v>
      </c>
      <c r="F13" s="54"/>
    </row>
    <row r="14" spans="1:9" x14ac:dyDescent="0.2">
      <c r="A14" s="365"/>
      <c r="B14" s="47" t="str">
        <f>DFIE!$B33</f>
        <v>Obwalden</v>
      </c>
      <c r="C14" s="43">
        <v>285572</v>
      </c>
      <c r="D14" s="43">
        <v>16420.012299999999</v>
      </c>
      <c r="E14" s="22">
        <f t="shared" si="0"/>
        <v>301992.0123</v>
      </c>
      <c r="F14" s="54"/>
    </row>
    <row r="15" spans="1:9" x14ac:dyDescent="0.2">
      <c r="A15" s="365"/>
      <c r="B15" s="46" t="str">
        <f>DFIE!$B34</f>
        <v>Nidwalden</v>
      </c>
      <c r="C15" s="61">
        <v>453155.5</v>
      </c>
      <c r="D15" s="61">
        <v>27241.9064</v>
      </c>
      <c r="E15" s="18">
        <f t="shared" si="0"/>
        <v>480397.40639999998</v>
      </c>
      <c r="F15" s="54"/>
    </row>
    <row r="16" spans="1:9" x14ac:dyDescent="0.2">
      <c r="A16" s="365"/>
      <c r="B16" s="47" t="str">
        <f>DFIE!$B35</f>
        <v>Glarus</v>
      </c>
      <c r="C16" s="43">
        <v>179088.1</v>
      </c>
      <c r="D16" s="43">
        <v>15723.778700000001</v>
      </c>
      <c r="E16" s="22">
        <f t="shared" si="0"/>
        <v>194811.8787</v>
      </c>
      <c r="F16" s="54"/>
    </row>
    <row r="17" spans="1:6" x14ac:dyDescent="0.2">
      <c r="A17" s="365"/>
      <c r="B17" s="46" t="str">
        <f>DFIE!$B36</f>
        <v>Zug</v>
      </c>
      <c r="C17" s="61">
        <v>2754604.6</v>
      </c>
      <c r="D17" s="61">
        <v>1209065.6285000001</v>
      </c>
      <c r="E17" s="18">
        <f t="shared" si="0"/>
        <v>3963670.2285000002</v>
      </c>
      <c r="F17" s="54"/>
    </row>
    <row r="18" spans="1:6" x14ac:dyDescent="0.2">
      <c r="A18" s="365"/>
      <c r="B18" s="47" t="str">
        <f>DFIE!$B37</f>
        <v>Freiburg</v>
      </c>
      <c r="C18" s="43">
        <v>2180472.5</v>
      </c>
      <c r="D18" s="43">
        <v>563089.64130000002</v>
      </c>
      <c r="E18" s="22">
        <f t="shared" si="0"/>
        <v>2743562.1413000003</v>
      </c>
      <c r="F18" s="54"/>
    </row>
    <row r="19" spans="1:6" x14ac:dyDescent="0.2">
      <c r="A19" s="365"/>
      <c r="B19" s="46" t="str">
        <f>DFIE!$B38</f>
        <v>Solothurn</v>
      </c>
      <c r="C19" s="61">
        <v>1301716.8999999999</v>
      </c>
      <c r="D19" s="61">
        <v>70861.779500000004</v>
      </c>
      <c r="E19" s="18">
        <f t="shared" si="0"/>
        <v>1372578.6794999999</v>
      </c>
      <c r="F19" s="54"/>
    </row>
    <row r="20" spans="1:6" x14ac:dyDescent="0.2">
      <c r="A20" s="365"/>
      <c r="B20" s="47" t="str">
        <f>DFIE!$B39</f>
        <v>Basel-Stadt</v>
      </c>
      <c r="C20" s="43">
        <v>1648210.1</v>
      </c>
      <c r="D20" s="43">
        <v>1669075.8765</v>
      </c>
      <c r="E20" s="22">
        <f t="shared" si="0"/>
        <v>3317285.9764999999</v>
      </c>
      <c r="F20" s="54"/>
    </row>
    <row r="21" spans="1:6" x14ac:dyDescent="0.2">
      <c r="A21" s="365"/>
      <c r="B21" s="46" t="str">
        <f>DFIE!$B40</f>
        <v>Basel-Landschaft</v>
      </c>
      <c r="C21" s="61">
        <v>1250050.1000000001</v>
      </c>
      <c r="D21" s="61">
        <v>136507.42120000001</v>
      </c>
      <c r="E21" s="18">
        <f t="shared" si="0"/>
        <v>1386557.5212000001</v>
      </c>
      <c r="F21" s="54"/>
    </row>
    <row r="22" spans="1:6" x14ac:dyDescent="0.2">
      <c r="A22" s="365"/>
      <c r="B22" s="47" t="str">
        <f>DFIE!$B41</f>
        <v>Schaffhausen</v>
      </c>
      <c r="C22" s="43">
        <v>404736.8</v>
      </c>
      <c r="D22" s="43">
        <v>357598.99930000002</v>
      </c>
      <c r="E22" s="22">
        <f t="shared" si="0"/>
        <v>762335.79930000007</v>
      </c>
      <c r="F22" s="54"/>
    </row>
    <row r="23" spans="1:6" x14ac:dyDescent="0.2">
      <c r="A23" s="365"/>
      <c r="B23" s="46" t="str">
        <f>DFIE!$B42</f>
        <v>Appenzell A.Rh.</v>
      </c>
      <c r="C23" s="61">
        <v>364760.2</v>
      </c>
      <c r="D23" s="61">
        <v>13619.724399999999</v>
      </c>
      <c r="E23" s="18">
        <f t="shared" si="0"/>
        <v>378379.92440000002</v>
      </c>
      <c r="F23" s="54"/>
    </row>
    <row r="24" spans="1:6" x14ac:dyDescent="0.2">
      <c r="A24" s="365"/>
      <c r="B24" s="47" t="str">
        <f>DFIE!$B43</f>
        <v>Appenzell I.Rh.</v>
      </c>
      <c r="C24" s="43">
        <v>86446.1</v>
      </c>
      <c r="D24" s="43">
        <v>1715.0821000000001</v>
      </c>
      <c r="E24" s="22">
        <f t="shared" si="0"/>
        <v>88161.182100000005</v>
      </c>
      <c r="F24" s="54"/>
    </row>
    <row r="25" spans="1:6" x14ac:dyDescent="0.2">
      <c r="A25" s="365"/>
      <c r="B25" s="46" t="str">
        <f>DFIE!$B44</f>
        <v>St. Gallen</v>
      </c>
      <c r="C25" s="61">
        <v>3060977.9</v>
      </c>
      <c r="D25" s="61">
        <v>251030.66070000001</v>
      </c>
      <c r="E25" s="18">
        <f t="shared" si="0"/>
        <v>3312008.5606999998</v>
      </c>
      <c r="F25" s="54"/>
    </row>
    <row r="26" spans="1:6" x14ac:dyDescent="0.2">
      <c r="A26" s="365"/>
      <c r="B26" s="47" t="str">
        <f>DFIE!$B45</f>
        <v>Graubünden</v>
      </c>
      <c r="C26" s="43">
        <v>919106.4</v>
      </c>
      <c r="D26" s="43">
        <v>24507.5844</v>
      </c>
      <c r="E26" s="22">
        <f t="shared" si="0"/>
        <v>943613.98440000007</v>
      </c>
      <c r="F26" s="54"/>
    </row>
    <row r="27" spans="1:6" x14ac:dyDescent="0.2">
      <c r="A27" s="365"/>
      <c r="B27" s="46" t="str">
        <f>DFIE!$B46</f>
        <v>Aargau</v>
      </c>
      <c r="C27" s="61">
        <v>3635029.2</v>
      </c>
      <c r="D27" s="61">
        <v>35782.783300000003</v>
      </c>
      <c r="E27" s="18">
        <f t="shared" si="0"/>
        <v>3670811.9833</v>
      </c>
      <c r="F27" s="54"/>
    </row>
    <row r="28" spans="1:6" x14ac:dyDescent="0.2">
      <c r="A28" s="365"/>
      <c r="B28" s="47" t="str">
        <f>DFIE!$B47</f>
        <v>Thurgau</v>
      </c>
      <c r="C28" s="43">
        <v>1252787.1000000001</v>
      </c>
      <c r="D28" s="43">
        <v>31052.989399999999</v>
      </c>
      <c r="E28" s="22">
        <f t="shared" si="0"/>
        <v>1283840.0894000002</v>
      </c>
      <c r="F28" s="54"/>
    </row>
    <row r="29" spans="1:6" x14ac:dyDescent="0.2">
      <c r="A29" s="365"/>
      <c r="B29" s="46" t="str">
        <f>DFIE!$B48</f>
        <v>Tessin</v>
      </c>
      <c r="C29" s="61">
        <v>2641369.2999999998</v>
      </c>
      <c r="D29" s="61">
        <v>162330.71460000001</v>
      </c>
      <c r="E29" s="18">
        <f t="shared" si="0"/>
        <v>2803700.0145999999</v>
      </c>
      <c r="F29" s="54"/>
    </row>
    <row r="30" spans="1:6" x14ac:dyDescent="0.2">
      <c r="A30" s="365"/>
      <c r="B30" s="47" t="str">
        <f>DFIE!$B49</f>
        <v>Waadt</v>
      </c>
      <c r="C30" s="43">
        <v>3712003.1</v>
      </c>
      <c r="D30" s="43">
        <v>1734758.8748999999</v>
      </c>
      <c r="E30" s="22">
        <f t="shared" si="0"/>
        <v>5446761.9748999998</v>
      </c>
      <c r="F30" s="54"/>
    </row>
    <row r="31" spans="1:6" x14ac:dyDescent="0.2">
      <c r="A31" s="365"/>
      <c r="B31" s="46" t="str">
        <f>DFIE!$B50</f>
        <v>Wallis</v>
      </c>
      <c r="C31" s="61">
        <v>1268932.3</v>
      </c>
      <c r="D31" s="61">
        <v>8193.9457000000002</v>
      </c>
      <c r="E31" s="18">
        <f t="shared" si="0"/>
        <v>1277126.2457000001</v>
      </c>
      <c r="F31" s="54"/>
    </row>
    <row r="32" spans="1:6" x14ac:dyDescent="0.2">
      <c r="A32" s="365"/>
      <c r="B32" s="47" t="str">
        <f>DFIE!$B51</f>
        <v>Neuenburg</v>
      </c>
      <c r="C32" s="43">
        <v>944147.2</v>
      </c>
      <c r="D32" s="43">
        <v>760059.48259999999</v>
      </c>
      <c r="E32" s="22">
        <f t="shared" si="0"/>
        <v>1704206.6825999999</v>
      </c>
      <c r="F32" s="54"/>
    </row>
    <row r="33" spans="1:9" x14ac:dyDescent="0.2">
      <c r="A33" s="365"/>
      <c r="B33" s="46" t="str">
        <f>DFIE!$B52</f>
        <v>Genf</v>
      </c>
      <c r="C33" s="61">
        <v>4956340.0999999996</v>
      </c>
      <c r="D33" s="61">
        <v>1104619.4184999999</v>
      </c>
      <c r="E33" s="18">
        <f t="shared" si="0"/>
        <v>6060959.5184999993</v>
      </c>
      <c r="F33" s="54"/>
    </row>
    <row r="34" spans="1:9" x14ac:dyDescent="0.2">
      <c r="A34" s="365"/>
      <c r="B34" s="47" t="str">
        <f>DFIE!$B53</f>
        <v>Jura</v>
      </c>
      <c r="C34" s="43">
        <v>431672.2</v>
      </c>
      <c r="D34" s="43">
        <v>15663.376399999999</v>
      </c>
      <c r="E34" s="22">
        <f t="shared" si="0"/>
        <v>447335.57640000002</v>
      </c>
      <c r="F34" s="54"/>
      <c r="H34" s="40"/>
      <c r="I34" s="40"/>
    </row>
    <row r="35" spans="1:9" x14ac:dyDescent="0.2">
      <c r="A35" s="365"/>
      <c r="B35" s="24" t="str">
        <f>DFIE!$B54</f>
        <v>Schweiz</v>
      </c>
      <c r="C35" s="31">
        <f>SUM(C9:C34)</f>
        <v>59262258.300000004</v>
      </c>
      <c r="D35" s="31">
        <f>SUM(D9:D34)</f>
        <v>9455351.2619000003</v>
      </c>
      <c r="E35" s="26">
        <f>SUM(E9:E34)</f>
        <v>68717609.56189999</v>
      </c>
      <c r="F35" s="56"/>
    </row>
    <row r="36" spans="1:9" ht="15" customHeight="1" x14ac:dyDescent="0.25">
      <c r="A36" s="32"/>
      <c r="B36" s="82"/>
      <c r="C36" s="182"/>
      <c r="D36" s="182"/>
      <c r="E36" s="182"/>
      <c r="H36" s="51"/>
      <c r="I36" s="51"/>
    </row>
    <row r="37" spans="1:9" ht="12.75" customHeight="1" x14ac:dyDescent="0.2">
      <c r="A37" s="366" t="str">
        <f>DFIE!B70</f>
        <v>Bemessungsjahr 2015</v>
      </c>
      <c r="B37" s="48" t="str">
        <f>DFIE!$B28</f>
        <v>Zürich</v>
      </c>
      <c r="C37" s="49">
        <v>13595306.699999999</v>
      </c>
      <c r="D37" s="49">
        <v>912626.2463</v>
      </c>
      <c r="E37" s="50">
        <f>C37+D37</f>
        <v>14507932.9463</v>
      </c>
      <c r="F37" s="57"/>
      <c r="H37" s="189" t="str">
        <f>$H$9</f>
        <v>Holdinggesellschaften</v>
      </c>
      <c r="I37" s="190">
        <f>$I$9</f>
        <v>2.8000000000000001E-2</v>
      </c>
    </row>
    <row r="38" spans="1:9" x14ac:dyDescent="0.2">
      <c r="A38" s="366"/>
      <c r="B38" s="47" t="str">
        <f>DFIE!$B29</f>
        <v>Bern</v>
      </c>
      <c r="C38" s="43">
        <v>6862359.7000000002</v>
      </c>
      <c r="D38" s="43">
        <v>202538.9044</v>
      </c>
      <c r="E38" s="22">
        <f t="shared" ref="E38:E62" si="1">C38+D38</f>
        <v>7064898.6044000005</v>
      </c>
      <c r="F38" s="57"/>
      <c r="H38" s="191" t="str">
        <f>$H$10</f>
        <v>Domizilgesellschaften</v>
      </c>
      <c r="I38" s="192">
        <f>$I$10</f>
        <v>0.124</v>
      </c>
    </row>
    <row r="39" spans="1:9" x14ac:dyDescent="0.2">
      <c r="A39" s="366"/>
      <c r="B39" s="46" t="str">
        <f>DFIE!$B30</f>
        <v>Luzern</v>
      </c>
      <c r="C39" s="61">
        <v>3327083.5</v>
      </c>
      <c r="D39" s="61">
        <v>173000.5943</v>
      </c>
      <c r="E39" s="18">
        <f t="shared" si="1"/>
        <v>3500084.0943</v>
      </c>
      <c r="F39" s="57"/>
      <c r="H39" s="193" t="str">
        <f>$H$11</f>
        <v>Gemischte Gesellschaften</v>
      </c>
      <c r="I39" s="194">
        <f>$I$11</f>
        <v>0.125</v>
      </c>
    </row>
    <row r="40" spans="1:9" x14ac:dyDescent="0.2">
      <c r="A40" s="366"/>
      <c r="B40" s="47" t="str">
        <f>DFIE!$B31</f>
        <v>Uri</v>
      </c>
      <c r="C40" s="43">
        <v>253630</v>
      </c>
      <c r="D40" s="43">
        <v>853.2962</v>
      </c>
      <c r="E40" s="22">
        <f t="shared" si="1"/>
        <v>254483.29620000001</v>
      </c>
      <c r="F40" s="57"/>
    </row>
    <row r="41" spans="1:9" x14ac:dyDescent="0.2">
      <c r="A41" s="366"/>
      <c r="B41" s="46" t="str">
        <f>DFIE!$B32</f>
        <v>Schwyz</v>
      </c>
      <c r="C41" s="61">
        <v>1351545.4</v>
      </c>
      <c r="D41" s="61">
        <v>153576.796</v>
      </c>
      <c r="E41" s="18">
        <f t="shared" si="1"/>
        <v>1505122.196</v>
      </c>
      <c r="F41" s="57"/>
    </row>
    <row r="42" spans="1:9" x14ac:dyDescent="0.2">
      <c r="A42" s="366"/>
      <c r="B42" s="47" t="str">
        <f>DFIE!$B33</f>
        <v>Obwalden</v>
      </c>
      <c r="C42" s="43">
        <v>276740.2</v>
      </c>
      <c r="D42" s="43">
        <v>15717.7749</v>
      </c>
      <c r="E42" s="22">
        <f t="shared" si="1"/>
        <v>292457.97490000003</v>
      </c>
      <c r="F42" s="57"/>
    </row>
    <row r="43" spans="1:9" x14ac:dyDescent="0.2">
      <c r="A43" s="366"/>
      <c r="B43" s="46" t="str">
        <f>DFIE!$B34</f>
        <v>Nidwalden</v>
      </c>
      <c r="C43" s="61">
        <v>487856.2</v>
      </c>
      <c r="D43" s="61">
        <v>20426.256099999999</v>
      </c>
      <c r="E43" s="18">
        <f t="shared" si="1"/>
        <v>508282.45610000001</v>
      </c>
      <c r="F43" s="57"/>
    </row>
    <row r="44" spans="1:9" x14ac:dyDescent="0.2">
      <c r="A44" s="366"/>
      <c r="B44" s="47" t="str">
        <f>DFIE!$B35</f>
        <v>Glarus</v>
      </c>
      <c r="C44" s="43">
        <v>164536.70000000001</v>
      </c>
      <c r="D44" s="43">
        <v>14541.266100000001</v>
      </c>
      <c r="E44" s="22">
        <f t="shared" si="1"/>
        <v>179077.96610000002</v>
      </c>
      <c r="F44" s="57"/>
    </row>
    <row r="45" spans="1:9" x14ac:dyDescent="0.2">
      <c r="A45" s="366"/>
      <c r="B45" s="46" t="str">
        <f>DFIE!$B36</f>
        <v>Zug</v>
      </c>
      <c r="C45" s="61">
        <v>3457185.7</v>
      </c>
      <c r="D45" s="61">
        <v>1323562.3851999999</v>
      </c>
      <c r="E45" s="18">
        <f t="shared" si="1"/>
        <v>4780748.0852000006</v>
      </c>
      <c r="F45" s="57"/>
    </row>
    <row r="46" spans="1:9" x14ac:dyDescent="0.2">
      <c r="A46" s="366"/>
      <c r="B46" s="47" t="str">
        <f>DFIE!$B37</f>
        <v>Freiburg</v>
      </c>
      <c r="C46" s="43">
        <v>2176704.7999999998</v>
      </c>
      <c r="D46" s="43">
        <v>426694.01160000003</v>
      </c>
      <c r="E46" s="22">
        <f t="shared" si="1"/>
        <v>2603398.8115999997</v>
      </c>
      <c r="F46" s="57"/>
    </row>
    <row r="47" spans="1:9" x14ac:dyDescent="0.2">
      <c r="A47" s="366"/>
      <c r="B47" s="46" t="str">
        <f>DFIE!$B38</f>
        <v>Solothurn</v>
      </c>
      <c r="C47" s="61">
        <v>1182992.8999999999</v>
      </c>
      <c r="D47" s="61">
        <v>45884.065999999999</v>
      </c>
      <c r="E47" s="18">
        <f t="shared" si="1"/>
        <v>1228876.966</v>
      </c>
      <c r="F47" s="57"/>
    </row>
    <row r="48" spans="1:9" x14ac:dyDescent="0.2">
      <c r="A48" s="366"/>
      <c r="B48" s="47" t="str">
        <f>DFIE!$B39</f>
        <v>Basel-Stadt</v>
      </c>
      <c r="C48" s="43">
        <v>1738008.4</v>
      </c>
      <c r="D48" s="43">
        <v>1536306.395</v>
      </c>
      <c r="E48" s="22">
        <f t="shared" si="1"/>
        <v>3274314.7949999999</v>
      </c>
      <c r="F48" s="57"/>
    </row>
    <row r="49" spans="1:9" x14ac:dyDescent="0.2">
      <c r="A49" s="366"/>
      <c r="B49" s="46" t="str">
        <f>DFIE!$B40</f>
        <v>Basel-Landschaft</v>
      </c>
      <c r="C49" s="61">
        <v>1320834.3999999999</v>
      </c>
      <c r="D49" s="61">
        <v>174472.54490000001</v>
      </c>
      <c r="E49" s="18">
        <f t="shared" si="1"/>
        <v>1495306.9449</v>
      </c>
      <c r="F49" s="57"/>
    </row>
    <row r="50" spans="1:9" x14ac:dyDescent="0.2">
      <c r="A50" s="366"/>
      <c r="B50" s="47" t="str">
        <f>DFIE!$B41</f>
        <v>Schaffhausen</v>
      </c>
      <c r="C50" s="43">
        <v>358156.2</v>
      </c>
      <c r="D50" s="43">
        <v>424168.58980000002</v>
      </c>
      <c r="E50" s="22">
        <f t="shared" si="1"/>
        <v>782324.78980000003</v>
      </c>
      <c r="F50" s="57"/>
    </row>
    <row r="51" spans="1:9" x14ac:dyDescent="0.2">
      <c r="A51" s="366"/>
      <c r="B51" s="46" t="str">
        <f>DFIE!$B42</f>
        <v>Appenzell A.Rh.</v>
      </c>
      <c r="C51" s="61">
        <v>337039.6</v>
      </c>
      <c r="D51" s="61">
        <v>17820.6008</v>
      </c>
      <c r="E51" s="18">
        <f t="shared" si="1"/>
        <v>354860.20079999999</v>
      </c>
      <c r="F51" s="57"/>
    </row>
    <row r="52" spans="1:9" x14ac:dyDescent="0.2">
      <c r="A52" s="366"/>
      <c r="B52" s="47" t="str">
        <f>DFIE!$B43</f>
        <v>Appenzell I.Rh.</v>
      </c>
      <c r="C52" s="43">
        <v>99712.7</v>
      </c>
      <c r="D52" s="43">
        <v>1628.3933</v>
      </c>
      <c r="E52" s="22">
        <f t="shared" si="1"/>
        <v>101341.09329999999</v>
      </c>
      <c r="F52" s="57"/>
    </row>
    <row r="53" spans="1:9" x14ac:dyDescent="0.2">
      <c r="A53" s="366"/>
      <c r="B53" s="46" t="str">
        <f>DFIE!$B44</f>
        <v>St. Gallen</v>
      </c>
      <c r="C53" s="61">
        <v>3013293.1</v>
      </c>
      <c r="D53" s="61">
        <v>318176.14779999998</v>
      </c>
      <c r="E53" s="18">
        <f t="shared" si="1"/>
        <v>3331469.2478</v>
      </c>
      <c r="F53" s="57"/>
    </row>
    <row r="54" spans="1:9" x14ac:dyDescent="0.2">
      <c r="A54" s="366"/>
      <c r="B54" s="47" t="str">
        <f>DFIE!$B45</f>
        <v>Graubünden</v>
      </c>
      <c r="C54" s="43">
        <v>934809.59999999998</v>
      </c>
      <c r="D54" s="43">
        <v>19095.1302</v>
      </c>
      <c r="E54" s="22">
        <f t="shared" si="1"/>
        <v>953904.73019999999</v>
      </c>
      <c r="F54" s="57"/>
    </row>
    <row r="55" spans="1:9" x14ac:dyDescent="0.2">
      <c r="A55" s="366"/>
      <c r="B55" s="46" t="str">
        <f>DFIE!$B46</f>
        <v>Aargau</v>
      </c>
      <c r="C55" s="61">
        <v>3195205.7</v>
      </c>
      <c r="D55" s="61">
        <v>48744.683100000002</v>
      </c>
      <c r="E55" s="18">
        <f t="shared" si="1"/>
        <v>3243950.3831000002</v>
      </c>
      <c r="F55" s="57"/>
    </row>
    <row r="56" spans="1:9" x14ac:dyDescent="0.2">
      <c r="A56" s="366"/>
      <c r="B56" s="47" t="str">
        <f>DFIE!$B47</f>
        <v>Thurgau</v>
      </c>
      <c r="C56" s="43">
        <v>1182369</v>
      </c>
      <c r="D56" s="43">
        <v>11947.867200000001</v>
      </c>
      <c r="E56" s="22">
        <f t="shared" si="1"/>
        <v>1194316.8672</v>
      </c>
      <c r="F56" s="57"/>
    </row>
    <row r="57" spans="1:9" x14ac:dyDescent="0.2">
      <c r="A57" s="366"/>
      <c r="B57" s="46" t="str">
        <f>DFIE!$B48</f>
        <v>Tessin</v>
      </c>
      <c r="C57" s="61">
        <v>2559501.4</v>
      </c>
      <c r="D57" s="61">
        <v>303337.40230000002</v>
      </c>
      <c r="E57" s="18">
        <f t="shared" si="1"/>
        <v>2862838.8023000001</v>
      </c>
      <c r="F57" s="57"/>
    </row>
    <row r="58" spans="1:9" x14ac:dyDescent="0.2">
      <c r="A58" s="366"/>
      <c r="B58" s="47" t="str">
        <f>DFIE!$B49</f>
        <v>Waadt</v>
      </c>
      <c r="C58" s="43">
        <v>4788174.5999999996</v>
      </c>
      <c r="D58" s="43">
        <v>1854220.7659</v>
      </c>
      <c r="E58" s="22">
        <f t="shared" si="1"/>
        <v>6642395.3658999996</v>
      </c>
      <c r="F58" s="57"/>
    </row>
    <row r="59" spans="1:9" x14ac:dyDescent="0.2">
      <c r="A59" s="366"/>
      <c r="B59" s="46" t="str">
        <f>DFIE!$B50</f>
        <v>Wallis</v>
      </c>
      <c r="C59" s="61">
        <v>1297419.7</v>
      </c>
      <c r="D59" s="61">
        <v>8977.5990999999995</v>
      </c>
      <c r="E59" s="18">
        <f t="shared" si="1"/>
        <v>1306397.2990999999</v>
      </c>
      <c r="F59" s="57"/>
    </row>
    <row r="60" spans="1:9" x14ac:dyDescent="0.2">
      <c r="A60" s="366"/>
      <c r="B60" s="47" t="str">
        <f>DFIE!$B51</f>
        <v>Neuenburg</v>
      </c>
      <c r="C60" s="43">
        <v>902310</v>
      </c>
      <c r="D60" s="43">
        <v>567145.13729999994</v>
      </c>
      <c r="E60" s="22">
        <f t="shared" si="1"/>
        <v>1469455.1373000001</v>
      </c>
      <c r="F60" s="57"/>
    </row>
    <row r="61" spans="1:9" x14ac:dyDescent="0.2">
      <c r="A61" s="366"/>
      <c r="B61" s="46" t="str">
        <f>DFIE!$B52</f>
        <v>Genf</v>
      </c>
      <c r="C61" s="61">
        <v>4879524.8</v>
      </c>
      <c r="D61" s="61">
        <v>1084569.6270000001</v>
      </c>
      <c r="E61" s="18">
        <f t="shared" si="1"/>
        <v>5964094.4270000001</v>
      </c>
      <c r="F61" s="57"/>
    </row>
    <row r="62" spans="1:9" x14ac:dyDescent="0.2">
      <c r="A62" s="366"/>
      <c r="B62" s="47" t="str">
        <f>DFIE!$B53</f>
        <v>Jura</v>
      </c>
      <c r="C62" s="43">
        <v>353607.8</v>
      </c>
      <c r="D62" s="43">
        <v>15659.598099999999</v>
      </c>
      <c r="E62" s="22">
        <f t="shared" si="1"/>
        <v>369267.39809999999</v>
      </c>
      <c r="F62" s="57"/>
      <c r="H62" s="40"/>
      <c r="I62" s="40"/>
    </row>
    <row r="63" spans="1:9" x14ac:dyDescent="0.2">
      <c r="A63" s="366"/>
      <c r="B63" s="24" t="str">
        <f>DFIE!$B54</f>
        <v>Schweiz</v>
      </c>
      <c r="C63" s="31">
        <f>SUM(C37:C62)</f>
        <v>60095908.800000004</v>
      </c>
      <c r="D63" s="31">
        <f>SUM(D37:D62)</f>
        <v>9675692.0789000001</v>
      </c>
      <c r="E63" s="26">
        <f>SUM(E37:E62)</f>
        <v>69771600.878900006</v>
      </c>
      <c r="F63" s="58"/>
      <c r="H63" s="51"/>
      <c r="I63" s="51"/>
    </row>
    <row r="64" spans="1:9" ht="14.25" customHeight="1" x14ac:dyDescent="0.2">
      <c r="A64" s="33"/>
      <c r="B64" s="83"/>
      <c r="C64" s="83"/>
      <c r="D64" s="83"/>
      <c r="E64" s="83"/>
    </row>
    <row r="65" spans="1:9" x14ac:dyDescent="0.2">
      <c r="A65" s="367" t="str">
        <f>DFIE!B71</f>
        <v>Bemessungsjahr 2016</v>
      </c>
      <c r="B65" s="48" t="str">
        <f>DFIE!$B28</f>
        <v>Zürich</v>
      </c>
      <c r="C65" s="49">
        <v>15436729.5</v>
      </c>
      <c r="D65" s="49">
        <v>898470.81400000001</v>
      </c>
      <c r="E65" s="50">
        <f>C65+D65</f>
        <v>16335200.313999999</v>
      </c>
      <c r="F65" s="59"/>
      <c r="H65" s="189" t="str">
        <f>$H$9</f>
        <v>Holdinggesellschaften</v>
      </c>
      <c r="I65" s="190">
        <f>$I$9</f>
        <v>2.8000000000000001E-2</v>
      </c>
    </row>
    <row r="66" spans="1:9" x14ac:dyDescent="0.2">
      <c r="A66" s="367"/>
      <c r="B66" s="47" t="str">
        <f>DFIE!$B29</f>
        <v>Bern</v>
      </c>
      <c r="C66" s="43">
        <v>7329533.7000000002</v>
      </c>
      <c r="D66" s="43">
        <v>278200.2427</v>
      </c>
      <c r="E66" s="22">
        <f t="shared" ref="E66:E90" si="2">C66+D66</f>
        <v>7607733.9427000005</v>
      </c>
      <c r="F66" s="59"/>
      <c r="H66" s="191" t="str">
        <f>$H$10</f>
        <v>Domizilgesellschaften</v>
      </c>
      <c r="I66" s="192">
        <f>$I$10</f>
        <v>0.124</v>
      </c>
    </row>
    <row r="67" spans="1:9" x14ac:dyDescent="0.2">
      <c r="A67" s="367"/>
      <c r="B67" s="46" t="str">
        <f>DFIE!$B30</f>
        <v>Luzern</v>
      </c>
      <c r="C67" s="61">
        <v>3595794.2</v>
      </c>
      <c r="D67" s="61">
        <v>143027.03969999999</v>
      </c>
      <c r="E67" s="18">
        <f t="shared" si="2"/>
        <v>3738821.2397000003</v>
      </c>
      <c r="F67" s="59"/>
      <c r="H67" s="193" t="str">
        <f>$H$11</f>
        <v>Gemischte Gesellschaften</v>
      </c>
      <c r="I67" s="194">
        <f>$I$11</f>
        <v>0.125</v>
      </c>
    </row>
    <row r="68" spans="1:9" x14ac:dyDescent="0.2">
      <c r="A68" s="367"/>
      <c r="B68" s="47" t="str">
        <f>DFIE!$B31</f>
        <v>Uri</v>
      </c>
      <c r="C68" s="43">
        <v>232222.7</v>
      </c>
      <c r="D68" s="43">
        <v>1070.7401</v>
      </c>
      <c r="E68" s="22">
        <f t="shared" si="2"/>
        <v>233293.44010000001</v>
      </c>
      <c r="F68" s="59"/>
    </row>
    <row r="69" spans="1:9" x14ac:dyDescent="0.2">
      <c r="A69" s="367"/>
      <c r="B69" s="46" t="str">
        <f>DFIE!$B32</f>
        <v>Schwyz</v>
      </c>
      <c r="C69" s="61">
        <v>2770337</v>
      </c>
      <c r="D69" s="61">
        <v>187846.59940000001</v>
      </c>
      <c r="E69" s="18">
        <f t="shared" si="2"/>
        <v>2958183.5994000002</v>
      </c>
      <c r="F69" s="59"/>
    </row>
    <row r="70" spans="1:9" x14ac:dyDescent="0.2">
      <c r="A70" s="367"/>
      <c r="B70" s="47" t="str">
        <f>DFIE!$B33</f>
        <v>Obwalden</v>
      </c>
      <c r="C70" s="43">
        <v>295778.90000000002</v>
      </c>
      <c r="D70" s="43">
        <v>13898.565699999999</v>
      </c>
      <c r="E70" s="22">
        <f t="shared" si="2"/>
        <v>309677.4657</v>
      </c>
      <c r="F70" s="59"/>
    </row>
    <row r="71" spans="1:9" x14ac:dyDescent="0.2">
      <c r="A71" s="367"/>
      <c r="B71" s="46" t="str">
        <f>DFIE!$B34</f>
        <v>Nidwalden</v>
      </c>
      <c r="C71" s="61">
        <v>541730.1</v>
      </c>
      <c r="D71" s="61">
        <v>19027.926599999999</v>
      </c>
      <c r="E71" s="18">
        <f t="shared" si="2"/>
        <v>560758.02659999998</v>
      </c>
      <c r="F71" s="59"/>
    </row>
    <row r="72" spans="1:9" x14ac:dyDescent="0.2">
      <c r="A72" s="367"/>
      <c r="B72" s="47" t="str">
        <f>DFIE!$B35</f>
        <v>Glarus</v>
      </c>
      <c r="C72" s="43">
        <v>211964.2</v>
      </c>
      <c r="D72" s="43">
        <v>21699.571599999999</v>
      </c>
      <c r="E72" s="22">
        <f t="shared" si="2"/>
        <v>233663.77160000001</v>
      </c>
      <c r="F72" s="59"/>
    </row>
    <row r="73" spans="1:9" x14ac:dyDescent="0.2">
      <c r="A73" s="367"/>
      <c r="B73" s="46" t="str">
        <f>DFIE!$B36</f>
        <v>Zug</v>
      </c>
      <c r="C73" s="61">
        <v>3155120.1</v>
      </c>
      <c r="D73" s="61">
        <v>1317052.0767000001</v>
      </c>
      <c r="E73" s="18">
        <f t="shared" si="2"/>
        <v>4472172.1766999997</v>
      </c>
      <c r="F73" s="59"/>
    </row>
    <row r="74" spans="1:9" x14ac:dyDescent="0.2">
      <c r="A74" s="367"/>
      <c r="B74" s="47" t="str">
        <f>DFIE!$B37</f>
        <v>Freiburg</v>
      </c>
      <c r="C74" s="43">
        <v>1914097</v>
      </c>
      <c r="D74" s="43">
        <v>522857.3273</v>
      </c>
      <c r="E74" s="22">
        <f t="shared" si="2"/>
        <v>2436954.3273</v>
      </c>
      <c r="F74" s="59"/>
    </row>
    <row r="75" spans="1:9" x14ac:dyDescent="0.2">
      <c r="A75" s="367"/>
      <c r="B75" s="46" t="str">
        <f>DFIE!$B38</f>
        <v>Solothurn</v>
      </c>
      <c r="C75" s="61">
        <v>1055899.3</v>
      </c>
      <c r="D75" s="61">
        <v>26212.823700000001</v>
      </c>
      <c r="E75" s="18">
        <f t="shared" si="2"/>
        <v>1082112.1237000001</v>
      </c>
      <c r="F75" s="59"/>
    </row>
    <row r="76" spans="1:9" x14ac:dyDescent="0.2">
      <c r="A76" s="367"/>
      <c r="B76" s="47" t="str">
        <f>DFIE!$B39</f>
        <v>Basel-Stadt</v>
      </c>
      <c r="C76" s="43">
        <v>2621667.1</v>
      </c>
      <c r="D76" s="43">
        <v>280679.5528</v>
      </c>
      <c r="E76" s="22">
        <f t="shared" si="2"/>
        <v>2902346.6528000003</v>
      </c>
      <c r="F76" s="59"/>
    </row>
    <row r="77" spans="1:9" x14ac:dyDescent="0.2">
      <c r="A77" s="367"/>
      <c r="B77" s="46" t="str">
        <f>DFIE!$B40</f>
        <v>Basel-Landschaft</v>
      </c>
      <c r="C77" s="61">
        <v>1286632</v>
      </c>
      <c r="D77" s="61">
        <v>305039.34470000002</v>
      </c>
      <c r="E77" s="18">
        <f t="shared" si="2"/>
        <v>1591671.3447</v>
      </c>
      <c r="F77" s="59"/>
    </row>
    <row r="78" spans="1:9" x14ac:dyDescent="0.2">
      <c r="A78" s="367"/>
      <c r="B78" s="47" t="str">
        <f>DFIE!$B41</f>
        <v>Schaffhausen</v>
      </c>
      <c r="C78" s="43">
        <v>445601.3</v>
      </c>
      <c r="D78" s="43">
        <v>318460.24890000001</v>
      </c>
      <c r="E78" s="22">
        <f t="shared" si="2"/>
        <v>764061.54890000005</v>
      </c>
      <c r="F78" s="59"/>
    </row>
    <row r="79" spans="1:9" x14ac:dyDescent="0.2">
      <c r="A79" s="367"/>
      <c r="B79" s="46" t="str">
        <f>DFIE!$B42</f>
        <v>Appenzell A.Rh.</v>
      </c>
      <c r="C79" s="61">
        <v>357945</v>
      </c>
      <c r="D79" s="61">
        <v>8052.5604000000003</v>
      </c>
      <c r="E79" s="18">
        <f t="shared" si="2"/>
        <v>365997.56040000002</v>
      </c>
      <c r="F79" s="59"/>
    </row>
    <row r="80" spans="1:9" x14ac:dyDescent="0.2">
      <c r="A80" s="367"/>
      <c r="B80" s="47" t="str">
        <f>DFIE!$B43</f>
        <v>Appenzell I.Rh.</v>
      </c>
      <c r="C80" s="43">
        <v>116791.2</v>
      </c>
      <c r="D80" s="43">
        <v>1745.9418000000001</v>
      </c>
      <c r="E80" s="22">
        <f t="shared" si="2"/>
        <v>118537.1418</v>
      </c>
      <c r="F80" s="59"/>
    </row>
    <row r="81" spans="1:9" x14ac:dyDescent="0.2">
      <c r="A81" s="367"/>
      <c r="B81" s="46" t="str">
        <f>DFIE!$B44</f>
        <v>St. Gallen</v>
      </c>
      <c r="C81" s="61">
        <v>3431590.3</v>
      </c>
      <c r="D81" s="61">
        <v>335181.62420000002</v>
      </c>
      <c r="E81" s="18">
        <f t="shared" si="2"/>
        <v>3766771.9241999998</v>
      </c>
      <c r="F81" s="59"/>
    </row>
    <row r="82" spans="1:9" x14ac:dyDescent="0.2">
      <c r="A82" s="367"/>
      <c r="B82" s="47" t="str">
        <f>DFIE!$B45</f>
        <v>Graubünden</v>
      </c>
      <c r="C82" s="43">
        <v>816347.7</v>
      </c>
      <c r="D82" s="43">
        <v>139451.4736</v>
      </c>
      <c r="E82" s="22">
        <f t="shared" si="2"/>
        <v>955799.17359999998</v>
      </c>
      <c r="F82" s="59"/>
    </row>
    <row r="83" spans="1:9" x14ac:dyDescent="0.2">
      <c r="A83" s="367"/>
      <c r="B83" s="46" t="str">
        <f>DFIE!$B46</f>
        <v>Aargau</v>
      </c>
      <c r="C83" s="61">
        <v>3197907.7</v>
      </c>
      <c r="D83" s="61">
        <v>27183.783899999999</v>
      </c>
      <c r="E83" s="18">
        <f t="shared" si="2"/>
        <v>3225091.4839000003</v>
      </c>
      <c r="F83" s="59"/>
    </row>
    <row r="84" spans="1:9" x14ac:dyDescent="0.2">
      <c r="A84" s="367"/>
      <c r="B84" s="47" t="str">
        <f>DFIE!$B47</f>
        <v>Thurgau</v>
      </c>
      <c r="C84" s="43">
        <v>1314970.6000000001</v>
      </c>
      <c r="D84" s="43">
        <v>9625.4827999999998</v>
      </c>
      <c r="E84" s="22">
        <f t="shared" si="2"/>
        <v>1324596.0828000002</v>
      </c>
      <c r="F84" s="59"/>
    </row>
    <row r="85" spans="1:9" x14ac:dyDescent="0.2">
      <c r="A85" s="367"/>
      <c r="B85" s="46" t="str">
        <f>DFIE!$B48</f>
        <v>Tessin</v>
      </c>
      <c r="C85" s="61">
        <v>2552902.1</v>
      </c>
      <c r="D85" s="61">
        <v>312953.24080000003</v>
      </c>
      <c r="E85" s="18">
        <f t="shared" si="2"/>
        <v>2865855.3408000004</v>
      </c>
      <c r="F85" s="59"/>
    </row>
    <row r="86" spans="1:9" x14ac:dyDescent="0.2">
      <c r="A86" s="367"/>
      <c r="B86" s="47" t="str">
        <f>DFIE!$B49</f>
        <v>Waadt</v>
      </c>
      <c r="C86" s="43">
        <v>4025331</v>
      </c>
      <c r="D86" s="43">
        <v>2164869.4635999999</v>
      </c>
      <c r="E86" s="22">
        <f t="shared" si="2"/>
        <v>6190200.4636000004</v>
      </c>
      <c r="F86" s="59"/>
    </row>
    <row r="87" spans="1:9" x14ac:dyDescent="0.2">
      <c r="A87" s="367"/>
      <c r="B87" s="46" t="str">
        <f>DFIE!$B50</f>
        <v>Wallis</v>
      </c>
      <c r="C87" s="61">
        <v>1264510.5</v>
      </c>
      <c r="D87" s="61">
        <v>6908.9845999999998</v>
      </c>
      <c r="E87" s="18">
        <f t="shared" si="2"/>
        <v>1271419.4846000001</v>
      </c>
      <c r="F87" s="59"/>
    </row>
    <row r="88" spans="1:9" x14ac:dyDescent="0.2">
      <c r="A88" s="367"/>
      <c r="B88" s="47" t="str">
        <f>DFIE!$B51</f>
        <v>Neuenburg</v>
      </c>
      <c r="C88" s="43">
        <v>815541.3</v>
      </c>
      <c r="D88" s="43">
        <v>715309.90969999996</v>
      </c>
      <c r="E88" s="22">
        <f t="shared" si="2"/>
        <v>1530851.2097</v>
      </c>
      <c r="F88" s="59"/>
    </row>
    <row r="89" spans="1:9" x14ac:dyDescent="0.2">
      <c r="A89" s="367"/>
      <c r="B89" s="46" t="str">
        <f>DFIE!$B52</f>
        <v>Genf</v>
      </c>
      <c r="C89" s="61">
        <v>4832199.2</v>
      </c>
      <c r="D89" s="61">
        <v>1159722.3356999999</v>
      </c>
      <c r="E89" s="18">
        <f t="shared" si="2"/>
        <v>5991921.5356999999</v>
      </c>
      <c r="F89" s="59"/>
    </row>
    <row r="90" spans="1:9" x14ac:dyDescent="0.2">
      <c r="A90" s="367"/>
      <c r="B90" s="47" t="str">
        <f>DFIE!$B53</f>
        <v>Jura</v>
      </c>
      <c r="C90" s="43">
        <v>377988.2</v>
      </c>
      <c r="D90" s="43">
        <v>28606.066299999999</v>
      </c>
      <c r="E90" s="22">
        <f t="shared" si="2"/>
        <v>406594.26630000002</v>
      </c>
      <c r="F90" s="59"/>
      <c r="H90" s="40"/>
      <c r="I90" s="40"/>
    </row>
    <row r="91" spans="1:9" x14ac:dyDescent="0.2">
      <c r="A91" s="367"/>
      <c r="B91" s="24" t="str">
        <f>DFIE!$B54</f>
        <v>Schweiz</v>
      </c>
      <c r="C91" s="31">
        <f>SUM(C65:C90)</f>
        <v>63997131.900000006</v>
      </c>
      <c r="D91" s="31">
        <f>SUM(D65:D90)</f>
        <v>9243153.7412999999</v>
      </c>
      <c r="E91" s="26">
        <f>SUM(E65:E90)</f>
        <v>73240285.641300008</v>
      </c>
      <c r="F91" s="60"/>
      <c r="H91" s="51"/>
      <c r="I91" s="51"/>
    </row>
  </sheetData>
  <mergeCells count="4">
    <mergeCell ref="A9:A35"/>
    <mergeCell ref="A37:A63"/>
    <mergeCell ref="A65:A91"/>
    <mergeCell ref="H7:I8"/>
  </mergeCells>
  <conditionalFormatting sqref="C9:D34">
    <cfRule type="expression" dxfId="37" priority="8" stopIfTrue="1">
      <formula>ISBLANK(C9)</formula>
    </cfRule>
  </conditionalFormatting>
  <conditionalFormatting sqref="C37:D37">
    <cfRule type="expression" dxfId="36" priority="7" stopIfTrue="1">
      <formula>ISBLANK(C37)</formula>
    </cfRule>
  </conditionalFormatting>
  <conditionalFormatting sqref="C65:D65">
    <cfRule type="expression" dxfId="35" priority="6" stopIfTrue="1">
      <formula>ISBLANK(C65)</formula>
    </cfRule>
  </conditionalFormatting>
  <conditionalFormatting sqref="I9:I11">
    <cfRule type="expression" dxfId="34" priority="5" stopIfTrue="1">
      <formula>ISBLANK(I9)</formula>
    </cfRule>
  </conditionalFormatting>
  <conditionalFormatting sqref="I37:I39">
    <cfRule type="expression" dxfId="33" priority="4" stopIfTrue="1">
      <formula>ISBLANK(I37)</formula>
    </cfRule>
  </conditionalFormatting>
  <conditionalFormatting sqref="I65:I67">
    <cfRule type="expression" dxfId="32" priority="3" stopIfTrue="1">
      <formula>ISBLANK(I65)</formula>
    </cfRule>
  </conditionalFormatting>
  <conditionalFormatting sqref="C38:D62">
    <cfRule type="expression" dxfId="31" priority="2" stopIfTrue="1">
      <formula>ISBLANK(C38)</formula>
    </cfRule>
  </conditionalFormatting>
  <conditionalFormatting sqref="C66:D90">
    <cfRule type="expression" dxfId="30" priority="1" stopIfTrue="1">
      <formula>ISBLANK(C66)</formula>
    </cfRule>
  </conditionalFormatting>
  <pageMargins left="0.78740157480314965" right="0.78740157480314965" top="0.98425196850393704" bottom="0.78740157480314965" header="0.51181102362204722" footer="0.51181102362204722"/>
  <pageSetup paperSize="9" scale="95" orientation="landscape"/>
  <headerFooter scaleWithDoc="0" alignWithMargins="0">
    <oddHeader>&amp;L&amp;F&amp;R&amp;A</oddHeader>
    <oddFooter>&amp;C&amp;P / &amp;N</oddFooter>
  </headerFooter>
  <rowBreaks count="2" manualBreakCount="2">
    <brk id="36" max="16383" man="1"/>
    <brk id="64" max="16383" man="1"/>
  </rowBreaks>
  <customProperties>
    <customPr name="EpmWorksheetKeyString_GUID" r:id="rId1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1"/>
  <sheetViews>
    <sheetView showGridLines="0" zoomScaleNormal="100" workbookViewId="0">
      <pane ySplit="8" topLeftCell="A9" activePane="bottomLeft" state="frozen"/>
      <selection activeCell="A100" sqref="A100"/>
      <selection pane="bottomLeft" activeCell="A100" sqref="A100"/>
    </sheetView>
  </sheetViews>
  <sheetFormatPr baseColWidth="10" defaultColWidth="9.140625" defaultRowHeight="12.75" x14ac:dyDescent="0.2"/>
  <cols>
    <col min="1" max="1" width="4.42578125" customWidth="1"/>
    <col min="2" max="2" width="16.7109375" customWidth="1"/>
    <col min="3" max="5" width="15.7109375" customWidth="1"/>
    <col min="6" max="7" width="18.28515625" customWidth="1"/>
    <col min="8" max="8" width="13.5703125" customWidth="1"/>
    <col min="9" max="9" width="18.7109375" customWidth="1"/>
    <col min="10" max="10" width="1.5703125" customWidth="1"/>
  </cols>
  <sheetData>
    <row r="1" spans="1:10" ht="18" customHeight="1" x14ac:dyDescent="0.25">
      <c r="B1" s="6" t="str">
        <f>DFIE!B152</f>
        <v>Steuerrepartitionen 2020</v>
      </c>
    </row>
    <row r="3" spans="1:10" ht="0.75" customHeight="1" x14ac:dyDescent="0.2"/>
    <row r="4" spans="1:10" ht="0.75" customHeight="1" x14ac:dyDescent="0.2"/>
    <row r="5" spans="1:10" ht="12" customHeight="1" x14ac:dyDescent="0.2">
      <c r="A5" s="13"/>
      <c r="B5" s="34" t="str">
        <f>DFIE!B55</f>
        <v>Spalte</v>
      </c>
      <c r="C5" s="35" t="s">
        <v>30</v>
      </c>
      <c r="D5" s="35" t="s">
        <v>31</v>
      </c>
      <c r="E5" s="36" t="s">
        <v>32</v>
      </c>
      <c r="F5" s="35" t="s">
        <v>43</v>
      </c>
      <c r="G5" s="35" t="s">
        <v>42</v>
      </c>
      <c r="H5" s="35" t="s">
        <v>33</v>
      </c>
      <c r="I5" s="36" t="s">
        <v>34</v>
      </c>
      <c r="J5" s="13"/>
    </row>
    <row r="6" spans="1:10" ht="12" customHeight="1" x14ac:dyDescent="0.2">
      <c r="A6" s="13"/>
      <c r="B6" s="34" t="str">
        <f>DFIE!B56</f>
        <v>Formel</v>
      </c>
      <c r="C6" s="188"/>
      <c r="D6" s="188"/>
      <c r="E6" s="39" t="s">
        <v>88</v>
      </c>
      <c r="F6" s="188"/>
      <c r="G6" s="188"/>
      <c r="H6" s="188" t="s">
        <v>89</v>
      </c>
      <c r="I6" s="39" t="s">
        <v>90</v>
      </c>
      <c r="J6" s="13"/>
    </row>
    <row r="7" spans="1:10" ht="45" customHeight="1" x14ac:dyDescent="0.2">
      <c r="A7" s="51"/>
      <c r="B7" s="203"/>
      <c r="C7" s="185" t="str">
        <f>DFIE!B153</f>
        <v>Zu Gunsten
anderer
Kantone</v>
      </c>
      <c r="D7" s="185" t="str">
        <f>DFIE!B154</f>
        <v>Erhalten von
anderen
Kantonen</v>
      </c>
      <c r="E7" s="195" t="str">
        <f>DFIE!B155</f>
        <v>Saldo</v>
      </c>
      <c r="F7" s="185" t="str">
        <f>DFIE!B156</f>
        <v>Ablieferungen DBSt
an die ESTV</v>
      </c>
      <c r="G7" s="185" t="str">
        <f>DFIE!B157</f>
        <v>Massgebende Steuerbemessungs-grundlage DBSt</v>
      </c>
      <c r="H7" s="185" t="str">
        <f>DFIE!B158</f>
        <v>Gewichtungs-
faktor</v>
      </c>
      <c r="I7" s="195" t="str">
        <f>DFIE!B159</f>
        <v>Massgebende
Steuerrepartitionen</v>
      </c>
      <c r="J7" s="51"/>
    </row>
    <row r="8" spans="1:10" ht="12.75" customHeight="1" x14ac:dyDescent="0.2">
      <c r="B8" s="78" t="str">
        <f>DFIE!B58</f>
        <v>Einheit</v>
      </c>
      <c r="C8" s="41" t="str">
        <f>DFIE!$B$60</f>
        <v>CHF 1'000</v>
      </c>
      <c r="D8" s="41" t="str">
        <f>DFIE!$B$60</f>
        <v>CHF 1'000</v>
      </c>
      <c r="E8" s="42" t="str">
        <f>DFIE!$B$60</f>
        <v>CHF 1'000</v>
      </c>
      <c r="F8" s="41" t="str">
        <f>DFIE!$B$60</f>
        <v>CHF 1'000</v>
      </c>
      <c r="G8" s="41" t="str">
        <f>DFIE!$B$60</f>
        <v>CHF 1'000</v>
      </c>
      <c r="H8" s="41"/>
      <c r="I8" s="42" t="str">
        <f>DFIE!$B$60</f>
        <v>CHF 1'000</v>
      </c>
    </row>
    <row r="9" spans="1:10" x14ac:dyDescent="0.2">
      <c r="A9" s="365" t="str">
        <f>DFIE!B69</f>
        <v>Bemessungsjahr 2014</v>
      </c>
      <c r="B9" s="46" t="str">
        <f>DFIE!$B28</f>
        <v>Zürich</v>
      </c>
      <c r="C9" s="61">
        <v>25752.072</v>
      </c>
      <c r="D9" s="61">
        <v>21215.290400000002</v>
      </c>
      <c r="E9" s="18">
        <f t="shared" ref="E9:E34" si="0">D9-C9</f>
        <v>-4536.7815999999984</v>
      </c>
      <c r="F9" s="61">
        <v>3622894.8596626502</v>
      </c>
      <c r="G9" s="86">
        <f>IF(DFIE!$G$2=2008,"",NP!E9+QS!AA9+JP!E9)</f>
        <v>54293470.930719808</v>
      </c>
      <c r="H9" s="197">
        <f>IF(DFIE!$G$2=2008,"",G9/F9)</f>
        <v>14.986212140800411</v>
      </c>
      <c r="I9" s="18">
        <f>IF(DFIE!$G$2=2008,0,E9*H9)</f>
        <v>-67989.171494079899</v>
      </c>
      <c r="J9" s="54"/>
    </row>
    <row r="10" spans="1:10" x14ac:dyDescent="0.2">
      <c r="A10" s="365"/>
      <c r="B10" s="47" t="str">
        <f>DFIE!$B29</f>
        <v>Bern</v>
      </c>
      <c r="C10" s="43">
        <v>28517.473000000002</v>
      </c>
      <c r="D10" s="43">
        <v>10065.228450000001</v>
      </c>
      <c r="E10" s="22">
        <f t="shared" si="0"/>
        <v>-18452.244550000003</v>
      </c>
      <c r="F10" s="43">
        <v>1372104.5859638599</v>
      </c>
      <c r="G10" s="198">
        <f>IF(DFIE!$G$2=2008,"",NP!E10+QS!AA10+JP!E10)</f>
        <v>23735450.10924926</v>
      </c>
      <c r="H10" s="199">
        <f>IF(DFIE!$G$2=2008,"",G10/F10)</f>
        <v>17.298572100155077</v>
      </c>
      <c r="I10" s="22">
        <f>IF(DFIE!$G$2=2008,0,E10*H10)</f>
        <v>-319197.48275786865</v>
      </c>
      <c r="J10" s="54"/>
    </row>
    <row r="11" spans="1:10" x14ac:dyDescent="0.2">
      <c r="A11" s="365"/>
      <c r="B11" s="46" t="str">
        <f>DFIE!$B30</f>
        <v>Luzern</v>
      </c>
      <c r="C11" s="61">
        <v>7005.2849999999999</v>
      </c>
      <c r="D11" s="61">
        <v>4489.8761500000001</v>
      </c>
      <c r="E11" s="18">
        <f t="shared" si="0"/>
        <v>-2515.4088499999998</v>
      </c>
      <c r="F11" s="61">
        <v>749211.71632530098</v>
      </c>
      <c r="G11" s="86">
        <f>IF(DFIE!$G$2=2008,"",NP!E11+QS!AA11+JP!E11)</f>
        <v>10685874.017597508</v>
      </c>
      <c r="H11" s="197">
        <f>IF(DFIE!$G$2=2008,"",G11/F11)</f>
        <v>14.26282289071651</v>
      </c>
      <c r="I11" s="18">
        <f>IF(DFIE!$G$2=2008,0,E11*H11)</f>
        <v>-35876.830925290888</v>
      </c>
      <c r="J11" s="54"/>
    </row>
    <row r="12" spans="1:10" x14ac:dyDescent="0.2">
      <c r="A12" s="365"/>
      <c r="B12" s="47" t="str">
        <f>DFIE!$B31</f>
        <v>Uri</v>
      </c>
      <c r="C12" s="43">
        <v>213.45085</v>
      </c>
      <c r="D12" s="43">
        <v>310.43745000000001</v>
      </c>
      <c r="E12" s="22">
        <f t="shared" si="0"/>
        <v>96.98660000000001</v>
      </c>
      <c r="F12" s="43">
        <v>39622.962349397603</v>
      </c>
      <c r="G12" s="198">
        <f>IF(DFIE!$G$2=2008,"",NP!E12+QS!AA12+JP!E12)</f>
        <v>744214.51903049997</v>
      </c>
      <c r="H12" s="199">
        <f>IF(DFIE!$G$2=2008,"",G12/F12)</f>
        <v>18.782404820416321</v>
      </c>
      <c r="I12" s="22">
        <f>IF(DFIE!$G$2=2008,0,E12*H12)</f>
        <v>1821.6415833557899</v>
      </c>
      <c r="J12" s="54"/>
    </row>
    <row r="13" spans="1:10" x14ac:dyDescent="0.2">
      <c r="A13" s="365"/>
      <c r="B13" s="46" t="str">
        <f>DFIE!$B32</f>
        <v>Schwyz</v>
      </c>
      <c r="C13" s="61">
        <v>1659.3163999999999</v>
      </c>
      <c r="D13" s="61">
        <v>1499.9052999999999</v>
      </c>
      <c r="E13" s="18">
        <f t="shared" si="0"/>
        <v>-159.41110000000003</v>
      </c>
      <c r="F13" s="61">
        <v>617645.94114457804</v>
      </c>
      <c r="G13" s="86">
        <f>IF(DFIE!$G$2=2008,"",NP!E13+QS!AA13+JP!E13)</f>
        <v>8058046.0692693349</v>
      </c>
      <c r="H13" s="197">
        <f>IF(DFIE!$G$2=2008,"",G13/F13)</f>
        <v>13.046383911042515</v>
      </c>
      <c r="I13" s="18">
        <f>IF(DFIE!$G$2=2008,0,E13*H13)</f>
        <v>-2079.7384102815899</v>
      </c>
      <c r="J13" s="54"/>
    </row>
    <row r="14" spans="1:10" x14ac:dyDescent="0.2">
      <c r="A14" s="365"/>
      <c r="B14" s="47" t="str">
        <f>DFIE!$B33</f>
        <v>Obwalden</v>
      </c>
      <c r="C14" s="43">
        <v>390.46215000000001</v>
      </c>
      <c r="D14" s="43">
        <v>500.77109999999999</v>
      </c>
      <c r="E14" s="22">
        <f t="shared" si="0"/>
        <v>110.30894999999998</v>
      </c>
      <c r="F14" s="43">
        <v>90060.390614457807</v>
      </c>
      <c r="G14" s="198">
        <f>IF(DFIE!$G$2=2008,"",NP!E14+QS!AA14+JP!E14)</f>
        <v>1060343.5224618232</v>
      </c>
      <c r="H14" s="199">
        <f>IF(DFIE!$G$2=2008,"",G14/F14)</f>
        <v>11.773694464651827</v>
      </c>
      <c r="I14" s="22">
        <f>IF(DFIE!$G$2=2008,0,E14*H14)</f>
        <v>1298.7438740165549</v>
      </c>
      <c r="J14" s="54"/>
    </row>
    <row r="15" spans="1:10" x14ac:dyDescent="0.2">
      <c r="A15" s="365"/>
      <c r="B15" s="46" t="str">
        <f>DFIE!$B34</f>
        <v>Nidwalden</v>
      </c>
      <c r="C15" s="61">
        <v>938.89700000000005</v>
      </c>
      <c r="D15" s="61">
        <v>2348.4290500000002</v>
      </c>
      <c r="E15" s="18">
        <f t="shared" si="0"/>
        <v>1409.5320500000003</v>
      </c>
      <c r="F15" s="61">
        <v>173926.98554216899</v>
      </c>
      <c r="G15" s="86">
        <f>IF(DFIE!$G$2=2008,"",NP!E15+QS!AA15+JP!E15)</f>
        <v>1983754.0082988513</v>
      </c>
      <c r="H15" s="197">
        <f>IF(DFIE!$G$2=2008,"",G15/F15)</f>
        <v>11.405671190787618</v>
      </c>
      <c r="I15" s="18">
        <f>IF(DFIE!$G$2=2008,0,E15*H15)</f>
        <v>16076.659095176816</v>
      </c>
      <c r="J15" s="54"/>
    </row>
    <row r="16" spans="1:10" x14ac:dyDescent="0.2">
      <c r="A16" s="365"/>
      <c r="B16" s="47" t="str">
        <f>DFIE!$B35</f>
        <v>Glarus</v>
      </c>
      <c r="C16" s="43">
        <v>301.39999999999998</v>
      </c>
      <c r="D16" s="43">
        <v>423.36855000000003</v>
      </c>
      <c r="E16" s="22">
        <f t="shared" si="0"/>
        <v>121.96855000000005</v>
      </c>
      <c r="F16" s="43">
        <v>46771.862710843401</v>
      </c>
      <c r="G16" s="198">
        <f>IF(DFIE!$G$2=2008,"",NP!E16+QS!AA16+JP!E16)</f>
        <v>844270.52210960421</v>
      </c>
      <c r="H16" s="199">
        <f>IF(DFIE!$G$2=2008,"",G16/F16)</f>
        <v>18.050821010253927</v>
      </c>
      <c r="I16" s="22">
        <f>IF(DFIE!$G$2=2008,0,E16*H16)</f>
        <v>2201.6324649302073</v>
      </c>
      <c r="J16" s="54"/>
    </row>
    <row r="17" spans="1:10" x14ac:dyDescent="0.2">
      <c r="A17" s="365"/>
      <c r="B17" s="46" t="str">
        <f>DFIE!$B36</f>
        <v>Zug</v>
      </c>
      <c r="C17" s="61">
        <v>2904.277</v>
      </c>
      <c r="D17" s="61">
        <v>7214.6156499999997</v>
      </c>
      <c r="E17" s="18">
        <f t="shared" si="0"/>
        <v>4310.3386499999997</v>
      </c>
      <c r="F17" s="61">
        <v>1324185.4346626501</v>
      </c>
      <c r="G17" s="86">
        <f>IF(DFIE!$G$2=2008,"",NP!E17+QS!AA17+JP!E17)</f>
        <v>8919995.9129198082</v>
      </c>
      <c r="H17" s="197">
        <f>IF(DFIE!$G$2=2008,"",G17/F17)</f>
        <v>6.73621358415883</v>
      </c>
      <c r="I17" s="18">
        <f>IF(DFIE!$G$2=2008,0,E17*H17)</f>
        <v>29035.361766454829</v>
      </c>
      <c r="J17" s="54"/>
    </row>
    <row r="18" spans="1:10" x14ac:dyDescent="0.2">
      <c r="A18" s="365"/>
      <c r="B18" s="47" t="str">
        <f>DFIE!$B37</f>
        <v>Freiburg</v>
      </c>
      <c r="C18" s="43">
        <v>8418.2819999999992</v>
      </c>
      <c r="D18" s="43">
        <v>3061.78125</v>
      </c>
      <c r="E18" s="22">
        <f t="shared" si="0"/>
        <v>-5356.5007499999992</v>
      </c>
      <c r="F18" s="43">
        <v>541780.82587951794</v>
      </c>
      <c r="G18" s="198">
        <f>IF(DFIE!$G$2=2008,"",NP!E18+QS!AA18+JP!E18)</f>
        <v>7908789.5316946991</v>
      </c>
      <c r="H18" s="199">
        <f>IF(DFIE!$G$2=2008,"",G18/F18)</f>
        <v>14.597765653399975</v>
      </c>
      <c r="I18" s="22">
        <f>IF(DFIE!$G$2=2008,0,E18*H18)</f>
        <v>-78192.9426707612</v>
      </c>
      <c r="J18" s="54"/>
    </row>
    <row r="19" spans="1:10" x14ac:dyDescent="0.2">
      <c r="A19" s="365"/>
      <c r="B19" s="46" t="str">
        <f>DFIE!$B38</f>
        <v>Solothurn</v>
      </c>
      <c r="C19" s="61">
        <v>5213.2683999999999</v>
      </c>
      <c r="D19" s="61">
        <v>4157.6836999999996</v>
      </c>
      <c r="E19" s="18">
        <f t="shared" si="0"/>
        <v>-1055.5847000000003</v>
      </c>
      <c r="F19" s="61">
        <v>338780.71007228899</v>
      </c>
      <c r="G19" s="86">
        <f>IF(DFIE!$G$2=2008,"",NP!E19+QS!AA19+JP!E19)</f>
        <v>6263118.8200420402</v>
      </c>
      <c r="H19" s="197">
        <f>IF(DFIE!$G$2=2008,"",G19/F19)</f>
        <v>18.487235647819549</v>
      </c>
      <c r="I19" s="18">
        <f>IF(DFIE!$G$2=2008,0,E19*H19)</f>
        <v>-19514.84309513291</v>
      </c>
      <c r="J19" s="54"/>
    </row>
    <row r="20" spans="1:10" x14ac:dyDescent="0.2">
      <c r="A20" s="365"/>
      <c r="B20" s="47" t="str">
        <f>DFIE!$B39</f>
        <v>Basel-Stadt</v>
      </c>
      <c r="C20" s="43">
        <v>7835.8344999999999</v>
      </c>
      <c r="D20" s="43">
        <v>5165.1495500000001</v>
      </c>
      <c r="E20" s="22">
        <f t="shared" si="0"/>
        <v>-2670.6849499999998</v>
      </c>
      <c r="F20" s="43">
        <v>866632.51542168704</v>
      </c>
      <c r="G20" s="198">
        <f>IF(DFIE!$G$2=2008,"",NP!E20+QS!AA20+JP!E20)</f>
        <v>8999687.5607684962</v>
      </c>
      <c r="H20" s="199">
        <f>IF(DFIE!$G$2=2008,"",G20/F20)</f>
        <v>10.384664088433629</v>
      </c>
      <c r="I20" s="22">
        <f>IF(DFIE!$G$2=2008,0,E20*H20)</f>
        <v>-27734.166091785162</v>
      </c>
      <c r="J20" s="54"/>
    </row>
    <row r="21" spans="1:10" x14ac:dyDescent="0.2">
      <c r="A21" s="365"/>
      <c r="B21" s="46" t="str">
        <f>DFIE!$B40</f>
        <v>Basel-Landschaft</v>
      </c>
      <c r="C21" s="61">
        <v>3344.6846500000001</v>
      </c>
      <c r="D21" s="61">
        <v>3501.0572999999999</v>
      </c>
      <c r="E21" s="18">
        <f t="shared" si="0"/>
        <v>156.37264999999979</v>
      </c>
      <c r="F21" s="61">
        <v>495542.16867469897</v>
      </c>
      <c r="G21" s="86">
        <f>IF(DFIE!$G$2=2008,"",NP!E21+QS!AA21+JP!E21)</f>
        <v>8535988.4891809188</v>
      </c>
      <c r="H21" s="197">
        <f>IF(DFIE!$G$2=2008,"",G21/F21)</f>
        <v>17.225554208655872</v>
      </c>
      <c r="I21" s="18">
        <f>IF(DFIE!$G$2=2008,0,E21*H21)</f>
        <v>2693.6055593261681</v>
      </c>
      <c r="J21" s="54"/>
    </row>
    <row r="22" spans="1:10" x14ac:dyDescent="0.2">
      <c r="A22" s="365"/>
      <c r="B22" s="47" t="str">
        <f>DFIE!$B41</f>
        <v>Schaffhausen</v>
      </c>
      <c r="C22" s="43">
        <v>612.94565</v>
      </c>
      <c r="D22" s="43">
        <v>2054.2819</v>
      </c>
      <c r="E22" s="22">
        <f t="shared" si="0"/>
        <v>1441.3362499999998</v>
      </c>
      <c r="F22" s="43">
        <v>249976.40174698801</v>
      </c>
      <c r="G22" s="198">
        <f>IF(DFIE!$G$2=2008,"",NP!E22+QS!AA22+JP!E22)</f>
        <v>2269458.9004810313</v>
      </c>
      <c r="H22" s="199">
        <f>IF(DFIE!$G$2=2008,"",G22/F22)</f>
        <v>9.0786925670609868</v>
      </c>
      <c r="I22" s="22">
        <f>IF(DFIE!$G$2=2008,0,E22*H22)</f>
        <v>13085.448699510554</v>
      </c>
      <c r="J22" s="54"/>
    </row>
    <row r="23" spans="1:10" x14ac:dyDescent="0.2">
      <c r="A23" s="365"/>
      <c r="B23" s="46" t="str">
        <f>DFIE!$B42</f>
        <v>Appenzell A.Rh.</v>
      </c>
      <c r="C23" s="61">
        <v>834.97964999999999</v>
      </c>
      <c r="D23" s="61">
        <v>914.89869999999996</v>
      </c>
      <c r="E23" s="18">
        <f t="shared" si="0"/>
        <v>79.91904999999997</v>
      </c>
      <c r="F23" s="61">
        <v>86835.998795180698</v>
      </c>
      <c r="G23" s="86">
        <f>IF(DFIE!$G$2=2008,"",NP!E23+QS!AA23+JP!E23)</f>
        <v>1370287.5302065783</v>
      </c>
      <c r="H23" s="197">
        <f>IF(DFIE!$G$2=2008,"",G23/F23)</f>
        <v>15.780178142922768</v>
      </c>
      <c r="I23" s="18">
        <f>IF(DFIE!$G$2=2008,0,E23*H23)</f>
        <v>1261.1368460131514</v>
      </c>
      <c r="J23" s="54"/>
    </row>
    <row r="24" spans="1:10" x14ac:dyDescent="0.2">
      <c r="A24" s="365"/>
      <c r="B24" s="47" t="str">
        <f>DFIE!$B43</f>
        <v>Appenzell I.Rh.</v>
      </c>
      <c r="C24" s="43">
        <v>118.60039999999999</v>
      </c>
      <c r="D24" s="43">
        <v>157.2338</v>
      </c>
      <c r="E24" s="22">
        <f t="shared" si="0"/>
        <v>38.633400000000009</v>
      </c>
      <c r="F24" s="43">
        <v>25397.5510843374</v>
      </c>
      <c r="G24" s="198">
        <f>IF(DFIE!$G$2=2008,"",NP!E24+QS!AA24+JP!E24)</f>
        <v>392468.10519041878</v>
      </c>
      <c r="H24" s="199">
        <f>IF(DFIE!$G$2=2008,"",G24/F24)</f>
        <v>15.452990088971719</v>
      </c>
      <c r="I24" s="22">
        <f>IF(DFIE!$G$2=2008,0,E24*H24)</f>
        <v>597.00154730328018</v>
      </c>
      <c r="J24" s="54"/>
    </row>
    <row r="25" spans="1:10" x14ac:dyDescent="0.2">
      <c r="A25" s="365"/>
      <c r="B25" s="46" t="str">
        <f>DFIE!$B44</f>
        <v>St. Gallen</v>
      </c>
      <c r="C25" s="61">
        <v>3778.8195999999998</v>
      </c>
      <c r="D25" s="61">
        <v>8369.7978999999996</v>
      </c>
      <c r="E25" s="18">
        <f t="shared" si="0"/>
        <v>4590.9782999999998</v>
      </c>
      <c r="F25" s="61">
        <v>685270.95281927695</v>
      </c>
      <c r="G25" s="86">
        <f>IF(DFIE!$G$2=2008,"",NP!E25+QS!AA25+JP!E25)</f>
        <v>11735511.176505435</v>
      </c>
      <c r="H25" s="197">
        <f>IF(DFIE!$G$2=2008,"",G25/F25)</f>
        <v>17.125359141846456</v>
      </c>
      <c r="I25" s="18">
        <f>IF(DFIE!$G$2=2008,0,E25*H25)</f>
        <v>78622.152199923701</v>
      </c>
      <c r="J25" s="54"/>
    </row>
    <row r="26" spans="1:10" x14ac:dyDescent="0.2">
      <c r="A26" s="365"/>
      <c r="B26" s="47" t="str">
        <f>DFIE!$B45</f>
        <v>Graubünden</v>
      </c>
      <c r="C26" s="43">
        <v>758.149</v>
      </c>
      <c r="D26" s="43">
        <v>6705.0093999999999</v>
      </c>
      <c r="E26" s="22">
        <f t="shared" si="0"/>
        <v>5946.8603999999996</v>
      </c>
      <c r="F26" s="43">
        <v>255001.28716867499</v>
      </c>
      <c r="G26" s="198">
        <f>IF(DFIE!$G$2=2008,"",NP!E26+QS!AA26+JP!E26)</f>
        <v>4748841.6880372642</v>
      </c>
      <c r="H26" s="199">
        <f>IF(DFIE!$G$2=2008,"",G26/F26)</f>
        <v>18.622814577779213</v>
      </c>
      <c r="I26" s="22">
        <f>IF(DFIE!$G$2=2008,0,E26*H26)</f>
        <v>110747.27854913792</v>
      </c>
      <c r="J26" s="54"/>
    </row>
    <row r="27" spans="1:10" x14ac:dyDescent="0.2">
      <c r="A27" s="365"/>
      <c r="B27" s="46" t="str">
        <f>DFIE!$B46</f>
        <v>Aargau</v>
      </c>
      <c r="C27" s="61">
        <v>5892.5841499999997</v>
      </c>
      <c r="D27" s="61">
        <v>6212.5534500000003</v>
      </c>
      <c r="E27" s="18">
        <f t="shared" si="0"/>
        <v>319.96930000000066</v>
      </c>
      <c r="F27" s="61">
        <v>937726.77342168696</v>
      </c>
      <c r="G27" s="86">
        <f>IF(DFIE!$G$2=2008,"",NP!E27+QS!AA27+JP!E27)</f>
        <v>16620498.273359904</v>
      </c>
      <c r="H27" s="197">
        <f>IF(DFIE!$G$2=2008,"",G27/F27)</f>
        <v>17.724244144926235</v>
      </c>
      <c r="I27" s="18">
        <f>IF(DFIE!$G$2=2008,0,E27*H27)</f>
        <v>5671.2139920811578</v>
      </c>
      <c r="J27" s="54"/>
    </row>
    <row r="28" spans="1:10" x14ac:dyDescent="0.2">
      <c r="A28" s="365"/>
      <c r="B28" s="47" t="str">
        <f>DFIE!$B47</f>
        <v>Thurgau</v>
      </c>
      <c r="C28" s="43">
        <v>2254.11</v>
      </c>
      <c r="D28" s="43">
        <v>2073.1303499999999</v>
      </c>
      <c r="E28" s="22">
        <f t="shared" si="0"/>
        <v>-180.97965000000022</v>
      </c>
      <c r="F28" s="43">
        <v>330945.71036144602</v>
      </c>
      <c r="G28" s="198">
        <f>IF(DFIE!$G$2=2008,"",NP!E28+QS!AA28+JP!E28)</f>
        <v>6135828.0687146224</v>
      </c>
      <c r="H28" s="199">
        <f>IF(DFIE!$G$2=2008,"",G28/F28)</f>
        <v>18.540285843298317</v>
      </c>
      <c r="I28" s="22">
        <f>IF(DFIE!$G$2=2008,0,E28*H28)</f>
        <v>-3355.4144428200884</v>
      </c>
      <c r="J28" s="54"/>
    </row>
    <row r="29" spans="1:10" x14ac:dyDescent="0.2">
      <c r="A29" s="365"/>
      <c r="B29" s="46" t="str">
        <f>DFIE!$B48</f>
        <v>Tessin</v>
      </c>
      <c r="C29" s="61">
        <v>1914.4970000000001</v>
      </c>
      <c r="D29" s="61">
        <v>5573.5778499999997</v>
      </c>
      <c r="E29" s="18">
        <f t="shared" si="0"/>
        <v>3659.0808499999994</v>
      </c>
      <c r="F29" s="61">
        <v>643566.84931325295</v>
      </c>
      <c r="G29" s="86">
        <f>IF(DFIE!$G$2=2008,"",NP!E29+QS!AA29+JP!E29)</f>
        <v>10495419.226625569</v>
      </c>
      <c r="H29" s="197">
        <f>IF(DFIE!$G$2=2008,"",G29/F29)</f>
        <v>16.308203627680914</v>
      </c>
      <c r="I29" s="18">
        <f>IF(DFIE!$G$2=2008,0,E29*H29)</f>
        <v>59673.035591947752</v>
      </c>
      <c r="J29" s="54"/>
    </row>
    <row r="30" spans="1:10" x14ac:dyDescent="0.2">
      <c r="A30" s="365"/>
      <c r="B30" s="47" t="str">
        <f>DFIE!$B49</f>
        <v>Waadt</v>
      </c>
      <c r="C30" s="43">
        <v>8501.9920000000002</v>
      </c>
      <c r="D30" s="43">
        <v>11460.8771</v>
      </c>
      <c r="E30" s="22">
        <f t="shared" si="0"/>
        <v>2958.8850999999995</v>
      </c>
      <c r="F30" s="43">
        <v>1892455.2729277101</v>
      </c>
      <c r="G30" s="198">
        <f>IF(DFIE!$G$2=2008,"",NP!E30+QS!AA30+JP!E30)</f>
        <v>23351913.814913027</v>
      </c>
      <c r="H30" s="199">
        <f>IF(DFIE!$G$2=2008,"",G30/F30)</f>
        <v>12.339479906854869</v>
      </c>
      <c r="I30" s="22">
        <f>IF(DFIE!$G$2=2008,0,E30*H30)</f>
        <v>36511.103238142256</v>
      </c>
      <c r="J30" s="54"/>
    </row>
    <row r="31" spans="1:10" x14ac:dyDescent="0.2">
      <c r="A31" s="365"/>
      <c r="B31" s="46" t="str">
        <f>DFIE!$B50</f>
        <v>Wallis</v>
      </c>
      <c r="C31" s="61">
        <v>1305.0432499999999</v>
      </c>
      <c r="D31" s="61">
        <v>9783.7557500000003</v>
      </c>
      <c r="E31" s="18">
        <f t="shared" si="0"/>
        <v>8478.7124999999996</v>
      </c>
      <c r="F31" s="61">
        <v>336187.69728915702</v>
      </c>
      <c r="G31" s="86">
        <f>IF(DFIE!$G$2=2008,"",NP!E31+QS!AA31+JP!E31)</f>
        <v>6607059.1993840961</v>
      </c>
      <c r="H31" s="197">
        <f>IF(DFIE!$G$2=2008,"",G31/F31)</f>
        <v>19.652888111789903</v>
      </c>
      <c r="I31" s="18">
        <f>IF(DFIE!$G$2=2008,0,E31*H31)</f>
        <v>166631.18809453445</v>
      </c>
      <c r="J31" s="54"/>
    </row>
    <row r="32" spans="1:10" x14ac:dyDescent="0.2">
      <c r="A32" s="365"/>
      <c r="B32" s="47" t="str">
        <f>DFIE!$B51</f>
        <v>Neuenburg</v>
      </c>
      <c r="C32" s="43">
        <v>4836.1589999999997</v>
      </c>
      <c r="D32" s="43">
        <v>3329.9479999999999</v>
      </c>
      <c r="E32" s="22">
        <f t="shared" si="0"/>
        <v>-1506.2109999999998</v>
      </c>
      <c r="F32" s="43">
        <v>430495.71495180699</v>
      </c>
      <c r="G32" s="198">
        <f>IF(DFIE!$G$2=2008,"",NP!E32+QS!AA32+JP!E32)</f>
        <v>4830594.7428113008</v>
      </c>
      <c r="H32" s="199">
        <f>IF(DFIE!$G$2=2008,"",G32/F32)</f>
        <v>11.221005401533613</v>
      </c>
      <c r="I32" s="22">
        <f>IF(DFIE!$G$2=2008,0,E32*H32)</f>
        <v>-16901.201766849343</v>
      </c>
      <c r="J32" s="54"/>
    </row>
    <row r="33" spans="1:10" x14ac:dyDescent="0.2">
      <c r="A33" s="365"/>
      <c r="B33" s="46" t="str">
        <f>DFIE!$B52</f>
        <v>Genf</v>
      </c>
      <c r="C33" s="61">
        <v>6957.3090000000002</v>
      </c>
      <c r="D33" s="61">
        <v>8864.5457000000006</v>
      </c>
      <c r="E33" s="18">
        <f t="shared" si="0"/>
        <v>1907.2367000000004</v>
      </c>
      <c r="F33" s="61">
        <v>1894081.8916144599</v>
      </c>
      <c r="G33" s="86">
        <f>IF(DFIE!$G$2=2008,"",NP!E33+QS!AA33+JP!E33)</f>
        <v>22927439.960481331</v>
      </c>
      <c r="H33" s="197">
        <f>IF(DFIE!$G$2=2008,"",G33/F33)</f>
        <v>12.104777550530644</v>
      </c>
      <c r="I33" s="18">
        <f>IF(DFIE!$G$2=2008,0,E33*H33)</f>
        <v>23086.675989708154</v>
      </c>
      <c r="J33" s="54"/>
    </row>
    <row r="34" spans="1:10" x14ac:dyDescent="0.2">
      <c r="A34" s="365"/>
      <c r="B34" s="47" t="str">
        <f>DFIE!$B53</f>
        <v>Jura</v>
      </c>
      <c r="C34" s="43">
        <v>431.702</v>
      </c>
      <c r="D34" s="43">
        <v>1238.38985</v>
      </c>
      <c r="E34" s="22">
        <f t="shared" si="0"/>
        <v>806.68785000000003</v>
      </c>
      <c r="F34" s="43">
        <v>88156.452289156601</v>
      </c>
      <c r="G34" s="198">
        <f>IF(DFIE!$G$2=2008,"",NP!E34+QS!AA34+JP!E34)</f>
        <v>1513095.3147786623</v>
      </c>
      <c r="H34" s="199">
        <f>IF(DFIE!$G$2=2008,"",G34/F34)</f>
        <v>17.163750077142971</v>
      </c>
      <c r="I34" s="22">
        <f>IF(DFIE!$G$2=2008,0,E34*H34)</f>
        <v>13845.788647667798</v>
      </c>
      <c r="J34" s="54"/>
    </row>
    <row r="35" spans="1:10" x14ac:dyDescent="0.2">
      <c r="A35" s="365"/>
      <c r="B35" s="24" t="str">
        <f>DFIE!$B54</f>
        <v>Schweiz</v>
      </c>
      <c r="C35" s="31">
        <f>SUM(C9:C34)</f>
        <v>130691.59364999998</v>
      </c>
      <c r="D35" s="31">
        <f>SUM(D9:D34)</f>
        <v>130691.59365000002</v>
      </c>
      <c r="E35" s="26">
        <f>ROUND(SUM(E9:E34),5)</f>
        <v>0</v>
      </c>
      <c r="F35" s="31">
        <f>SUM(F9:F34)</f>
        <v>18135259.512807235</v>
      </c>
      <c r="G35" s="31">
        <f>SUM(G9:G34)</f>
        <v>255031420.01483187</v>
      </c>
      <c r="H35" s="196">
        <f>IF(DFIE!$G$2=2008,"",G35/F35)</f>
        <v>14.06273893322161</v>
      </c>
      <c r="I35" s="26">
        <f>SUM(I9:I34)</f>
        <v>-7982.123915639213</v>
      </c>
      <c r="J35" s="56"/>
    </row>
    <row r="36" spans="1:10" ht="15" customHeight="1" x14ac:dyDescent="0.25">
      <c r="A36" s="32"/>
      <c r="B36" s="82"/>
      <c r="C36" s="182"/>
      <c r="D36" s="182"/>
      <c r="E36" s="182"/>
      <c r="F36" s="182"/>
      <c r="G36" s="182"/>
      <c r="H36" s="82"/>
      <c r="I36" s="182"/>
    </row>
    <row r="37" spans="1:10" x14ac:dyDescent="0.2">
      <c r="A37" s="366" t="str">
        <f>DFIE!B70</f>
        <v>Bemessungsjahr 2015</v>
      </c>
      <c r="B37" s="48" t="str">
        <f>DFIE!$B28</f>
        <v>Zürich</v>
      </c>
      <c r="C37" s="49">
        <v>41018.091999999997</v>
      </c>
      <c r="D37" s="49">
        <v>20168.539290000001</v>
      </c>
      <c r="E37" s="50">
        <f t="shared" ref="E37:E62" si="1">D37-C37</f>
        <v>-20849.552709999996</v>
      </c>
      <c r="F37" s="49">
        <v>4155657.05268675</v>
      </c>
      <c r="G37" s="200">
        <f>NP!E37+QS!AA37+JP!E37</f>
        <v>55062657.946899787</v>
      </c>
      <c r="H37" s="201">
        <f t="shared" ref="H37:H63" si="2">G37/F37</f>
        <v>13.250048608149756</v>
      </c>
      <c r="I37" s="50">
        <f t="shared" ref="I37:I62" si="3">E37*H37</f>
        <v>-276257.58686568041</v>
      </c>
      <c r="J37" s="57"/>
    </row>
    <row r="38" spans="1:10" x14ac:dyDescent="0.2">
      <c r="A38" s="366"/>
      <c r="B38" s="47" t="str">
        <f>DFIE!$B29</f>
        <v>Bern</v>
      </c>
      <c r="C38" s="43">
        <v>11146.344999999999</v>
      </c>
      <c r="D38" s="43">
        <v>11322.1782</v>
      </c>
      <c r="E38" s="22">
        <f t="shared" si="1"/>
        <v>175.83320000000094</v>
      </c>
      <c r="F38" s="43">
        <v>1331582.62608434</v>
      </c>
      <c r="G38" s="198">
        <f>NP!E38+QS!AA38+JP!E38</f>
        <v>24753817.646220304</v>
      </c>
      <c r="H38" s="199">
        <f t="shared" si="2"/>
        <v>18.58977217133835</v>
      </c>
      <c r="I38" s="22">
        <f t="shared" si="3"/>
        <v>3268.6991281573878</v>
      </c>
      <c r="J38" s="57"/>
    </row>
    <row r="39" spans="1:10" x14ac:dyDescent="0.2">
      <c r="A39" s="366"/>
      <c r="B39" s="46" t="str">
        <f>DFIE!$B30</f>
        <v>Luzern</v>
      </c>
      <c r="C39" s="61">
        <v>23551.644</v>
      </c>
      <c r="D39" s="61">
        <v>5614.2530500000003</v>
      </c>
      <c r="E39" s="18">
        <f t="shared" si="1"/>
        <v>-17937.390950000001</v>
      </c>
      <c r="F39" s="61">
        <v>755742.01283132494</v>
      </c>
      <c r="G39" s="86">
        <f>NP!E39+QS!AA39+JP!E39</f>
        <v>11051747.371243265</v>
      </c>
      <c r="H39" s="197">
        <f t="shared" si="2"/>
        <v>14.623703834908962</v>
      </c>
      <c r="I39" s="18">
        <f t="shared" si="3"/>
        <v>-262311.0928237763</v>
      </c>
      <c r="J39" s="57"/>
    </row>
    <row r="40" spans="1:10" x14ac:dyDescent="0.2">
      <c r="A40" s="366"/>
      <c r="B40" s="47" t="str">
        <f>DFIE!$B31</f>
        <v>Uri</v>
      </c>
      <c r="C40" s="43">
        <v>362.3492</v>
      </c>
      <c r="D40" s="43">
        <v>410.19305000000003</v>
      </c>
      <c r="E40" s="22">
        <f t="shared" si="1"/>
        <v>47.843850000000032</v>
      </c>
      <c r="F40" s="43">
        <v>33122.663132530099</v>
      </c>
      <c r="G40" s="198">
        <f>NP!E40+QS!AA40+JP!E40</f>
        <v>812271.32987479086</v>
      </c>
      <c r="H40" s="199">
        <f t="shared" si="2"/>
        <v>24.523128669477398</v>
      </c>
      <c r="I40" s="22">
        <f t="shared" si="3"/>
        <v>1173.2808895931769</v>
      </c>
      <c r="J40" s="57"/>
    </row>
    <row r="41" spans="1:10" x14ac:dyDescent="0.2">
      <c r="A41" s="366"/>
      <c r="B41" s="46" t="str">
        <f>DFIE!$B32</f>
        <v>Schwyz</v>
      </c>
      <c r="C41" s="61">
        <v>2871.62165</v>
      </c>
      <c r="D41" s="61">
        <v>2685.0236</v>
      </c>
      <c r="E41" s="18">
        <f t="shared" si="1"/>
        <v>-186.59805000000006</v>
      </c>
      <c r="F41" s="61">
        <v>761080.67006024101</v>
      </c>
      <c r="G41" s="86">
        <f>NP!E41+QS!AA41+JP!E41</f>
        <v>7108355.0591628738</v>
      </c>
      <c r="H41" s="197">
        <f t="shared" si="2"/>
        <v>9.3398181543623142</v>
      </c>
      <c r="I41" s="18">
        <f t="shared" si="3"/>
        <v>-1742.7918549586075</v>
      </c>
      <c r="J41" s="57"/>
    </row>
    <row r="42" spans="1:10" x14ac:dyDescent="0.2">
      <c r="A42" s="366"/>
      <c r="B42" s="47" t="str">
        <f>DFIE!$B33</f>
        <v>Obwalden</v>
      </c>
      <c r="C42" s="43">
        <v>629.27300000000002</v>
      </c>
      <c r="D42" s="43">
        <v>752.79055000000005</v>
      </c>
      <c r="E42" s="22">
        <f t="shared" si="1"/>
        <v>123.51755000000003</v>
      </c>
      <c r="F42" s="43">
        <v>78430.116915662598</v>
      </c>
      <c r="G42" s="198">
        <f>NP!E42+QS!AA42+JP!E42</f>
        <v>1688796.2059424031</v>
      </c>
      <c r="H42" s="199">
        <f t="shared" si="2"/>
        <v>21.53249634650421</v>
      </c>
      <c r="I42" s="22">
        <f t="shared" si="3"/>
        <v>2659.6411941041515</v>
      </c>
      <c r="J42" s="57"/>
    </row>
    <row r="43" spans="1:10" x14ac:dyDescent="0.2">
      <c r="A43" s="366"/>
      <c r="B43" s="46" t="str">
        <f>DFIE!$B34</f>
        <v>Nidwalden</v>
      </c>
      <c r="C43" s="61">
        <v>847.78499999999997</v>
      </c>
      <c r="D43" s="61">
        <v>2301.3739</v>
      </c>
      <c r="E43" s="18">
        <f t="shared" si="1"/>
        <v>1453.5889000000002</v>
      </c>
      <c r="F43" s="61">
        <v>187485.612168675</v>
      </c>
      <c r="G43" s="86">
        <f>NP!E43+QS!AA43+JP!E43</f>
        <v>1753501.4746233383</v>
      </c>
      <c r="H43" s="197">
        <f t="shared" si="2"/>
        <v>9.3527255469916657</v>
      </c>
      <c r="I43" s="18">
        <f t="shared" si="3"/>
        <v>13595.018039853516</v>
      </c>
      <c r="J43" s="57"/>
    </row>
    <row r="44" spans="1:10" x14ac:dyDescent="0.2">
      <c r="A44" s="366"/>
      <c r="B44" s="47" t="str">
        <f>DFIE!$B35</f>
        <v>Glarus</v>
      </c>
      <c r="C44" s="43">
        <v>310.39035000000001</v>
      </c>
      <c r="D44" s="43">
        <v>846.8066</v>
      </c>
      <c r="E44" s="22">
        <f t="shared" si="1"/>
        <v>536.41624999999999</v>
      </c>
      <c r="F44" s="43">
        <v>53963.204096385598</v>
      </c>
      <c r="G44" s="198">
        <f>NP!E44+QS!AA44+JP!E44</f>
        <v>830276.10662919353</v>
      </c>
      <c r="H44" s="199">
        <f t="shared" si="2"/>
        <v>15.385967540885968</v>
      </c>
      <c r="I44" s="22">
        <f t="shared" si="3"/>
        <v>8253.2830109037732</v>
      </c>
      <c r="J44" s="57"/>
    </row>
    <row r="45" spans="1:10" x14ac:dyDescent="0.2">
      <c r="A45" s="366"/>
      <c r="B45" s="46" t="str">
        <f>DFIE!$B36</f>
        <v>Zug</v>
      </c>
      <c r="C45" s="61">
        <v>1678.5930000000001</v>
      </c>
      <c r="D45" s="61">
        <v>5260.3236999999999</v>
      </c>
      <c r="E45" s="18">
        <f t="shared" si="1"/>
        <v>3581.7307000000001</v>
      </c>
      <c r="F45" s="61">
        <v>1371738.8914939801</v>
      </c>
      <c r="G45" s="86">
        <f>NP!E45+QS!AA45+JP!E45</f>
        <v>9977139.9316964447</v>
      </c>
      <c r="H45" s="197">
        <f t="shared" si="2"/>
        <v>7.2733520887712109</v>
      </c>
      <c r="I45" s="18">
        <f t="shared" si="3"/>
        <v>26051.188468260971</v>
      </c>
      <c r="J45" s="57"/>
    </row>
    <row r="46" spans="1:10" x14ac:dyDescent="0.2">
      <c r="A46" s="366"/>
      <c r="B46" s="47" t="str">
        <f>DFIE!$B37</f>
        <v>Freiburg</v>
      </c>
      <c r="C46" s="43">
        <v>8512.0450000000001</v>
      </c>
      <c r="D46" s="43">
        <v>4369.2674999999999</v>
      </c>
      <c r="E46" s="22">
        <f t="shared" si="1"/>
        <v>-4142.7775000000001</v>
      </c>
      <c r="F46" s="43">
        <v>555687.50271084299</v>
      </c>
      <c r="G46" s="198">
        <f>NP!E46+QS!AA46+JP!E46</f>
        <v>8018310.3445560643</v>
      </c>
      <c r="H46" s="199">
        <f t="shared" si="2"/>
        <v>14.429531536051954</v>
      </c>
      <c r="I46" s="22">
        <f t="shared" si="3"/>
        <v>-59778.338583096476</v>
      </c>
      <c r="J46" s="57"/>
    </row>
    <row r="47" spans="1:10" x14ac:dyDescent="0.2">
      <c r="A47" s="366"/>
      <c r="B47" s="46" t="str">
        <f>DFIE!$B38</f>
        <v>Solothurn</v>
      </c>
      <c r="C47" s="61">
        <v>4660.0528999999997</v>
      </c>
      <c r="D47" s="61">
        <v>3780.0101</v>
      </c>
      <c r="E47" s="18">
        <f t="shared" si="1"/>
        <v>-880.04279999999972</v>
      </c>
      <c r="F47" s="61">
        <v>325090.97354216903</v>
      </c>
      <c r="G47" s="86">
        <f>NP!E47+QS!AA47+JP!E47</f>
        <v>6210890.3470712164</v>
      </c>
      <c r="H47" s="197">
        <f t="shared" si="2"/>
        <v>19.105083968951153</v>
      </c>
      <c r="I47" s="18">
        <f t="shared" si="3"/>
        <v>-16813.291590270881</v>
      </c>
      <c r="J47" s="57"/>
    </row>
    <row r="48" spans="1:10" x14ac:dyDescent="0.2">
      <c r="A48" s="366"/>
      <c r="B48" s="47" t="str">
        <f>DFIE!$B39</f>
        <v>Basel-Stadt</v>
      </c>
      <c r="C48" s="43">
        <v>13275.652050000001</v>
      </c>
      <c r="D48" s="43">
        <v>6172.1960499999996</v>
      </c>
      <c r="E48" s="22">
        <f t="shared" si="1"/>
        <v>-7103.456000000001</v>
      </c>
      <c r="F48" s="43">
        <v>1404705.88748193</v>
      </c>
      <c r="G48" s="198">
        <f>NP!E48+QS!AA48+JP!E48</f>
        <v>9019900.7583240569</v>
      </c>
      <c r="H48" s="199">
        <f t="shared" si="2"/>
        <v>6.4212023589458243</v>
      </c>
      <c r="I48" s="22">
        <f t="shared" si="3"/>
        <v>-45612.728423867877</v>
      </c>
      <c r="J48" s="57"/>
    </row>
    <row r="49" spans="1:10" x14ac:dyDescent="0.2">
      <c r="A49" s="366"/>
      <c r="B49" s="46" t="str">
        <f>DFIE!$B40</f>
        <v>Basel-Landschaft</v>
      </c>
      <c r="C49" s="61">
        <v>6267.5360000000001</v>
      </c>
      <c r="D49" s="61">
        <v>4564.5867500000004</v>
      </c>
      <c r="E49" s="18">
        <f t="shared" si="1"/>
        <v>-1702.9492499999997</v>
      </c>
      <c r="F49" s="61">
        <v>496686.74698795198</v>
      </c>
      <c r="G49" s="86">
        <f>NP!E49+QS!AA49+JP!E49</f>
        <v>8792059.0573305227</v>
      </c>
      <c r="H49" s="197">
        <f t="shared" si="2"/>
        <v>17.701416658785522</v>
      </c>
      <c r="I49" s="18">
        <f t="shared" si="3"/>
        <v>-30144.614223016306</v>
      </c>
      <c r="J49" s="57"/>
    </row>
    <row r="50" spans="1:10" x14ac:dyDescent="0.2">
      <c r="A50" s="366"/>
      <c r="B50" s="47" t="str">
        <f>DFIE!$B41</f>
        <v>Schaffhausen</v>
      </c>
      <c r="C50" s="43">
        <v>858.12585000000001</v>
      </c>
      <c r="D50" s="43">
        <v>5672.5952500000003</v>
      </c>
      <c r="E50" s="22">
        <f t="shared" si="1"/>
        <v>4814.4694</v>
      </c>
      <c r="F50" s="43">
        <v>263008.18560241</v>
      </c>
      <c r="G50" s="198">
        <f>NP!E50+QS!AA50+JP!E50</f>
        <v>2306370.3603324257</v>
      </c>
      <c r="H50" s="199">
        <f t="shared" si="2"/>
        <v>8.7691961185533991</v>
      </c>
      <c r="I50" s="22">
        <f t="shared" si="3"/>
        <v>42219.026375374109</v>
      </c>
      <c r="J50" s="57"/>
    </row>
    <row r="51" spans="1:10" x14ac:dyDescent="0.2">
      <c r="A51" s="366"/>
      <c r="B51" s="46" t="str">
        <f>DFIE!$B42</f>
        <v>Appenzell A.Rh.</v>
      </c>
      <c r="C51" s="61">
        <v>1569.8666499999999</v>
      </c>
      <c r="D51" s="61">
        <v>750.28335000000004</v>
      </c>
      <c r="E51" s="18">
        <f t="shared" si="1"/>
        <v>-819.58329999999989</v>
      </c>
      <c r="F51" s="61">
        <v>89495.264445783105</v>
      </c>
      <c r="G51" s="86">
        <f>NP!E51+QS!AA51+JP!E51</f>
        <v>1371956.0867841789</v>
      </c>
      <c r="H51" s="197">
        <f t="shared" si="2"/>
        <v>15.329929413363766</v>
      </c>
      <c r="I51" s="18">
        <f t="shared" si="3"/>
        <v>-12564.154137371737</v>
      </c>
      <c r="J51" s="57"/>
    </row>
    <row r="52" spans="1:10" x14ac:dyDescent="0.2">
      <c r="A52" s="366"/>
      <c r="B52" s="47" t="str">
        <f>DFIE!$B43</f>
        <v>Appenzell I.Rh.</v>
      </c>
      <c r="C52" s="43">
        <v>96.007199999999997</v>
      </c>
      <c r="D52" s="43">
        <v>554.59794999999997</v>
      </c>
      <c r="E52" s="22">
        <f t="shared" si="1"/>
        <v>458.59074999999996</v>
      </c>
      <c r="F52" s="43">
        <v>25056.8302409639</v>
      </c>
      <c r="G52" s="198">
        <f>NP!E52+QS!AA52+JP!E52</f>
        <v>439926.12756076636</v>
      </c>
      <c r="H52" s="199">
        <f t="shared" si="2"/>
        <v>17.557134056068978</v>
      </c>
      <c r="I52" s="22">
        <f t="shared" si="3"/>
        <v>8051.5392746232137</v>
      </c>
      <c r="J52" s="57"/>
    </row>
    <row r="53" spans="1:10" x14ac:dyDescent="0.2">
      <c r="A53" s="366"/>
      <c r="B53" s="46" t="str">
        <f>DFIE!$B44</f>
        <v>St. Gallen</v>
      </c>
      <c r="C53" s="61">
        <v>7519.2518</v>
      </c>
      <c r="D53" s="61">
        <v>8860.1492999999991</v>
      </c>
      <c r="E53" s="18">
        <f t="shared" si="1"/>
        <v>1340.8974999999991</v>
      </c>
      <c r="F53" s="61">
        <v>737604.18643373495</v>
      </c>
      <c r="G53" s="86">
        <f>NP!E53+QS!AA53+JP!E53</f>
        <v>11900835.996489855</v>
      </c>
      <c r="H53" s="197">
        <f t="shared" si="2"/>
        <v>16.134447465692364</v>
      </c>
      <c r="I53" s="18">
        <f t="shared" si="3"/>
        <v>21634.640270628213</v>
      </c>
      <c r="J53" s="57"/>
    </row>
    <row r="54" spans="1:10" x14ac:dyDescent="0.2">
      <c r="A54" s="366"/>
      <c r="B54" s="47" t="str">
        <f>DFIE!$B45</f>
        <v>Graubünden</v>
      </c>
      <c r="C54" s="43">
        <v>880.42700000000002</v>
      </c>
      <c r="D54" s="43">
        <v>7689.4962500000001</v>
      </c>
      <c r="E54" s="22">
        <f t="shared" si="1"/>
        <v>6809.0692500000005</v>
      </c>
      <c r="F54" s="43">
        <v>264282.36453012098</v>
      </c>
      <c r="G54" s="198">
        <f>NP!E54+QS!AA54+JP!E54</f>
        <v>4800760.2751294756</v>
      </c>
      <c r="H54" s="199">
        <f t="shared" si="2"/>
        <v>18.165269119129288</v>
      </c>
      <c r="I54" s="22">
        <f t="shared" si="3"/>
        <v>123688.57537703784</v>
      </c>
      <c r="J54" s="57"/>
    </row>
    <row r="55" spans="1:10" x14ac:dyDescent="0.2">
      <c r="A55" s="366"/>
      <c r="B55" s="46" t="str">
        <f>DFIE!$B46</f>
        <v>Aargau</v>
      </c>
      <c r="C55" s="61">
        <v>8850.7864499999996</v>
      </c>
      <c r="D55" s="61">
        <v>12536.565000000001</v>
      </c>
      <c r="E55" s="18">
        <f t="shared" si="1"/>
        <v>3685.7785500000009</v>
      </c>
      <c r="F55" s="61">
        <v>935329.81554216903</v>
      </c>
      <c r="G55" s="86">
        <f>NP!E55+QS!AA55+JP!E55</f>
        <v>16523172.904999007</v>
      </c>
      <c r="H55" s="197">
        <f t="shared" si="2"/>
        <v>17.665611242619544</v>
      </c>
      <c r="I55" s="18">
        <f t="shared" si="3"/>
        <v>65111.530990685977</v>
      </c>
      <c r="J55" s="57"/>
    </row>
    <row r="56" spans="1:10" x14ac:dyDescent="0.2">
      <c r="A56" s="366"/>
      <c r="B56" s="47" t="str">
        <f>DFIE!$B47</f>
        <v>Thurgau</v>
      </c>
      <c r="C56" s="43">
        <v>2645.3049999999998</v>
      </c>
      <c r="D56" s="43">
        <v>3525.2609000000002</v>
      </c>
      <c r="E56" s="22">
        <f t="shared" si="1"/>
        <v>879.95590000000038</v>
      </c>
      <c r="F56" s="43">
        <v>336737.57487951801</v>
      </c>
      <c r="G56" s="198">
        <f>NP!E56+QS!AA56+JP!E56</f>
        <v>6242664.6793698473</v>
      </c>
      <c r="H56" s="199">
        <f t="shared" si="2"/>
        <v>18.538663769861213</v>
      </c>
      <c r="I56" s="22">
        <f t="shared" si="3"/>
        <v>16313.206562405623</v>
      </c>
      <c r="J56" s="57"/>
    </row>
    <row r="57" spans="1:10" x14ac:dyDescent="0.2">
      <c r="A57" s="366"/>
      <c r="B57" s="46" t="str">
        <f>DFIE!$B48</f>
        <v>Tessin</v>
      </c>
      <c r="C57" s="61">
        <v>1968.8223499999999</v>
      </c>
      <c r="D57" s="61">
        <v>7513.22775</v>
      </c>
      <c r="E57" s="18">
        <f t="shared" si="1"/>
        <v>5544.4053999999996</v>
      </c>
      <c r="F57" s="61">
        <v>660519.77144578297</v>
      </c>
      <c r="G57" s="86">
        <f>NP!E57+QS!AA57+JP!E57</f>
        <v>10672662.5270137</v>
      </c>
      <c r="H57" s="197">
        <f t="shared" si="2"/>
        <v>16.157975867478992</v>
      </c>
      <c r="I57" s="18">
        <f t="shared" si="3"/>
        <v>89586.368652720208</v>
      </c>
      <c r="J57" s="57"/>
    </row>
    <row r="58" spans="1:10" x14ac:dyDescent="0.2">
      <c r="A58" s="366"/>
      <c r="B58" s="47" t="str">
        <f>DFIE!$B49</f>
        <v>Waadt</v>
      </c>
      <c r="C58" s="43">
        <v>18564.019</v>
      </c>
      <c r="D58" s="43">
        <v>14110.41822</v>
      </c>
      <c r="E58" s="22">
        <f t="shared" si="1"/>
        <v>-4453.6007800000007</v>
      </c>
      <c r="F58" s="43">
        <v>2223469.68084337</v>
      </c>
      <c r="G58" s="198">
        <f>NP!E58+QS!AA58+JP!E58</f>
        <v>25007597.878716335</v>
      </c>
      <c r="H58" s="199">
        <f t="shared" si="2"/>
        <v>11.247105411048764</v>
      </c>
      <c r="I58" s="22">
        <f t="shared" si="3"/>
        <v>-50090.117431389008</v>
      </c>
      <c r="J58" s="57"/>
    </row>
    <row r="59" spans="1:10" x14ac:dyDescent="0.2">
      <c r="A59" s="366"/>
      <c r="B59" s="46" t="str">
        <f>DFIE!$B50</f>
        <v>Wallis</v>
      </c>
      <c r="C59" s="61">
        <v>2574.6042000000002</v>
      </c>
      <c r="D59" s="61">
        <v>5978.2704000000003</v>
      </c>
      <c r="E59" s="18">
        <f t="shared" si="1"/>
        <v>3403.6662000000001</v>
      </c>
      <c r="F59" s="61">
        <v>339896.87502409599</v>
      </c>
      <c r="G59" s="86">
        <f>NP!E59+QS!AA59+JP!E59</f>
        <v>6745577.8312835321</v>
      </c>
      <c r="H59" s="197">
        <f t="shared" si="2"/>
        <v>19.845954249521487</v>
      </c>
      <c r="I59" s="18">
        <f t="shared" si="3"/>
        <v>67549.003685842647</v>
      </c>
      <c r="J59" s="57"/>
    </row>
    <row r="60" spans="1:10" x14ac:dyDescent="0.2">
      <c r="A60" s="366"/>
      <c r="B60" s="47" t="str">
        <f>DFIE!$B51</f>
        <v>Neuenburg</v>
      </c>
      <c r="C60" s="43">
        <v>1492.9190000000001</v>
      </c>
      <c r="D60" s="43">
        <v>8929.1223499999996</v>
      </c>
      <c r="E60" s="22">
        <f t="shared" si="1"/>
        <v>7436.2033499999998</v>
      </c>
      <c r="F60" s="43">
        <v>394861.69958313298</v>
      </c>
      <c r="G60" s="198">
        <f>NP!E60+QS!AA60+JP!E60</f>
        <v>4681263.482353203</v>
      </c>
      <c r="H60" s="199">
        <f t="shared" si="2"/>
        <v>11.855450876333029</v>
      </c>
      <c r="I60" s="22">
        <f t="shared" si="3"/>
        <v>88159.543522348104</v>
      </c>
      <c r="J60" s="57"/>
    </row>
    <row r="61" spans="1:10" x14ac:dyDescent="0.2">
      <c r="A61" s="366"/>
      <c r="B61" s="46" t="str">
        <f>DFIE!$B52</f>
        <v>Genf</v>
      </c>
      <c r="C61" s="61">
        <v>7057.1523100000004</v>
      </c>
      <c r="D61" s="61">
        <v>24089.1764</v>
      </c>
      <c r="E61" s="18">
        <f t="shared" si="1"/>
        <v>17032.024089999999</v>
      </c>
      <c r="F61" s="61">
        <v>2414523.3092891602</v>
      </c>
      <c r="G61" s="86">
        <f>NP!E61+QS!AA61+JP!E61</f>
        <v>21539235.726559669</v>
      </c>
      <c r="H61" s="197">
        <f t="shared" si="2"/>
        <v>8.9206990231545351</v>
      </c>
      <c r="I61" s="18">
        <f t="shared" si="3"/>
        <v>151937.56066200751</v>
      </c>
      <c r="J61" s="57"/>
    </row>
    <row r="62" spans="1:10" x14ac:dyDescent="0.2">
      <c r="A62" s="366"/>
      <c r="B62" s="47" t="str">
        <f>DFIE!$B53</f>
        <v>Jura</v>
      </c>
      <c r="C62" s="43">
        <v>458.798</v>
      </c>
      <c r="D62" s="43">
        <v>1210.7584999999999</v>
      </c>
      <c r="E62" s="22">
        <f t="shared" si="1"/>
        <v>751.96049999999991</v>
      </c>
      <c r="F62" s="43">
        <v>74845.086204819294</v>
      </c>
      <c r="G62" s="198">
        <f>NP!E62+QS!AA62+JP!E62</f>
        <v>1464508.9890930085</v>
      </c>
      <c r="H62" s="199">
        <f t="shared" si="2"/>
        <v>19.567202916772221</v>
      </c>
      <c r="I62" s="22">
        <f t="shared" si="3"/>
        <v>14713.763688897496</v>
      </c>
      <c r="J62" s="57"/>
    </row>
    <row r="63" spans="1:10" x14ac:dyDescent="0.2">
      <c r="A63" s="366"/>
      <c r="B63" s="24" t="str">
        <f>DFIE!$B54</f>
        <v>Schweiz</v>
      </c>
      <c r="C63" s="31">
        <f>SUM(C37:C62)</f>
        <v>169667.46395999999</v>
      </c>
      <c r="D63" s="31">
        <f>SUM(D37:D62)</f>
        <v>169667.46395999999</v>
      </c>
      <c r="E63" s="202">
        <f>ROUND(SUM(E37:E62),5)</f>
        <v>0</v>
      </c>
      <c r="F63" s="31">
        <f>SUM(F37:F62)</f>
        <v>20270604.604257844</v>
      </c>
      <c r="G63" s="31">
        <f>SUM(G37:G62)</f>
        <v>258776256.44525927</v>
      </c>
      <c r="H63" s="196">
        <f t="shared" si="2"/>
        <v>12.76608475658902</v>
      </c>
      <c r="I63" s="26">
        <f>SUM(I37:I62)</f>
        <v>-11348.846139983463</v>
      </c>
      <c r="J63" s="57"/>
    </row>
    <row r="64" spans="1:10" ht="14.25" customHeight="1" x14ac:dyDescent="0.2">
      <c r="A64" s="33"/>
      <c r="B64" s="82"/>
      <c r="C64" s="182"/>
      <c r="D64" s="182"/>
      <c r="E64" s="182"/>
      <c r="F64" s="182"/>
      <c r="G64" s="182"/>
      <c r="H64" s="82"/>
      <c r="I64" s="182"/>
    </row>
    <row r="65" spans="1:10" x14ac:dyDescent="0.2">
      <c r="A65" s="367" t="str">
        <f>DFIE!B71</f>
        <v>Bemessungsjahr 2016</v>
      </c>
      <c r="B65" s="48" t="str">
        <f>DFIE!$B28</f>
        <v>Zürich</v>
      </c>
      <c r="C65" s="49">
        <v>30124.001</v>
      </c>
      <c r="D65" s="49">
        <v>22344.6558</v>
      </c>
      <c r="E65" s="50">
        <f t="shared" ref="E65:E90" si="4">D65-C65</f>
        <v>-7779.3451999999997</v>
      </c>
      <c r="F65" s="49">
        <v>4023476.5010000002</v>
      </c>
      <c r="G65" s="200">
        <f>NP!E65+QS!AA65+JP!E65</f>
        <v>57822375.47037071</v>
      </c>
      <c r="H65" s="201">
        <f t="shared" ref="H65:H91" si="5">G65/F65</f>
        <v>14.371247217673437</v>
      </c>
      <c r="I65" s="50">
        <f t="shared" ref="I65:I90" si="6">E65*H65</f>
        <v>-111798.89306082121</v>
      </c>
      <c r="J65" s="59"/>
    </row>
    <row r="66" spans="1:10" x14ac:dyDescent="0.2">
      <c r="A66" s="367"/>
      <c r="B66" s="47" t="str">
        <f>DFIE!$B29</f>
        <v>Bern</v>
      </c>
      <c r="C66" s="43">
        <v>11663.958000000001</v>
      </c>
      <c r="D66" s="43">
        <v>8414.3295999999991</v>
      </c>
      <c r="E66" s="22">
        <f t="shared" si="4"/>
        <v>-3249.6284000000014</v>
      </c>
      <c r="F66" s="43">
        <v>1469682.34126506</v>
      </c>
      <c r="G66" s="198">
        <f>NP!E66+QS!AA66+JP!E66</f>
        <v>26162577.600431852</v>
      </c>
      <c r="H66" s="199">
        <f t="shared" si="5"/>
        <v>17.801518645118826</v>
      </c>
      <c r="I66" s="22">
        <f t="shared" si="6"/>
        <v>-57848.320552307683</v>
      </c>
      <c r="J66" s="59"/>
    </row>
    <row r="67" spans="1:10" x14ac:dyDescent="0.2">
      <c r="A67" s="367"/>
      <c r="B67" s="46" t="str">
        <f>DFIE!$B30</f>
        <v>Luzern</v>
      </c>
      <c r="C67" s="61">
        <v>8571.7209999999995</v>
      </c>
      <c r="D67" s="61">
        <v>5285.0420999999997</v>
      </c>
      <c r="E67" s="18">
        <f t="shared" si="4"/>
        <v>-3286.6788999999999</v>
      </c>
      <c r="F67" s="61">
        <v>770033.65771084302</v>
      </c>
      <c r="G67" s="86">
        <f>NP!E67+QS!AA67+JP!E67</f>
        <v>11627397.532216668</v>
      </c>
      <c r="H67" s="197">
        <f t="shared" si="5"/>
        <v>15.099856241066929</v>
      </c>
      <c r="I67" s="18">
        <f t="shared" si="6"/>
        <v>-49628.378900547985</v>
      </c>
      <c r="J67" s="59"/>
    </row>
    <row r="68" spans="1:10" x14ac:dyDescent="0.2">
      <c r="A68" s="367"/>
      <c r="B68" s="47" t="str">
        <f>DFIE!$B31</f>
        <v>Uri</v>
      </c>
      <c r="C68" s="43">
        <v>237.04560000000001</v>
      </c>
      <c r="D68" s="43">
        <v>815.29079999999999</v>
      </c>
      <c r="E68" s="22">
        <f t="shared" si="4"/>
        <v>578.24519999999995</v>
      </c>
      <c r="F68" s="43">
        <v>47896.269457831302</v>
      </c>
      <c r="G68" s="198">
        <f>NP!E68+QS!AA68+JP!E68</f>
        <v>822509.12147244823</v>
      </c>
      <c r="H68" s="199">
        <f t="shared" si="5"/>
        <v>17.172717850115642</v>
      </c>
      <c r="I68" s="22">
        <f t="shared" si="6"/>
        <v>9930.0416677836893</v>
      </c>
      <c r="J68" s="59"/>
    </row>
    <row r="69" spans="1:10" x14ac:dyDescent="0.2">
      <c r="A69" s="367"/>
      <c r="B69" s="46" t="str">
        <f>DFIE!$B32</f>
        <v>Schwyz</v>
      </c>
      <c r="C69" s="61">
        <v>3059.7145</v>
      </c>
      <c r="D69" s="61">
        <v>3086.3006</v>
      </c>
      <c r="E69" s="18">
        <f t="shared" si="4"/>
        <v>26.586099999999988</v>
      </c>
      <c r="F69" s="61">
        <v>717253.82373494003</v>
      </c>
      <c r="G69" s="86">
        <f>NP!E69+QS!AA69+JP!E69</f>
        <v>8929182.6014305912</v>
      </c>
      <c r="H69" s="197">
        <f t="shared" si="5"/>
        <v>12.449125129697958</v>
      </c>
      <c r="I69" s="18">
        <f t="shared" si="6"/>
        <v>330.9736856106627</v>
      </c>
      <c r="J69" s="59"/>
    </row>
    <row r="70" spans="1:10" x14ac:dyDescent="0.2">
      <c r="A70" s="367"/>
      <c r="B70" s="47" t="str">
        <f>DFIE!$B33</f>
        <v>Obwalden</v>
      </c>
      <c r="C70" s="43">
        <v>573.02260000000001</v>
      </c>
      <c r="D70" s="43">
        <v>698.13</v>
      </c>
      <c r="E70" s="22">
        <f t="shared" si="4"/>
        <v>125.10739999999998</v>
      </c>
      <c r="F70" s="43">
        <v>145653.63656626499</v>
      </c>
      <c r="G70" s="198">
        <f>NP!E70+QS!AA70+JP!E70</f>
        <v>1144270.6149842213</v>
      </c>
      <c r="H70" s="199">
        <f t="shared" si="5"/>
        <v>7.8561074200412184</v>
      </c>
      <c r="I70" s="22">
        <f t="shared" si="6"/>
        <v>982.85717344206455</v>
      </c>
      <c r="J70" s="59"/>
    </row>
    <row r="71" spans="1:10" x14ac:dyDescent="0.2">
      <c r="A71" s="367"/>
      <c r="B71" s="46" t="str">
        <f>DFIE!$B34</f>
        <v>Nidwalden</v>
      </c>
      <c r="C71" s="61">
        <v>1585.146</v>
      </c>
      <c r="D71" s="61">
        <v>719.11109999999996</v>
      </c>
      <c r="E71" s="18">
        <f t="shared" si="4"/>
        <v>-866.03489999999999</v>
      </c>
      <c r="F71" s="61">
        <v>151327.92212048199</v>
      </c>
      <c r="G71" s="86">
        <f>NP!E71+QS!AA71+JP!E71</f>
        <v>1852587.0892918489</v>
      </c>
      <c r="H71" s="197">
        <f t="shared" si="5"/>
        <v>12.24220265059137</v>
      </c>
      <c r="I71" s="18">
        <f t="shared" si="6"/>
        <v>-10602.174748284631</v>
      </c>
      <c r="J71" s="59"/>
    </row>
    <row r="72" spans="1:10" x14ac:dyDescent="0.2">
      <c r="A72" s="367"/>
      <c r="B72" s="47" t="str">
        <f>DFIE!$B35</f>
        <v>Glarus</v>
      </c>
      <c r="C72" s="43">
        <v>260.98099999999999</v>
      </c>
      <c r="D72" s="43">
        <v>822.52695000000006</v>
      </c>
      <c r="E72" s="22">
        <f t="shared" si="4"/>
        <v>561.54595000000006</v>
      </c>
      <c r="F72" s="43">
        <v>46068.429759036102</v>
      </c>
      <c r="G72" s="198">
        <f>NP!E72+QS!AA72+JP!E72</f>
        <v>898773.44980918278</v>
      </c>
      <c r="H72" s="199">
        <f t="shared" si="5"/>
        <v>19.509530811236139</v>
      </c>
      <c r="I72" s="22">
        <f t="shared" si="6"/>
        <v>10955.498013449869</v>
      </c>
      <c r="J72" s="59"/>
    </row>
    <row r="73" spans="1:10" x14ac:dyDescent="0.2">
      <c r="A73" s="367"/>
      <c r="B73" s="46" t="str">
        <f>DFIE!$B36</f>
        <v>Zug</v>
      </c>
      <c r="C73" s="61">
        <v>4595.6693999999998</v>
      </c>
      <c r="D73" s="61">
        <v>3276.9829500000001</v>
      </c>
      <c r="E73" s="18">
        <f t="shared" si="4"/>
        <v>-1318.6864499999997</v>
      </c>
      <c r="F73" s="61">
        <v>1397141.4346747</v>
      </c>
      <c r="G73" s="86">
        <f>NP!E73+QS!AA73+JP!E73</f>
        <v>9867633.1151564699</v>
      </c>
      <c r="H73" s="197">
        <f t="shared" si="5"/>
        <v>7.0627302793106095</v>
      </c>
      <c r="I73" s="18">
        <f t="shared" si="6"/>
        <v>-9313.526719331614</v>
      </c>
      <c r="J73" s="59"/>
    </row>
    <row r="74" spans="1:10" x14ac:dyDescent="0.2">
      <c r="A74" s="367"/>
      <c r="B74" s="47" t="str">
        <f>DFIE!$B37</f>
        <v>Freiburg</v>
      </c>
      <c r="C74" s="43">
        <v>12921.575000000001</v>
      </c>
      <c r="D74" s="43">
        <v>3657.2153499999999</v>
      </c>
      <c r="E74" s="22">
        <f t="shared" si="4"/>
        <v>-9264.3596500000003</v>
      </c>
      <c r="F74" s="43">
        <v>546218.08092771098</v>
      </c>
      <c r="G74" s="198">
        <f>NP!E74+QS!AA74+JP!E74</f>
        <v>8032556.5470082257</v>
      </c>
      <c r="H74" s="199">
        <f t="shared" si="5"/>
        <v>14.705768313940693</v>
      </c>
      <c r="I74" s="22">
        <f t="shared" si="6"/>
        <v>-136239.52658992069</v>
      </c>
      <c r="J74" s="59"/>
    </row>
    <row r="75" spans="1:10" x14ac:dyDescent="0.2">
      <c r="A75" s="367"/>
      <c r="B75" s="46" t="str">
        <f>DFIE!$B38</f>
        <v>Solothurn</v>
      </c>
      <c r="C75" s="61">
        <v>2744.2846</v>
      </c>
      <c r="D75" s="61">
        <v>4327.0495499999997</v>
      </c>
      <c r="E75" s="18">
        <f t="shared" si="4"/>
        <v>1582.7649499999998</v>
      </c>
      <c r="F75" s="61">
        <v>323197.01250602398</v>
      </c>
      <c r="G75" s="86">
        <f>NP!E75+QS!AA75+JP!E75</f>
        <v>6280154.9926696299</v>
      </c>
      <c r="H75" s="197">
        <f t="shared" si="5"/>
        <v>19.431352239224598</v>
      </c>
      <c r="I75" s="18">
        <f t="shared" si="6"/>
        <v>30755.263255348706</v>
      </c>
      <c r="J75" s="59"/>
    </row>
    <row r="76" spans="1:10" x14ac:dyDescent="0.2">
      <c r="A76" s="367"/>
      <c r="B76" s="47" t="str">
        <f>DFIE!$B39</f>
        <v>Basel-Stadt</v>
      </c>
      <c r="C76" s="43">
        <v>9636.7898999999998</v>
      </c>
      <c r="D76" s="43">
        <v>4789.6296000000002</v>
      </c>
      <c r="E76" s="22">
        <f t="shared" si="4"/>
        <v>-4847.1602999999996</v>
      </c>
      <c r="F76" s="43">
        <v>1578030.2333253</v>
      </c>
      <c r="G76" s="198">
        <f>NP!E76+QS!AA76+JP!E76</f>
        <v>8775474.0775797348</v>
      </c>
      <c r="H76" s="199">
        <f t="shared" si="5"/>
        <v>5.5610303860196897</v>
      </c>
      <c r="I76" s="22">
        <f t="shared" si="6"/>
        <v>-26955.205714208314</v>
      </c>
      <c r="J76" s="59"/>
    </row>
    <row r="77" spans="1:10" x14ac:dyDescent="0.2">
      <c r="A77" s="367"/>
      <c r="B77" s="46" t="str">
        <f>DFIE!$B40</f>
        <v>Basel-Landschaft</v>
      </c>
      <c r="C77" s="61">
        <v>5254.8931000000002</v>
      </c>
      <c r="D77" s="61">
        <v>3122.4068000000002</v>
      </c>
      <c r="E77" s="18">
        <f t="shared" si="4"/>
        <v>-2132.4863</v>
      </c>
      <c r="F77" s="61">
        <v>725072.28915662703</v>
      </c>
      <c r="G77" s="86">
        <f>NP!E77+QS!AA77+JP!E77</f>
        <v>9098225.0419522133</v>
      </c>
      <c r="H77" s="197">
        <f t="shared" si="5"/>
        <v>12.548024766654478</v>
      </c>
      <c r="I77" s="18">
        <f t="shared" si="6"/>
        <v>-26758.490906951374</v>
      </c>
      <c r="J77" s="59"/>
    </row>
    <row r="78" spans="1:10" x14ac:dyDescent="0.2">
      <c r="A78" s="367"/>
      <c r="B78" s="47" t="str">
        <f>DFIE!$B41</f>
        <v>Schaffhausen</v>
      </c>
      <c r="C78" s="43">
        <v>662.16395</v>
      </c>
      <c r="D78" s="43">
        <v>2029.9698000000001</v>
      </c>
      <c r="E78" s="22">
        <f t="shared" si="4"/>
        <v>1367.8058500000002</v>
      </c>
      <c r="F78" s="43">
        <v>314242.09734939801</v>
      </c>
      <c r="G78" s="198">
        <f>NP!E78+QS!AA78+JP!E78</f>
        <v>2336213.043770276</v>
      </c>
      <c r="H78" s="199">
        <f t="shared" si="5"/>
        <v>7.4344368990533392</v>
      </c>
      <c r="I78" s="22">
        <f t="shared" si="6"/>
        <v>10168.866281981018</v>
      </c>
      <c r="J78" s="59"/>
    </row>
    <row r="79" spans="1:10" x14ac:dyDescent="0.2">
      <c r="A79" s="367"/>
      <c r="B79" s="46" t="str">
        <f>DFIE!$B42</f>
        <v>Appenzell A.Rh.</v>
      </c>
      <c r="C79" s="61">
        <v>910.3261</v>
      </c>
      <c r="D79" s="61">
        <v>720.73910000000001</v>
      </c>
      <c r="E79" s="18">
        <f t="shared" si="4"/>
        <v>-189.58699999999999</v>
      </c>
      <c r="F79" s="61">
        <v>90173.095253012099</v>
      </c>
      <c r="G79" s="86">
        <f>NP!E79+QS!AA79+JP!E79</f>
        <v>1426215.2501190561</v>
      </c>
      <c r="H79" s="197">
        <f t="shared" si="5"/>
        <v>15.816416705196946</v>
      </c>
      <c r="I79" s="18">
        <f t="shared" si="6"/>
        <v>-2998.5869938881733</v>
      </c>
      <c r="J79" s="59"/>
    </row>
    <row r="80" spans="1:10" x14ac:dyDescent="0.2">
      <c r="A80" s="367"/>
      <c r="B80" s="47" t="str">
        <f>DFIE!$B43</f>
        <v>Appenzell I.Rh.</v>
      </c>
      <c r="C80" s="43">
        <v>141.60489999999999</v>
      </c>
      <c r="D80" s="43">
        <v>150.67185000000001</v>
      </c>
      <c r="E80" s="22">
        <f t="shared" si="4"/>
        <v>9.0669500000000198</v>
      </c>
      <c r="F80" s="43">
        <v>27061.575060241001</v>
      </c>
      <c r="G80" s="198">
        <f>NP!E80+QS!AA80+JP!E80</f>
        <v>442116.69836443308</v>
      </c>
      <c r="H80" s="199">
        <f t="shared" si="5"/>
        <v>16.337434069534005</v>
      </c>
      <c r="I80" s="22">
        <f t="shared" si="6"/>
        <v>148.13069783676167</v>
      </c>
      <c r="J80" s="59"/>
    </row>
    <row r="81" spans="1:10" x14ac:dyDescent="0.2">
      <c r="A81" s="367"/>
      <c r="B81" s="46" t="str">
        <f>DFIE!$B44</f>
        <v>St. Gallen</v>
      </c>
      <c r="C81" s="61">
        <v>6826.8789999999999</v>
      </c>
      <c r="D81" s="61">
        <v>6044.6219000000001</v>
      </c>
      <c r="E81" s="18">
        <f t="shared" si="4"/>
        <v>-782.25709999999981</v>
      </c>
      <c r="F81" s="61">
        <v>715179.59931325295</v>
      </c>
      <c r="G81" s="86">
        <f>NP!E81+QS!AA81+JP!E81</f>
        <v>12711263.719937289</v>
      </c>
      <c r="H81" s="197">
        <f t="shared" si="5"/>
        <v>17.773526722718611</v>
      </c>
      <c r="I81" s="18">
        <f t="shared" si="6"/>
        <v>-13903.46747088636</v>
      </c>
      <c r="J81" s="59"/>
    </row>
    <row r="82" spans="1:10" x14ac:dyDescent="0.2">
      <c r="A82" s="367"/>
      <c r="B82" s="47" t="str">
        <f>DFIE!$B45</f>
        <v>Graubünden</v>
      </c>
      <c r="C82" s="43">
        <v>753.98400000000004</v>
      </c>
      <c r="D82" s="43">
        <v>6045.7546000000002</v>
      </c>
      <c r="E82" s="22">
        <f t="shared" si="4"/>
        <v>5291.7705999999998</v>
      </c>
      <c r="F82" s="43">
        <v>297476.39302409597</v>
      </c>
      <c r="G82" s="198">
        <f>NP!E82+QS!AA82+JP!E82</f>
        <v>4939289.5235799728</v>
      </c>
      <c r="H82" s="199">
        <f t="shared" si="5"/>
        <v>16.603971405488583</v>
      </c>
      <c r="I82" s="22">
        <f t="shared" si="6"/>
        <v>87864.407726805162</v>
      </c>
      <c r="J82" s="59"/>
    </row>
    <row r="83" spans="1:10" x14ac:dyDescent="0.2">
      <c r="A83" s="367"/>
      <c r="B83" s="46" t="str">
        <f>DFIE!$B46</f>
        <v>Aargau</v>
      </c>
      <c r="C83" s="61">
        <v>9800.5665499999996</v>
      </c>
      <c r="D83" s="61">
        <v>9304.7945</v>
      </c>
      <c r="E83" s="18">
        <f t="shared" si="4"/>
        <v>-495.77204999999958</v>
      </c>
      <c r="F83" s="61">
        <v>894464.43596385501</v>
      </c>
      <c r="G83" s="86">
        <f>NP!E83+QS!AA83+JP!E83</f>
        <v>17203668.076399967</v>
      </c>
      <c r="H83" s="197">
        <f t="shared" si="5"/>
        <v>19.233484736440836</v>
      </c>
      <c r="I83" s="18">
        <f t="shared" si="6"/>
        <v>-9535.424156428975</v>
      </c>
      <c r="J83" s="59"/>
    </row>
    <row r="84" spans="1:10" x14ac:dyDescent="0.2">
      <c r="A84" s="367"/>
      <c r="B84" s="47" t="str">
        <f>DFIE!$B47</f>
        <v>Thurgau</v>
      </c>
      <c r="C84" s="43">
        <v>1933.3</v>
      </c>
      <c r="D84" s="43">
        <v>2821.38555</v>
      </c>
      <c r="E84" s="22">
        <f t="shared" si="4"/>
        <v>888.08555000000001</v>
      </c>
      <c r="F84" s="43">
        <v>344969.42078313301</v>
      </c>
      <c r="G84" s="198">
        <f>NP!E84+QS!AA84+JP!E84</f>
        <v>6612979.1365633877</v>
      </c>
      <c r="H84" s="199">
        <f t="shared" si="5"/>
        <v>19.169754587380297</v>
      </c>
      <c r="I84" s="22">
        <f t="shared" si="6"/>
        <v>17024.382046098654</v>
      </c>
      <c r="J84" s="59"/>
    </row>
    <row r="85" spans="1:10" x14ac:dyDescent="0.2">
      <c r="A85" s="367"/>
      <c r="B85" s="46" t="str">
        <f>DFIE!$B48</f>
        <v>Tessin</v>
      </c>
      <c r="C85" s="61">
        <v>1191.5943500000001</v>
      </c>
      <c r="D85" s="61">
        <v>5685.18325</v>
      </c>
      <c r="E85" s="18">
        <f t="shared" si="4"/>
        <v>4493.5888999999997</v>
      </c>
      <c r="F85" s="61">
        <v>701961.26589156606</v>
      </c>
      <c r="G85" s="86">
        <f>NP!E85+QS!AA85+JP!E85</f>
        <v>10959362.115405876</v>
      </c>
      <c r="H85" s="197">
        <f t="shared" si="5"/>
        <v>15.612488392057234</v>
      </c>
      <c r="I85" s="18">
        <f t="shared" si="6"/>
        <v>70156.104539927226</v>
      </c>
      <c r="J85" s="59"/>
    </row>
    <row r="86" spans="1:10" x14ac:dyDescent="0.2">
      <c r="A86" s="367"/>
      <c r="B86" s="47" t="str">
        <f>DFIE!$B49</f>
        <v>Waadt</v>
      </c>
      <c r="C86" s="43">
        <v>18758.43</v>
      </c>
      <c r="D86" s="43">
        <v>11332.11355</v>
      </c>
      <c r="E86" s="22">
        <f t="shared" si="4"/>
        <v>-7426.3164500000003</v>
      </c>
      <c r="F86" s="43">
        <v>2745198.92139157</v>
      </c>
      <c r="G86" s="198">
        <f>NP!E86+QS!AA86+JP!E86</f>
        <v>25337706.194767237</v>
      </c>
      <c r="H86" s="199">
        <f t="shared" si="5"/>
        <v>9.2298252040414219</v>
      </c>
      <c r="I86" s="22">
        <f t="shared" si="6"/>
        <v>-68543.602743397423</v>
      </c>
      <c r="J86" s="59"/>
    </row>
    <row r="87" spans="1:10" x14ac:dyDescent="0.2">
      <c r="A87" s="367"/>
      <c r="B87" s="46" t="str">
        <f>DFIE!$B50</f>
        <v>Wallis</v>
      </c>
      <c r="C87" s="61">
        <v>1904.4767999999999</v>
      </c>
      <c r="D87" s="61">
        <v>5711.0987999999998</v>
      </c>
      <c r="E87" s="18">
        <f t="shared" si="4"/>
        <v>3806.6219999999998</v>
      </c>
      <c r="F87" s="61">
        <v>317755.01168674702</v>
      </c>
      <c r="G87" s="86">
        <f>NP!E87+QS!AA87+JP!E87</f>
        <v>7097788.4507169584</v>
      </c>
      <c r="H87" s="197">
        <f t="shared" si="5"/>
        <v>22.337298200395288</v>
      </c>
      <c r="I87" s="18">
        <f t="shared" si="6"/>
        <v>85029.650750185116</v>
      </c>
      <c r="J87" s="59"/>
    </row>
    <row r="88" spans="1:10" x14ac:dyDescent="0.2">
      <c r="A88" s="367"/>
      <c r="B88" s="47" t="str">
        <f>DFIE!$B51</f>
        <v>Neuenburg</v>
      </c>
      <c r="C88" s="43">
        <v>1226.1913</v>
      </c>
      <c r="D88" s="43">
        <v>9240.3533499999994</v>
      </c>
      <c r="E88" s="22">
        <f t="shared" si="4"/>
        <v>8014.162049999999</v>
      </c>
      <c r="F88" s="43">
        <v>376767.93020481901</v>
      </c>
      <c r="G88" s="198">
        <f>NP!E88+QS!AA88+JP!E88</f>
        <v>4745695.0476026209</v>
      </c>
      <c r="H88" s="199">
        <f t="shared" si="5"/>
        <v>12.595804120119142</v>
      </c>
      <c r="I88" s="22">
        <f t="shared" si="6"/>
        <v>100944.81536869246</v>
      </c>
      <c r="J88" s="59"/>
    </row>
    <row r="89" spans="1:10" x14ac:dyDescent="0.2">
      <c r="A89" s="367"/>
      <c r="B89" s="46" t="str">
        <f>DFIE!$B52</f>
        <v>Genf</v>
      </c>
      <c r="C89" s="61">
        <v>4132.69085</v>
      </c>
      <c r="D89" s="61">
        <v>17397.149399999998</v>
      </c>
      <c r="E89" s="18">
        <f t="shared" si="4"/>
        <v>13264.458549999999</v>
      </c>
      <c r="F89" s="61">
        <v>2428743.9630120499</v>
      </c>
      <c r="G89" s="86">
        <f>NP!E89+QS!AA89+JP!E89</f>
        <v>21604965.847228855</v>
      </c>
      <c r="H89" s="197">
        <f t="shared" si="5"/>
        <v>8.8955304372368147</v>
      </c>
      <c r="I89" s="18">
        <f t="shared" si="6"/>
        <v>117994.3947649911</v>
      </c>
      <c r="J89" s="59"/>
    </row>
    <row r="90" spans="1:10" x14ac:dyDescent="0.2">
      <c r="A90" s="367"/>
      <c r="B90" s="47" t="str">
        <f>DFIE!$B53</f>
        <v>Jura</v>
      </c>
      <c r="C90" s="43">
        <v>485.87099999999998</v>
      </c>
      <c r="D90" s="43">
        <v>2114.37365</v>
      </c>
      <c r="E90" s="22">
        <f t="shared" si="4"/>
        <v>1628.5026499999999</v>
      </c>
      <c r="F90" s="43">
        <v>94140.662530120506</v>
      </c>
      <c r="G90" s="198">
        <f>NP!E90+QS!AA90+JP!E90</f>
        <v>1514284.5046417241</v>
      </c>
      <c r="H90" s="199">
        <f t="shared" si="5"/>
        <v>16.085339362862733</v>
      </c>
      <c r="I90" s="22">
        <f t="shared" si="6"/>
        <v>26195.017778571269</v>
      </c>
      <c r="J90" s="59"/>
    </row>
    <row r="91" spans="1:10" x14ac:dyDescent="0.2">
      <c r="A91" s="367"/>
      <c r="B91" s="24" t="str">
        <f>DFIE!$B54</f>
        <v>Schweiz</v>
      </c>
      <c r="C91" s="31">
        <f>SUM(C65:C90)</f>
        <v>139956.88050000006</v>
      </c>
      <c r="D91" s="31">
        <f>SUM(D65:D90)</f>
        <v>139956.8805</v>
      </c>
      <c r="E91" s="202">
        <f>ROUND(SUM(E65:E90),5)</f>
        <v>0</v>
      </c>
      <c r="F91" s="31">
        <f>SUM(F65:F90)</f>
        <v>21289186.003668677</v>
      </c>
      <c r="G91" s="31">
        <f>SUM(G65:G90)</f>
        <v>268245264.86347151</v>
      </c>
      <c r="H91" s="196">
        <f t="shared" si="5"/>
        <v>12.600071454927676</v>
      </c>
      <c r="I91" s="26">
        <f>SUM(I65:I90)</f>
        <v>44354.805193749286</v>
      </c>
      <c r="J91" s="59"/>
    </row>
  </sheetData>
  <mergeCells count="3">
    <mergeCell ref="A9:A35"/>
    <mergeCell ref="A37:A63"/>
    <mergeCell ref="A65:A91"/>
  </mergeCells>
  <conditionalFormatting sqref="E9:E34 G9:I34">
    <cfRule type="expression" dxfId="29" priority="15" stopIfTrue="1">
      <formula>ISBLANK(E9)</formula>
    </cfRule>
  </conditionalFormatting>
  <conditionalFormatting sqref="C9:D34 F9:F34">
    <cfRule type="expression" dxfId="28" priority="14" stopIfTrue="1">
      <formula>ISBLANK(C9)</formula>
    </cfRule>
  </conditionalFormatting>
  <conditionalFormatting sqref="E37 H37:I37">
    <cfRule type="expression" dxfId="27" priority="13" stopIfTrue="1">
      <formula>ISBLANK(E37)</formula>
    </cfRule>
  </conditionalFormatting>
  <conditionalFormatting sqref="F37 C37:D37">
    <cfRule type="expression" dxfId="26" priority="12" stopIfTrue="1">
      <formula>ISBLANK(C37)</formula>
    </cfRule>
  </conditionalFormatting>
  <conditionalFormatting sqref="E65 G65:I65">
    <cfRule type="expression" dxfId="25" priority="11" stopIfTrue="1">
      <formula>ISBLANK(E65)</formula>
    </cfRule>
  </conditionalFormatting>
  <conditionalFormatting sqref="F65 C65:D65">
    <cfRule type="expression" dxfId="24" priority="10" stopIfTrue="1">
      <formula>ISBLANK(C65)</formula>
    </cfRule>
  </conditionalFormatting>
  <conditionalFormatting sqref="C37:D37">
    <cfRule type="expression" dxfId="23" priority="9" stopIfTrue="1">
      <formula>ISBLANK(C37)</formula>
    </cfRule>
  </conditionalFormatting>
  <conditionalFormatting sqref="C65:D65">
    <cfRule type="expression" dxfId="22" priority="8" stopIfTrue="1">
      <formula>ISBLANK(C65)</formula>
    </cfRule>
  </conditionalFormatting>
  <conditionalFormatting sqref="F37">
    <cfRule type="expression" dxfId="21" priority="7" stopIfTrue="1">
      <formula>ISBLANK(F37)</formula>
    </cfRule>
  </conditionalFormatting>
  <conditionalFormatting sqref="F65">
    <cfRule type="expression" dxfId="20" priority="6" stopIfTrue="1">
      <formula>ISBLANK(F65)</formula>
    </cfRule>
  </conditionalFormatting>
  <conditionalFormatting sqref="G37">
    <cfRule type="expression" dxfId="19" priority="5" stopIfTrue="1">
      <formula>ISBLANK(G37)</formula>
    </cfRule>
  </conditionalFormatting>
  <conditionalFormatting sqref="E38:E62 G38:I62">
    <cfRule type="expression" dxfId="18" priority="4" stopIfTrue="1">
      <formula>ISBLANK(E38)</formula>
    </cfRule>
  </conditionalFormatting>
  <conditionalFormatting sqref="C38:D62 F38:F62">
    <cfRule type="expression" dxfId="17" priority="3" stopIfTrue="1">
      <formula>ISBLANK(C38)</formula>
    </cfRule>
  </conditionalFormatting>
  <conditionalFormatting sqref="E66:E90 G66:I90">
    <cfRule type="expression" dxfId="16" priority="2" stopIfTrue="1">
      <formula>ISBLANK(E66)</formula>
    </cfRule>
  </conditionalFormatting>
  <conditionalFormatting sqref="C66:D90 F66:F90">
    <cfRule type="expression" dxfId="15" priority="1" stopIfTrue="1">
      <formula>ISBLANK(C66)</formula>
    </cfRule>
  </conditionalFormatting>
  <pageMargins left="0.78740157480314965" right="0.78740157480314965" top="0.98425196850393704" bottom="0.78740157480314965" header="0.51181102362204722" footer="0.51181102362204722"/>
  <pageSetup paperSize="9" scale="95" orientation="landscape"/>
  <headerFooter scaleWithDoc="0" alignWithMargins="0">
    <oddHeader>&amp;L&amp;F&amp;R&amp;A</oddHeader>
    <oddFooter>&amp;C&amp;P / &amp;N</oddFooter>
  </headerFooter>
  <rowBreaks count="2" manualBreakCount="2">
    <brk id="36" max="16383" man="1"/>
    <brk id="64" max="16383" man="1"/>
  </rowBreaks>
  <customProperties>
    <customPr name="EpmWorksheetKeyString_GUID" r:id="rId1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1"/>
  <sheetViews>
    <sheetView showGridLines="0" zoomScaleNormal="100" workbookViewId="0">
      <pane ySplit="8" topLeftCell="A9" activePane="bottomLeft" state="frozen"/>
      <selection activeCell="A100" sqref="A100"/>
      <selection pane="bottomLeft" activeCell="A100" sqref="A100"/>
    </sheetView>
  </sheetViews>
  <sheetFormatPr baseColWidth="10" defaultColWidth="9.140625" defaultRowHeight="12.75" x14ac:dyDescent="0.2"/>
  <cols>
    <col min="1" max="1" width="4.42578125" customWidth="1"/>
    <col min="2" max="2" width="16.42578125" customWidth="1"/>
    <col min="3" max="8" width="17.7109375" customWidth="1"/>
    <col min="9" max="9" width="1.5703125" customWidth="1"/>
  </cols>
  <sheetData>
    <row r="1" spans="1:9" ht="18" customHeight="1" x14ac:dyDescent="0.25">
      <c r="B1" s="6" t="str">
        <f>DFIE!B160</f>
        <v>Aggregierte Steuerbemessungsgrundlage (ASG) 2020</v>
      </c>
    </row>
    <row r="3" spans="1:9" ht="0.75" customHeight="1" x14ac:dyDescent="0.2"/>
    <row r="4" spans="1:9" ht="0.75" customHeight="1" x14ac:dyDescent="0.2"/>
    <row r="5" spans="1:9" ht="0.75" customHeight="1" x14ac:dyDescent="0.2"/>
    <row r="6" spans="1:9" ht="12" customHeight="1" x14ac:dyDescent="0.2">
      <c r="A6" s="13"/>
      <c r="B6" s="34" t="str">
        <f>DFIE!B55</f>
        <v>Spalte</v>
      </c>
      <c r="C6" s="35" t="s">
        <v>30</v>
      </c>
      <c r="D6" s="35" t="s">
        <v>31</v>
      </c>
      <c r="E6" s="35" t="s">
        <v>32</v>
      </c>
      <c r="F6" s="35" t="s">
        <v>43</v>
      </c>
      <c r="G6" s="35" t="s">
        <v>42</v>
      </c>
      <c r="H6" s="36" t="s">
        <v>33</v>
      </c>
      <c r="I6" s="13"/>
    </row>
    <row r="7" spans="1:9" ht="57" customHeight="1" x14ac:dyDescent="0.2">
      <c r="A7" s="51"/>
      <c r="B7" s="204"/>
      <c r="C7" s="63" t="str">
        <f>DFIE!B161</f>
        <v>Massgebendes
Einkommen der
natürlichen
Personen</v>
      </c>
      <c r="D7" s="63" t="str">
        <f>DFIE!B162</f>
        <v>Massgebendes
quellenbesteuertes
Einkommen</v>
      </c>
      <c r="E7" s="63" t="str">
        <f>DFIE!B163</f>
        <v>Massgebendes
Vermögen</v>
      </c>
      <c r="F7" s="63" t="str">
        <f>DFIE!B164</f>
        <v>Massgebender
Gewinn der
juristischen
Personen</v>
      </c>
      <c r="G7" s="63" t="str">
        <f>DFIE!B165</f>
        <v>Massgebende
Steuer-
repartitionen</v>
      </c>
      <c r="H7" s="62" t="str">
        <f>DFIE!B166</f>
        <v>ASG Total</v>
      </c>
      <c r="I7" s="51"/>
    </row>
    <row r="8" spans="1:9" ht="12.75" customHeight="1" x14ac:dyDescent="0.2">
      <c r="B8" s="78" t="str">
        <f>DFIE!B58</f>
        <v>Einheit</v>
      </c>
      <c r="C8" s="41" t="str">
        <f>DFIE!$B$60</f>
        <v>CHF 1'000</v>
      </c>
      <c r="D8" s="41" t="str">
        <f>DFIE!$B$60</f>
        <v>CHF 1'000</v>
      </c>
      <c r="E8" s="41" t="str">
        <f>DFIE!$B$60</f>
        <v>CHF 1'000</v>
      </c>
      <c r="F8" s="41" t="str">
        <f>DFIE!$B$60</f>
        <v>CHF 1'000</v>
      </c>
      <c r="G8" s="41" t="str">
        <f>DFIE!$B$60</f>
        <v>CHF 1'000</v>
      </c>
      <c r="H8" s="42" t="str">
        <f>DFIE!$B$60</f>
        <v>CHF 1'000</v>
      </c>
      <c r="I8" s="51"/>
    </row>
    <row r="9" spans="1:9" x14ac:dyDescent="0.2">
      <c r="A9" s="365" t="str">
        <f>DFIE!B69</f>
        <v>Bemessungsjahr 2014</v>
      </c>
      <c r="B9" s="46" t="str">
        <f>DFIE!$B28</f>
        <v>Zürich</v>
      </c>
      <c r="C9" s="86">
        <f>NP!E9</f>
        <v>36921065.399999991</v>
      </c>
      <c r="D9" s="86">
        <f>QS!AA9</f>
        <v>2148552.0622198191</v>
      </c>
      <c r="E9" s="86">
        <f>VERM!D9</f>
        <v>5830768.3499999996</v>
      </c>
      <c r="F9" s="86">
        <f>JP!E9</f>
        <v>15223853.468499999</v>
      </c>
      <c r="G9" s="86">
        <f>REP!I9</f>
        <v>-67989.171494079899</v>
      </c>
      <c r="H9" s="18">
        <f>SUM(C9:G9)</f>
        <v>60056250.109225735</v>
      </c>
      <c r="I9" s="54"/>
    </row>
    <row r="10" spans="1:9" x14ac:dyDescent="0.2">
      <c r="A10" s="365"/>
      <c r="B10" s="47" t="str">
        <f>DFIE!$B29</f>
        <v>Bern</v>
      </c>
      <c r="C10" s="198">
        <f>NP!E10</f>
        <v>16543831.600000001</v>
      </c>
      <c r="D10" s="198">
        <f>QS!AA10</f>
        <v>700858.28074925719</v>
      </c>
      <c r="E10" s="198">
        <f>VERM!D10</f>
        <v>2364553.4992799996</v>
      </c>
      <c r="F10" s="198">
        <f>JP!E10</f>
        <v>6490760.2285000002</v>
      </c>
      <c r="G10" s="198">
        <f>REP!I10</f>
        <v>-319197.48275786865</v>
      </c>
      <c r="H10" s="22">
        <f t="shared" ref="H10:H34" si="0">SUM(C10:G10)</f>
        <v>25780806.125771388</v>
      </c>
      <c r="I10" s="54"/>
    </row>
    <row r="11" spans="1:9" x14ac:dyDescent="0.2">
      <c r="A11" s="365"/>
      <c r="B11" s="46" t="str">
        <f>DFIE!$B30</f>
        <v>Luzern</v>
      </c>
      <c r="C11" s="86">
        <f>NP!E11</f>
        <v>7024397.2000000002</v>
      </c>
      <c r="D11" s="86">
        <f>QS!AA11</f>
        <v>275478.3605975071</v>
      </c>
      <c r="E11" s="86">
        <f>VERM!D11</f>
        <v>1202393.659425</v>
      </c>
      <c r="F11" s="86">
        <f>JP!E11</f>
        <v>3385998.4569999999</v>
      </c>
      <c r="G11" s="86">
        <f>REP!I11</f>
        <v>-35876.830925290888</v>
      </c>
      <c r="H11" s="18">
        <f t="shared" si="0"/>
        <v>11852390.846097216</v>
      </c>
      <c r="I11" s="54"/>
    </row>
    <row r="12" spans="1:9" x14ac:dyDescent="0.2">
      <c r="A12" s="365"/>
      <c r="B12" s="47" t="str">
        <f>DFIE!$B31</f>
        <v>Uri</v>
      </c>
      <c r="C12" s="198">
        <f>NP!E12</f>
        <v>514297.99999999994</v>
      </c>
      <c r="D12" s="198">
        <f>QS!AA12</f>
        <v>32666.886730500002</v>
      </c>
      <c r="E12" s="198">
        <f>VERM!D12</f>
        <v>96663.882689999999</v>
      </c>
      <c r="F12" s="198">
        <f>JP!E12</f>
        <v>197249.6323</v>
      </c>
      <c r="G12" s="198">
        <f>REP!I12</f>
        <v>1821.6415833557899</v>
      </c>
      <c r="H12" s="22">
        <f t="shared" si="0"/>
        <v>842700.04330385569</v>
      </c>
      <c r="I12" s="54"/>
    </row>
    <row r="13" spans="1:9" x14ac:dyDescent="0.2">
      <c r="A13" s="365"/>
      <c r="B13" s="46" t="str">
        <f>DFIE!$B32</f>
        <v>Schwyz</v>
      </c>
      <c r="C13" s="86">
        <f>NP!E13</f>
        <v>6434379.2000000002</v>
      </c>
      <c r="D13" s="86">
        <f>QS!AA13</f>
        <v>144016.47436933531</v>
      </c>
      <c r="E13" s="86">
        <f>VERM!D13</f>
        <v>1618126.1740949999</v>
      </c>
      <c r="F13" s="86">
        <f>JP!E13</f>
        <v>1479650.3949</v>
      </c>
      <c r="G13" s="86">
        <f>REP!I13</f>
        <v>-2079.7384102815899</v>
      </c>
      <c r="H13" s="18">
        <f t="shared" si="0"/>
        <v>9674092.504954055</v>
      </c>
      <c r="I13" s="54"/>
    </row>
    <row r="14" spans="1:9" x14ac:dyDescent="0.2">
      <c r="A14" s="365"/>
      <c r="B14" s="47" t="str">
        <f>DFIE!$B33</f>
        <v>Obwalden</v>
      </c>
      <c r="C14" s="198">
        <f>NP!E14</f>
        <v>723487.7</v>
      </c>
      <c r="D14" s="198">
        <f>QS!AA14</f>
        <v>34863.810161823327</v>
      </c>
      <c r="E14" s="198">
        <f>VERM!D14</f>
        <v>187034.69024999999</v>
      </c>
      <c r="F14" s="198">
        <f>JP!E14</f>
        <v>301992.0123</v>
      </c>
      <c r="G14" s="198">
        <f>REP!I14</f>
        <v>1298.7438740165549</v>
      </c>
      <c r="H14" s="22">
        <f t="shared" si="0"/>
        <v>1248676.9565858396</v>
      </c>
      <c r="I14" s="54"/>
    </row>
    <row r="15" spans="1:9" x14ac:dyDescent="0.2">
      <c r="A15" s="365"/>
      <c r="B15" s="46" t="str">
        <f>DFIE!$B34</f>
        <v>Nidwalden</v>
      </c>
      <c r="C15" s="86">
        <f>NP!E15</f>
        <v>1466734.3</v>
      </c>
      <c r="D15" s="86">
        <f>QS!AA15</f>
        <v>36622.301898851321</v>
      </c>
      <c r="E15" s="86">
        <f>VERM!D15</f>
        <v>443405.39002499997</v>
      </c>
      <c r="F15" s="86">
        <f>JP!E15</f>
        <v>480397.40639999998</v>
      </c>
      <c r="G15" s="86">
        <f>REP!I15</f>
        <v>16076.659095176816</v>
      </c>
      <c r="H15" s="18">
        <f t="shared" si="0"/>
        <v>2443236.0574190286</v>
      </c>
      <c r="I15" s="54"/>
    </row>
    <row r="16" spans="1:9" x14ac:dyDescent="0.2">
      <c r="A16" s="365"/>
      <c r="B16" s="47" t="str">
        <f>DFIE!$B35</f>
        <v>Glarus</v>
      </c>
      <c r="C16" s="198">
        <f>NP!E16</f>
        <v>602327.30000000005</v>
      </c>
      <c r="D16" s="198">
        <f>QS!AA16</f>
        <v>47131.343409604196</v>
      </c>
      <c r="E16" s="198">
        <f>VERM!D16</f>
        <v>109809.34435500001</v>
      </c>
      <c r="F16" s="198">
        <f>JP!E16</f>
        <v>194811.8787</v>
      </c>
      <c r="G16" s="198">
        <f>REP!I16</f>
        <v>2201.6324649302073</v>
      </c>
      <c r="H16" s="22">
        <f t="shared" si="0"/>
        <v>956281.49892953434</v>
      </c>
      <c r="I16" s="54"/>
    </row>
    <row r="17" spans="1:9" x14ac:dyDescent="0.2">
      <c r="A17" s="365"/>
      <c r="B17" s="46" t="str">
        <f>DFIE!$B36</f>
        <v>Zug</v>
      </c>
      <c r="C17" s="86">
        <f>NP!E17</f>
        <v>4724265</v>
      </c>
      <c r="D17" s="86">
        <f>QS!AA17</f>
        <v>232060.6844198085</v>
      </c>
      <c r="E17" s="86">
        <f>VERM!D17</f>
        <v>913095.28273483342</v>
      </c>
      <c r="F17" s="86">
        <f>JP!E17</f>
        <v>3963670.2285000002</v>
      </c>
      <c r="G17" s="86">
        <f>REP!I17</f>
        <v>29035.361766454829</v>
      </c>
      <c r="H17" s="18">
        <f t="shared" si="0"/>
        <v>9862126.5574210975</v>
      </c>
      <c r="I17" s="54"/>
    </row>
    <row r="18" spans="1:9" x14ac:dyDescent="0.2">
      <c r="A18" s="365"/>
      <c r="B18" s="47" t="str">
        <f>DFIE!$B37</f>
        <v>Freiburg</v>
      </c>
      <c r="C18" s="198">
        <f>NP!E18</f>
        <v>4920482.1000000006</v>
      </c>
      <c r="D18" s="198">
        <f>QS!AA18</f>
        <v>244745.29039469827</v>
      </c>
      <c r="E18" s="198">
        <f>VERM!D18</f>
        <v>450306.80582999997</v>
      </c>
      <c r="F18" s="198">
        <f>JP!E18</f>
        <v>2743562.1413000003</v>
      </c>
      <c r="G18" s="198">
        <f>REP!I18</f>
        <v>-78192.9426707612</v>
      </c>
      <c r="H18" s="22">
        <f t="shared" si="0"/>
        <v>8280903.3948539374</v>
      </c>
      <c r="I18" s="54"/>
    </row>
    <row r="19" spans="1:9" x14ac:dyDescent="0.2">
      <c r="A19" s="365"/>
      <c r="B19" s="46" t="str">
        <f>DFIE!$B38</f>
        <v>Solothurn</v>
      </c>
      <c r="C19" s="86">
        <f>NP!E19</f>
        <v>4731259.5</v>
      </c>
      <c r="D19" s="86">
        <f>QS!AA19</f>
        <v>159280.6405420404</v>
      </c>
      <c r="E19" s="86">
        <f>VERM!D19</f>
        <v>366542.02204499999</v>
      </c>
      <c r="F19" s="86">
        <f>JP!E19</f>
        <v>1372578.6794999999</v>
      </c>
      <c r="G19" s="86">
        <f>REP!I19</f>
        <v>-19514.84309513291</v>
      </c>
      <c r="H19" s="18">
        <f t="shared" si="0"/>
        <v>6610145.9989919076</v>
      </c>
      <c r="I19" s="54"/>
    </row>
    <row r="20" spans="1:9" x14ac:dyDescent="0.2">
      <c r="A20" s="365"/>
      <c r="B20" s="47" t="str">
        <f>DFIE!$B39</f>
        <v>Basel-Stadt</v>
      </c>
      <c r="C20" s="198">
        <f>NP!E20</f>
        <v>4907878.9000000004</v>
      </c>
      <c r="D20" s="198">
        <f>QS!AA20</f>
        <v>774522.68426849716</v>
      </c>
      <c r="E20" s="198">
        <f>VERM!D20</f>
        <v>882196.70074500004</v>
      </c>
      <c r="F20" s="198">
        <f>JP!E20</f>
        <v>3317285.9764999999</v>
      </c>
      <c r="G20" s="198">
        <f>REP!I20</f>
        <v>-27734.166091785162</v>
      </c>
      <c r="H20" s="22">
        <f t="shared" si="0"/>
        <v>9854150.0954217128</v>
      </c>
      <c r="I20" s="54"/>
    </row>
    <row r="21" spans="1:9" x14ac:dyDescent="0.2">
      <c r="A21" s="365"/>
      <c r="B21" s="46" t="str">
        <f>DFIE!$B40</f>
        <v>Basel-Landschaft</v>
      </c>
      <c r="C21" s="86">
        <f>NP!E21</f>
        <v>6752348.0999999996</v>
      </c>
      <c r="D21" s="86">
        <f>QS!AA21</f>
        <v>397082.86798091937</v>
      </c>
      <c r="E21" s="86">
        <f>VERM!D21</f>
        <v>645802.44807000004</v>
      </c>
      <c r="F21" s="86">
        <f>JP!E21</f>
        <v>1386557.5212000001</v>
      </c>
      <c r="G21" s="86">
        <f>REP!I21</f>
        <v>2693.6055593261681</v>
      </c>
      <c r="H21" s="18">
        <f t="shared" si="0"/>
        <v>9184484.5428102463</v>
      </c>
      <c r="I21" s="54"/>
    </row>
    <row r="22" spans="1:9" x14ac:dyDescent="0.2">
      <c r="A22" s="365"/>
      <c r="B22" s="47" t="str">
        <f>DFIE!$B41</f>
        <v>Schaffhausen</v>
      </c>
      <c r="C22" s="198">
        <f>NP!E22</f>
        <v>1342841.5</v>
      </c>
      <c r="D22" s="198">
        <f>QS!AA22</f>
        <v>164281.60118103115</v>
      </c>
      <c r="E22" s="198">
        <f>VERM!D22</f>
        <v>197301.86053500001</v>
      </c>
      <c r="F22" s="198">
        <f>JP!E22</f>
        <v>762335.79930000007</v>
      </c>
      <c r="G22" s="198">
        <f>REP!I22</f>
        <v>13085.448699510554</v>
      </c>
      <c r="H22" s="22">
        <f t="shared" si="0"/>
        <v>2479846.2097155419</v>
      </c>
      <c r="I22" s="54"/>
    </row>
    <row r="23" spans="1:9" x14ac:dyDescent="0.2">
      <c r="A23" s="365"/>
      <c r="B23" s="46" t="str">
        <f>DFIE!$B42</f>
        <v>Appenzell A.Rh.</v>
      </c>
      <c r="C23" s="86">
        <f>NP!E23</f>
        <v>952567.19999999984</v>
      </c>
      <c r="D23" s="86">
        <f>QS!AA23</f>
        <v>39340.405806578623</v>
      </c>
      <c r="E23" s="86">
        <f>VERM!D23</f>
        <v>207352.567725</v>
      </c>
      <c r="F23" s="86">
        <f>JP!E23</f>
        <v>378379.92440000002</v>
      </c>
      <c r="G23" s="86">
        <f>REP!I23</f>
        <v>1261.1368460131514</v>
      </c>
      <c r="H23" s="18">
        <f t="shared" si="0"/>
        <v>1578901.2347775914</v>
      </c>
      <c r="I23" s="54"/>
    </row>
    <row r="24" spans="1:9" x14ac:dyDescent="0.2">
      <c r="A24" s="365"/>
      <c r="B24" s="47" t="str">
        <f>DFIE!$B43</f>
        <v>Appenzell I.Rh.</v>
      </c>
      <c r="C24" s="198">
        <f>NP!E24</f>
        <v>294879.59999999998</v>
      </c>
      <c r="D24" s="198">
        <f>QS!AA24</f>
        <v>9427.3230904188094</v>
      </c>
      <c r="E24" s="198">
        <f>VERM!D24</f>
        <v>70982.953559999994</v>
      </c>
      <c r="F24" s="198">
        <f>JP!E24</f>
        <v>88161.182100000005</v>
      </c>
      <c r="G24" s="198">
        <f>REP!I24</f>
        <v>597.00154730328018</v>
      </c>
      <c r="H24" s="22">
        <f t="shared" si="0"/>
        <v>464048.06029772211</v>
      </c>
      <c r="I24" s="54"/>
    </row>
    <row r="25" spans="1:9" x14ac:dyDescent="0.2">
      <c r="A25" s="365"/>
      <c r="B25" s="46" t="str">
        <f>DFIE!$B44</f>
        <v>St. Gallen</v>
      </c>
      <c r="C25" s="86">
        <f>NP!E25</f>
        <v>7884121.2999999998</v>
      </c>
      <c r="D25" s="86">
        <f>QS!AA25</f>
        <v>539381.31580543634</v>
      </c>
      <c r="E25" s="86">
        <f>VERM!D25</f>
        <v>1505294.0770049999</v>
      </c>
      <c r="F25" s="86">
        <f>JP!E25</f>
        <v>3312008.5606999998</v>
      </c>
      <c r="G25" s="86">
        <f>REP!I25</f>
        <v>78622.152199923701</v>
      </c>
      <c r="H25" s="18">
        <f t="shared" si="0"/>
        <v>13319427.405710358</v>
      </c>
      <c r="I25" s="54"/>
    </row>
    <row r="26" spans="1:9" x14ac:dyDescent="0.2">
      <c r="A26" s="365"/>
      <c r="B26" s="47" t="str">
        <f>DFIE!$B45</f>
        <v>Graubünden</v>
      </c>
      <c r="C26" s="198">
        <f>NP!E26</f>
        <v>3404509.6</v>
      </c>
      <c r="D26" s="198">
        <f>QS!AA26</f>
        <v>400718.10363726411</v>
      </c>
      <c r="E26" s="198">
        <f>VERM!D26</f>
        <v>876961.86482999998</v>
      </c>
      <c r="F26" s="198">
        <f>JP!E26</f>
        <v>943613.98440000007</v>
      </c>
      <c r="G26" s="198">
        <f>REP!I26</f>
        <v>110747.27854913792</v>
      </c>
      <c r="H26" s="22">
        <f t="shared" si="0"/>
        <v>5736550.831416402</v>
      </c>
      <c r="I26" s="54"/>
    </row>
    <row r="27" spans="1:9" x14ac:dyDescent="0.2">
      <c r="A27" s="365"/>
      <c r="B27" s="46" t="str">
        <f>DFIE!$B46</f>
        <v>Aargau</v>
      </c>
      <c r="C27" s="86">
        <f>NP!E27</f>
        <v>12293764.599999998</v>
      </c>
      <c r="D27" s="86">
        <f>QS!AA27</f>
        <v>655921.6900599061</v>
      </c>
      <c r="E27" s="86">
        <f>VERM!D27</f>
        <v>1684187.4617850001</v>
      </c>
      <c r="F27" s="86">
        <f>JP!E27</f>
        <v>3670811.9833</v>
      </c>
      <c r="G27" s="86">
        <f>REP!I27</f>
        <v>5671.2139920811578</v>
      </c>
      <c r="H27" s="18">
        <f t="shared" si="0"/>
        <v>18310356.949136984</v>
      </c>
      <c r="I27" s="54"/>
    </row>
    <row r="28" spans="1:9" x14ac:dyDescent="0.2">
      <c r="A28" s="365"/>
      <c r="B28" s="47" t="str">
        <f>DFIE!$B47</f>
        <v>Thurgau</v>
      </c>
      <c r="C28" s="198">
        <f>NP!E28</f>
        <v>4563342.0999999996</v>
      </c>
      <c r="D28" s="198">
        <f>QS!AA28</f>
        <v>288645.87931462273</v>
      </c>
      <c r="E28" s="198">
        <f>VERM!D28</f>
        <v>776898.45600000001</v>
      </c>
      <c r="F28" s="198">
        <f>JP!E28</f>
        <v>1283840.0894000002</v>
      </c>
      <c r="G28" s="198">
        <f>REP!I28</f>
        <v>-3355.4144428200884</v>
      </c>
      <c r="H28" s="22">
        <f t="shared" si="0"/>
        <v>6909371.1102718022</v>
      </c>
      <c r="I28" s="54"/>
    </row>
    <row r="29" spans="1:9" x14ac:dyDescent="0.2">
      <c r="A29" s="365"/>
      <c r="B29" s="46" t="str">
        <f>DFIE!$B48</f>
        <v>Tessin</v>
      </c>
      <c r="C29" s="86">
        <f>NP!E29</f>
        <v>6694114.1000000006</v>
      </c>
      <c r="D29" s="86">
        <f>QS!AA29</f>
        <v>997605.11202556873</v>
      </c>
      <c r="E29" s="86">
        <f>VERM!D29</f>
        <v>883056.03187499999</v>
      </c>
      <c r="F29" s="86">
        <f>JP!E29</f>
        <v>2803700.0145999999</v>
      </c>
      <c r="G29" s="86">
        <f>REP!I29</f>
        <v>59673.035591947752</v>
      </c>
      <c r="H29" s="18">
        <f t="shared" si="0"/>
        <v>11438148.294092515</v>
      </c>
      <c r="I29" s="54"/>
    </row>
    <row r="30" spans="1:9" x14ac:dyDescent="0.2">
      <c r="A30" s="365"/>
      <c r="B30" s="47" t="str">
        <f>DFIE!$B49</f>
        <v>Waadt</v>
      </c>
      <c r="C30" s="198">
        <f>NP!E30</f>
        <v>16529647.299999999</v>
      </c>
      <c r="D30" s="198">
        <f>QS!AA30</f>
        <v>1375504.5400130299</v>
      </c>
      <c r="E30" s="198">
        <f>VERM!D30</f>
        <v>2038135.32045</v>
      </c>
      <c r="F30" s="198">
        <f>JP!E30</f>
        <v>5446761.9748999998</v>
      </c>
      <c r="G30" s="198">
        <f>REP!I30</f>
        <v>36511.103238142256</v>
      </c>
      <c r="H30" s="22">
        <f t="shared" si="0"/>
        <v>25426560.23860117</v>
      </c>
      <c r="I30" s="54"/>
    </row>
    <row r="31" spans="1:9" x14ac:dyDescent="0.2">
      <c r="A31" s="365"/>
      <c r="B31" s="46" t="str">
        <f>DFIE!$B50</f>
        <v>Wallis</v>
      </c>
      <c r="C31" s="86">
        <f>NP!E31</f>
        <v>4899814.6999999993</v>
      </c>
      <c r="D31" s="86">
        <f>QS!AA31</f>
        <v>430118.25368409709</v>
      </c>
      <c r="E31" s="86">
        <f>VERM!D31</f>
        <v>712487.96329500002</v>
      </c>
      <c r="F31" s="86">
        <f>JP!E31</f>
        <v>1277126.2457000001</v>
      </c>
      <c r="G31" s="86">
        <f>REP!I31</f>
        <v>166631.18809453445</v>
      </c>
      <c r="H31" s="18">
        <f t="shared" si="0"/>
        <v>7486178.3507736307</v>
      </c>
      <c r="I31" s="54"/>
    </row>
    <row r="32" spans="1:9" x14ac:dyDescent="0.2">
      <c r="A32" s="365"/>
      <c r="B32" s="47" t="str">
        <f>DFIE!$B51</f>
        <v>Neuenburg</v>
      </c>
      <c r="C32" s="198">
        <f>NP!E32</f>
        <v>2844219.8</v>
      </c>
      <c r="D32" s="198">
        <f>QS!AA32</f>
        <v>282168.26021130098</v>
      </c>
      <c r="E32" s="198">
        <f>VERM!D32</f>
        <v>276056.09733000002</v>
      </c>
      <c r="F32" s="198">
        <f>JP!E32</f>
        <v>1704206.6825999999</v>
      </c>
      <c r="G32" s="198">
        <f>REP!I32</f>
        <v>-16901.201766849343</v>
      </c>
      <c r="H32" s="22">
        <f t="shared" si="0"/>
        <v>5089749.6383744515</v>
      </c>
      <c r="I32" s="54"/>
    </row>
    <row r="33" spans="1:9" x14ac:dyDescent="0.2">
      <c r="A33" s="365"/>
      <c r="B33" s="46" t="str">
        <f>DFIE!$B52</f>
        <v>Genf</v>
      </c>
      <c r="C33" s="86">
        <f>NP!E33</f>
        <v>14521423.199999999</v>
      </c>
      <c r="D33" s="86">
        <f>QS!AA33</f>
        <v>2345057.2419813303</v>
      </c>
      <c r="E33" s="86">
        <f>VERM!D33</f>
        <v>1726147.6593899999</v>
      </c>
      <c r="F33" s="86">
        <f>JP!E33</f>
        <v>6060959.5184999993</v>
      </c>
      <c r="G33" s="86">
        <f>REP!I33</f>
        <v>23086.675989708154</v>
      </c>
      <c r="H33" s="18">
        <f t="shared" si="0"/>
        <v>24676674.295861039</v>
      </c>
      <c r="I33" s="54"/>
    </row>
    <row r="34" spans="1:9" x14ac:dyDescent="0.2">
      <c r="A34" s="365"/>
      <c r="B34" s="47" t="str">
        <f>DFIE!$B53</f>
        <v>Jura</v>
      </c>
      <c r="C34" s="198">
        <f>NP!E34</f>
        <v>962200.20000000007</v>
      </c>
      <c r="D34" s="198">
        <f>QS!AA34</f>
        <v>103559.53837866226</v>
      </c>
      <c r="E34" s="198">
        <f>VERM!D34</f>
        <v>105612.56999999999</v>
      </c>
      <c r="F34" s="198">
        <f>JP!E34</f>
        <v>447335.57640000002</v>
      </c>
      <c r="G34" s="198">
        <f>REP!I34</f>
        <v>13845.788647667798</v>
      </c>
      <c r="H34" s="22">
        <f t="shared" si="0"/>
        <v>1632553.6734263303</v>
      </c>
      <c r="I34" s="54"/>
    </row>
    <row r="35" spans="1:9" x14ac:dyDescent="0.2">
      <c r="A35" s="365"/>
      <c r="B35" s="24" t="str">
        <f>DFIE!$B54</f>
        <v>Schweiz</v>
      </c>
      <c r="C35" s="31">
        <f t="shared" ref="C35:H35" si="1">SUM(C9:C34)</f>
        <v>173454199.49999994</v>
      </c>
      <c r="D35" s="31">
        <f t="shared" si="1"/>
        <v>12859610.952931909</v>
      </c>
      <c r="E35" s="31">
        <f t="shared" si="1"/>
        <v>26171173.133324832</v>
      </c>
      <c r="F35" s="31">
        <f t="shared" si="1"/>
        <v>68717609.56189999</v>
      </c>
      <c r="G35" s="31">
        <f t="shared" si="1"/>
        <v>-7982.123915639213</v>
      </c>
      <c r="H35" s="26">
        <f t="shared" si="1"/>
        <v>281194611.02424109</v>
      </c>
      <c r="I35" s="56"/>
    </row>
    <row r="36" spans="1:9" ht="15" customHeight="1" x14ac:dyDescent="0.25">
      <c r="A36" s="32"/>
      <c r="B36" s="82"/>
      <c r="C36" s="182"/>
      <c r="D36" s="182"/>
      <c r="E36" s="182"/>
      <c r="F36" s="182"/>
      <c r="G36" s="182"/>
      <c r="H36" s="182"/>
    </row>
    <row r="37" spans="1:9" x14ac:dyDescent="0.2">
      <c r="A37" s="366" t="str">
        <f>DFIE!B70</f>
        <v>Bemessungsjahr 2015</v>
      </c>
      <c r="B37" s="48" t="str">
        <f>DFIE!$B28</f>
        <v>Zürich</v>
      </c>
      <c r="C37" s="200">
        <f>NP!E37</f>
        <v>38236928.599999994</v>
      </c>
      <c r="D37" s="200">
        <f>QS!AA37</f>
        <v>2317796.400599794</v>
      </c>
      <c r="E37" s="200">
        <f>VERM!G9</f>
        <v>5476043.2732040007</v>
      </c>
      <c r="F37" s="200">
        <f>JP!E37</f>
        <v>14507932.9463</v>
      </c>
      <c r="G37" s="200">
        <f>REP!I37</f>
        <v>-276257.58686568041</v>
      </c>
      <c r="H37" s="50">
        <f t="shared" ref="H37:H62" si="2">SUM(C37:G37)</f>
        <v>60262443.633238107</v>
      </c>
      <c r="I37" s="57"/>
    </row>
    <row r="38" spans="1:9" x14ac:dyDescent="0.2">
      <c r="A38" s="366"/>
      <c r="B38" s="47" t="str">
        <f>DFIE!$B29</f>
        <v>Bern</v>
      </c>
      <c r="C38" s="198">
        <f>NP!E38</f>
        <v>17096889.199999999</v>
      </c>
      <c r="D38" s="198">
        <f>QS!AA38</f>
        <v>592029.84182030172</v>
      </c>
      <c r="E38" s="198">
        <f>VERM!G10</f>
        <v>2347080.3456800003</v>
      </c>
      <c r="F38" s="198">
        <f>JP!E38</f>
        <v>7064898.6044000005</v>
      </c>
      <c r="G38" s="198">
        <f>REP!I38</f>
        <v>3268.6991281573878</v>
      </c>
      <c r="H38" s="22">
        <f t="shared" si="2"/>
        <v>27104166.691028461</v>
      </c>
      <c r="I38" s="57"/>
    </row>
    <row r="39" spans="1:9" x14ac:dyDescent="0.2">
      <c r="A39" s="366"/>
      <c r="B39" s="46" t="str">
        <f>DFIE!$B30</f>
        <v>Luzern</v>
      </c>
      <c r="C39" s="86">
        <f>NP!E39</f>
        <v>7264806.0000000009</v>
      </c>
      <c r="D39" s="86">
        <f>QS!AA39</f>
        <v>286857.27694326232</v>
      </c>
      <c r="E39" s="86">
        <f>VERM!G11</f>
        <v>1155543.553024</v>
      </c>
      <c r="F39" s="86">
        <f>JP!E39</f>
        <v>3500084.0943</v>
      </c>
      <c r="G39" s="86">
        <f>REP!I39</f>
        <v>-262311.0928237763</v>
      </c>
      <c r="H39" s="18">
        <f t="shared" si="2"/>
        <v>11944979.831443489</v>
      </c>
      <c r="I39" s="57"/>
    </row>
    <row r="40" spans="1:9" x14ac:dyDescent="0.2">
      <c r="A40" s="366"/>
      <c r="B40" s="47" t="str">
        <f>DFIE!$B31</f>
        <v>Uri</v>
      </c>
      <c r="C40" s="198">
        <f>NP!E40</f>
        <v>525583.1</v>
      </c>
      <c r="D40" s="198">
        <f>QS!AA40</f>
        <v>32204.933674790878</v>
      </c>
      <c r="E40" s="198">
        <f>VERM!G12</f>
        <v>92092.670922000005</v>
      </c>
      <c r="F40" s="198">
        <f>JP!E40</f>
        <v>254483.29620000001</v>
      </c>
      <c r="G40" s="198">
        <f>REP!I40</f>
        <v>1173.2808895931769</v>
      </c>
      <c r="H40" s="22">
        <f t="shared" si="2"/>
        <v>905537.281686384</v>
      </c>
      <c r="I40" s="57"/>
    </row>
    <row r="41" spans="1:9" x14ac:dyDescent="0.2">
      <c r="A41" s="366"/>
      <c r="B41" s="46" t="str">
        <f>DFIE!$B32</f>
        <v>Schwyz</v>
      </c>
      <c r="C41" s="86">
        <f>NP!E41</f>
        <v>5451263.2999999998</v>
      </c>
      <c r="D41" s="86">
        <f>QS!AA41</f>
        <v>151969.56316287472</v>
      </c>
      <c r="E41" s="86">
        <f>VERM!G13</f>
        <v>1549963.9353800002</v>
      </c>
      <c r="F41" s="86">
        <f>JP!E41</f>
        <v>1505122.196</v>
      </c>
      <c r="G41" s="86">
        <f>REP!I41</f>
        <v>-1742.7918549586075</v>
      </c>
      <c r="H41" s="18">
        <f t="shared" si="2"/>
        <v>8656576.2026879154</v>
      </c>
      <c r="I41" s="57"/>
    </row>
    <row r="42" spans="1:9" x14ac:dyDescent="0.2">
      <c r="A42" s="366"/>
      <c r="B42" s="47" t="str">
        <f>DFIE!$B33</f>
        <v>Obwalden</v>
      </c>
      <c r="C42" s="198">
        <f>NP!E42</f>
        <v>1359922.2</v>
      </c>
      <c r="D42" s="198">
        <f>QS!AA42</f>
        <v>36416.031042403047</v>
      </c>
      <c r="E42" s="198">
        <f>VERM!G14</f>
        <v>168756.02903599999</v>
      </c>
      <c r="F42" s="198">
        <f>JP!E42</f>
        <v>292457.97490000003</v>
      </c>
      <c r="G42" s="198">
        <f>REP!I42</f>
        <v>2659.6411941041515</v>
      </c>
      <c r="H42" s="22">
        <f t="shared" si="2"/>
        <v>1860211.8761725072</v>
      </c>
      <c r="I42" s="57"/>
    </row>
    <row r="43" spans="1:9" x14ac:dyDescent="0.2">
      <c r="A43" s="366"/>
      <c r="B43" s="46" t="str">
        <f>DFIE!$B34</f>
        <v>Nidwalden</v>
      </c>
      <c r="C43" s="86">
        <f>NP!E43</f>
        <v>1206417.5</v>
      </c>
      <c r="D43" s="86">
        <f>QS!AA43</f>
        <v>38801.518523338251</v>
      </c>
      <c r="E43" s="86">
        <f>VERM!G15</f>
        <v>402294.86374</v>
      </c>
      <c r="F43" s="86">
        <f>JP!E43</f>
        <v>508282.45610000001</v>
      </c>
      <c r="G43" s="86">
        <f>REP!I43</f>
        <v>13595.018039853516</v>
      </c>
      <c r="H43" s="18">
        <f t="shared" si="2"/>
        <v>2169391.3564031916</v>
      </c>
      <c r="I43" s="57"/>
    </row>
    <row r="44" spans="1:9" x14ac:dyDescent="0.2">
      <c r="A44" s="366"/>
      <c r="B44" s="47" t="str">
        <f>DFIE!$B35</f>
        <v>Glarus</v>
      </c>
      <c r="C44" s="198">
        <f>NP!E44</f>
        <v>604309.5</v>
      </c>
      <c r="D44" s="198">
        <f>QS!AA44</f>
        <v>46888.64052919353</v>
      </c>
      <c r="E44" s="198">
        <f>VERM!G16</f>
        <v>105419.486032</v>
      </c>
      <c r="F44" s="198">
        <f>JP!E44</f>
        <v>179077.96610000002</v>
      </c>
      <c r="G44" s="198">
        <f>REP!I44</f>
        <v>8253.2830109037732</v>
      </c>
      <c r="H44" s="22">
        <f t="shared" si="2"/>
        <v>943948.87567209732</v>
      </c>
      <c r="I44" s="57"/>
    </row>
    <row r="45" spans="1:9" x14ac:dyDescent="0.2">
      <c r="A45" s="366"/>
      <c r="B45" s="46" t="str">
        <f>DFIE!$B36</f>
        <v>Zug</v>
      </c>
      <c r="C45" s="86">
        <f>NP!E45</f>
        <v>4966900.6000000006</v>
      </c>
      <c r="D45" s="86">
        <f>QS!AA45</f>
        <v>229491.246496443</v>
      </c>
      <c r="E45" s="86">
        <f>VERM!G17</f>
        <v>841791.38065181882</v>
      </c>
      <c r="F45" s="86">
        <f>JP!E45</f>
        <v>4780748.0852000006</v>
      </c>
      <c r="G45" s="86">
        <f>REP!I45</f>
        <v>26051.188468260971</v>
      </c>
      <c r="H45" s="18">
        <f t="shared" si="2"/>
        <v>10844982.500816522</v>
      </c>
      <c r="I45" s="57"/>
    </row>
    <row r="46" spans="1:9" x14ac:dyDescent="0.2">
      <c r="A46" s="366"/>
      <c r="B46" s="47" t="str">
        <f>DFIE!$B37</f>
        <v>Freiburg</v>
      </c>
      <c r="C46" s="198">
        <f>NP!E46</f>
        <v>5156272.0999999996</v>
      </c>
      <c r="D46" s="198">
        <f>QS!AA46</f>
        <v>258639.4329560652</v>
      </c>
      <c r="E46" s="198">
        <f>VERM!G18</f>
        <v>426566.69934200001</v>
      </c>
      <c r="F46" s="198">
        <f>JP!E46</f>
        <v>2603398.8115999997</v>
      </c>
      <c r="G46" s="198">
        <f>REP!I46</f>
        <v>-59778.338583096476</v>
      </c>
      <c r="H46" s="22">
        <f t="shared" si="2"/>
        <v>8385098.7053149678</v>
      </c>
      <c r="I46" s="57"/>
    </row>
    <row r="47" spans="1:9" x14ac:dyDescent="0.2">
      <c r="A47" s="366"/>
      <c r="B47" s="46" t="str">
        <f>DFIE!$B38</f>
        <v>Solothurn</v>
      </c>
      <c r="C47" s="86">
        <f>NP!E47</f>
        <v>4809124.5</v>
      </c>
      <c r="D47" s="86">
        <f>QS!AA47</f>
        <v>172888.88107121675</v>
      </c>
      <c r="E47" s="86">
        <f>VERM!G19</f>
        <v>379356.37880000001</v>
      </c>
      <c r="F47" s="86">
        <f>JP!E47</f>
        <v>1228876.966</v>
      </c>
      <c r="G47" s="86">
        <f>REP!I47</f>
        <v>-16813.291590270881</v>
      </c>
      <c r="H47" s="18">
        <f t="shared" si="2"/>
        <v>6573433.4342809459</v>
      </c>
      <c r="I47" s="57"/>
    </row>
    <row r="48" spans="1:9" x14ac:dyDescent="0.2">
      <c r="A48" s="366"/>
      <c r="B48" s="47" t="str">
        <f>DFIE!$B39</f>
        <v>Basel-Stadt</v>
      </c>
      <c r="C48" s="198">
        <f>NP!E48</f>
        <v>4982835.8999999994</v>
      </c>
      <c r="D48" s="198">
        <f>QS!AA48</f>
        <v>762750.06332405726</v>
      </c>
      <c r="E48" s="198">
        <f>VERM!G20</f>
        <v>784997.43111999996</v>
      </c>
      <c r="F48" s="198">
        <f>JP!E48</f>
        <v>3274314.7949999999</v>
      </c>
      <c r="G48" s="198">
        <f>REP!I48</f>
        <v>-45612.728423867877</v>
      </c>
      <c r="H48" s="22">
        <f t="shared" si="2"/>
        <v>9759285.4610201903</v>
      </c>
      <c r="I48" s="57"/>
    </row>
    <row r="49" spans="1:9" x14ac:dyDescent="0.2">
      <c r="A49" s="366"/>
      <c r="B49" s="46" t="str">
        <f>DFIE!$B40</f>
        <v>Basel-Landschaft</v>
      </c>
      <c r="C49" s="86">
        <f>NP!E49</f>
        <v>6883004.7000000011</v>
      </c>
      <c r="D49" s="86">
        <f>QS!AA49</f>
        <v>413747.41243052133</v>
      </c>
      <c r="E49" s="86">
        <f>VERM!G21</f>
        <v>617013.86766600003</v>
      </c>
      <c r="F49" s="86">
        <f>JP!E49</f>
        <v>1495306.9449</v>
      </c>
      <c r="G49" s="86">
        <f>REP!I49</f>
        <v>-30144.614223016306</v>
      </c>
      <c r="H49" s="18">
        <f t="shared" si="2"/>
        <v>9378928.3107735068</v>
      </c>
      <c r="I49" s="57"/>
    </row>
    <row r="50" spans="1:9" x14ac:dyDescent="0.2">
      <c r="A50" s="366"/>
      <c r="B50" s="47" t="str">
        <f>DFIE!$B41</f>
        <v>Schaffhausen</v>
      </c>
      <c r="C50" s="198">
        <f>NP!E50</f>
        <v>1368876.7</v>
      </c>
      <c r="D50" s="198">
        <f>QS!AA50</f>
        <v>155168.87053242553</v>
      </c>
      <c r="E50" s="198">
        <f>VERM!G22</f>
        <v>177465.05382200002</v>
      </c>
      <c r="F50" s="198">
        <f>JP!E50</f>
        <v>782324.78980000003</v>
      </c>
      <c r="G50" s="198">
        <f>REP!I50</f>
        <v>42219.026375374109</v>
      </c>
      <c r="H50" s="22">
        <f t="shared" si="2"/>
        <v>2526054.4405298</v>
      </c>
      <c r="I50" s="57"/>
    </row>
    <row r="51" spans="1:9" x14ac:dyDescent="0.2">
      <c r="A51" s="366"/>
      <c r="B51" s="46" t="str">
        <f>DFIE!$B42</f>
        <v>Appenzell A.Rh.</v>
      </c>
      <c r="C51" s="86">
        <f>NP!E51</f>
        <v>979707.10000000009</v>
      </c>
      <c r="D51" s="86">
        <f>QS!AA51</f>
        <v>37388.785984178707</v>
      </c>
      <c r="E51" s="86">
        <f>VERM!G23</f>
        <v>196793.03994000002</v>
      </c>
      <c r="F51" s="86">
        <f>JP!E51</f>
        <v>354860.20079999999</v>
      </c>
      <c r="G51" s="86">
        <f>REP!I51</f>
        <v>-12564.154137371737</v>
      </c>
      <c r="H51" s="18">
        <f t="shared" si="2"/>
        <v>1556184.9725868069</v>
      </c>
      <c r="I51" s="57"/>
    </row>
    <row r="52" spans="1:9" x14ac:dyDescent="0.2">
      <c r="A52" s="366"/>
      <c r="B52" s="47" t="str">
        <f>DFIE!$B43</f>
        <v>Appenzell I.Rh.</v>
      </c>
      <c r="C52" s="198">
        <f>NP!E52</f>
        <v>328453.40000000002</v>
      </c>
      <c r="D52" s="198">
        <f>QS!AA52</f>
        <v>10131.63426076633</v>
      </c>
      <c r="E52" s="198">
        <f>VERM!G24</f>
        <v>70227.648540000009</v>
      </c>
      <c r="F52" s="198">
        <f>JP!E52</f>
        <v>101341.09329999999</v>
      </c>
      <c r="G52" s="198">
        <f>REP!I52</f>
        <v>8051.5392746232137</v>
      </c>
      <c r="H52" s="22">
        <f t="shared" si="2"/>
        <v>518205.31537538959</v>
      </c>
      <c r="I52" s="57"/>
    </row>
    <row r="53" spans="1:9" x14ac:dyDescent="0.2">
      <c r="A53" s="366"/>
      <c r="B53" s="46" t="str">
        <f>DFIE!$B44</f>
        <v>St. Gallen</v>
      </c>
      <c r="C53" s="86">
        <f>NP!E53</f>
        <v>8115364.2000000002</v>
      </c>
      <c r="D53" s="86">
        <f>QS!AA53</f>
        <v>454002.54868985421</v>
      </c>
      <c r="E53" s="86">
        <f>VERM!G25</f>
        <v>1445404.462824</v>
      </c>
      <c r="F53" s="86">
        <f>JP!E53</f>
        <v>3331469.2478</v>
      </c>
      <c r="G53" s="86">
        <f>REP!I53</f>
        <v>21634.640270628213</v>
      </c>
      <c r="H53" s="18">
        <f t="shared" si="2"/>
        <v>13367875.099584483</v>
      </c>
      <c r="I53" s="57"/>
    </row>
    <row r="54" spans="1:9" x14ac:dyDescent="0.2">
      <c r="A54" s="366"/>
      <c r="B54" s="47" t="str">
        <f>DFIE!$B45</f>
        <v>Graubünden</v>
      </c>
      <c r="C54" s="198">
        <f>NP!E54</f>
        <v>3447600.3</v>
      </c>
      <c r="D54" s="198">
        <f>QS!AA54</f>
        <v>399255.24492947554</v>
      </c>
      <c r="E54" s="198">
        <f>VERM!G26</f>
        <v>844619.48776799999</v>
      </c>
      <c r="F54" s="198">
        <f>JP!E54</f>
        <v>953904.73019999999</v>
      </c>
      <c r="G54" s="198">
        <f>REP!I54</f>
        <v>123688.57537703784</v>
      </c>
      <c r="H54" s="22">
        <f t="shared" si="2"/>
        <v>5769068.3382745134</v>
      </c>
      <c r="I54" s="57"/>
    </row>
    <row r="55" spans="1:9" x14ac:dyDescent="0.2">
      <c r="A55" s="366"/>
      <c r="B55" s="46" t="str">
        <f>DFIE!$B46</f>
        <v>Aargau</v>
      </c>
      <c r="C55" s="86">
        <f>NP!E55</f>
        <v>12588648.1</v>
      </c>
      <c r="D55" s="86">
        <f>QS!AA55</f>
        <v>690574.42189900752</v>
      </c>
      <c r="E55" s="86">
        <f>VERM!G27</f>
        <v>1604175.731872</v>
      </c>
      <c r="F55" s="86">
        <f>JP!E55</f>
        <v>3243950.3831000002</v>
      </c>
      <c r="G55" s="86">
        <f>REP!I55</f>
        <v>65111.530990685977</v>
      </c>
      <c r="H55" s="18">
        <f t="shared" si="2"/>
        <v>18192460.167861693</v>
      </c>
      <c r="I55" s="57"/>
    </row>
    <row r="56" spans="1:9" x14ac:dyDescent="0.2">
      <c r="A56" s="366"/>
      <c r="B56" s="47" t="str">
        <f>DFIE!$B47</f>
        <v>Thurgau</v>
      </c>
      <c r="C56" s="198">
        <f>NP!E56</f>
        <v>4751433.5</v>
      </c>
      <c r="D56" s="198">
        <f>QS!AA56</f>
        <v>296914.31216984731</v>
      </c>
      <c r="E56" s="198">
        <f>VERM!G28</f>
        <v>767324.35780000011</v>
      </c>
      <c r="F56" s="198">
        <f>JP!E56</f>
        <v>1194316.8672</v>
      </c>
      <c r="G56" s="198">
        <f>REP!I56</f>
        <v>16313.206562405623</v>
      </c>
      <c r="H56" s="22">
        <f t="shared" si="2"/>
        <v>7026302.2437322531</v>
      </c>
      <c r="I56" s="57"/>
    </row>
    <row r="57" spans="1:9" x14ac:dyDescent="0.2">
      <c r="A57" s="366"/>
      <c r="B57" s="46" t="str">
        <f>DFIE!$B48</f>
        <v>Tessin</v>
      </c>
      <c r="C57" s="86">
        <f>NP!E57</f>
        <v>6794558.5</v>
      </c>
      <c r="D57" s="86">
        <f>QS!AA57</f>
        <v>1015265.2247137</v>
      </c>
      <c r="E57" s="86">
        <f>VERM!G29</f>
        <v>879022.73335800006</v>
      </c>
      <c r="F57" s="86">
        <f>JP!E57</f>
        <v>2862838.8023000001</v>
      </c>
      <c r="G57" s="86">
        <f>REP!I57</f>
        <v>89586.368652720208</v>
      </c>
      <c r="H57" s="18">
        <f t="shared" si="2"/>
        <v>11641271.62902442</v>
      </c>
      <c r="I57" s="57"/>
    </row>
    <row r="58" spans="1:9" x14ac:dyDescent="0.2">
      <c r="A58" s="366"/>
      <c r="B58" s="47" t="str">
        <f>DFIE!$B49</f>
        <v>Waadt</v>
      </c>
      <c r="C58" s="198">
        <f>NP!E58</f>
        <v>16995621.200000003</v>
      </c>
      <c r="D58" s="198">
        <f>QS!AA58</f>
        <v>1369581.3128163326</v>
      </c>
      <c r="E58" s="198">
        <f>VERM!G30</f>
        <v>2003718.2245220002</v>
      </c>
      <c r="F58" s="198">
        <f>JP!E58</f>
        <v>6642395.3658999996</v>
      </c>
      <c r="G58" s="198">
        <f>REP!I58</f>
        <v>-50090.117431389008</v>
      </c>
      <c r="H58" s="22">
        <f t="shared" si="2"/>
        <v>26961225.985806946</v>
      </c>
      <c r="I58" s="57"/>
    </row>
    <row r="59" spans="1:9" x14ac:dyDescent="0.2">
      <c r="A59" s="366"/>
      <c r="B59" s="46" t="str">
        <f>DFIE!$B50</f>
        <v>Wallis</v>
      </c>
      <c r="C59" s="86">
        <f>NP!E59</f>
        <v>4985859.9999999991</v>
      </c>
      <c r="D59" s="86">
        <f>QS!AA59</f>
        <v>453320.53218353383</v>
      </c>
      <c r="E59" s="86">
        <f>VERM!G31</f>
        <v>711492.50928000011</v>
      </c>
      <c r="F59" s="86">
        <f>JP!E59</f>
        <v>1306397.2990999999</v>
      </c>
      <c r="G59" s="86">
        <f>REP!I59</f>
        <v>67549.003685842647</v>
      </c>
      <c r="H59" s="18">
        <f t="shared" si="2"/>
        <v>7524619.3442493742</v>
      </c>
      <c r="I59" s="57"/>
    </row>
    <row r="60" spans="1:9" x14ac:dyDescent="0.2">
      <c r="A60" s="366"/>
      <c r="B60" s="47" t="str">
        <f>DFIE!$B51</f>
        <v>Neuenburg</v>
      </c>
      <c r="C60" s="198">
        <f>NP!E60</f>
        <v>2909696.5</v>
      </c>
      <c r="D60" s="198">
        <f>QS!AA60</f>
        <v>302111.8450532034</v>
      </c>
      <c r="E60" s="198">
        <f>VERM!G32</f>
        <v>267613.48091799999</v>
      </c>
      <c r="F60" s="198">
        <f>JP!E60</f>
        <v>1469455.1373000001</v>
      </c>
      <c r="G60" s="198">
        <f>REP!I60</f>
        <v>88159.543522348104</v>
      </c>
      <c r="H60" s="22">
        <f t="shared" si="2"/>
        <v>5037036.5067935511</v>
      </c>
      <c r="I60" s="57"/>
    </row>
    <row r="61" spans="1:9" x14ac:dyDescent="0.2">
      <c r="A61" s="366"/>
      <c r="B61" s="46" t="str">
        <f>DFIE!$B52</f>
        <v>Genf</v>
      </c>
      <c r="C61" s="86">
        <f>NP!E61</f>
        <v>13178794.100000001</v>
      </c>
      <c r="D61" s="86">
        <f>QS!AA61</f>
        <v>2396347.1995596671</v>
      </c>
      <c r="E61" s="86">
        <f>VERM!G33</f>
        <v>1666542.8742479999</v>
      </c>
      <c r="F61" s="86">
        <f>JP!E61</f>
        <v>5964094.4270000001</v>
      </c>
      <c r="G61" s="86">
        <f>REP!I61</f>
        <v>151937.56066200751</v>
      </c>
      <c r="H61" s="18">
        <f t="shared" si="2"/>
        <v>23357716.161469676</v>
      </c>
      <c r="I61" s="57"/>
    </row>
    <row r="62" spans="1:9" x14ac:dyDescent="0.2">
      <c r="A62" s="366"/>
      <c r="B62" s="47" t="str">
        <f>DFIE!$B53</f>
        <v>Jura</v>
      </c>
      <c r="C62" s="198">
        <f>NP!E62</f>
        <v>989662.9</v>
      </c>
      <c r="D62" s="198">
        <f>QS!AA62</f>
        <v>105578.69099300835</v>
      </c>
      <c r="E62" s="198">
        <f>VERM!G34</f>
        <v>102670.72200000001</v>
      </c>
      <c r="F62" s="198">
        <f>JP!E62</f>
        <v>369267.39809999999</v>
      </c>
      <c r="G62" s="198">
        <f>REP!I62</f>
        <v>14713.763688897496</v>
      </c>
      <c r="H62" s="22">
        <f t="shared" si="2"/>
        <v>1581893.474781906</v>
      </c>
      <c r="I62" s="57"/>
    </row>
    <row r="63" spans="1:9" x14ac:dyDescent="0.2">
      <c r="A63" s="366"/>
      <c r="B63" s="24" t="str">
        <f>DFIE!$B54</f>
        <v>Schweiz</v>
      </c>
      <c r="C63" s="31">
        <f t="shared" ref="C63:H63" si="3">SUM(C37:C62)</f>
        <v>175978533.69999999</v>
      </c>
      <c r="D63" s="31">
        <f t="shared" si="3"/>
        <v>13026121.866359266</v>
      </c>
      <c r="E63" s="31">
        <f t="shared" si="3"/>
        <v>25083990.241489816</v>
      </c>
      <c r="F63" s="31">
        <f t="shared" si="3"/>
        <v>69771600.878900006</v>
      </c>
      <c r="G63" s="31">
        <f t="shared" si="3"/>
        <v>-11348.846139983463</v>
      </c>
      <c r="H63" s="26">
        <f t="shared" si="3"/>
        <v>283848897.84060913</v>
      </c>
      <c r="I63" s="57"/>
    </row>
    <row r="64" spans="1:9" ht="14.25" customHeight="1" x14ac:dyDescent="0.2">
      <c r="A64" s="33"/>
      <c r="B64" s="82"/>
      <c r="C64" s="182"/>
      <c r="D64" s="182"/>
      <c r="E64" s="182"/>
      <c r="F64" s="182"/>
      <c r="G64" s="182"/>
      <c r="H64" s="182"/>
    </row>
    <row r="65" spans="1:9" x14ac:dyDescent="0.2">
      <c r="A65" s="367" t="str">
        <f>DFIE!B71</f>
        <v>Bemessungsjahr 2016</v>
      </c>
      <c r="B65" s="48" t="str">
        <f>DFIE!$B28</f>
        <v>Zürich</v>
      </c>
      <c r="C65" s="200">
        <f>NP!E65</f>
        <v>39160811.599999994</v>
      </c>
      <c r="D65" s="200">
        <f>QS!AA65</f>
        <v>2326363.556370724</v>
      </c>
      <c r="E65" s="200">
        <f>VERM!J9</f>
        <v>5698011.4939999999</v>
      </c>
      <c r="F65" s="200">
        <f>JP!E65</f>
        <v>16335200.313999999</v>
      </c>
      <c r="G65" s="200">
        <f>REP!I65</f>
        <v>-111798.89306082121</v>
      </c>
      <c r="H65" s="50">
        <f t="shared" ref="H65:H90" si="4">SUM(C65:G65)</f>
        <v>63408588.071309894</v>
      </c>
      <c r="I65" s="59"/>
    </row>
    <row r="66" spans="1:9" x14ac:dyDescent="0.2">
      <c r="A66" s="367"/>
      <c r="B66" s="47" t="str">
        <f>DFIE!$B29</f>
        <v>Bern</v>
      </c>
      <c r="C66" s="198">
        <f>NP!E66</f>
        <v>17955464.700000003</v>
      </c>
      <c r="D66" s="198">
        <f>QS!AA66</f>
        <v>599378.95773184916</v>
      </c>
      <c r="E66" s="198">
        <f>VERM!J10</f>
        <v>2401453.5144377681</v>
      </c>
      <c r="F66" s="198">
        <f>JP!E66</f>
        <v>7607733.9427000005</v>
      </c>
      <c r="G66" s="198">
        <f>REP!I66</f>
        <v>-57848.320552307683</v>
      </c>
      <c r="H66" s="22">
        <f t="shared" si="4"/>
        <v>28506182.794317316</v>
      </c>
      <c r="I66" s="59"/>
    </row>
    <row r="67" spans="1:9" x14ac:dyDescent="0.2">
      <c r="A67" s="367"/>
      <c r="B67" s="46" t="str">
        <f>DFIE!$B30</f>
        <v>Luzern</v>
      </c>
      <c r="C67" s="86">
        <f>NP!E67</f>
        <v>7592409.1000000006</v>
      </c>
      <c r="D67" s="86">
        <f>QS!AA67</f>
        <v>296167.19251666806</v>
      </c>
      <c r="E67" s="86">
        <f>VERM!J11</f>
        <v>1234869.889428</v>
      </c>
      <c r="F67" s="86">
        <f>JP!E67</f>
        <v>3738821.2397000003</v>
      </c>
      <c r="G67" s="86">
        <f>REP!I67</f>
        <v>-49628.378900547985</v>
      </c>
      <c r="H67" s="18">
        <f t="shared" si="4"/>
        <v>12812639.042744121</v>
      </c>
      <c r="I67" s="59"/>
    </row>
    <row r="68" spans="1:9" x14ac:dyDescent="0.2">
      <c r="A68" s="367"/>
      <c r="B68" s="47" t="str">
        <f>DFIE!$B31</f>
        <v>Uri</v>
      </c>
      <c r="C68" s="198">
        <f>NP!E68</f>
        <v>559595</v>
      </c>
      <c r="D68" s="198">
        <f>QS!AA68</f>
        <v>29620.681372448274</v>
      </c>
      <c r="E68" s="198">
        <f>VERM!J12</f>
        <v>92905.717435999992</v>
      </c>
      <c r="F68" s="198">
        <f>JP!E68</f>
        <v>233293.44010000001</v>
      </c>
      <c r="G68" s="198">
        <f>REP!I68</f>
        <v>9930.0416677836893</v>
      </c>
      <c r="H68" s="22">
        <f t="shared" si="4"/>
        <v>925344.88057623187</v>
      </c>
      <c r="I68" s="59"/>
    </row>
    <row r="69" spans="1:9" x14ac:dyDescent="0.2">
      <c r="A69" s="367"/>
      <c r="B69" s="46" t="str">
        <f>DFIE!$B32</f>
        <v>Schwyz</v>
      </c>
      <c r="C69" s="86">
        <f>NP!E69</f>
        <v>5810320.1000000006</v>
      </c>
      <c r="D69" s="86">
        <f>QS!AA69</f>
        <v>160678.9020305899</v>
      </c>
      <c r="E69" s="86">
        <f>VERM!J13</f>
        <v>1602324.137232</v>
      </c>
      <c r="F69" s="86">
        <f>JP!E69</f>
        <v>2958183.5994000002</v>
      </c>
      <c r="G69" s="86">
        <f>REP!I69</f>
        <v>330.9736856106627</v>
      </c>
      <c r="H69" s="18">
        <f t="shared" si="4"/>
        <v>10531837.712348202</v>
      </c>
      <c r="I69" s="59"/>
    </row>
    <row r="70" spans="1:9" x14ac:dyDescent="0.2">
      <c r="A70" s="367"/>
      <c r="B70" s="47" t="str">
        <f>DFIE!$B33</f>
        <v>Obwalden</v>
      </c>
      <c r="C70" s="198">
        <f>NP!E70</f>
        <v>796973.59999999986</v>
      </c>
      <c r="D70" s="198">
        <f>QS!AA70</f>
        <v>37619.549284221335</v>
      </c>
      <c r="E70" s="198">
        <f>VERM!J14</f>
        <v>171461.51673</v>
      </c>
      <c r="F70" s="198">
        <f>JP!E70</f>
        <v>309677.4657</v>
      </c>
      <c r="G70" s="198">
        <f>REP!I70</f>
        <v>982.85717344206455</v>
      </c>
      <c r="H70" s="22">
        <f t="shared" si="4"/>
        <v>1316714.9888876635</v>
      </c>
      <c r="I70" s="59"/>
    </row>
    <row r="71" spans="1:9" x14ac:dyDescent="0.2">
      <c r="A71" s="367"/>
      <c r="B71" s="46" t="str">
        <f>DFIE!$B34</f>
        <v>Nidwalden</v>
      </c>
      <c r="C71" s="86">
        <f>NP!E71</f>
        <v>1252348.8999999999</v>
      </c>
      <c r="D71" s="86">
        <f>QS!AA71</f>
        <v>39480.162691849138</v>
      </c>
      <c r="E71" s="86">
        <f>VERM!J15</f>
        <v>457503.74306000001</v>
      </c>
      <c r="F71" s="86">
        <f>JP!E71</f>
        <v>560758.02659999998</v>
      </c>
      <c r="G71" s="86">
        <f>REP!I71</f>
        <v>-10602.174748284631</v>
      </c>
      <c r="H71" s="18">
        <f t="shared" si="4"/>
        <v>2299488.6576035642</v>
      </c>
      <c r="I71" s="59"/>
    </row>
    <row r="72" spans="1:9" x14ac:dyDescent="0.2">
      <c r="A72" s="367"/>
      <c r="B72" s="47" t="str">
        <f>DFIE!$B35</f>
        <v>Glarus</v>
      </c>
      <c r="C72" s="198">
        <f>NP!E72</f>
        <v>620533.5</v>
      </c>
      <c r="D72" s="198">
        <f>QS!AA72</f>
        <v>44576.178209182763</v>
      </c>
      <c r="E72" s="198">
        <f>VERM!J16</f>
        <v>108220.714322</v>
      </c>
      <c r="F72" s="198">
        <f>JP!E72</f>
        <v>233663.77160000001</v>
      </c>
      <c r="G72" s="198">
        <f>REP!I72</f>
        <v>10955.498013449869</v>
      </c>
      <c r="H72" s="22">
        <f t="shared" si="4"/>
        <v>1017949.6621446327</v>
      </c>
      <c r="I72" s="59"/>
    </row>
    <row r="73" spans="1:9" x14ac:dyDescent="0.2">
      <c r="A73" s="367"/>
      <c r="B73" s="46" t="str">
        <f>DFIE!$B36</f>
        <v>Zug</v>
      </c>
      <c r="C73" s="86">
        <f>NP!E73</f>
        <v>5148929.9000000004</v>
      </c>
      <c r="D73" s="86">
        <f>QS!AA73</f>
        <v>246531.03845646983</v>
      </c>
      <c r="E73" s="86">
        <f>VERM!J17</f>
        <v>916648.75407232123</v>
      </c>
      <c r="F73" s="86">
        <f>JP!E73</f>
        <v>4472172.1766999997</v>
      </c>
      <c r="G73" s="86">
        <f>REP!I73</f>
        <v>-9313.526719331614</v>
      </c>
      <c r="H73" s="18">
        <f t="shared" si="4"/>
        <v>10774968.34250946</v>
      </c>
      <c r="I73" s="59"/>
    </row>
    <row r="74" spans="1:9" x14ac:dyDescent="0.2">
      <c r="A74" s="367"/>
      <c r="B74" s="47" t="str">
        <f>DFIE!$B37</f>
        <v>Freiburg</v>
      </c>
      <c r="C74" s="198">
        <f>NP!E74</f>
        <v>5333328.3000000007</v>
      </c>
      <c r="D74" s="198">
        <f>QS!AA74</f>
        <v>262273.91970822524</v>
      </c>
      <c r="E74" s="198">
        <f>VERM!J18</f>
        <v>423247.580686</v>
      </c>
      <c r="F74" s="198">
        <f>JP!E74</f>
        <v>2436954.3273</v>
      </c>
      <c r="G74" s="198">
        <f>REP!I74</f>
        <v>-136239.52658992069</v>
      </c>
      <c r="H74" s="22">
        <f t="shared" si="4"/>
        <v>8319564.6011043061</v>
      </c>
      <c r="I74" s="59"/>
    </row>
    <row r="75" spans="1:9" x14ac:dyDescent="0.2">
      <c r="A75" s="367"/>
      <c r="B75" s="46" t="str">
        <f>DFIE!$B38</f>
        <v>Solothurn</v>
      </c>
      <c r="C75" s="86">
        <f>NP!E75</f>
        <v>5015312.9000000004</v>
      </c>
      <c r="D75" s="86">
        <f>QS!AA75</f>
        <v>182729.96896962932</v>
      </c>
      <c r="E75" s="86">
        <f>VERM!J19</f>
        <v>397826.97777200001</v>
      </c>
      <c r="F75" s="86">
        <f>JP!E75</f>
        <v>1082112.1237000001</v>
      </c>
      <c r="G75" s="86">
        <f>REP!I75</f>
        <v>30755.263255348706</v>
      </c>
      <c r="H75" s="18">
        <f t="shared" si="4"/>
        <v>6708737.2336969785</v>
      </c>
      <c r="I75" s="59"/>
    </row>
    <row r="76" spans="1:9" x14ac:dyDescent="0.2">
      <c r="A76" s="367"/>
      <c r="B76" s="47" t="str">
        <f>DFIE!$B39</f>
        <v>Basel-Stadt</v>
      </c>
      <c r="C76" s="198">
        <f>NP!E76</f>
        <v>5101953.8</v>
      </c>
      <c r="D76" s="198">
        <f>QS!AA76</f>
        <v>771173.62477973511</v>
      </c>
      <c r="E76" s="198">
        <f>VERM!J20</f>
        <v>790116.03850200004</v>
      </c>
      <c r="F76" s="198">
        <f>JP!E76</f>
        <v>2902346.6528000003</v>
      </c>
      <c r="G76" s="198">
        <f>REP!I76</f>
        <v>-26955.205714208314</v>
      </c>
      <c r="H76" s="22">
        <f t="shared" si="4"/>
        <v>9538634.9103675261</v>
      </c>
      <c r="I76" s="59"/>
    </row>
    <row r="77" spans="1:9" x14ac:dyDescent="0.2">
      <c r="A77" s="367"/>
      <c r="B77" s="46" t="str">
        <f>DFIE!$B40</f>
        <v>Basel-Landschaft</v>
      </c>
      <c r="C77" s="86">
        <f>NP!E77</f>
        <v>7090119.2000000002</v>
      </c>
      <c r="D77" s="86">
        <f>QS!AA77</f>
        <v>416434.49725221377</v>
      </c>
      <c r="E77" s="86">
        <f>VERM!J21</f>
        <v>613539.58413999993</v>
      </c>
      <c r="F77" s="86">
        <f>JP!E77</f>
        <v>1591671.3447</v>
      </c>
      <c r="G77" s="86">
        <f>REP!I77</f>
        <v>-26758.490906951374</v>
      </c>
      <c r="H77" s="18">
        <f t="shared" si="4"/>
        <v>9685006.1351852622</v>
      </c>
      <c r="I77" s="59"/>
    </row>
    <row r="78" spans="1:9" x14ac:dyDescent="0.2">
      <c r="A78" s="367"/>
      <c r="B78" s="47" t="str">
        <f>DFIE!$B41</f>
        <v>Schaffhausen</v>
      </c>
      <c r="C78" s="198">
        <f>NP!E78</f>
        <v>1414173.4000000001</v>
      </c>
      <c r="D78" s="198">
        <f>QS!AA78</f>
        <v>157978.09487027585</v>
      </c>
      <c r="E78" s="198">
        <f>VERM!J22</f>
        <v>192537.74897000002</v>
      </c>
      <c r="F78" s="198">
        <f>JP!E78</f>
        <v>764061.54890000005</v>
      </c>
      <c r="G78" s="198">
        <f>REP!I78</f>
        <v>10168.866281981018</v>
      </c>
      <c r="H78" s="22">
        <f t="shared" si="4"/>
        <v>2538919.6590222572</v>
      </c>
      <c r="I78" s="59"/>
    </row>
    <row r="79" spans="1:9" x14ac:dyDescent="0.2">
      <c r="A79" s="367"/>
      <c r="B79" s="46" t="str">
        <f>DFIE!$B42</f>
        <v>Appenzell A.Rh.</v>
      </c>
      <c r="C79" s="86">
        <f>NP!E79</f>
        <v>1044040.8999999999</v>
      </c>
      <c r="D79" s="86">
        <f>QS!AA79</f>
        <v>16176.789719056032</v>
      </c>
      <c r="E79" s="86">
        <f>VERM!J23</f>
        <v>205964.52494800001</v>
      </c>
      <c r="F79" s="86">
        <f>JP!E79</f>
        <v>365997.56040000002</v>
      </c>
      <c r="G79" s="86">
        <f>REP!I79</f>
        <v>-2998.5869938881733</v>
      </c>
      <c r="H79" s="18">
        <f t="shared" si="4"/>
        <v>1629181.1880731678</v>
      </c>
      <c r="I79" s="59"/>
    </row>
    <row r="80" spans="1:9" x14ac:dyDescent="0.2">
      <c r="A80" s="367"/>
      <c r="B80" s="47" t="str">
        <f>DFIE!$B43</f>
        <v>Appenzell I.Rh.</v>
      </c>
      <c r="C80" s="198">
        <f>NP!E80</f>
        <v>313380.19999999995</v>
      </c>
      <c r="D80" s="198">
        <f>QS!AA80</f>
        <v>10199.356564433147</v>
      </c>
      <c r="E80" s="198">
        <f>VERM!J24</f>
        <v>73454.065482000005</v>
      </c>
      <c r="F80" s="198">
        <f>JP!E80</f>
        <v>118537.1418</v>
      </c>
      <c r="G80" s="198">
        <f>REP!I80</f>
        <v>148.13069783676167</v>
      </c>
      <c r="H80" s="22">
        <f t="shared" si="4"/>
        <v>515718.89454426983</v>
      </c>
      <c r="I80" s="59"/>
    </row>
    <row r="81" spans="1:9" x14ac:dyDescent="0.2">
      <c r="A81" s="367"/>
      <c r="B81" s="46" t="str">
        <f>DFIE!$B44</f>
        <v>St. Gallen</v>
      </c>
      <c r="C81" s="86">
        <f>NP!E81</f>
        <v>8485116.1999999993</v>
      </c>
      <c r="D81" s="86">
        <f>QS!AA81</f>
        <v>459375.59573729045</v>
      </c>
      <c r="E81" s="86">
        <f>VERM!J25</f>
        <v>1513112.7762799999</v>
      </c>
      <c r="F81" s="86">
        <f>JP!E81</f>
        <v>3766771.9241999998</v>
      </c>
      <c r="G81" s="86">
        <f>REP!I81</f>
        <v>-13903.46747088636</v>
      </c>
      <c r="H81" s="18">
        <f t="shared" si="4"/>
        <v>14210473.028746404</v>
      </c>
      <c r="I81" s="59"/>
    </row>
    <row r="82" spans="1:9" x14ac:dyDescent="0.2">
      <c r="A82" s="367"/>
      <c r="B82" s="47" t="str">
        <f>DFIE!$B45</f>
        <v>Graubünden</v>
      </c>
      <c r="C82" s="198">
        <f>NP!E82</f>
        <v>3580407.8</v>
      </c>
      <c r="D82" s="198">
        <f>QS!AA82</f>
        <v>403082.54997997265</v>
      </c>
      <c r="E82" s="198">
        <f>VERM!J26</f>
        <v>871421.63810800004</v>
      </c>
      <c r="F82" s="198">
        <f>JP!E82</f>
        <v>955799.17359999998</v>
      </c>
      <c r="G82" s="198">
        <f>REP!I82</f>
        <v>87864.407726805162</v>
      </c>
      <c r="H82" s="22">
        <f t="shared" si="4"/>
        <v>5898575.5694147777</v>
      </c>
      <c r="I82" s="59"/>
    </row>
    <row r="83" spans="1:9" x14ac:dyDescent="0.2">
      <c r="A83" s="367"/>
      <c r="B83" s="46" t="str">
        <f>DFIE!$B46</f>
        <v>Aargau</v>
      </c>
      <c r="C83" s="86">
        <f>NP!E83</f>
        <v>13265351.6</v>
      </c>
      <c r="D83" s="86">
        <f>QS!AA83</f>
        <v>713224.99249996548</v>
      </c>
      <c r="E83" s="86">
        <f>VERM!J27</f>
        <v>1655454.8326200219</v>
      </c>
      <c r="F83" s="86">
        <f>JP!E83</f>
        <v>3225091.4839000003</v>
      </c>
      <c r="G83" s="86">
        <f>REP!I83</f>
        <v>-9535.424156428975</v>
      </c>
      <c r="H83" s="18">
        <f t="shared" si="4"/>
        <v>18849587.484863561</v>
      </c>
      <c r="I83" s="59"/>
    </row>
    <row r="84" spans="1:9" x14ac:dyDescent="0.2">
      <c r="A84" s="367"/>
      <c r="B84" s="47" t="str">
        <f>DFIE!$B47</f>
        <v>Thurgau</v>
      </c>
      <c r="C84" s="198">
        <f>NP!E84</f>
        <v>4980964.2999999989</v>
      </c>
      <c r="D84" s="198">
        <f>QS!AA84</f>
        <v>307418.75376338843</v>
      </c>
      <c r="E84" s="198">
        <f>VERM!J28</f>
        <v>806275.01359999995</v>
      </c>
      <c r="F84" s="198">
        <f>JP!E84</f>
        <v>1324596.0828000002</v>
      </c>
      <c r="G84" s="198">
        <f>REP!I84</f>
        <v>17024.382046098654</v>
      </c>
      <c r="H84" s="22">
        <f t="shared" si="4"/>
        <v>7436278.5322094867</v>
      </c>
      <c r="I84" s="59"/>
    </row>
    <row r="85" spans="1:9" x14ac:dyDescent="0.2">
      <c r="A85" s="367"/>
      <c r="B85" s="46" t="str">
        <f>DFIE!$B48</f>
        <v>Tessin</v>
      </c>
      <c r="C85" s="86">
        <f>NP!E85</f>
        <v>6962228.5999999996</v>
      </c>
      <c r="D85" s="86">
        <f>QS!AA85</f>
        <v>1131278.174605875</v>
      </c>
      <c r="E85" s="86">
        <f>VERM!J29</f>
        <v>930024.03271399997</v>
      </c>
      <c r="F85" s="86">
        <f>JP!E85</f>
        <v>2865855.3408000004</v>
      </c>
      <c r="G85" s="86">
        <f>REP!I85</f>
        <v>70156.104539927226</v>
      </c>
      <c r="H85" s="18">
        <f t="shared" si="4"/>
        <v>11959542.252659803</v>
      </c>
      <c r="I85" s="59"/>
    </row>
    <row r="86" spans="1:9" x14ac:dyDescent="0.2">
      <c r="A86" s="367"/>
      <c r="B86" s="47" t="str">
        <f>DFIE!$B49</f>
        <v>Waadt</v>
      </c>
      <c r="C86" s="198">
        <f>NP!E86</f>
        <v>17777305.099999998</v>
      </c>
      <c r="D86" s="198">
        <f>QS!AA86</f>
        <v>1370200.6311672414</v>
      </c>
      <c r="E86" s="198">
        <f>VERM!J30</f>
        <v>2075067.657936</v>
      </c>
      <c r="F86" s="198">
        <f>JP!E86</f>
        <v>6190200.4636000004</v>
      </c>
      <c r="G86" s="198">
        <f>REP!I86</f>
        <v>-68543.602743397423</v>
      </c>
      <c r="H86" s="22">
        <f t="shared" si="4"/>
        <v>27344230.249959838</v>
      </c>
      <c r="I86" s="59"/>
    </row>
    <row r="87" spans="1:9" x14ac:dyDescent="0.2">
      <c r="A87" s="367"/>
      <c r="B87" s="46" t="str">
        <f>DFIE!$B50</f>
        <v>Wallis</v>
      </c>
      <c r="C87" s="86">
        <f>NP!E87</f>
        <v>5343786.8000000007</v>
      </c>
      <c r="D87" s="86">
        <f>QS!AA87</f>
        <v>482582.1661169572</v>
      </c>
      <c r="E87" s="86">
        <f>VERM!J31</f>
        <v>757755.848948</v>
      </c>
      <c r="F87" s="86">
        <f>JP!E87</f>
        <v>1271419.4846000001</v>
      </c>
      <c r="G87" s="86">
        <f>REP!I87</f>
        <v>85029.650750185116</v>
      </c>
      <c r="H87" s="18">
        <f t="shared" si="4"/>
        <v>7940573.9504151437</v>
      </c>
      <c r="I87" s="59"/>
    </row>
    <row r="88" spans="1:9" x14ac:dyDescent="0.2">
      <c r="A88" s="367"/>
      <c r="B88" s="47" t="str">
        <f>DFIE!$B51</f>
        <v>Neuenburg</v>
      </c>
      <c r="C88" s="198">
        <f>NP!E88</f>
        <v>2927109.3000000003</v>
      </c>
      <c r="D88" s="198">
        <f>QS!AA88</f>
        <v>287734.53790262068</v>
      </c>
      <c r="E88" s="198">
        <f>VERM!J32</f>
        <v>270944.75821</v>
      </c>
      <c r="F88" s="198">
        <f>JP!E88</f>
        <v>1530851.2097</v>
      </c>
      <c r="G88" s="198">
        <f>REP!I88</f>
        <v>100944.81536869246</v>
      </c>
      <c r="H88" s="22">
        <f t="shared" si="4"/>
        <v>5117584.6211813139</v>
      </c>
      <c r="I88" s="59"/>
    </row>
    <row r="89" spans="1:9" x14ac:dyDescent="0.2">
      <c r="A89" s="367"/>
      <c r="B89" s="46" t="str">
        <f>DFIE!$B52</f>
        <v>Genf</v>
      </c>
      <c r="C89" s="86">
        <f>NP!E89</f>
        <v>13158126.5</v>
      </c>
      <c r="D89" s="86">
        <f>QS!AA89</f>
        <v>2454917.811528855</v>
      </c>
      <c r="E89" s="86">
        <f>VERM!J33</f>
        <v>1761715.7003599999</v>
      </c>
      <c r="F89" s="86">
        <f>JP!E89</f>
        <v>5991921.5356999999</v>
      </c>
      <c r="G89" s="86">
        <f>REP!I89</f>
        <v>117994.3947649911</v>
      </c>
      <c r="H89" s="18">
        <f t="shared" si="4"/>
        <v>23484675.942353845</v>
      </c>
      <c r="I89" s="59"/>
    </row>
    <row r="90" spans="1:9" x14ac:dyDescent="0.2">
      <c r="A90" s="367"/>
      <c r="B90" s="47" t="str">
        <f>DFIE!$B53</f>
        <v>Jura</v>
      </c>
      <c r="C90" s="198">
        <f>NP!E90</f>
        <v>1001204.7</v>
      </c>
      <c r="D90" s="198">
        <f>QS!AA90</f>
        <v>106485.53834172411</v>
      </c>
      <c r="E90" s="198">
        <f>VERM!J34</f>
        <v>104442.04400000001</v>
      </c>
      <c r="F90" s="198">
        <f>JP!E90</f>
        <v>406594.26630000002</v>
      </c>
      <c r="G90" s="198">
        <f>REP!I90</f>
        <v>26195.017778571269</v>
      </c>
      <c r="H90" s="22">
        <f t="shared" si="4"/>
        <v>1644921.5664202953</v>
      </c>
      <c r="I90" s="59"/>
    </row>
    <row r="91" spans="1:9" x14ac:dyDescent="0.2">
      <c r="A91" s="367"/>
      <c r="B91" s="24" t="str">
        <f>DFIE!$B54</f>
        <v>Schweiz</v>
      </c>
      <c r="C91" s="31">
        <f t="shared" ref="C91:H91" si="5">SUM(C65:C90)</f>
        <v>181691296.00000003</v>
      </c>
      <c r="D91" s="31">
        <f t="shared" si="5"/>
        <v>13313683.222171463</v>
      </c>
      <c r="E91" s="31">
        <f t="shared" si="5"/>
        <v>26126300.303994115</v>
      </c>
      <c r="F91" s="31">
        <f t="shared" si="5"/>
        <v>73240285.641300008</v>
      </c>
      <c r="G91" s="31">
        <f t="shared" si="5"/>
        <v>44354.805193749286</v>
      </c>
      <c r="H91" s="26">
        <f t="shared" si="5"/>
        <v>294415919.97265929</v>
      </c>
      <c r="I91" s="59"/>
    </row>
  </sheetData>
  <mergeCells count="3">
    <mergeCell ref="A9:A35"/>
    <mergeCell ref="A37:A63"/>
    <mergeCell ref="A65:A91"/>
  </mergeCells>
  <conditionalFormatting sqref="C9:H34">
    <cfRule type="expression" dxfId="14" priority="8" stopIfTrue="1">
      <formula>ISBLANK(C9)</formula>
    </cfRule>
  </conditionalFormatting>
  <conditionalFormatting sqref="C37:H37">
    <cfRule type="expression" dxfId="13" priority="7" stopIfTrue="1">
      <formula>ISBLANK(C37)</formula>
    </cfRule>
  </conditionalFormatting>
  <conditionalFormatting sqref="C65:H65">
    <cfRule type="expression" dxfId="12" priority="6" stopIfTrue="1">
      <formula>ISBLANK(C65)</formula>
    </cfRule>
  </conditionalFormatting>
  <conditionalFormatting sqref="C38:H62">
    <cfRule type="expression" dxfId="11" priority="2" stopIfTrue="1">
      <formula>ISBLANK(C38)</formula>
    </cfRule>
  </conditionalFormatting>
  <conditionalFormatting sqref="C66:H90">
    <cfRule type="expression" dxfId="10" priority="1" stopIfTrue="1">
      <formula>ISBLANK(C66)</formula>
    </cfRule>
  </conditionalFormatting>
  <pageMargins left="0.78740157480314965" right="0.78740157480314965" top="0.98425196850393704" bottom="0.98425196850393704" header="0.51181102362204722" footer="0.51181102362204722"/>
  <pageSetup paperSize="9" scale="95" orientation="landscape"/>
  <headerFooter scaleWithDoc="0" alignWithMargins="0">
    <oddHeader>&amp;L&amp;F&amp;R&amp;A</oddHeader>
    <oddFooter>&amp;C&amp;P / &amp;N</oddFooter>
  </headerFooter>
  <rowBreaks count="2" manualBreakCount="2">
    <brk id="36" max="16383" man="1"/>
    <brk id="64" max="16383" man="1"/>
  </rowBreaks>
  <customProperties>
    <customPr name="EpmWorksheetKeyString_GUID" r:id="rId1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"/>
  <sheetViews>
    <sheetView showGridLines="0" zoomScaleNormal="100" workbookViewId="0">
      <selection activeCell="A50" sqref="A50"/>
    </sheetView>
  </sheetViews>
  <sheetFormatPr baseColWidth="10" defaultColWidth="9.140625" defaultRowHeight="12.75" x14ac:dyDescent="0.2"/>
  <cols>
    <col min="1" max="1" width="1.42578125" customWidth="1"/>
    <col min="2" max="2" width="18.85546875" customWidth="1"/>
    <col min="3" max="6" width="18.7109375" customWidth="1"/>
  </cols>
  <sheetData>
    <row r="1" spans="1:6" ht="18" customHeight="1" x14ac:dyDescent="0.2">
      <c r="B1" s="120" t="str">
        <f>DFIE!B167</f>
        <v>Massgebende Wohnbevölkerung 2020</v>
      </c>
      <c r="C1" s="210"/>
      <c r="D1" s="210"/>
      <c r="E1" s="217"/>
      <c r="F1" s="130"/>
    </row>
    <row r="2" spans="1:6" ht="12.75" customHeight="1" x14ac:dyDescent="0.2">
      <c r="A2" s="207"/>
      <c r="B2" s="51"/>
      <c r="C2" s="207"/>
      <c r="D2" s="207"/>
      <c r="E2" s="208"/>
      <c r="F2" s="209"/>
    </row>
    <row r="3" spans="1:6" ht="0.75" customHeight="1" x14ac:dyDescent="0.2">
      <c r="A3" s="120"/>
      <c r="C3" s="210"/>
      <c r="D3" s="210"/>
      <c r="E3" s="217"/>
      <c r="F3" s="130"/>
    </row>
    <row r="4" spans="1:6" ht="12" customHeight="1" x14ac:dyDescent="0.2">
      <c r="A4" s="205"/>
      <c r="B4" s="34" t="str">
        <f>DFIE!B55</f>
        <v>Spalte</v>
      </c>
      <c r="C4" s="35" t="s">
        <v>30</v>
      </c>
      <c r="D4" s="35" t="s">
        <v>31</v>
      </c>
      <c r="E4" s="35" t="s">
        <v>32</v>
      </c>
      <c r="F4" s="36" t="s">
        <v>43</v>
      </c>
    </row>
    <row r="5" spans="1:6" ht="12" customHeight="1" x14ac:dyDescent="0.2">
      <c r="A5" s="213"/>
      <c r="B5" s="34" t="str">
        <f>DFIE!B56</f>
        <v>Formel</v>
      </c>
      <c r="C5" s="211"/>
      <c r="D5" s="211"/>
      <c r="E5" s="211"/>
      <c r="F5" s="73" t="s">
        <v>63</v>
      </c>
    </row>
    <row r="6" spans="1:6" ht="42" customHeight="1" x14ac:dyDescent="0.2">
      <c r="B6" s="214"/>
      <c r="C6" s="385" t="str">
        <f>DFIE!B168</f>
        <v>Mittlere ständige und nichtständige Wohnbevölkerung</v>
      </c>
      <c r="D6" s="385"/>
      <c r="E6" s="385"/>
      <c r="F6" s="28" t="str">
        <f>DFIE!B169</f>
        <v>Massgebende
Wohnbevölkerung</v>
      </c>
    </row>
    <row r="7" spans="1:6" ht="16.5" customHeight="1" x14ac:dyDescent="0.2">
      <c r="B7" s="215"/>
      <c r="C7" s="206">
        <f>DFIE!$G$2-6</f>
        <v>2014</v>
      </c>
      <c r="D7" s="206">
        <f>DFIE!$G$2-5</f>
        <v>2015</v>
      </c>
      <c r="E7" s="206">
        <f>DFIE!$G$2-4</f>
        <v>2016</v>
      </c>
      <c r="F7" s="216">
        <f>DFIE!$G$2</f>
        <v>2020</v>
      </c>
    </row>
    <row r="8" spans="1:6" ht="12.75" customHeight="1" x14ac:dyDescent="0.2">
      <c r="A8" s="213"/>
      <c r="B8" s="34" t="str">
        <f>DFIE!B58</f>
        <v>Einheit</v>
      </c>
      <c r="C8" s="41" t="str">
        <f>DFIE!$B$61</f>
        <v>Anzahl</v>
      </c>
      <c r="D8" s="41" t="str">
        <f>DFIE!$B$61</f>
        <v>Anzahl</v>
      </c>
      <c r="E8" s="41" t="str">
        <f>DFIE!$B$61</f>
        <v>Anzahl</v>
      </c>
      <c r="F8" s="212" t="str">
        <f>DFIE!$B$61</f>
        <v>Anzahl</v>
      </c>
    </row>
    <row r="9" spans="1:6" x14ac:dyDescent="0.2">
      <c r="B9" s="46" t="str">
        <f>DFIE!$B28</f>
        <v>Zürich</v>
      </c>
      <c r="C9" s="61">
        <v>1449417</v>
      </c>
      <c r="D9" s="61">
        <v>1471040.5</v>
      </c>
      <c r="E9" s="61">
        <v>1491463.5</v>
      </c>
      <c r="F9" s="18">
        <f>AVERAGE(C9:E9)</f>
        <v>1470640.3333333333</v>
      </c>
    </row>
    <row r="10" spans="1:6" x14ac:dyDescent="0.2">
      <c r="B10" s="47" t="str">
        <f>DFIE!$B29</f>
        <v>Bern</v>
      </c>
      <c r="C10" s="43">
        <v>1012795</v>
      </c>
      <c r="D10" s="43">
        <v>1021761</v>
      </c>
      <c r="E10" s="43">
        <v>1029624.5</v>
      </c>
      <c r="F10" s="22">
        <f t="shared" ref="F10:F34" si="0">AVERAGE(C10:E10)</f>
        <v>1021393.5</v>
      </c>
    </row>
    <row r="11" spans="1:6" x14ac:dyDescent="0.2">
      <c r="B11" s="46" t="str">
        <f>DFIE!$B30</f>
        <v>Luzern</v>
      </c>
      <c r="C11" s="61">
        <v>395767.5</v>
      </c>
      <c r="D11" s="61">
        <v>400429.5</v>
      </c>
      <c r="E11" s="61">
        <v>404639</v>
      </c>
      <c r="F11" s="18">
        <f t="shared" si="0"/>
        <v>400278.66666666669</v>
      </c>
    </row>
    <row r="12" spans="1:6" x14ac:dyDescent="0.2">
      <c r="B12" s="47" t="str">
        <f>DFIE!$B31</f>
        <v>Uri</v>
      </c>
      <c r="C12" s="43">
        <v>36446.5</v>
      </c>
      <c r="D12" s="43">
        <v>36571</v>
      </c>
      <c r="E12" s="43">
        <v>36543.5</v>
      </c>
      <c r="F12" s="22">
        <f t="shared" si="0"/>
        <v>36520.333333333336</v>
      </c>
    </row>
    <row r="13" spans="1:6" x14ac:dyDescent="0.2">
      <c r="B13" s="46" t="str">
        <f>DFIE!$B32</f>
        <v>Schwyz</v>
      </c>
      <c r="C13" s="61">
        <v>153522</v>
      </c>
      <c r="D13" s="61">
        <v>154983.5</v>
      </c>
      <c r="E13" s="61">
        <v>156445.5</v>
      </c>
      <c r="F13" s="18">
        <f t="shared" si="0"/>
        <v>154983.66666666666</v>
      </c>
    </row>
    <row r="14" spans="1:6" x14ac:dyDescent="0.2">
      <c r="B14" s="47" t="str">
        <f>DFIE!$B33</f>
        <v>Obwalden</v>
      </c>
      <c r="C14" s="43">
        <v>37060.5</v>
      </c>
      <c r="D14" s="43">
        <v>37349</v>
      </c>
      <c r="E14" s="43">
        <v>37577</v>
      </c>
      <c r="F14" s="22">
        <f t="shared" si="0"/>
        <v>37328.833333333336</v>
      </c>
    </row>
    <row r="15" spans="1:6" x14ac:dyDescent="0.2">
      <c r="B15" s="46" t="str">
        <f>DFIE!$B34</f>
        <v>Nidwalden</v>
      </c>
      <c r="C15" s="61">
        <v>42345</v>
      </c>
      <c r="D15" s="61">
        <v>42618</v>
      </c>
      <c r="E15" s="61">
        <v>42818.5</v>
      </c>
      <c r="F15" s="18">
        <f t="shared" si="0"/>
        <v>42593.833333333336</v>
      </c>
    </row>
    <row r="16" spans="1:6" x14ac:dyDescent="0.2">
      <c r="B16" s="47" t="str">
        <f>DFIE!$B35</f>
        <v>Glarus</v>
      </c>
      <c r="C16" s="43">
        <v>40284</v>
      </c>
      <c r="D16" s="43">
        <v>40465.5</v>
      </c>
      <c r="E16" s="43">
        <v>40518.5</v>
      </c>
      <c r="F16" s="22">
        <f t="shared" si="0"/>
        <v>40422.666666666664</v>
      </c>
    </row>
    <row r="17" spans="2:6" x14ac:dyDescent="0.2">
      <c r="B17" s="46" t="str">
        <f>DFIE!$B36</f>
        <v>Zug</v>
      </c>
      <c r="C17" s="61">
        <v>120723.5</v>
      </c>
      <c r="D17" s="61">
        <v>122830.5</v>
      </c>
      <c r="E17" s="61">
        <v>124782</v>
      </c>
      <c r="F17" s="18">
        <f t="shared" si="0"/>
        <v>122778.66666666667</v>
      </c>
    </row>
    <row r="18" spans="2:6" x14ac:dyDescent="0.2">
      <c r="B18" s="47" t="str">
        <f>DFIE!$B37</f>
        <v>Freiburg</v>
      </c>
      <c r="C18" s="43">
        <v>302516.5</v>
      </c>
      <c r="D18" s="43">
        <v>307610</v>
      </c>
      <c r="E18" s="43">
        <v>311769.5</v>
      </c>
      <c r="F18" s="22">
        <f t="shared" si="0"/>
        <v>307298.66666666669</v>
      </c>
    </row>
    <row r="19" spans="2:6" x14ac:dyDescent="0.2">
      <c r="B19" s="46" t="str">
        <f>DFIE!$B38</f>
        <v>Solothurn</v>
      </c>
      <c r="C19" s="61">
        <v>264603.5</v>
      </c>
      <c r="D19" s="61">
        <v>267462</v>
      </c>
      <c r="E19" s="61">
        <v>270230</v>
      </c>
      <c r="F19" s="18">
        <f t="shared" si="0"/>
        <v>267431.83333333331</v>
      </c>
    </row>
    <row r="20" spans="2:6" x14ac:dyDescent="0.2">
      <c r="B20" s="47" t="str">
        <f>DFIE!$B39</f>
        <v>Basel-Stadt</v>
      </c>
      <c r="C20" s="43">
        <v>193348</v>
      </c>
      <c r="D20" s="43">
        <v>194568.5</v>
      </c>
      <c r="E20" s="43">
        <v>195576.5</v>
      </c>
      <c r="F20" s="22">
        <f t="shared" si="0"/>
        <v>194497.66666666666</v>
      </c>
    </row>
    <row r="21" spans="2:6" x14ac:dyDescent="0.2">
      <c r="B21" s="46" t="str">
        <f>DFIE!$B40</f>
        <v>Basel-Landschaft</v>
      </c>
      <c r="C21" s="61">
        <v>281409</v>
      </c>
      <c r="D21" s="61">
        <v>283891</v>
      </c>
      <c r="E21" s="61">
        <v>286034</v>
      </c>
      <c r="F21" s="18">
        <f t="shared" si="0"/>
        <v>283778</v>
      </c>
    </row>
    <row r="22" spans="2:6" x14ac:dyDescent="0.2">
      <c r="B22" s="47" t="str">
        <f>DFIE!$B41</f>
        <v>Schaffhausen</v>
      </c>
      <c r="C22" s="43">
        <v>79962</v>
      </c>
      <c r="D22" s="43">
        <v>80711.5</v>
      </c>
      <c r="E22" s="43">
        <v>81312</v>
      </c>
      <c r="F22" s="22">
        <f t="shared" si="0"/>
        <v>80661.833333333328</v>
      </c>
    </row>
    <row r="23" spans="2:6" x14ac:dyDescent="0.2">
      <c r="B23" s="46" t="str">
        <f>DFIE!$B42</f>
        <v>Appenzell A.Rh.</v>
      </c>
      <c r="C23" s="61">
        <v>54116</v>
      </c>
      <c r="D23" s="61">
        <v>54593.5</v>
      </c>
      <c r="E23" s="61">
        <v>54999.5</v>
      </c>
      <c r="F23" s="18">
        <f t="shared" si="0"/>
        <v>54569.666666666664</v>
      </c>
    </row>
    <row r="24" spans="2:6" x14ac:dyDescent="0.2">
      <c r="B24" s="47" t="str">
        <f>DFIE!$B43</f>
        <v>Appenzell I.Rh.</v>
      </c>
      <c r="C24" s="43">
        <v>15901.5</v>
      </c>
      <c r="D24" s="43">
        <v>16026</v>
      </c>
      <c r="E24" s="43">
        <v>16095.5</v>
      </c>
      <c r="F24" s="22">
        <f t="shared" si="0"/>
        <v>16007.666666666666</v>
      </c>
    </row>
    <row r="25" spans="2:6" x14ac:dyDescent="0.2">
      <c r="B25" s="46" t="str">
        <f>DFIE!$B44</f>
        <v>St. Gallen</v>
      </c>
      <c r="C25" s="61">
        <v>497272</v>
      </c>
      <c r="D25" s="61">
        <v>501397.5</v>
      </c>
      <c r="E25" s="61">
        <v>504443.5</v>
      </c>
      <c r="F25" s="18">
        <f t="shared" si="0"/>
        <v>501037.66666666669</v>
      </c>
    </row>
    <row r="26" spans="2:6" x14ac:dyDescent="0.2">
      <c r="B26" s="47" t="str">
        <f>DFIE!$B45</f>
        <v>Graubünden</v>
      </c>
      <c r="C26" s="43">
        <v>203762.5</v>
      </c>
      <c r="D26" s="43">
        <v>204445.5</v>
      </c>
      <c r="E26" s="43">
        <v>205098.5</v>
      </c>
      <c r="F26" s="22">
        <f t="shared" si="0"/>
        <v>204435.5</v>
      </c>
    </row>
    <row r="27" spans="2:6" x14ac:dyDescent="0.2">
      <c r="B27" s="46" t="str">
        <f>DFIE!$B46</f>
        <v>Aargau</v>
      </c>
      <c r="C27" s="61">
        <v>646118</v>
      </c>
      <c r="D27" s="61">
        <v>656127.5</v>
      </c>
      <c r="E27" s="61">
        <v>664791</v>
      </c>
      <c r="F27" s="18">
        <f t="shared" si="0"/>
        <v>655678.83333333337</v>
      </c>
    </row>
    <row r="28" spans="2:6" x14ac:dyDescent="0.2">
      <c r="B28" s="47" t="str">
        <f>DFIE!$B47</f>
        <v>Thurgau</v>
      </c>
      <c r="C28" s="43">
        <v>264298.5</v>
      </c>
      <c r="D28" s="43">
        <v>267778</v>
      </c>
      <c r="E28" s="43">
        <v>271090.5</v>
      </c>
      <c r="F28" s="22">
        <f t="shared" si="0"/>
        <v>267722.33333333331</v>
      </c>
    </row>
    <row r="29" spans="2:6" x14ac:dyDescent="0.2">
      <c r="B29" s="46" t="str">
        <f>DFIE!$B48</f>
        <v>Tessin</v>
      </c>
      <c r="C29" s="61">
        <v>350921</v>
      </c>
      <c r="D29" s="61">
        <v>353860.5</v>
      </c>
      <c r="E29" s="61">
        <v>355903</v>
      </c>
      <c r="F29" s="18">
        <f t="shared" si="0"/>
        <v>353561.5</v>
      </c>
    </row>
    <row r="30" spans="2:6" x14ac:dyDescent="0.2">
      <c r="B30" s="47" t="str">
        <f>DFIE!$B49</f>
        <v>Waadt</v>
      </c>
      <c r="C30" s="43">
        <v>765429</v>
      </c>
      <c r="D30" s="43">
        <v>777920</v>
      </c>
      <c r="E30" s="43">
        <v>789061</v>
      </c>
      <c r="F30" s="22">
        <f t="shared" si="0"/>
        <v>777470</v>
      </c>
    </row>
    <row r="31" spans="2:6" x14ac:dyDescent="0.2">
      <c r="B31" s="46" t="str">
        <f>DFIE!$B50</f>
        <v>Wallis</v>
      </c>
      <c r="C31" s="61">
        <v>337770.5</v>
      </c>
      <c r="D31" s="61">
        <v>341985.5</v>
      </c>
      <c r="E31" s="61">
        <v>345348.5</v>
      </c>
      <c r="F31" s="18">
        <f t="shared" si="0"/>
        <v>341701.5</v>
      </c>
    </row>
    <row r="32" spans="2:6" x14ac:dyDescent="0.2">
      <c r="B32" s="47" t="str">
        <f>DFIE!$B51</f>
        <v>Neuenburg</v>
      </c>
      <c r="C32" s="43">
        <v>178342</v>
      </c>
      <c r="D32" s="43">
        <v>179280</v>
      </c>
      <c r="E32" s="43">
        <v>179768.5</v>
      </c>
      <c r="F32" s="22">
        <f t="shared" si="0"/>
        <v>179130.16666666666</v>
      </c>
    </row>
    <row r="33" spans="1:6" x14ac:dyDescent="0.2">
      <c r="B33" s="46" t="str">
        <f>DFIE!$B52</f>
        <v>Genf</v>
      </c>
      <c r="C33" s="61">
        <v>476876.5</v>
      </c>
      <c r="D33" s="61">
        <v>485365.5</v>
      </c>
      <c r="E33" s="61">
        <v>491218</v>
      </c>
      <c r="F33" s="18">
        <f t="shared" si="0"/>
        <v>484486.66666666669</v>
      </c>
    </row>
    <row r="34" spans="1:6" x14ac:dyDescent="0.2">
      <c r="B34" s="47" t="str">
        <f>DFIE!$B53</f>
        <v>Jura</v>
      </c>
      <c r="C34" s="43">
        <v>72433</v>
      </c>
      <c r="D34" s="43">
        <v>73012</v>
      </c>
      <c r="E34" s="43">
        <v>73311</v>
      </c>
      <c r="F34" s="22">
        <f t="shared" si="0"/>
        <v>72918.666666666672</v>
      </c>
    </row>
    <row r="35" spans="1:6" x14ac:dyDescent="0.2">
      <c r="A35" s="40"/>
      <c r="B35" s="24" t="str">
        <f>DFIE!$B54</f>
        <v>Schweiz</v>
      </c>
      <c r="C35" s="31">
        <f>IF(DFIE!$G$2=2008,"",SUM(C9:C34))</f>
        <v>8273440.5</v>
      </c>
      <c r="D35" s="31">
        <f>SUM(D9:D34)</f>
        <v>8374083</v>
      </c>
      <c r="E35" s="31">
        <f>SUM(E9:E34)</f>
        <v>8460462.5</v>
      </c>
      <c r="F35" s="26">
        <f>SUM(F9:F34)</f>
        <v>8369328.666666667</v>
      </c>
    </row>
  </sheetData>
  <mergeCells count="1">
    <mergeCell ref="C6:E6"/>
  </mergeCells>
  <conditionalFormatting sqref="C9:E34 C7:F7">
    <cfRule type="expression" dxfId="9" priority="1" stopIfTrue="1">
      <formula>ISBLANK(C7)</formula>
    </cfRule>
  </conditionalFormatting>
  <pageMargins left="0.78740157480314965" right="0.78740157480314965" top="0.98425196850393704" bottom="0.98425196850393704" header="0.51181102362204722" footer="0.51181102362204722"/>
  <pageSetup paperSize="9" scale="95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15</vt:i4>
      </vt:variant>
      <vt:variant>
        <vt:lpstr>Benannte Bereiche</vt:lpstr>
      </vt:variant>
      <vt:variant>
        <vt:i4>19</vt:i4>
      </vt:variant>
    </vt:vector>
  </HeadingPairs>
  <TitlesOfParts>
    <vt:vector size="34" baseType="lpstr">
      <vt:lpstr>INTRO</vt:lpstr>
      <vt:lpstr>TOTAL</vt:lpstr>
      <vt:lpstr>NP</vt:lpstr>
      <vt:lpstr>QS</vt:lpstr>
      <vt:lpstr>VERM</vt:lpstr>
      <vt:lpstr>JP</vt:lpstr>
      <vt:lpstr>REP</vt:lpstr>
      <vt:lpstr>ASG</vt:lpstr>
      <vt:lpstr>BEV</vt:lpstr>
      <vt:lpstr>RP</vt:lpstr>
      <vt:lpstr>SST</vt:lpstr>
      <vt:lpstr>AUSZ</vt:lpstr>
      <vt:lpstr>DOT</vt:lpstr>
      <vt:lpstr>EINZ</vt:lpstr>
      <vt:lpstr>SSE</vt:lpstr>
      <vt:lpstr>ASG!Druckbereich</vt:lpstr>
      <vt:lpstr>AUSZ!Druckbereich</vt:lpstr>
      <vt:lpstr>BEV!Druckbereich</vt:lpstr>
      <vt:lpstr>DOT!Druckbereich</vt:lpstr>
      <vt:lpstr>EINZ!Druckbereich</vt:lpstr>
      <vt:lpstr>JP!Druckbereich</vt:lpstr>
      <vt:lpstr>NP!Druckbereich</vt:lpstr>
      <vt:lpstr>QS!Druckbereich</vt:lpstr>
      <vt:lpstr>REP!Druckbereich</vt:lpstr>
      <vt:lpstr>RP!Druckbereich</vt:lpstr>
      <vt:lpstr>SSE!Druckbereich</vt:lpstr>
      <vt:lpstr>SST!Druckbereich</vt:lpstr>
      <vt:lpstr>TOTAL!Druckbereich</vt:lpstr>
      <vt:lpstr>VERM!Druckbereich</vt:lpstr>
      <vt:lpstr>ASG!Drucktitel</vt:lpstr>
      <vt:lpstr>JP!Drucktitel</vt:lpstr>
      <vt:lpstr>NP!Drucktitel</vt:lpstr>
      <vt:lpstr>QS!Drucktitel</vt:lpstr>
      <vt:lpstr>REP!Drucktitel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shiny</dc:creator>
  <cp:lastModifiedBy>Witschard Jean-Pierre EFV</cp:lastModifiedBy>
  <dcterms:created xsi:type="dcterms:W3CDTF">2014-03-07T16:08:25Z</dcterms:created>
  <dcterms:modified xsi:type="dcterms:W3CDTF">2019-05-24T15:14:13Z</dcterms:modified>
</cp:coreProperties>
</file>