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V14" i="4"/>
  <c r="G11" i="4" s="1"/>
  <c r="G14" i="4" s="1"/>
  <c r="J14" i="4"/>
  <c r="J13" i="4"/>
  <c r="U11" i="4"/>
  <c r="O11" i="4"/>
  <c r="U10" i="4"/>
  <c r="V9" i="4"/>
  <c r="O8" i="4"/>
  <c r="D7" i="4"/>
  <c r="A4" i="4"/>
  <c r="L3" i="4"/>
  <c r="A1" i="4"/>
  <c r="C6" i="3"/>
  <c r="C7" i="3" s="1"/>
  <c r="B6" i="3"/>
  <c r="C3" i="3"/>
  <c r="A1" i="3"/>
  <c r="H36" i="2"/>
  <c r="G36" i="2"/>
  <c r="F36" i="2"/>
  <c r="E36" i="2"/>
  <c r="D36" i="2"/>
  <c r="C36" i="2"/>
  <c r="B36" i="2"/>
  <c r="J36" i="2" s="1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6" i="2" s="1"/>
  <c r="J2" i="2"/>
  <c r="A2" i="2"/>
  <c r="A2" i="3" s="1"/>
  <c r="A1" i="2"/>
  <c r="A5" i="1"/>
  <c r="A2" i="4" s="1"/>
  <c r="A4" i="1"/>
  <c r="F11" i="4" l="1"/>
  <c r="B11" i="4"/>
  <c r="C11" i="4"/>
  <c r="D11" i="4"/>
  <c r="H11" i="4"/>
  <c r="G13" i="4"/>
  <c r="G38" i="4"/>
  <c r="G34" i="4"/>
  <c r="G30" i="4"/>
  <c r="G26" i="4"/>
  <c r="G22" i="4"/>
  <c r="G18" i="4"/>
  <c r="G35" i="4"/>
  <c r="G31" i="4"/>
  <c r="G27" i="4"/>
  <c r="G23" i="4"/>
  <c r="G19" i="4"/>
  <c r="G15" i="4"/>
  <c r="E11" i="4"/>
  <c r="G16" i="4"/>
  <c r="G17" i="4"/>
  <c r="G20" i="4"/>
  <c r="G21" i="4"/>
  <c r="G24" i="4"/>
  <c r="G25" i="4"/>
  <c r="G28" i="4"/>
  <c r="G29" i="4"/>
  <c r="G32" i="4"/>
  <c r="G33" i="4"/>
  <c r="G36" i="4"/>
  <c r="G37" i="4"/>
  <c r="D37" i="4" l="1"/>
  <c r="D33" i="4"/>
  <c r="D29" i="4"/>
  <c r="D25" i="4"/>
  <c r="D21" i="4"/>
  <c r="D17" i="4"/>
  <c r="D14" i="4"/>
  <c r="D38" i="4"/>
  <c r="D34" i="4"/>
  <c r="D30" i="4"/>
  <c r="D26" i="4"/>
  <c r="D22" i="4"/>
  <c r="D18" i="4"/>
  <c r="D36" i="4"/>
  <c r="D35" i="4"/>
  <c r="D32" i="4"/>
  <c r="D31" i="4"/>
  <c r="D28" i="4"/>
  <c r="D27" i="4"/>
  <c r="D24" i="4"/>
  <c r="D23" i="4"/>
  <c r="D20" i="4"/>
  <c r="D19" i="4"/>
  <c r="D16" i="4"/>
  <c r="D15" i="4"/>
  <c r="D13" i="4"/>
  <c r="C38" i="4"/>
  <c r="I38" i="4" s="1"/>
  <c r="K38" i="4" s="1"/>
  <c r="C34" i="4"/>
  <c r="C30" i="4"/>
  <c r="C26" i="4"/>
  <c r="C22" i="4"/>
  <c r="I22" i="4" s="1"/>
  <c r="K22" i="4" s="1"/>
  <c r="C18" i="4"/>
  <c r="C35" i="4"/>
  <c r="C31" i="4"/>
  <c r="C27" i="4"/>
  <c r="I27" i="4" s="1"/>
  <c r="K27" i="4" s="1"/>
  <c r="L27" i="4" s="1"/>
  <c r="C23" i="4"/>
  <c r="C19" i="4"/>
  <c r="C15" i="4"/>
  <c r="C14" i="4"/>
  <c r="C13" i="4"/>
  <c r="C28" i="4"/>
  <c r="C25" i="4"/>
  <c r="C37" i="4"/>
  <c r="C36" i="4"/>
  <c r="C32" i="4"/>
  <c r="C20" i="4"/>
  <c r="C17" i="4"/>
  <c r="C33" i="4"/>
  <c r="C29" i="4"/>
  <c r="C24" i="4"/>
  <c r="C21" i="4"/>
  <c r="C16" i="4"/>
  <c r="G39" i="4"/>
  <c r="B35" i="4"/>
  <c r="B31" i="4"/>
  <c r="B27" i="4"/>
  <c r="B23" i="4"/>
  <c r="B19" i="4"/>
  <c r="B15" i="4"/>
  <c r="B36" i="4"/>
  <c r="B32" i="4"/>
  <c r="B28" i="4"/>
  <c r="B24" i="4"/>
  <c r="B20" i="4"/>
  <c r="B16" i="4"/>
  <c r="B13" i="4"/>
  <c r="B38" i="4"/>
  <c r="B34" i="4"/>
  <c r="B30" i="4"/>
  <c r="B26" i="4"/>
  <c r="B22" i="4"/>
  <c r="B18" i="4"/>
  <c r="B14" i="4"/>
  <c r="B37" i="4"/>
  <c r="B33" i="4"/>
  <c r="B29" i="4"/>
  <c r="B25" i="4"/>
  <c r="B21" i="4"/>
  <c r="B17" i="4"/>
  <c r="E36" i="4"/>
  <c r="E32" i="4"/>
  <c r="E28" i="4"/>
  <c r="E24" i="4"/>
  <c r="E20" i="4"/>
  <c r="E16" i="4"/>
  <c r="E13" i="4"/>
  <c r="E37" i="4"/>
  <c r="E33" i="4"/>
  <c r="E29" i="4"/>
  <c r="E25" i="4"/>
  <c r="E21" i="4"/>
  <c r="E17" i="4"/>
  <c r="E14" i="4"/>
  <c r="E35" i="4"/>
  <c r="E31" i="4"/>
  <c r="E27" i="4"/>
  <c r="E23" i="4"/>
  <c r="E19" i="4"/>
  <c r="E15" i="4"/>
  <c r="E38" i="4"/>
  <c r="E34" i="4"/>
  <c r="E30" i="4"/>
  <c r="E26" i="4"/>
  <c r="E22" i="4"/>
  <c r="E18" i="4"/>
  <c r="H37" i="4"/>
  <c r="H33" i="4"/>
  <c r="H29" i="4"/>
  <c r="H25" i="4"/>
  <c r="H21" i="4"/>
  <c r="H17" i="4"/>
  <c r="H14" i="4"/>
  <c r="H38" i="4"/>
  <c r="H34" i="4"/>
  <c r="H30" i="4"/>
  <c r="H26" i="4"/>
  <c r="H22" i="4"/>
  <c r="H18" i="4"/>
  <c r="H13" i="4"/>
  <c r="H36" i="4"/>
  <c r="H35" i="4"/>
  <c r="H32" i="4"/>
  <c r="H31" i="4"/>
  <c r="H28" i="4"/>
  <c r="H27" i="4"/>
  <c r="H24" i="4"/>
  <c r="H23" i="4"/>
  <c r="H20" i="4"/>
  <c r="H19" i="4"/>
  <c r="H16" i="4"/>
  <c r="H15" i="4"/>
  <c r="F35" i="4"/>
  <c r="F31" i="4"/>
  <c r="F27" i="4"/>
  <c r="F23" i="4"/>
  <c r="F19" i="4"/>
  <c r="F15" i="4"/>
  <c r="F36" i="4"/>
  <c r="F32" i="4"/>
  <c r="F28" i="4"/>
  <c r="F24" i="4"/>
  <c r="F20" i="4"/>
  <c r="F16" i="4"/>
  <c r="F13" i="4"/>
  <c r="F38" i="4"/>
  <c r="F18" i="4"/>
  <c r="F37" i="4"/>
  <c r="F33" i="4"/>
  <c r="F29" i="4"/>
  <c r="F25" i="4"/>
  <c r="F21" i="4"/>
  <c r="F17" i="4"/>
  <c r="F26" i="4"/>
  <c r="F22" i="4"/>
  <c r="F14" i="4"/>
  <c r="F34" i="4"/>
  <c r="F30" i="4"/>
  <c r="H39" i="4" l="1"/>
  <c r="I17" i="4"/>
  <c r="K17" i="4" s="1"/>
  <c r="L17" i="4" s="1"/>
  <c r="L22" i="4"/>
  <c r="F39" i="4"/>
  <c r="I16" i="4"/>
  <c r="K16" i="4" s="1"/>
  <c r="L16" i="4" s="1"/>
  <c r="I33" i="4"/>
  <c r="K33" i="4" s="1"/>
  <c r="L33" i="4" s="1"/>
  <c r="I36" i="4"/>
  <c r="K36" i="4" s="1"/>
  <c r="L36" i="4" s="1"/>
  <c r="I13" i="4"/>
  <c r="C39" i="4"/>
  <c r="I23" i="4"/>
  <c r="K23" i="4" s="1"/>
  <c r="L23" i="4" s="1"/>
  <c r="I18" i="4"/>
  <c r="K18" i="4" s="1"/>
  <c r="L18" i="4" s="1"/>
  <c r="I34" i="4"/>
  <c r="K34" i="4" s="1"/>
  <c r="L34" i="4" s="1"/>
  <c r="I21" i="4"/>
  <c r="K21" i="4" s="1"/>
  <c r="L21" i="4" s="1"/>
  <c r="I37" i="4"/>
  <c r="K37" i="4" s="1"/>
  <c r="L37" i="4" s="1"/>
  <c r="I14" i="4"/>
  <c r="K14" i="4" s="1"/>
  <c r="L14" i="4" s="1"/>
  <c r="L38" i="4"/>
  <c r="E39" i="4"/>
  <c r="B39" i="4"/>
  <c r="I24" i="4"/>
  <c r="K24" i="4" s="1"/>
  <c r="L24" i="4" s="1"/>
  <c r="I20" i="4"/>
  <c r="K20" i="4" s="1"/>
  <c r="L20" i="4" s="1"/>
  <c r="I25" i="4"/>
  <c r="K25" i="4" s="1"/>
  <c r="L25" i="4" s="1"/>
  <c r="I15" i="4"/>
  <c r="K15" i="4" s="1"/>
  <c r="L15" i="4" s="1"/>
  <c r="I31" i="4"/>
  <c r="K31" i="4" s="1"/>
  <c r="L31" i="4" s="1"/>
  <c r="I26" i="4"/>
  <c r="K26" i="4" s="1"/>
  <c r="L26" i="4" s="1"/>
  <c r="D39" i="4"/>
  <c r="Q27" i="4"/>
  <c r="S27" i="4" s="1"/>
  <c r="I29" i="4"/>
  <c r="K29" i="4" s="1"/>
  <c r="L29" i="4" s="1"/>
  <c r="I32" i="4"/>
  <c r="K32" i="4" s="1"/>
  <c r="L32" i="4" s="1"/>
  <c r="I28" i="4"/>
  <c r="K28" i="4" s="1"/>
  <c r="L28" i="4" s="1"/>
  <c r="I19" i="4"/>
  <c r="K19" i="4" s="1"/>
  <c r="L19" i="4" s="1"/>
  <c r="I35" i="4"/>
  <c r="K35" i="4" s="1"/>
  <c r="L35" i="4" s="1"/>
  <c r="I30" i="4"/>
  <c r="K30" i="4" s="1"/>
  <c r="L30" i="4" s="1"/>
  <c r="Q35" i="4" l="1"/>
  <c r="S35" i="4" s="1"/>
  <c r="Q29" i="4"/>
  <c r="S29" i="4" s="1"/>
  <c r="Q26" i="4"/>
  <c r="S26" i="4" s="1"/>
  <c r="Q20" i="4"/>
  <c r="S20" i="4" s="1"/>
  <c r="Q38" i="4"/>
  <c r="S38" i="4" s="1"/>
  <c r="S34" i="4"/>
  <c r="Q34" i="4"/>
  <c r="I39" i="4"/>
  <c r="K39" i="4" s="1"/>
  <c r="L39" i="4" s="1"/>
  <c r="K13" i="4"/>
  <c r="L13" i="4" s="1"/>
  <c r="Q24" i="4"/>
  <c r="S24" i="4" s="1"/>
  <c r="S18" i="4"/>
  <c r="Q18" i="4"/>
  <c r="Q36" i="4"/>
  <c r="S36" i="4" s="1"/>
  <c r="Q22" i="4"/>
  <c r="S22" i="4" s="1"/>
  <c r="Q28" i="4"/>
  <c r="S28" i="4" s="1"/>
  <c r="S15" i="4"/>
  <c r="Q15" i="4"/>
  <c r="Q37" i="4"/>
  <c r="S37" i="4" s="1"/>
  <c r="S23" i="4"/>
  <c r="Q23" i="4"/>
  <c r="Q33" i="4"/>
  <c r="S33" i="4" s="1"/>
  <c r="Q17" i="4"/>
  <c r="S17" i="4" s="1"/>
  <c r="S19" i="4"/>
  <c r="Q19" i="4"/>
  <c r="S31" i="4"/>
  <c r="Q31" i="4"/>
  <c r="Q14" i="4"/>
  <c r="S14" i="4" s="1"/>
  <c r="S30" i="4"/>
  <c r="Q30" i="4"/>
  <c r="Q32" i="4"/>
  <c r="S32" i="4" s="1"/>
  <c r="Q25" i="4"/>
  <c r="S25" i="4" s="1"/>
  <c r="Q21" i="4"/>
  <c r="S21" i="4" s="1"/>
  <c r="Q16" i="4"/>
  <c r="S16" i="4" s="1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<sst xmlns="http://schemas.openxmlformats.org/spreadsheetml/2006/main" count="217" uniqueCount="105">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</sst>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sqref="A1:D1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2014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2018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2018</v>
      </c>
    </row>
    <row r="31" spans="2:3" x14ac:dyDescent="0.2">
      <c r="B31" s="10" t="s">
        <v>11</v>
      </c>
      <c r="C31" s="11">
        <v>2014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2014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2018</v>
      </c>
      <c r="B2" s="16"/>
      <c r="C2" s="16"/>
      <c r="D2" s="17"/>
      <c r="J2" s="18" t="str">
        <f>Info!C28</f>
        <v>FA_2018_20170823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5668437813.3599997</v>
      </c>
      <c r="C10" s="52">
        <v>59302747</v>
      </c>
      <c r="D10" s="53">
        <v>0</v>
      </c>
      <c r="E10" s="54">
        <v>589250790.64999998</v>
      </c>
      <c r="F10" s="54">
        <v>0</v>
      </c>
      <c r="G10" s="54">
        <v>0</v>
      </c>
      <c r="H10" s="55">
        <v>0</v>
      </c>
      <c r="I10" s="56">
        <f t="shared" ref="I10:I35" si="0">SUM(C10:H10)</f>
        <v>648553537.64999998</v>
      </c>
      <c r="J10" s="57">
        <f t="shared" ref="J10:J36" si="1">SUM(B10:H10)</f>
        <v>6316991351.0099993</v>
      </c>
    </row>
    <row r="11" spans="1:10" x14ac:dyDescent="0.2">
      <c r="A11" s="58" t="s">
        <v>46</v>
      </c>
      <c r="B11" s="59">
        <v>1743849343.98</v>
      </c>
      <c r="C11" s="60">
        <v>168886240.16</v>
      </c>
      <c r="D11" s="61">
        <v>183086</v>
      </c>
      <c r="E11" s="59">
        <v>18932027.050000001</v>
      </c>
      <c r="F11" s="59">
        <v>0</v>
      </c>
      <c r="G11" s="59">
        <v>153026730.83000001</v>
      </c>
      <c r="H11" s="60">
        <v>0</v>
      </c>
      <c r="I11" s="62">
        <f t="shared" si="0"/>
        <v>341028084.04000002</v>
      </c>
      <c r="J11" s="63">
        <f t="shared" si="1"/>
        <v>2084877428.02</v>
      </c>
    </row>
    <row r="12" spans="1:10" x14ac:dyDescent="0.2">
      <c r="A12" s="64" t="s">
        <v>47</v>
      </c>
      <c r="B12" s="54">
        <v>708205136.65999997</v>
      </c>
      <c r="C12" s="55">
        <v>63051062.390000001</v>
      </c>
      <c r="D12" s="53">
        <v>1054769.6000000001</v>
      </c>
      <c r="E12" s="54">
        <v>7747325.7300000004</v>
      </c>
      <c r="F12" s="54">
        <v>0</v>
      </c>
      <c r="G12" s="54">
        <v>0</v>
      </c>
      <c r="H12" s="55">
        <v>0</v>
      </c>
      <c r="I12" s="65">
        <f t="shared" si="0"/>
        <v>71853157.719999999</v>
      </c>
      <c r="J12" s="66">
        <f t="shared" si="1"/>
        <v>780058294.38</v>
      </c>
    </row>
    <row r="13" spans="1:10" x14ac:dyDescent="0.2">
      <c r="A13" s="58" t="s">
        <v>48</v>
      </c>
      <c r="B13" s="59">
        <v>89293814</v>
      </c>
      <c r="C13" s="60">
        <v>930146</v>
      </c>
      <c r="D13" s="61">
        <v>0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930146</v>
      </c>
      <c r="J13" s="63">
        <f t="shared" si="1"/>
        <v>90223960</v>
      </c>
    </row>
    <row r="14" spans="1:10" x14ac:dyDescent="0.2">
      <c r="A14" s="64" t="s">
        <v>49</v>
      </c>
      <c r="B14" s="54">
        <v>349260811.99000001</v>
      </c>
      <c r="C14" s="55">
        <v>61723203.43</v>
      </c>
      <c r="D14" s="53">
        <v>1447629.95</v>
      </c>
      <c r="E14" s="54">
        <v>676269.62</v>
      </c>
      <c r="F14" s="54">
        <v>0</v>
      </c>
      <c r="G14" s="54">
        <v>0</v>
      </c>
      <c r="H14" s="55">
        <v>0</v>
      </c>
      <c r="I14" s="65">
        <f t="shared" si="0"/>
        <v>63847103</v>
      </c>
      <c r="J14" s="66">
        <f t="shared" si="1"/>
        <v>413107914.99000001</v>
      </c>
    </row>
    <row r="15" spans="1:10" x14ac:dyDescent="0.2">
      <c r="A15" s="58" t="s">
        <v>50</v>
      </c>
      <c r="B15" s="59">
        <v>91189030.959999993</v>
      </c>
      <c r="C15" s="60">
        <v>5795927.7999999998</v>
      </c>
      <c r="D15" s="61">
        <v>410015.6</v>
      </c>
      <c r="E15" s="59">
        <v>682356.41</v>
      </c>
      <c r="F15" s="59">
        <v>0</v>
      </c>
      <c r="G15" s="59">
        <v>0</v>
      </c>
      <c r="H15" s="60">
        <v>0</v>
      </c>
      <c r="I15" s="62">
        <f t="shared" si="0"/>
        <v>6888299.8099999996</v>
      </c>
      <c r="J15" s="63">
        <f t="shared" si="1"/>
        <v>98077330.769999981</v>
      </c>
    </row>
    <row r="16" spans="1:10" x14ac:dyDescent="0.2">
      <c r="A16" s="64" t="s">
        <v>51</v>
      </c>
      <c r="B16" s="54">
        <v>97338320.219999999</v>
      </c>
      <c r="C16" s="55">
        <v>1605918.19</v>
      </c>
      <c r="D16" s="53">
        <v>3287812.15</v>
      </c>
      <c r="E16" s="54">
        <v>536428.85</v>
      </c>
      <c r="F16" s="54">
        <v>0</v>
      </c>
      <c r="G16" s="54">
        <v>0</v>
      </c>
      <c r="H16" s="55">
        <v>0</v>
      </c>
      <c r="I16" s="65">
        <f t="shared" si="0"/>
        <v>5430159.1899999995</v>
      </c>
      <c r="J16" s="66">
        <f t="shared" si="1"/>
        <v>102768479.41</v>
      </c>
    </row>
    <row r="17" spans="1:10" x14ac:dyDescent="0.2">
      <c r="A17" s="58" t="s">
        <v>52</v>
      </c>
      <c r="B17" s="59">
        <v>127028403.91</v>
      </c>
      <c r="C17" s="60">
        <v>295313.59999999998</v>
      </c>
      <c r="D17" s="61">
        <v>3639014.6</v>
      </c>
      <c r="E17" s="59">
        <v>573394.75</v>
      </c>
      <c r="F17" s="59">
        <v>0</v>
      </c>
      <c r="G17" s="59">
        <v>0</v>
      </c>
      <c r="H17" s="60">
        <v>0</v>
      </c>
      <c r="I17" s="62">
        <f t="shared" si="0"/>
        <v>4507722.95</v>
      </c>
      <c r="J17" s="63">
        <f t="shared" si="1"/>
        <v>131536126.85999998</v>
      </c>
    </row>
    <row r="18" spans="1:10" x14ac:dyDescent="0.2">
      <c r="A18" s="64" t="s">
        <v>53</v>
      </c>
      <c r="B18" s="54">
        <v>564544997</v>
      </c>
      <c r="C18" s="55">
        <v>91308613</v>
      </c>
      <c r="D18" s="53">
        <v>5307299</v>
      </c>
      <c r="E18" s="54">
        <v>7942819</v>
      </c>
      <c r="F18" s="54">
        <v>0</v>
      </c>
      <c r="G18" s="54">
        <v>0</v>
      </c>
      <c r="H18" s="55">
        <v>0</v>
      </c>
      <c r="I18" s="65">
        <f t="shared" si="0"/>
        <v>104558731</v>
      </c>
      <c r="J18" s="66">
        <f t="shared" si="1"/>
        <v>669103728</v>
      </c>
    </row>
    <row r="19" spans="1:10" x14ac:dyDescent="0.2">
      <c r="A19" s="58" t="s">
        <v>54</v>
      </c>
      <c r="B19" s="59">
        <v>609268639.19999599</v>
      </c>
      <c r="C19" s="60">
        <v>84387074.450000107</v>
      </c>
      <c r="D19" s="61">
        <v>2194540.7999999998</v>
      </c>
      <c r="E19" s="59">
        <v>658991</v>
      </c>
      <c r="F19" s="59">
        <v>0</v>
      </c>
      <c r="G19" s="59">
        <v>0</v>
      </c>
      <c r="H19" s="60">
        <v>0</v>
      </c>
      <c r="I19" s="62">
        <f t="shared" si="0"/>
        <v>87240606.250000104</v>
      </c>
      <c r="J19" s="63">
        <f t="shared" si="1"/>
        <v>696509245.44999599</v>
      </c>
    </row>
    <row r="20" spans="1:10" x14ac:dyDescent="0.2">
      <c r="A20" s="64" t="s">
        <v>55</v>
      </c>
      <c r="B20" s="54">
        <v>370593174</v>
      </c>
      <c r="C20" s="55">
        <v>28695784</v>
      </c>
      <c r="D20" s="53">
        <v>557732</v>
      </c>
      <c r="E20" s="54">
        <v>43521526</v>
      </c>
      <c r="F20" s="54">
        <v>0</v>
      </c>
      <c r="G20" s="54">
        <v>88966406</v>
      </c>
      <c r="H20" s="55">
        <v>0</v>
      </c>
      <c r="I20" s="65">
        <f t="shared" si="0"/>
        <v>161741448</v>
      </c>
      <c r="J20" s="66">
        <f t="shared" si="1"/>
        <v>532334622</v>
      </c>
    </row>
    <row r="21" spans="1:10" x14ac:dyDescent="0.2">
      <c r="A21" s="58" t="s">
        <v>56</v>
      </c>
      <c r="B21" s="59">
        <v>707887536.05999994</v>
      </c>
      <c r="C21" s="60">
        <v>272420014</v>
      </c>
      <c r="D21" s="61">
        <v>1226617.43</v>
      </c>
      <c r="E21" s="59">
        <v>1224822687.4200001</v>
      </c>
      <c r="F21" s="59">
        <v>0</v>
      </c>
      <c r="G21" s="59">
        <v>1708437095.47</v>
      </c>
      <c r="H21" s="60">
        <v>0</v>
      </c>
      <c r="I21" s="62">
        <f t="shared" si="0"/>
        <v>3206906414.3200002</v>
      </c>
      <c r="J21" s="63">
        <f t="shared" si="1"/>
        <v>3914793950.3800001</v>
      </c>
    </row>
    <row r="22" spans="1:10" x14ac:dyDescent="0.2">
      <c r="A22" s="64" t="s">
        <v>57</v>
      </c>
      <c r="B22" s="54">
        <v>410162336</v>
      </c>
      <c r="C22" s="55">
        <v>85583752</v>
      </c>
      <c r="D22" s="53">
        <v>1642627</v>
      </c>
      <c r="E22" s="54">
        <v>749435114</v>
      </c>
      <c r="F22" s="54">
        <v>0</v>
      </c>
      <c r="G22" s="54">
        <v>1019976859</v>
      </c>
      <c r="H22" s="55">
        <v>0</v>
      </c>
      <c r="I22" s="65">
        <f t="shared" si="0"/>
        <v>1856638352</v>
      </c>
      <c r="J22" s="66">
        <f t="shared" si="1"/>
        <v>2266800688</v>
      </c>
    </row>
    <row r="23" spans="1:10" x14ac:dyDescent="0.2">
      <c r="A23" s="58" t="s">
        <v>58</v>
      </c>
      <c r="B23" s="59">
        <v>291948015</v>
      </c>
      <c r="C23" s="60">
        <v>32419727.600000001</v>
      </c>
      <c r="D23" s="61">
        <v>655721</v>
      </c>
      <c r="E23" s="59">
        <v>388730397</v>
      </c>
      <c r="F23" s="59">
        <v>0</v>
      </c>
      <c r="G23" s="59">
        <v>0</v>
      </c>
      <c r="H23" s="60">
        <v>0</v>
      </c>
      <c r="I23" s="62">
        <f t="shared" si="0"/>
        <v>421805845.60000002</v>
      </c>
      <c r="J23" s="63">
        <f t="shared" si="1"/>
        <v>713753860.60000002</v>
      </c>
    </row>
    <row r="24" spans="1:10" x14ac:dyDescent="0.2">
      <c r="A24" s="64" t="s">
        <v>59</v>
      </c>
      <c r="B24" s="54">
        <v>91383042.329999998</v>
      </c>
      <c r="C24" s="55">
        <v>8275263.4000000004</v>
      </c>
      <c r="D24" s="53">
        <v>14182330</v>
      </c>
      <c r="E24" s="54">
        <v>4231757</v>
      </c>
      <c r="F24" s="54">
        <v>0</v>
      </c>
      <c r="G24" s="54">
        <v>0</v>
      </c>
      <c r="H24" s="55">
        <v>0</v>
      </c>
      <c r="I24" s="65">
        <f t="shared" si="0"/>
        <v>26689350.399999999</v>
      </c>
      <c r="J24" s="66">
        <f t="shared" si="1"/>
        <v>118072392.73</v>
      </c>
    </row>
    <row r="25" spans="1:10" x14ac:dyDescent="0.2">
      <c r="A25" s="58" t="s">
        <v>60</v>
      </c>
      <c r="B25" s="59">
        <v>20553535.210000001</v>
      </c>
      <c r="C25" s="60">
        <v>1945239.87</v>
      </c>
      <c r="D25" s="61">
        <v>5623348.9500000002</v>
      </c>
      <c r="E25" s="59">
        <v>766167.46</v>
      </c>
      <c r="F25" s="59">
        <v>0</v>
      </c>
      <c r="G25" s="59">
        <v>0</v>
      </c>
      <c r="H25" s="60">
        <v>0</v>
      </c>
      <c r="I25" s="62">
        <f t="shared" si="0"/>
        <v>8334756.2800000003</v>
      </c>
      <c r="J25" s="63">
        <f t="shared" si="1"/>
        <v>28888291.490000002</v>
      </c>
    </row>
    <row r="26" spans="1:10" x14ac:dyDescent="0.2">
      <c r="A26" s="64" t="s">
        <v>61</v>
      </c>
      <c r="B26" s="54">
        <v>1060418881.5700001</v>
      </c>
      <c r="C26" s="55">
        <v>85708788.109999999</v>
      </c>
      <c r="D26" s="53">
        <v>504135052.23000002</v>
      </c>
      <c r="E26" s="54">
        <v>86858830.25</v>
      </c>
      <c r="F26" s="54">
        <v>0</v>
      </c>
      <c r="G26" s="54">
        <v>0</v>
      </c>
      <c r="H26" s="55">
        <v>0</v>
      </c>
      <c r="I26" s="65">
        <f t="shared" si="0"/>
        <v>676702670.59000003</v>
      </c>
      <c r="J26" s="66">
        <f t="shared" si="1"/>
        <v>1737121552.1600001</v>
      </c>
    </row>
    <row r="27" spans="1:10" x14ac:dyDescent="0.2">
      <c r="A27" s="58" t="s">
        <v>62</v>
      </c>
      <c r="B27" s="59">
        <v>912245558.73000002</v>
      </c>
      <c r="C27" s="60">
        <v>177745748.96000001</v>
      </c>
      <c r="D27" s="61">
        <v>25602606.370000001</v>
      </c>
      <c r="E27" s="59">
        <v>1082599.67</v>
      </c>
      <c r="F27" s="59">
        <v>0</v>
      </c>
      <c r="G27" s="59">
        <v>0</v>
      </c>
      <c r="H27" s="60">
        <v>91492530.5</v>
      </c>
      <c r="I27" s="62">
        <f t="shared" si="0"/>
        <v>295923485.5</v>
      </c>
      <c r="J27" s="63">
        <f t="shared" si="1"/>
        <v>1208169044.23</v>
      </c>
    </row>
    <row r="28" spans="1:10" x14ac:dyDescent="0.2">
      <c r="A28" s="64" t="s">
        <v>63</v>
      </c>
      <c r="B28" s="54">
        <v>1251428566</v>
      </c>
      <c r="C28" s="55">
        <v>301605337</v>
      </c>
      <c r="D28" s="53">
        <v>4200509.5</v>
      </c>
      <c r="E28" s="54">
        <v>934274184</v>
      </c>
      <c r="F28" s="54">
        <v>0</v>
      </c>
      <c r="G28" s="54">
        <v>0</v>
      </c>
      <c r="H28" s="55">
        <v>0</v>
      </c>
      <c r="I28" s="65">
        <f t="shared" si="0"/>
        <v>1240080030.5</v>
      </c>
      <c r="J28" s="66">
        <f t="shared" si="1"/>
        <v>2491508596.5</v>
      </c>
    </row>
    <row r="29" spans="1:10" x14ac:dyDescent="0.2">
      <c r="A29" s="58" t="s">
        <v>64</v>
      </c>
      <c r="B29" s="59">
        <v>628898280.55999994</v>
      </c>
      <c r="C29" s="60">
        <v>66352596.310000002</v>
      </c>
      <c r="D29" s="61">
        <v>17569607.780000001</v>
      </c>
      <c r="E29" s="59">
        <v>300330938.26999998</v>
      </c>
      <c r="F29" s="59">
        <v>0</v>
      </c>
      <c r="G29" s="59">
        <v>0</v>
      </c>
      <c r="H29" s="60">
        <v>0</v>
      </c>
      <c r="I29" s="62">
        <f t="shared" si="0"/>
        <v>384253142.36000001</v>
      </c>
      <c r="J29" s="63">
        <f t="shared" si="1"/>
        <v>1013151422.9199998</v>
      </c>
    </row>
    <row r="30" spans="1:10" x14ac:dyDescent="0.2">
      <c r="A30" s="64" t="s">
        <v>65</v>
      </c>
      <c r="B30" s="54">
        <v>1027133486</v>
      </c>
      <c r="C30" s="55">
        <v>639416296</v>
      </c>
      <c r="D30" s="53">
        <v>607337</v>
      </c>
      <c r="E30" s="54">
        <v>0</v>
      </c>
      <c r="F30" s="54">
        <v>0</v>
      </c>
      <c r="G30" s="54">
        <v>0</v>
      </c>
      <c r="H30" s="55">
        <v>2758064836</v>
      </c>
      <c r="I30" s="65">
        <f t="shared" si="0"/>
        <v>3398088469</v>
      </c>
      <c r="J30" s="66">
        <f t="shared" si="1"/>
        <v>4425221955</v>
      </c>
    </row>
    <row r="31" spans="1:10" x14ac:dyDescent="0.2">
      <c r="A31" s="58" t="s">
        <v>66</v>
      </c>
      <c r="B31" s="59">
        <v>2999862702</v>
      </c>
      <c r="C31" s="60">
        <v>0</v>
      </c>
      <c r="D31" s="61">
        <v>0</v>
      </c>
      <c r="E31" s="59">
        <v>0</v>
      </c>
      <c r="F31" s="59">
        <v>0</v>
      </c>
      <c r="G31" s="59">
        <v>2258473033</v>
      </c>
      <c r="H31" s="60">
        <v>0</v>
      </c>
      <c r="I31" s="62">
        <f t="shared" si="0"/>
        <v>2258473033</v>
      </c>
      <c r="J31" s="63">
        <f t="shared" si="1"/>
        <v>5258335735</v>
      </c>
    </row>
    <row r="32" spans="1:10" x14ac:dyDescent="0.2">
      <c r="A32" s="64" t="s">
        <v>67</v>
      </c>
      <c r="B32" s="54">
        <v>1111406119.95</v>
      </c>
      <c r="C32" s="55">
        <v>11059277.810000001</v>
      </c>
      <c r="D32" s="53">
        <v>0</v>
      </c>
      <c r="E32" s="54">
        <v>345195.65</v>
      </c>
      <c r="F32" s="54">
        <v>0</v>
      </c>
      <c r="G32" s="54">
        <v>100384412.40000001</v>
      </c>
      <c r="H32" s="55">
        <v>66644636.57</v>
      </c>
      <c r="I32" s="65">
        <f t="shared" si="0"/>
        <v>178433522.43000001</v>
      </c>
      <c r="J32" s="66">
        <f t="shared" si="1"/>
        <v>1289839642.3800001</v>
      </c>
    </row>
    <row r="33" spans="1:10" x14ac:dyDescent="0.2">
      <c r="A33" s="58" t="s">
        <v>68</v>
      </c>
      <c r="B33" s="59">
        <v>409576152</v>
      </c>
      <c r="C33" s="60">
        <v>44520028</v>
      </c>
      <c r="D33" s="61">
        <v>57867</v>
      </c>
      <c r="E33" s="59">
        <v>3584</v>
      </c>
      <c r="F33" s="59">
        <v>0</v>
      </c>
      <c r="G33" s="59">
        <v>956475310</v>
      </c>
      <c r="H33" s="60">
        <v>0</v>
      </c>
      <c r="I33" s="62">
        <f t="shared" si="0"/>
        <v>1001056789</v>
      </c>
      <c r="J33" s="63">
        <f t="shared" si="1"/>
        <v>1410632941</v>
      </c>
    </row>
    <row r="34" spans="1:10" x14ac:dyDescent="0.2">
      <c r="A34" s="64" t="s">
        <v>69</v>
      </c>
      <c r="B34" s="54">
        <v>2215385195</v>
      </c>
      <c r="C34" s="55">
        <v>483378839</v>
      </c>
      <c r="D34" s="53">
        <v>1621389</v>
      </c>
      <c r="E34" s="54">
        <v>0</v>
      </c>
      <c r="F34" s="54">
        <v>8117304028</v>
      </c>
      <c r="G34" s="54">
        <v>0</v>
      </c>
      <c r="H34" s="55">
        <v>0</v>
      </c>
      <c r="I34" s="65">
        <f t="shared" si="0"/>
        <v>8602304256</v>
      </c>
      <c r="J34" s="66">
        <f t="shared" si="1"/>
        <v>10817689451</v>
      </c>
    </row>
    <row r="35" spans="1:10" x14ac:dyDescent="0.2">
      <c r="A35" s="67" t="s">
        <v>70</v>
      </c>
      <c r="B35" s="68">
        <v>90213481.769999996</v>
      </c>
      <c r="C35" s="69">
        <v>11484419</v>
      </c>
      <c r="D35" s="61">
        <v>0</v>
      </c>
      <c r="E35" s="59">
        <v>610686.69999999995</v>
      </c>
      <c r="F35" s="59">
        <v>0</v>
      </c>
      <c r="G35" s="59">
        <v>532850630</v>
      </c>
      <c r="H35" s="60">
        <v>0</v>
      </c>
      <c r="I35" s="62">
        <f t="shared" si="0"/>
        <v>544945735.70000005</v>
      </c>
      <c r="J35" s="63">
        <f t="shared" si="1"/>
        <v>635159217.47000003</v>
      </c>
    </row>
    <row r="36" spans="1:10" x14ac:dyDescent="0.2">
      <c r="A36" s="5" t="s">
        <v>71</v>
      </c>
      <c r="B36" s="70">
        <f t="shared" ref="B36:I36" si="2">SUM(B10:B35)</f>
        <v>23647512373.459991</v>
      </c>
      <c r="C36" s="71">
        <f t="shared" si="2"/>
        <v>2787897357.0800004</v>
      </c>
      <c r="D36" s="72">
        <f t="shared" si="2"/>
        <v>595206912.96000004</v>
      </c>
      <c r="E36" s="70">
        <f t="shared" si="2"/>
        <v>4362014070.4799995</v>
      </c>
      <c r="F36" s="70">
        <f t="shared" si="2"/>
        <v>8117304028</v>
      </c>
      <c r="G36" s="70">
        <f t="shared" si="2"/>
        <v>6818590476.6999998</v>
      </c>
      <c r="H36" s="71">
        <f t="shared" si="2"/>
        <v>2916202003.0700002</v>
      </c>
      <c r="I36" s="72">
        <f t="shared" si="2"/>
        <v>25597214848.290001</v>
      </c>
      <c r="J36" s="73">
        <f t="shared" si="1"/>
        <v>49244727221.749992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2014</v>
      </c>
    </row>
    <row r="2" spans="1:4" ht="15.75" customHeight="1" x14ac:dyDescent="0.2">
      <c r="A2" s="75" t="str">
        <f>Bruttoeink!A2</f>
        <v>Referenzjahr 2018</v>
      </c>
    </row>
    <row r="3" spans="1:4" ht="33" customHeight="1" x14ac:dyDescent="0.2">
      <c r="C3" s="76" t="str">
        <f>Info!$C$28</f>
        <v>FA_2018_20170823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480020474.64359498</v>
      </c>
      <c r="D5" s="82"/>
    </row>
    <row r="6" spans="1:4" x14ac:dyDescent="0.2">
      <c r="A6" s="83" t="s">
        <v>76</v>
      </c>
      <c r="B6" s="84" t="str">
        <f>"ASG_"&amp;Info!C30&amp;"_"&amp;Info!C31&amp;".xlsx"</f>
        <v>ASG_2018_2014.xlsx</v>
      </c>
      <c r="C6" s="85">
        <f>Berechnung_QS!O39</f>
        <v>173454199.49999994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0.36099999999999999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A6" sqref="A6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2014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2018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FA_2018_20170823</v>
      </c>
      <c r="R3" s="12"/>
    </row>
    <row r="4" spans="1:22" ht="37.5" customHeight="1" x14ac:dyDescent="0.2">
      <c r="A4" s="218" t="str">
        <f>"Berechnung von QS auf der Basis der Bruttolöhne "&amp;Info!C31</f>
        <v>Berechnung von QS auf der Basis der Bruttolöhne 2014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N4" s="221" t="s">
        <v>78</v>
      </c>
      <c r="O4" s="222"/>
      <c r="P4" s="222"/>
      <c r="Q4" s="223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08" t="str">
        <f>"Massgebende Einkommen "&amp;Info!C31</f>
        <v>Massgebende Einkommen 2014</v>
      </c>
      <c r="P8" s="199" t="s">
        <v>95</v>
      </c>
      <c r="Q8" s="192" t="s">
        <v>96</v>
      </c>
      <c r="R8" s="119"/>
      <c r="S8" s="216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09"/>
      <c r="P9" s="207"/>
      <c r="Q9" s="214"/>
      <c r="R9" s="119"/>
      <c r="S9" s="217"/>
      <c r="V9" s="122" t="str">
        <f>Info!C28</f>
        <v>FA_2018_20170823</v>
      </c>
    </row>
    <row r="10" spans="1:22" s="120" customFormat="1" ht="69" customHeight="1" x14ac:dyDescent="0.2">
      <c r="A10" s="34"/>
      <c r="B10" s="207"/>
      <c r="C10" s="207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07"/>
      <c r="J10" s="207"/>
      <c r="K10" s="207"/>
      <c r="L10" s="214"/>
      <c r="M10" s="118"/>
      <c r="N10" s="123"/>
      <c r="O10" s="210"/>
      <c r="P10" s="213"/>
      <c r="Q10" s="215"/>
      <c r="R10" s="119"/>
      <c r="S10" s="217"/>
      <c r="U10" s="211" t="str">
        <f>" Standardisierter Steuersatz (SST) "&amp;Info!C30-1</f>
        <v xml:space="preserve"> Standardisierter Steuersatz (SST) 2017</v>
      </c>
      <c r="V10" s="212"/>
    </row>
    <row r="11" spans="1:22" s="124" customFormat="1" ht="14.25" customHeight="1" x14ac:dyDescent="0.2">
      <c r="A11" s="125" t="s">
        <v>102</v>
      </c>
      <c r="B11" s="126">
        <f>gamma</f>
        <v>0.36099999999999999</v>
      </c>
      <c r="C11" s="126">
        <f>gamma</f>
        <v>0.36099999999999999</v>
      </c>
      <c r="D11" s="127">
        <f>IF(Info!C31&lt;2006,0.03/sst,0.875*gamma)</f>
        <v>0.31587500000000002</v>
      </c>
      <c r="E11" s="126">
        <f>0.045/sst</f>
        <v>0.16917293233082706</v>
      </c>
      <c r="F11" s="126">
        <f>gamma-0.035/sst</f>
        <v>0.22942105263157894</v>
      </c>
      <c r="G11" s="126">
        <f>0.045/sst</f>
        <v>0.16917293233082706</v>
      </c>
      <c r="H11" s="128">
        <f>0.6*gamma</f>
        <v>0.21659999999999999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ASG_2018_2014.xlsx</v>
      </c>
      <c r="R11" s="132"/>
      <c r="S11" s="133"/>
      <c r="U11" s="205" t="str">
        <f>"Quelle: RA_"&amp;Info!C30-1&amp;".xlsx"</f>
        <v>Quelle: RA_2017.xlsx</v>
      </c>
      <c r="V11" s="206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2046306.0506229599</v>
      </c>
      <c r="C13" s="140">
        <f>(Bruttoeink!C10*C$11)/1000</f>
        <v>21408.291666999998</v>
      </c>
      <c r="D13" s="141">
        <f>(Bruttoeink!D10*D$11)/1000</f>
        <v>0</v>
      </c>
      <c r="E13" s="140">
        <f>(Bruttoeink!E10*E$11)/1000</f>
        <v>99685.284132518776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121093.57579951877</v>
      </c>
      <c r="J13" s="143">
        <f t="shared" ref="J13:J38" si="1">$J$39</f>
        <v>0.75</v>
      </c>
      <c r="K13" s="140">
        <f t="shared" ref="K13:K39" si="2">I13*J13</f>
        <v>90820.181849639077</v>
      </c>
      <c r="L13" s="144">
        <f t="shared" ref="L13:L39" si="3">K13+B13</f>
        <v>2137126.232472599</v>
      </c>
      <c r="M13" s="145"/>
      <c r="N13" s="139" t="s">
        <v>45</v>
      </c>
      <c r="O13" s="146">
        <v>36921065.399999999</v>
      </c>
      <c r="P13" s="147">
        <v>0</v>
      </c>
      <c r="Q13" s="144">
        <f>IF(Berechnung_QS!L13=0,O13*P13,0)</f>
        <v>0</v>
      </c>
      <c r="R13" s="148"/>
      <c r="S13" s="149">
        <f>Berechnung_QS!L13+Q13</f>
        <v>2137126.232472599</v>
      </c>
      <c r="U13" s="150" t="s">
        <v>103</v>
      </c>
      <c r="V13" s="151">
        <v>0.26620816607291198</v>
      </c>
    </row>
    <row r="14" spans="1:22" ht="15.75" customHeight="1" x14ac:dyDescent="0.25">
      <c r="A14" s="152" t="s">
        <v>46</v>
      </c>
      <c r="B14" s="153">
        <f>(Bruttoeink!B11*B$11)/1000</f>
        <v>629529.61317677994</v>
      </c>
      <c r="C14" s="153">
        <f>(Bruttoeink!C11*C$11)/1000</f>
        <v>60967.932697759992</v>
      </c>
      <c r="D14" s="154">
        <f>(Bruttoeink!D11*D$11)/1000</f>
        <v>57.832290250000007</v>
      </c>
      <c r="E14" s="153">
        <f>(Bruttoeink!E11*E$11)/1000</f>
        <v>3202.7865310150378</v>
      </c>
      <c r="F14" s="153">
        <f>(Bruttoeink!F11*F$11)/1000</f>
        <v>0</v>
      </c>
      <c r="G14" s="153">
        <f>(Bruttoeink!G11*G$11)/1000</f>
        <v>25887.980779511279</v>
      </c>
      <c r="H14" s="155">
        <f>(Bruttoeink!H11*H$11)/1000</f>
        <v>0</v>
      </c>
      <c r="I14" s="153">
        <f t="shared" si="0"/>
        <v>90116.532298536302</v>
      </c>
      <c r="J14" s="156">
        <f t="shared" si="1"/>
        <v>0.75</v>
      </c>
      <c r="K14" s="153">
        <f t="shared" si="2"/>
        <v>67587.399223902234</v>
      </c>
      <c r="L14" s="157">
        <f t="shared" si="3"/>
        <v>697117.0124006822</v>
      </c>
      <c r="M14" s="145"/>
      <c r="N14" s="152" t="s">
        <v>46</v>
      </c>
      <c r="O14" s="158">
        <v>16543831.6</v>
      </c>
      <c r="P14" s="159">
        <v>0</v>
      </c>
      <c r="Q14" s="157">
        <f>IF(Berechnung_QS!L14=0,O14*P14,0)</f>
        <v>0</v>
      </c>
      <c r="R14" s="148"/>
      <c r="S14" s="160">
        <f>Berechnung_QS!L14+Q14</f>
        <v>697117.0124006822</v>
      </c>
      <c r="U14" s="161" t="s">
        <v>104</v>
      </c>
      <c r="V14" s="162">
        <f>ROUND(V13,3)</f>
        <v>0.26600000000000001</v>
      </c>
    </row>
    <row r="15" spans="1:22" ht="15.75" customHeight="1" x14ac:dyDescent="0.25">
      <c r="A15" s="163" t="s">
        <v>47</v>
      </c>
      <c r="B15" s="164">
        <f>(Bruttoeink!B12*B$11)/1000</f>
        <v>255662.05433426</v>
      </c>
      <c r="C15" s="164">
        <f>(Bruttoeink!C12*C$11)/1000</f>
        <v>22761.433522790001</v>
      </c>
      <c r="D15" s="165">
        <f>(Bruttoeink!D12*D$11)/1000</f>
        <v>333.17534740000002</v>
      </c>
      <c r="E15" s="164">
        <f>(Bruttoeink!E12*E$11)/1000</f>
        <v>1310.6378114661654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24405.246681656165</v>
      </c>
      <c r="J15" s="167">
        <f t="shared" si="1"/>
        <v>0.75</v>
      </c>
      <c r="K15" s="164">
        <f t="shared" si="2"/>
        <v>18303.935011242123</v>
      </c>
      <c r="L15" s="168">
        <f t="shared" si="3"/>
        <v>273965.98934550211</v>
      </c>
      <c r="M15" s="145"/>
      <c r="N15" s="163" t="s">
        <v>47</v>
      </c>
      <c r="O15" s="169">
        <v>7024397.2000000002</v>
      </c>
      <c r="P15" s="170">
        <v>0</v>
      </c>
      <c r="Q15" s="168">
        <f>IF(Berechnung_QS!L15=0,O15*P15,0)</f>
        <v>0</v>
      </c>
      <c r="R15" s="148"/>
      <c r="S15" s="171">
        <f>Berechnung_QS!L15+Q15</f>
        <v>273965.98934550211</v>
      </c>
    </row>
    <row r="16" spans="1:22" ht="15.75" customHeight="1" x14ac:dyDescent="0.25">
      <c r="A16" s="152" t="s">
        <v>48</v>
      </c>
      <c r="B16" s="153">
        <f>(Bruttoeink!B13*B$11)/1000</f>
        <v>32235.066853999997</v>
      </c>
      <c r="C16" s="153">
        <f>(Bruttoeink!C13*C$11)/1000</f>
        <v>335.78270600000002</v>
      </c>
      <c r="D16" s="154">
        <f>(Bruttoeink!D13*D$11)/1000</f>
        <v>0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335.78270600000002</v>
      </c>
      <c r="J16" s="156">
        <f t="shared" si="1"/>
        <v>0.75</v>
      </c>
      <c r="K16" s="153">
        <f t="shared" si="2"/>
        <v>251.83702950000003</v>
      </c>
      <c r="L16" s="157">
        <f t="shared" si="3"/>
        <v>32486.903883499996</v>
      </c>
      <c r="M16" s="145"/>
      <c r="N16" s="152" t="s">
        <v>48</v>
      </c>
      <c r="O16" s="158">
        <v>514298</v>
      </c>
      <c r="P16" s="159">
        <v>0</v>
      </c>
      <c r="Q16" s="157">
        <f>IF(Berechnung_QS!L16=0,O16*P16,0)</f>
        <v>0</v>
      </c>
      <c r="R16" s="148"/>
      <c r="S16" s="160">
        <f>Berechnung_QS!L16+Q16</f>
        <v>32486.903883499996</v>
      </c>
    </row>
    <row r="17" spans="1:19" ht="15.75" customHeight="1" x14ac:dyDescent="0.25">
      <c r="A17" s="163" t="s">
        <v>49</v>
      </c>
      <c r="B17" s="164">
        <f>(Bruttoeink!B14*B$11)/1000</f>
        <v>126083.15312839</v>
      </c>
      <c r="C17" s="164">
        <f>(Bruttoeink!C14*C$11)/1000</f>
        <v>22282.07643823</v>
      </c>
      <c r="D17" s="165">
        <f>(Bruttoeink!D14*D$11)/1000</f>
        <v>457.27011045625005</v>
      </c>
      <c r="E17" s="164">
        <f>(Bruttoeink!E14*E$11)/1000</f>
        <v>114.40651466165413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22853.753063347907</v>
      </c>
      <c r="J17" s="167">
        <f t="shared" si="1"/>
        <v>0.75</v>
      </c>
      <c r="K17" s="164">
        <f t="shared" si="2"/>
        <v>17140.314797510931</v>
      </c>
      <c r="L17" s="168">
        <f t="shared" si="3"/>
        <v>143223.46792590094</v>
      </c>
      <c r="M17" s="145"/>
      <c r="N17" s="163" t="s">
        <v>49</v>
      </c>
      <c r="O17" s="169">
        <v>6434379.2000000002</v>
      </c>
      <c r="P17" s="170">
        <v>0</v>
      </c>
      <c r="Q17" s="168">
        <f>IF(Berechnung_QS!L17=0,O17*P17,0)</f>
        <v>0</v>
      </c>
      <c r="R17" s="148"/>
      <c r="S17" s="171">
        <f>Berechnung_QS!L17+Q17</f>
        <v>143223.46792590094</v>
      </c>
    </row>
    <row r="18" spans="1:19" ht="15.75" customHeight="1" x14ac:dyDescent="0.25">
      <c r="A18" s="152" t="s">
        <v>50</v>
      </c>
      <c r="B18" s="153">
        <f>(Bruttoeink!B15*B$11)/1000</f>
        <v>32919.240176559993</v>
      </c>
      <c r="C18" s="153">
        <f>(Bruttoeink!C15*C$11)/1000</f>
        <v>2092.3299357999999</v>
      </c>
      <c r="D18" s="154">
        <f>(Bruttoeink!D15*D$11)/1000</f>
        <v>129.51367765000001</v>
      </c>
      <c r="E18" s="153">
        <f>(Bruttoeink!E15*E$11)/1000</f>
        <v>115.43623477443609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2337.2798482244357</v>
      </c>
      <c r="J18" s="156">
        <f t="shared" si="1"/>
        <v>0.75</v>
      </c>
      <c r="K18" s="153">
        <f t="shared" si="2"/>
        <v>1752.9598861683266</v>
      </c>
      <c r="L18" s="157">
        <f t="shared" si="3"/>
        <v>34672.20006272832</v>
      </c>
      <c r="M18" s="145"/>
      <c r="N18" s="152" t="s">
        <v>50</v>
      </c>
      <c r="O18" s="158">
        <v>723487.7</v>
      </c>
      <c r="P18" s="159">
        <v>0</v>
      </c>
      <c r="Q18" s="157">
        <f>IF(Berechnung_QS!L18=0,O18*P18,0)</f>
        <v>0</v>
      </c>
      <c r="R18" s="148"/>
      <c r="S18" s="160">
        <f>Berechnung_QS!L18+Q18</f>
        <v>34672.20006272832</v>
      </c>
    </row>
    <row r="19" spans="1:19" ht="15.75" customHeight="1" x14ac:dyDescent="0.25">
      <c r="A19" s="163" t="s">
        <v>51</v>
      </c>
      <c r="B19" s="164">
        <f>(Bruttoeink!B16*B$11)/1000</f>
        <v>35139.133599419998</v>
      </c>
      <c r="C19" s="164">
        <f>(Bruttoeink!C16*C$11)/1000</f>
        <v>579.73646658999996</v>
      </c>
      <c r="D19" s="165">
        <f>(Bruttoeink!D16*D$11)/1000</f>
        <v>1038.5376628812501</v>
      </c>
      <c r="E19" s="164">
        <f>(Bruttoeink!E16*E$11)/1000</f>
        <v>90.749241541353371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1709.0233710126033</v>
      </c>
      <c r="J19" s="167">
        <f t="shared" si="1"/>
        <v>0.75</v>
      </c>
      <c r="K19" s="164">
        <f t="shared" si="2"/>
        <v>1281.7675282594525</v>
      </c>
      <c r="L19" s="168">
        <f t="shared" si="3"/>
        <v>36420.901127679448</v>
      </c>
      <c r="M19" s="145"/>
      <c r="N19" s="163" t="s">
        <v>51</v>
      </c>
      <c r="O19" s="169">
        <v>1466734.3</v>
      </c>
      <c r="P19" s="170">
        <v>0</v>
      </c>
      <c r="Q19" s="168">
        <f>IF(Berechnung_QS!L19=0,O19*P19,0)</f>
        <v>0</v>
      </c>
      <c r="R19" s="148"/>
      <c r="S19" s="171">
        <f>Berechnung_QS!L19+Q19</f>
        <v>36420.901127679448</v>
      </c>
    </row>
    <row r="20" spans="1:19" ht="15.75" customHeight="1" x14ac:dyDescent="0.25">
      <c r="A20" s="152" t="s">
        <v>52</v>
      </c>
      <c r="B20" s="153">
        <f>(Bruttoeink!B17*B$11)/1000</f>
        <v>45857.253811509996</v>
      </c>
      <c r="C20" s="153">
        <f>(Bruttoeink!C17*C$11)/1000</f>
        <v>106.60820959999998</v>
      </c>
      <c r="D20" s="154">
        <f>(Bruttoeink!D17*D$11)/1000</f>
        <v>1149.4737367750001</v>
      </c>
      <c r="E20" s="153">
        <f>(Bruttoeink!E17*E$11)/1000</f>
        <v>97.002871240601493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1353.0848176156017</v>
      </c>
      <c r="J20" s="156">
        <f t="shared" si="1"/>
        <v>0.75</v>
      </c>
      <c r="K20" s="153">
        <f t="shared" si="2"/>
        <v>1014.8136132117013</v>
      </c>
      <c r="L20" s="157">
        <f t="shared" si="3"/>
        <v>46872.067424721696</v>
      </c>
      <c r="M20" s="145"/>
      <c r="N20" s="152" t="s">
        <v>52</v>
      </c>
      <c r="O20" s="158">
        <v>602327.30000000005</v>
      </c>
      <c r="P20" s="159">
        <v>0</v>
      </c>
      <c r="Q20" s="157">
        <f>IF(Berechnung_QS!L20=0,O20*P20,0)</f>
        <v>0</v>
      </c>
      <c r="R20" s="148"/>
      <c r="S20" s="160">
        <f>Berechnung_QS!L20+Q20</f>
        <v>46872.067424721696</v>
      </c>
    </row>
    <row r="21" spans="1:19" ht="15.75" customHeight="1" x14ac:dyDescent="0.25">
      <c r="A21" s="163" t="s">
        <v>53</v>
      </c>
      <c r="B21" s="164">
        <f>(Bruttoeink!B18*B$11)/1000</f>
        <v>203800.74391699999</v>
      </c>
      <c r="C21" s="164">
        <f>(Bruttoeink!C18*C$11)/1000</f>
        <v>32962.409292999997</v>
      </c>
      <c r="D21" s="165">
        <f>(Bruttoeink!D18*D$11)/1000</f>
        <v>1676.4430716250001</v>
      </c>
      <c r="E21" s="164">
        <f>(Bruttoeink!E18*E$11)/1000</f>
        <v>1343.7099812030076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35982.562345828002</v>
      </c>
      <c r="J21" s="167">
        <f t="shared" si="1"/>
        <v>0.75</v>
      </c>
      <c r="K21" s="164">
        <f t="shared" si="2"/>
        <v>26986.921759371002</v>
      </c>
      <c r="L21" s="168">
        <f t="shared" si="3"/>
        <v>230787.66567637099</v>
      </c>
      <c r="M21" s="145"/>
      <c r="N21" s="163" t="s">
        <v>53</v>
      </c>
      <c r="O21" s="169">
        <v>4724265</v>
      </c>
      <c r="P21" s="170">
        <v>0</v>
      </c>
      <c r="Q21" s="168">
        <f>IF(Berechnung_QS!L21=0,O21*P21,0)</f>
        <v>0</v>
      </c>
      <c r="R21" s="148"/>
      <c r="S21" s="171">
        <f>Berechnung_QS!L21+Q21</f>
        <v>230787.66567637099</v>
      </c>
    </row>
    <row r="22" spans="1:19" ht="15.75" customHeight="1" x14ac:dyDescent="0.25">
      <c r="A22" s="152" t="s">
        <v>54</v>
      </c>
      <c r="B22" s="153">
        <f>(Bruttoeink!B19*B$11)/1000</f>
        <v>219945.97875119856</v>
      </c>
      <c r="C22" s="153">
        <f>(Bruttoeink!C19*C$11)/1000</f>
        <v>30463.733876450038</v>
      </c>
      <c r="D22" s="154">
        <f>(Bruttoeink!D19*D$11)/1000</f>
        <v>693.2005752</v>
      </c>
      <c r="E22" s="153">
        <f>(Bruttoeink!E19*E$11)/1000</f>
        <v>111.48343984962406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31268.417891499663</v>
      </c>
      <c r="J22" s="156">
        <f t="shared" si="1"/>
        <v>0.75</v>
      </c>
      <c r="K22" s="153">
        <f t="shared" si="2"/>
        <v>23451.313418624748</v>
      </c>
      <c r="L22" s="157">
        <f t="shared" si="3"/>
        <v>243397.29216982331</v>
      </c>
      <c r="M22" s="145"/>
      <c r="N22" s="152" t="s">
        <v>54</v>
      </c>
      <c r="O22" s="158">
        <v>4920482.0999999996</v>
      </c>
      <c r="P22" s="159">
        <v>0</v>
      </c>
      <c r="Q22" s="157">
        <f>IF(Berechnung_QS!L22=0,O22*P22,0)</f>
        <v>0</v>
      </c>
      <c r="R22" s="148"/>
      <c r="S22" s="160">
        <f>Berechnung_QS!L22+Q22</f>
        <v>243397.29216982331</v>
      </c>
    </row>
    <row r="23" spans="1:19" ht="15.75" customHeight="1" x14ac:dyDescent="0.25">
      <c r="A23" s="163" t="s">
        <v>55</v>
      </c>
      <c r="B23" s="164">
        <f>(Bruttoeink!B20*B$11)/1000</f>
        <v>133784.13581400001</v>
      </c>
      <c r="C23" s="164">
        <f>(Bruttoeink!C20*C$11)/1000</f>
        <v>10359.178024000001</v>
      </c>
      <c r="D23" s="165">
        <f>(Bruttoeink!D20*D$11)/1000</f>
        <v>176.1735955</v>
      </c>
      <c r="E23" s="164">
        <f>(Bruttoeink!E20*E$11)/1000</f>
        <v>7362.6641729323301</v>
      </c>
      <c r="F23" s="164">
        <f>(Bruttoeink!F20*F$11)/1000</f>
        <v>0</v>
      </c>
      <c r="G23" s="164">
        <f>(Bruttoeink!G20*G$11)/1000</f>
        <v>15050.707781954887</v>
      </c>
      <c r="H23" s="166">
        <f>(Bruttoeink!H20*H$11)/1000</f>
        <v>0</v>
      </c>
      <c r="I23" s="164">
        <f t="shared" si="0"/>
        <v>32948.723574387215</v>
      </c>
      <c r="J23" s="167">
        <f t="shared" si="1"/>
        <v>0.75</v>
      </c>
      <c r="K23" s="164">
        <f t="shared" si="2"/>
        <v>24711.542680790411</v>
      </c>
      <c r="L23" s="168">
        <f t="shared" si="3"/>
        <v>158495.67849479042</v>
      </c>
      <c r="M23" s="145"/>
      <c r="N23" s="163" t="s">
        <v>55</v>
      </c>
      <c r="O23" s="169">
        <v>4731259.5</v>
      </c>
      <c r="P23" s="170">
        <v>0</v>
      </c>
      <c r="Q23" s="168">
        <f>IF(Berechnung_QS!L23=0,O23*P23,0)</f>
        <v>0</v>
      </c>
      <c r="R23" s="148"/>
      <c r="S23" s="171">
        <f>Berechnung_QS!L23+Q23</f>
        <v>158495.67849479042</v>
      </c>
    </row>
    <row r="24" spans="1:19" ht="15.75" customHeight="1" x14ac:dyDescent="0.25">
      <c r="A24" s="152" t="s">
        <v>56</v>
      </c>
      <c r="B24" s="153">
        <f>(Bruttoeink!B21*B$11)/1000</f>
        <v>255547.40051765996</v>
      </c>
      <c r="C24" s="153">
        <f>(Bruttoeink!C21*C$11)/1000</f>
        <v>98343.625053999989</v>
      </c>
      <c r="D24" s="154">
        <f>(Bruttoeink!D21*D$11)/1000</f>
        <v>387.45778070124999</v>
      </c>
      <c r="E24" s="153">
        <f>(Bruttoeink!E21*E$11)/1000</f>
        <v>207206.84561616543</v>
      </c>
      <c r="F24" s="153">
        <f>(Bruttoeink!F21*F$11)/1000</f>
        <v>0</v>
      </c>
      <c r="G24" s="153">
        <f>(Bruttoeink!G21*G$11)/1000</f>
        <v>289021.31314342108</v>
      </c>
      <c r="H24" s="155">
        <f>(Bruttoeink!H21*H$11)/1000</f>
        <v>0</v>
      </c>
      <c r="I24" s="153">
        <f t="shared" si="0"/>
        <v>594959.2415942878</v>
      </c>
      <c r="J24" s="156">
        <f t="shared" si="1"/>
        <v>0.75</v>
      </c>
      <c r="K24" s="153">
        <f t="shared" si="2"/>
        <v>446219.43119571585</v>
      </c>
      <c r="L24" s="157">
        <f t="shared" si="3"/>
        <v>701766.83171337587</v>
      </c>
      <c r="M24" s="145"/>
      <c r="N24" s="152" t="s">
        <v>56</v>
      </c>
      <c r="O24" s="158">
        <v>4907878.9000000004</v>
      </c>
      <c r="P24" s="159">
        <v>0</v>
      </c>
      <c r="Q24" s="157">
        <f>IF(Berechnung_QS!L24=0,O24*P24,0)</f>
        <v>0</v>
      </c>
      <c r="R24" s="148"/>
      <c r="S24" s="160">
        <f>Berechnung_QS!L24+Q24</f>
        <v>701766.83171337587</v>
      </c>
    </row>
    <row r="25" spans="1:19" ht="15.75" customHeight="1" x14ac:dyDescent="0.25">
      <c r="A25" s="163" t="s">
        <v>57</v>
      </c>
      <c r="B25" s="164">
        <f>(Bruttoeink!B22*B$11)/1000</f>
        <v>148068.60329600002</v>
      </c>
      <c r="C25" s="164">
        <f>(Bruttoeink!C22*C$11)/1000</f>
        <v>30895.734472</v>
      </c>
      <c r="D25" s="165">
        <f>(Bruttoeink!D22*D$11)/1000</f>
        <v>518.86480362500004</v>
      </c>
      <c r="E25" s="164">
        <f>(Bruttoeink!E22*E$11)/1000</f>
        <v>126784.13582706766</v>
      </c>
      <c r="F25" s="164">
        <f>(Bruttoeink!F22*F$11)/1000</f>
        <v>0</v>
      </c>
      <c r="G25" s="164">
        <f>(Bruttoeink!G22*G$11)/1000</f>
        <v>172552.47614661651</v>
      </c>
      <c r="H25" s="166">
        <f>(Bruttoeink!H22*H$11)/1000</f>
        <v>0</v>
      </c>
      <c r="I25" s="164">
        <f t="shared" si="0"/>
        <v>330751.21124930913</v>
      </c>
      <c r="J25" s="167">
        <f t="shared" si="1"/>
        <v>0.75</v>
      </c>
      <c r="K25" s="164">
        <f t="shared" si="2"/>
        <v>248063.40843698184</v>
      </c>
      <c r="L25" s="168">
        <f t="shared" si="3"/>
        <v>396132.01173298189</v>
      </c>
      <c r="M25" s="145"/>
      <c r="N25" s="163" t="s">
        <v>57</v>
      </c>
      <c r="O25" s="169">
        <v>6752348.0999999996</v>
      </c>
      <c r="P25" s="170">
        <v>0</v>
      </c>
      <c r="Q25" s="168">
        <f>IF(Berechnung_QS!L25=0,O25*P25,0)</f>
        <v>0</v>
      </c>
      <c r="R25" s="148"/>
      <c r="S25" s="171">
        <f>Berechnung_QS!L25+Q25</f>
        <v>396132.01173298189</v>
      </c>
    </row>
    <row r="26" spans="1:19" ht="15.75" customHeight="1" x14ac:dyDescent="0.25">
      <c r="A26" s="152" t="s">
        <v>58</v>
      </c>
      <c r="B26" s="153">
        <f>(Bruttoeink!B23*B$11)/1000</f>
        <v>105393.233415</v>
      </c>
      <c r="C26" s="153">
        <f>(Bruttoeink!C23*C$11)/1000</f>
        <v>11703.5216636</v>
      </c>
      <c r="D26" s="154">
        <f>(Bruttoeink!D23*D$11)/1000</f>
        <v>207.12587087500003</v>
      </c>
      <c r="E26" s="153">
        <f>(Bruttoeink!E23*E$11)/1000</f>
        <v>65762.661146616534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77673.308681091527</v>
      </c>
      <c r="J26" s="156">
        <f t="shared" si="1"/>
        <v>0.75</v>
      </c>
      <c r="K26" s="153">
        <f t="shared" si="2"/>
        <v>58254.981510818645</v>
      </c>
      <c r="L26" s="157">
        <f t="shared" si="3"/>
        <v>163648.21492581864</v>
      </c>
      <c r="M26" s="145"/>
      <c r="N26" s="152" t="s">
        <v>58</v>
      </c>
      <c r="O26" s="158">
        <v>1342841.5</v>
      </c>
      <c r="P26" s="159">
        <v>0</v>
      </c>
      <c r="Q26" s="157">
        <f>IF(Berechnung_QS!L26=0,O26*P26,0)</f>
        <v>0</v>
      </c>
      <c r="R26" s="148"/>
      <c r="S26" s="160">
        <f>Berechnung_QS!L26+Q26</f>
        <v>163648.21492581864</v>
      </c>
    </row>
    <row r="27" spans="1:19" ht="15.75" customHeight="1" x14ac:dyDescent="0.25">
      <c r="A27" s="163" t="s">
        <v>59</v>
      </c>
      <c r="B27" s="164">
        <f>(Bruttoeink!B24*B$11)/1000</f>
        <v>32989.278281129999</v>
      </c>
      <c r="C27" s="164">
        <f>(Bruttoeink!C24*C$11)/1000</f>
        <v>2987.3700874000001</v>
      </c>
      <c r="D27" s="165">
        <f>(Bruttoeink!D24*D$11)/1000</f>
        <v>4479.8434887500007</v>
      </c>
      <c r="E27" s="164">
        <f>(Bruttoeink!E24*E$11)/1000</f>
        <v>715.89874060150373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8183.1123167515052</v>
      </c>
      <c r="J27" s="167">
        <f t="shared" si="1"/>
        <v>0.75</v>
      </c>
      <c r="K27" s="164">
        <f t="shared" si="2"/>
        <v>6137.3342375636294</v>
      </c>
      <c r="L27" s="168">
        <f t="shared" si="3"/>
        <v>39126.612518693626</v>
      </c>
      <c r="M27" s="145"/>
      <c r="N27" s="163" t="s">
        <v>59</v>
      </c>
      <c r="O27" s="169">
        <v>952567.2</v>
      </c>
      <c r="P27" s="170">
        <v>0</v>
      </c>
      <c r="Q27" s="168">
        <f>IF(Berechnung_QS!L27=0,O27*P27,0)</f>
        <v>0</v>
      </c>
      <c r="R27" s="148"/>
      <c r="S27" s="171">
        <f>Berechnung_QS!L27+Q27</f>
        <v>39126.612518693626</v>
      </c>
    </row>
    <row r="28" spans="1:19" ht="15.75" customHeight="1" x14ac:dyDescent="0.25">
      <c r="A28" s="152" t="s">
        <v>60</v>
      </c>
      <c r="B28" s="153">
        <f>(Bruttoeink!B25*B$11)/1000</f>
        <v>7419.8262108099998</v>
      </c>
      <c r="C28" s="153">
        <f>(Bruttoeink!C25*C$11)/1000</f>
        <v>702.23159307000003</v>
      </c>
      <c r="D28" s="154">
        <f>(Bruttoeink!D25*D$11)/1000</f>
        <v>1776.2753495812501</v>
      </c>
      <c r="E28" s="153">
        <f>(Bruttoeink!E25*E$11)/1000</f>
        <v>129.61479586466166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2608.1217385159116</v>
      </c>
      <c r="J28" s="156">
        <f t="shared" si="1"/>
        <v>0.75</v>
      </c>
      <c r="K28" s="153">
        <f t="shared" si="2"/>
        <v>1956.0913038869337</v>
      </c>
      <c r="L28" s="157">
        <f t="shared" si="3"/>
        <v>9375.9175146969337</v>
      </c>
      <c r="M28" s="145"/>
      <c r="N28" s="152" t="s">
        <v>60</v>
      </c>
      <c r="O28" s="158">
        <v>294879.59999999998</v>
      </c>
      <c r="P28" s="159">
        <v>0</v>
      </c>
      <c r="Q28" s="157">
        <f>IF(Berechnung_QS!L28=0,O28*P28,0)</f>
        <v>0</v>
      </c>
      <c r="R28" s="148"/>
      <c r="S28" s="160">
        <f>Berechnung_QS!L28+Q28</f>
        <v>9375.9175146969337</v>
      </c>
    </row>
    <row r="29" spans="1:19" ht="15.75" customHeight="1" x14ac:dyDescent="0.25">
      <c r="A29" s="163" t="s">
        <v>61</v>
      </c>
      <c r="B29" s="164">
        <f>(Bruttoeink!B26*B$11)/1000</f>
        <v>382811.21624677</v>
      </c>
      <c r="C29" s="164">
        <f>(Bruttoeink!C26*C$11)/1000</f>
        <v>30940.872507709999</v>
      </c>
      <c r="D29" s="165">
        <f>(Bruttoeink!D26*D$11)/1000</f>
        <v>159243.65962315127</v>
      </c>
      <c r="E29" s="164">
        <f>(Bruttoeink!E26*E$11)/1000</f>
        <v>14694.163012218045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204878.69514307933</v>
      </c>
      <c r="J29" s="167">
        <f t="shared" si="1"/>
        <v>0.75</v>
      </c>
      <c r="K29" s="164">
        <f t="shared" si="2"/>
        <v>153659.02135730948</v>
      </c>
      <c r="L29" s="168">
        <f t="shared" si="3"/>
        <v>536470.23760407954</v>
      </c>
      <c r="M29" s="145"/>
      <c r="N29" s="163" t="s">
        <v>61</v>
      </c>
      <c r="O29" s="169">
        <v>7884121.2999999998</v>
      </c>
      <c r="P29" s="170">
        <v>0</v>
      </c>
      <c r="Q29" s="168">
        <f>IF(Berechnung_QS!L29=0,O29*P29,0)</f>
        <v>0</v>
      </c>
      <c r="R29" s="148"/>
      <c r="S29" s="171">
        <f>Berechnung_QS!L29+Q29</f>
        <v>536470.23760407954</v>
      </c>
    </row>
    <row r="30" spans="1:19" ht="15.75" customHeight="1" x14ac:dyDescent="0.25">
      <c r="A30" s="152" t="s">
        <v>62</v>
      </c>
      <c r="B30" s="153">
        <f>(Bruttoeink!B27*B$11)/1000</f>
        <v>329320.64670152997</v>
      </c>
      <c r="C30" s="153">
        <f>(Bruttoeink!C27*C$11)/1000</f>
        <v>64166.215374560001</v>
      </c>
      <c r="D30" s="154">
        <f>(Bruttoeink!D27*D$11)/1000</f>
        <v>8087.2232871237511</v>
      </c>
      <c r="E30" s="153">
        <f>(Bruttoeink!E27*E$11)/1000</f>
        <v>183.1465607142857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19817.282106300001</v>
      </c>
      <c r="I30" s="153">
        <f t="shared" si="0"/>
        <v>92253.867328698048</v>
      </c>
      <c r="J30" s="156">
        <f t="shared" si="1"/>
        <v>0.75</v>
      </c>
      <c r="K30" s="153">
        <f t="shared" si="2"/>
        <v>69190.400496523536</v>
      </c>
      <c r="L30" s="157">
        <f t="shared" si="3"/>
        <v>398511.04719805351</v>
      </c>
      <c r="M30" s="145"/>
      <c r="N30" s="152" t="s">
        <v>62</v>
      </c>
      <c r="O30" s="158">
        <v>3404509.6</v>
      </c>
      <c r="P30" s="159">
        <v>0</v>
      </c>
      <c r="Q30" s="157">
        <f>IF(Berechnung_QS!L30=0,O30*P30,0)</f>
        <v>0</v>
      </c>
      <c r="R30" s="148"/>
      <c r="S30" s="160">
        <f>Berechnung_QS!L30+Q30</f>
        <v>398511.04719805351</v>
      </c>
    </row>
    <row r="31" spans="1:19" ht="15.75" customHeight="1" x14ac:dyDescent="0.25">
      <c r="A31" s="163" t="s">
        <v>63</v>
      </c>
      <c r="B31" s="164">
        <f>(Bruttoeink!B28*B$11)/1000</f>
        <v>451765.71232599998</v>
      </c>
      <c r="C31" s="164">
        <f>(Bruttoeink!C28*C$11)/1000</f>
        <v>108879.52665699999</v>
      </c>
      <c r="D31" s="165">
        <f>(Bruttoeink!D28*D$11)/1000</f>
        <v>1326.8359383125</v>
      </c>
      <c r="E31" s="164">
        <f>(Bruttoeink!E28*E$11)/1000</f>
        <v>158053.90330827067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268260.26590358315</v>
      </c>
      <c r="J31" s="167">
        <f t="shared" si="1"/>
        <v>0.75</v>
      </c>
      <c r="K31" s="164">
        <f t="shared" si="2"/>
        <v>201195.19942768736</v>
      </c>
      <c r="L31" s="168">
        <f t="shared" si="3"/>
        <v>652960.91175368731</v>
      </c>
      <c r="M31" s="145"/>
      <c r="N31" s="163" t="s">
        <v>63</v>
      </c>
      <c r="O31" s="169">
        <v>12293764.6</v>
      </c>
      <c r="P31" s="170">
        <v>0</v>
      </c>
      <c r="Q31" s="168">
        <f>IF(Berechnung_QS!L31=0,O31*P31,0)</f>
        <v>0</v>
      </c>
      <c r="R31" s="148"/>
      <c r="S31" s="171">
        <f>Berechnung_QS!L31+Q31</f>
        <v>652960.91175368731</v>
      </c>
    </row>
    <row r="32" spans="1:19" ht="15.75" customHeight="1" x14ac:dyDescent="0.25">
      <c r="A32" s="152" t="s">
        <v>64</v>
      </c>
      <c r="B32" s="153">
        <f>(Bruttoeink!B29*B$11)/1000</f>
        <v>227032.27928215999</v>
      </c>
      <c r="C32" s="153">
        <f>(Bruttoeink!C29*C$11)/1000</f>
        <v>23953.28726791</v>
      </c>
      <c r="D32" s="154">
        <f>(Bruttoeink!D29*D$11)/1000</f>
        <v>5549.7998575075007</v>
      </c>
      <c r="E32" s="153">
        <f>(Bruttoeink!E29*E$11)/1000</f>
        <v>50807.865496804508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80310.952622222016</v>
      </c>
      <c r="J32" s="156">
        <f t="shared" si="1"/>
        <v>0.75</v>
      </c>
      <c r="K32" s="153">
        <f t="shared" si="2"/>
        <v>60233.214466666512</v>
      </c>
      <c r="L32" s="157">
        <f t="shared" si="3"/>
        <v>287265.4937488265</v>
      </c>
      <c r="M32" s="145"/>
      <c r="N32" s="152" t="s">
        <v>64</v>
      </c>
      <c r="O32" s="158">
        <v>4563342.0999999996</v>
      </c>
      <c r="P32" s="159">
        <v>0</v>
      </c>
      <c r="Q32" s="157">
        <f>IF(Berechnung_QS!L32=0,O32*P32,0)</f>
        <v>0</v>
      </c>
      <c r="R32" s="148"/>
      <c r="S32" s="160">
        <f>Berechnung_QS!L32+Q32</f>
        <v>287265.4937488265</v>
      </c>
    </row>
    <row r="33" spans="1:19" ht="15.75" customHeight="1" x14ac:dyDescent="0.25">
      <c r="A33" s="163" t="s">
        <v>65</v>
      </c>
      <c r="B33" s="164">
        <f>(Bruttoeink!B30*B$11)/1000</f>
        <v>370795.18844599999</v>
      </c>
      <c r="C33" s="164">
        <f>(Bruttoeink!C30*C$11)/1000</f>
        <v>230829.28285600001</v>
      </c>
      <c r="D33" s="165">
        <f>(Bruttoeink!D30*D$11)/1000</f>
        <v>191.84257487500003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597396.84347760002</v>
      </c>
      <c r="I33" s="164">
        <f t="shared" si="0"/>
        <v>828417.96890847501</v>
      </c>
      <c r="J33" s="167">
        <f t="shared" si="1"/>
        <v>0.75</v>
      </c>
      <c r="K33" s="164">
        <f t="shared" si="2"/>
        <v>621313.47668135632</v>
      </c>
      <c r="L33" s="168">
        <f t="shared" si="3"/>
        <v>992108.6651273563</v>
      </c>
      <c r="M33" s="145"/>
      <c r="N33" s="163" t="s">
        <v>65</v>
      </c>
      <c r="O33" s="169">
        <v>6694114.0999999996</v>
      </c>
      <c r="P33" s="170">
        <v>0</v>
      </c>
      <c r="Q33" s="168">
        <f>IF(Berechnung_QS!L33=0,O33*P33,0)</f>
        <v>0</v>
      </c>
      <c r="R33" s="148"/>
      <c r="S33" s="171">
        <f>Berechnung_QS!L33+Q33</f>
        <v>992108.6651273563</v>
      </c>
    </row>
    <row r="34" spans="1:19" ht="15.75" customHeight="1" x14ac:dyDescent="0.25">
      <c r="A34" s="152" t="s">
        <v>66</v>
      </c>
      <c r="B34" s="153">
        <f>(Bruttoeink!B31*B$11)/1000</f>
        <v>1082950.435422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382072.50558270677</v>
      </c>
      <c r="H34" s="155">
        <f>(Bruttoeink!H31*H$11)/1000</f>
        <v>0</v>
      </c>
      <c r="I34" s="153">
        <f t="shared" si="0"/>
        <v>382072.50558270677</v>
      </c>
      <c r="J34" s="156">
        <f t="shared" si="1"/>
        <v>0.75</v>
      </c>
      <c r="K34" s="153">
        <f t="shared" si="2"/>
        <v>286554.37918703008</v>
      </c>
      <c r="L34" s="157">
        <f t="shared" si="3"/>
        <v>1369504.81460903</v>
      </c>
      <c r="M34" s="145"/>
      <c r="N34" s="152" t="s">
        <v>66</v>
      </c>
      <c r="O34" s="158">
        <v>16529647.300000001</v>
      </c>
      <c r="P34" s="159">
        <v>0</v>
      </c>
      <c r="Q34" s="157">
        <f>IF(Berechnung_QS!L34=0,O34*P34,0)</f>
        <v>0</v>
      </c>
      <c r="R34" s="148"/>
      <c r="S34" s="160">
        <f>Berechnung_QS!L34+Q34</f>
        <v>1369504.81460903</v>
      </c>
    </row>
    <row r="35" spans="1:19" ht="15.75" customHeight="1" x14ac:dyDescent="0.25">
      <c r="A35" s="163" t="s">
        <v>67</v>
      </c>
      <c r="B35" s="164">
        <f>(Bruttoeink!B32*B$11)/1000</f>
        <v>401217.60930194997</v>
      </c>
      <c r="C35" s="164">
        <f>(Bruttoeink!C32*C$11)/1000</f>
        <v>3992.3992894100002</v>
      </c>
      <c r="D35" s="165">
        <f>(Bruttoeink!D32*D$11)/1000</f>
        <v>0</v>
      </c>
      <c r="E35" s="164">
        <f>(Bruttoeink!E32*E$11)/1000</f>
        <v>58.397760338345861</v>
      </c>
      <c r="F35" s="164">
        <f>(Bruttoeink!F32*F$11)/1000</f>
        <v>0</v>
      </c>
      <c r="G35" s="164">
        <f>(Bruttoeink!G32*G$11)/1000</f>
        <v>16982.325406015039</v>
      </c>
      <c r="H35" s="166">
        <f>(Bruttoeink!H32*H$11)/1000</f>
        <v>14435.228281062</v>
      </c>
      <c r="I35" s="164">
        <f t="shared" si="0"/>
        <v>35468.350736825385</v>
      </c>
      <c r="J35" s="167">
        <f t="shared" si="1"/>
        <v>0.75</v>
      </c>
      <c r="K35" s="164">
        <f t="shared" si="2"/>
        <v>26601.263052619041</v>
      </c>
      <c r="L35" s="168">
        <f t="shared" si="3"/>
        <v>427818.87235456903</v>
      </c>
      <c r="M35" s="145"/>
      <c r="N35" s="163" t="s">
        <v>67</v>
      </c>
      <c r="O35" s="169">
        <v>4899814.7</v>
      </c>
      <c r="P35" s="170">
        <v>0</v>
      </c>
      <c r="Q35" s="168">
        <f>IF(Berechnung_QS!L35=0,O35*P35,0)</f>
        <v>0</v>
      </c>
      <c r="R35" s="148"/>
      <c r="S35" s="171">
        <f>Berechnung_QS!L35+Q35</f>
        <v>427818.87235456903</v>
      </c>
    </row>
    <row r="36" spans="1:19" ht="15.75" customHeight="1" x14ac:dyDescent="0.25">
      <c r="A36" s="152" t="s">
        <v>68</v>
      </c>
      <c r="B36" s="153">
        <f>(Bruttoeink!B33*B$11)/1000</f>
        <v>147856.99087199999</v>
      </c>
      <c r="C36" s="153">
        <f>(Bruttoeink!C33*C$11)/1000</f>
        <v>16071.730108</v>
      </c>
      <c r="D36" s="154">
        <f>(Bruttoeink!D33*D$11)/1000</f>
        <v>18.278738625000003</v>
      </c>
      <c r="E36" s="153">
        <f>(Bruttoeink!E33*E$11)/1000</f>
        <v>0.60631578947368414</v>
      </c>
      <c r="F36" s="153">
        <f>(Bruttoeink!F33*F$11)/1000</f>
        <v>0</v>
      </c>
      <c r="G36" s="153">
        <f>(Bruttoeink!G33*G$11)/1000</f>
        <v>161809.73289473684</v>
      </c>
      <c r="H36" s="155">
        <f>(Bruttoeink!H33*H$11)/1000</f>
        <v>0</v>
      </c>
      <c r="I36" s="153">
        <f t="shared" si="0"/>
        <v>177900.34805715131</v>
      </c>
      <c r="J36" s="156">
        <f t="shared" si="1"/>
        <v>0.75</v>
      </c>
      <c r="K36" s="153">
        <f t="shared" si="2"/>
        <v>133425.26104286348</v>
      </c>
      <c r="L36" s="157">
        <f t="shared" si="3"/>
        <v>281282.25191486347</v>
      </c>
      <c r="M36" s="145"/>
      <c r="N36" s="152" t="s">
        <v>68</v>
      </c>
      <c r="O36" s="158">
        <v>2844219.8</v>
      </c>
      <c r="P36" s="159">
        <v>0</v>
      </c>
      <c r="Q36" s="157">
        <f>IF(Berechnung_QS!L36=0,O36*P36,0)</f>
        <v>0</v>
      </c>
      <c r="R36" s="148"/>
      <c r="S36" s="160">
        <f>Berechnung_QS!L36+Q36</f>
        <v>281282.25191486347</v>
      </c>
    </row>
    <row r="37" spans="1:19" ht="15.75" customHeight="1" x14ac:dyDescent="0.25">
      <c r="A37" s="163" t="s">
        <v>69</v>
      </c>
      <c r="B37" s="164">
        <f>(Bruttoeink!B34*B$11)/1000</f>
        <v>799754.05539500003</v>
      </c>
      <c r="C37" s="164">
        <f>(Bruttoeink!C34*C$11)/1000</f>
        <v>174499.76087900001</v>
      </c>
      <c r="D37" s="165">
        <f>(Bruttoeink!D34*D$11)/1000</f>
        <v>512.15625037500001</v>
      </c>
      <c r="E37" s="164">
        <f>(Bruttoeink!E34*E$11)/1000</f>
        <v>0</v>
      </c>
      <c r="F37" s="164">
        <f>(Bruttoeink!F34*F$11)/1000</f>
        <v>1862280.4346343158</v>
      </c>
      <c r="G37" s="164">
        <f>(Bruttoeink!G34*G$11)/1000</f>
        <v>0</v>
      </c>
      <c r="H37" s="166">
        <f>(Bruttoeink!H34*H$11)/1000</f>
        <v>0</v>
      </c>
      <c r="I37" s="164">
        <f t="shared" si="0"/>
        <v>2037292.3517636908</v>
      </c>
      <c r="J37" s="167">
        <f t="shared" si="1"/>
        <v>0.75</v>
      </c>
      <c r="K37" s="164">
        <f t="shared" si="2"/>
        <v>1527969.2638227681</v>
      </c>
      <c r="L37" s="168">
        <f t="shared" si="3"/>
        <v>2327723.319217768</v>
      </c>
      <c r="M37" s="145"/>
      <c r="N37" s="163" t="s">
        <v>69</v>
      </c>
      <c r="O37" s="169">
        <v>14521423.199999999</v>
      </c>
      <c r="P37" s="170">
        <v>0</v>
      </c>
      <c r="Q37" s="168">
        <f>IF(Berechnung_QS!L37=0,O37*P37,0)</f>
        <v>0</v>
      </c>
      <c r="R37" s="148"/>
      <c r="S37" s="171">
        <f>Berechnung_QS!L37+Q37</f>
        <v>2327723.319217768</v>
      </c>
    </row>
    <row r="38" spans="1:19" ht="15.75" customHeight="1" x14ac:dyDescent="0.25">
      <c r="A38" s="172" t="s">
        <v>70</v>
      </c>
      <c r="B38" s="173">
        <f>(Bruttoeink!B35*B$11)/1000</f>
        <v>32567.066918969995</v>
      </c>
      <c r="C38" s="173">
        <f>(Bruttoeink!C35*C$11)/1000</f>
        <v>4145.8752590000004</v>
      </c>
      <c r="D38" s="174">
        <f>(Bruttoeink!D35*D$11)/1000</f>
        <v>0</v>
      </c>
      <c r="E38" s="173">
        <f>(Bruttoeink!E35*E$11)/1000</f>
        <v>103.31165977443608</v>
      </c>
      <c r="F38" s="173">
        <f>(Bruttoeink!F35*F$11)/1000</f>
        <v>0</v>
      </c>
      <c r="G38" s="173">
        <f>(Bruttoeink!G35*G$11)/1000</f>
        <v>90143.903571428571</v>
      </c>
      <c r="H38" s="175">
        <f>(Bruttoeink!H35*H$11)/1000</f>
        <v>0</v>
      </c>
      <c r="I38" s="173">
        <f t="shared" si="0"/>
        <v>94393.090490203002</v>
      </c>
      <c r="J38" s="176">
        <f t="shared" si="1"/>
        <v>0.75</v>
      </c>
      <c r="K38" s="173">
        <f t="shared" si="2"/>
        <v>70794.817867652251</v>
      </c>
      <c r="L38" s="177">
        <f t="shared" si="3"/>
        <v>103361.88478662225</v>
      </c>
      <c r="M38" s="145"/>
      <c r="N38" s="172" t="s">
        <v>70</v>
      </c>
      <c r="O38" s="178">
        <v>962200.2</v>
      </c>
      <c r="P38" s="179">
        <v>0</v>
      </c>
      <c r="Q38" s="177">
        <f>IF(Berechnung_QS!L38=0,O38*P38,0)</f>
        <v>0</v>
      </c>
      <c r="R38" s="148"/>
      <c r="S38" s="180">
        <f>Berechnung_QS!L38+Q38</f>
        <v>103361.88478662225</v>
      </c>
    </row>
    <row r="39" spans="1:19" ht="15.75" customHeight="1" x14ac:dyDescent="0.25">
      <c r="A39" s="181" t="s">
        <v>71</v>
      </c>
      <c r="B39" s="182">
        <f t="shared" ref="B39:I39" si="4">SUM(B13:B38)</f>
        <v>8536751.9668190554</v>
      </c>
      <c r="C39" s="182">
        <f t="shared" si="4"/>
        <v>1006430.94590588</v>
      </c>
      <c r="D39" s="183">
        <f t="shared" si="4"/>
        <v>188010.98363123997</v>
      </c>
      <c r="E39" s="182">
        <f t="shared" si="4"/>
        <v>737934.71117142856</v>
      </c>
      <c r="F39" s="182">
        <f t="shared" si="4"/>
        <v>1862280.4346343158</v>
      </c>
      <c r="G39" s="182">
        <f t="shared" si="4"/>
        <v>1153520.945306391</v>
      </c>
      <c r="H39" s="184">
        <f t="shared" si="4"/>
        <v>631649.353864962</v>
      </c>
      <c r="I39" s="182">
        <f t="shared" si="4"/>
        <v>5579827.3745142175</v>
      </c>
      <c r="J39" s="185">
        <v>0.75</v>
      </c>
      <c r="K39" s="182">
        <f t="shared" si="2"/>
        <v>4184870.5308856629</v>
      </c>
      <c r="L39" s="186">
        <f t="shared" si="3"/>
        <v>12721622.497704718</v>
      </c>
      <c r="M39" s="145"/>
      <c r="N39" s="181" t="s">
        <v>71</v>
      </c>
      <c r="O39" s="187">
        <f>SUM(O13:O38)</f>
        <v>173454199.49999994</v>
      </c>
      <c r="P39" s="188"/>
      <c r="Q39" s="186">
        <f>SUM(Q13:Q38)</f>
        <v>0</v>
      </c>
      <c r="R39" s="148"/>
      <c r="S39" s="189">
        <f>SUM(S13:S38)</f>
        <v>12721622.49770472</v>
      </c>
    </row>
  </sheetData>
  <mergeCells count="15">
    <mergeCell ref="A4:L4"/>
    <mergeCell ref="N4:Q4"/>
    <mergeCell ref="B9:B10"/>
    <mergeCell ref="C9:C10"/>
    <mergeCell ref="I9:I10"/>
    <mergeCell ref="J9:J10"/>
    <mergeCell ref="L9:L10"/>
    <mergeCell ref="U11:V11"/>
    <mergeCell ref="D9:H9"/>
    <mergeCell ref="K9:K10"/>
    <mergeCell ref="O8:O10"/>
    <mergeCell ref="U10:V10"/>
    <mergeCell ref="P8:P10"/>
    <mergeCell ref="Q8:Q10"/>
    <mergeCell ref="S8:S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803149606299213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2017-11-03T14:47:57Z</cp:lastPrinted>
  <dcterms:created xsi:type="dcterms:W3CDTF">2006-06-26T16:01:42Z</dcterms:created>
  <dcterms:modified xsi:type="dcterms:W3CDTF">2017-11-03T14:48:12Z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QS_2018_2014.xlsx</vt:lpwstr>
  </property>
</Properties>
</file>