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0" yWindow="-15" windowWidth="20730" windowHeight="6060"/>
  </bookViews>
  <sheets>
    <sheet name="Info" sheetId="1" r:id="rId1"/>
    <sheet name="RP" sheetId="2" r:id="rId2"/>
    <sheet name="BEV" sheetId="3" r:id="rId3"/>
    <sheet name="Wachstum_RP" sheetId="4" r:id="rId4"/>
    <sheet name="Dotation_RA" sheetId="5" r:id="rId5"/>
    <sheet name="Einzahlungen" sheetId="6" r:id="rId6"/>
    <sheet name="Auszahlungen" sheetId="7" r:id="rId7"/>
    <sheet name="SSE" sheetId="8" r:id="rId8"/>
  </sheets>
  <definedNames>
    <definedName name="A">Dotation_RA!$D$25</definedName>
    <definedName name="B">Auszahlungen!$K$12</definedName>
    <definedName name="BEV">Auszahlungen!$C$6:$C$31</definedName>
    <definedName name="_xlnm.Print_Area">Auszahlungen!$A$1:$H$32</definedName>
    <definedName name="p">Auszahlungen!$K$5</definedName>
    <definedName name="RI">Auszahlungen!$B$6:$B$31</definedName>
    <definedName name="RI_26">Auszahlungen!$K$7</definedName>
    <definedName name="RI_MIN">Auszahlungen!$K$8</definedName>
    <definedName name="solver_adj">Auszahlungen!$K$5</definedName>
    <definedName name="solver_cvg">0.0001</definedName>
    <definedName name="solver_drv">1</definedName>
    <definedName name="solver_est">1</definedName>
    <definedName name="solver_itr">1000</definedName>
    <definedName name="solver_lhs1">Auszahlungen!$K$8</definedName>
    <definedName name="solver_lin">2</definedName>
    <definedName name="solver_neg">2</definedName>
    <definedName name="solver_num">1</definedName>
    <definedName name="solver_nwt">1</definedName>
    <definedName name="solver_opt">Auszahlungen!$K$6</definedName>
    <definedName name="solver_pre">0.00000000000001</definedName>
    <definedName name="solver_rel1">2</definedName>
    <definedName name="solver_rhs1">Auszahlungen!$K$7</definedName>
    <definedName name="solver_scl">2</definedName>
    <definedName name="solver_sho">2</definedName>
    <definedName name="solver_tim">100</definedName>
    <definedName name="solver_tol">0.05</definedName>
    <definedName name="solver_typ">1</definedName>
    <definedName name="solver_val">0</definedName>
    <definedName name="sse">SSE!$J$42</definedName>
    <definedName name="SUM">Auszahlungen!$D$32</definedName>
  </definedNames>
  <calcPr calcId="152511"/>
</workbook>
</file>

<file path=xl/calcChain.xml><?xml version="1.0" encoding="utf-8"?>
<calcChain xmlns="http://schemas.openxmlformats.org/spreadsheetml/2006/main">
  <c r="F40" i="8" l="1"/>
  <c r="H39" i="8"/>
  <c r="H40" i="8" s="1"/>
  <c r="G39" i="8"/>
  <c r="G40" i="8" s="1"/>
  <c r="F39" i="8"/>
  <c r="J36" i="8"/>
  <c r="A35" i="8"/>
  <c r="J1" i="8"/>
  <c r="A1" i="8"/>
  <c r="H2" i="7"/>
  <c r="A1" i="7"/>
  <c r="F2" i="6"/>
  <c r="A1" i="6"/>
  <c r="B28" i="5"/>
  <c r="B23" i="5"/>
  <c r="C15" i="5"/>
  <c r="C14" i="5"/>
  <c r="C13" i="5"/>
  <c r="G4" i="5"/>
  <c r="D12" i="5" s="1"/>
  <c r="C4" i="5"/>
  <c r="C12" i="5" s="1"/>
  <c r="G3" i="5"/>
  <c r="B1" i="5"/>
  <c r="D33" i="4"/>
  <c r="E28" i="4"/>
  <c r="F28" i="4" s="1"/>
  <c r="E27" i="4"/>
  <c r="F27" i="4" s="1"/>
  <c r="E26" i="4"/>
  <c r="F26" i="4" s="1"/>
  <c r="E25" i="4"/>
  <c r="F25" i="4" s="1"/>
  <c r="E20" i="4"/>
  <c r="F20" i="4" s="1"/>
  <c r="E19" i="4"/>
  <c r="F19" i="4" s="1"/>
  <c r="E18" i="4"/>
  <c r="F18" i="4" s="1"/>
  <c r="E17" i="4"/>
  <c r="F17" i="4" s="1"/>
  <c r="E12" i="4"/>
  <c r="F12" i="4" s="1"/>
  <c r="E11" i="4"/>
  <c r="F11" i="4" s="1"/>
  <c r="E10" i="4"/>
  <c r="F10" i="4" s="1"/>
  <c r="E8" i="4"/>
  <c r="F8" i="4" s="1"/>
  <c r="H5" i="4"/>
  <c r="G5" i="4"/>
  <c r="E5" i="4"/>
  <c r="D5" i="4"/>
  <c r="C4" i="4"/>
  <c r="I2" i="4"/>
  <c r="B1" i="4"/>
  <c r="E33" i="3"/>
  <c r="D33" i="3"/>
  <c r="C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33" i="3" s="1"/>
  <c r="J41" i="8" s="1"/>
  <c r="F5" i="3"/>
  <c r="F1" i="3"/>
  <c r="B1" i="3"/>
  <c r="E33" i="2"/>
  <c r="D33" i="2"/>
  <c r="C33" i="2"/>
  <c r="G32" i="2"/>
  <c r="F32" i="2"/>
  <c r="E32" i="4" s="1"/>
  <c r="F32" i="4" s="1"/>
  <c r="G31" i="2"/>
  <c r="F31" i="2"/>
  <c r="E31" i="4" s="1"/>
  <c r="F31" i="4" s="1"/>
  <c r="G30" i="2"/>
  <c r="F30" i="2"/>
  <c r="E30" i="4" s="1"/>
  <c r="F30" i="4" s="1"/>
  <c r="G29" i="2"/>
  <c r="F29" i="2"/>
  <c r="E29" i="4" s="1"/>
  <c r="F29" i="4" s="1"/>
  <c r="G28" i="2"/>
  <c r="F28" i="2"/>
  <c r="G27" i="2"/>
  <c r="F27" i="2"/>
  <c r="G26" i="2"/>
  <c r="F26" i="2"/>
  <c r="G25" i="2"/>
  <c r="F25" i="2"/>
  <c r="G24" i="2"/>
  <c r="F24" i="2"/>
  <c r="E24" i="4" s="1"/>
  <c r="F24" i="4" s="1"/>
  <c r="G23" i="2"/>
  <c r="F23" i="2"/>
  <c r="E23" i="4" s="1"/>
  <c r="F23" i="4" s="1"/>
  <c r="G22" i="2"/>
  <c r="F22" i="2"/>
  <c r="E22" i="4" s="1"/>
  <c r="F22" i="4" s="1"/>
  <c r="G21" i="2"/>
  <c r="F21" i="2"/>
  <c r="E21" i="4" s="1"/>
  <c r="F21" i="4" s="1"/>
  <c r="G20" i="2"/>
  <c r="F20" i="2"/>
  <c r="G19" i="2"/>
  <c r="F19" i="2"/>
  <c r="G18" i="2"/>
  <c r="F18" i="2"/>
  <c r="G17" i="2"/>
  <c r="F17" i="2"/>
  <c r="G16" i="2"/>
  <c r="C15" i="7" s="1"/>
  <c r="F16" i="2"/>
  <c r="E16" i="4" s="1"/>
  <c r="F16" i="4" s="1"/>
  <c r="G15" i="2"/>
  <c r="F15" i="2"/>
  <c r="E15" i="4" s="1"/>
  <c r="F15" i="4" s="1"/>
  <c r="G14" i="2"/>
  <c r="F14" i="2"/>
  <c r="E14" i="4" s="1"/>
  <c r="F14" i="4" s="1"/>
  <c r="G13" i="2"/>
  <c r="F13" i="2"/>
  <c r="E13" i="4" s="1"/>
  <c r="F13" i="4" s="1"/>
  <c r="G12" i="2"/>
  <c r="F12" i="2"/>
  <c r="G11" i="2"/>
  <c r="F11" i="2"/>
  <c r="G10" i="2"/>
  <c r="F10" i="2"/>
  <c r="G9" i="2"/>
  <c r="F9" i="2"/>
  <c r="E9" i="4" s="1"/>
  <c r="F9" i="4" s="1"/>
  <c r="G8" i="2"/>
  <c r="F8" i="2"/>
  <c r="G7" i="2"/>
  <c r="H7" i="2" s="1"/>
  <c r="F7" i="2"/>
  <c r="E7" i="4" s="1"/>
  <c r="E5" i="2"/>
  <c r="D5" i="2"/>
  <c r="C5" i="2"/>
  <c r="E4" i="2"/>
  <c r="D4" i="2"/>
  <c r="C4" i="2"/>
  <c r="I1" i="2"/>
  <c r="B1" i="2"/>
  <c r="A5" i="1"/>
  <c r="E33" i="4" l="1"/>
  <c r="F33" i="4" s="1"/>
  <c r="D5" i="5" s="1"/>
  <c r="E5" i="5" s="1"/>
  <c r="G5" i="5" s="1"/>
  <c r="F7" i="4"/>
  <c r="D8" i="8"/>
  <c r="C8" i="7"/>
  <c r="C9" i="6"/>
  <c r="D10" i="8"/>
  <c r="C10" i="7"/>
  <c r="D12" i="8"/>
  <c r="C12" i="7"/>
  <c r="D14" i="8"/>
  <c r="C14" i="7"/>
  <c r="C15" i="6"/>
  <c r="D16" i="8"/>
  <c r="C16" i="7"/>
  <c r="C17" i="6"/>
  <c r="D18" i="8"/>
  <c r="C18" i="7"/>
  <c r="D20" i="8"/>
  <c r="C20" i="7"/>
  <c r="D22" i="8"/>
  <c r="C23" i="6"/>
  <c r="D24" i="8"/>
  <c r="C24" i="7"/>
  <c r="C25" i="6"/>
  <c r="D26" i="8"/>
  <c r="C26" i="7"/>
  <c r="D28" i="8"/>
  <c r="C28" i="7"/>
  <c r="D29" i="8"/>
  <c r="C29" i="7"/>
  <c r="C30" i="6"/>
  <c r="D31" i="8"/>
  <c r="C31" i="7"/>
  <c r="C32" i="6"/>
  <c r="H9" i="2"/>
  <c r="H11" i="2"/>
  <c r="H13" i="2"/>
  <c r="H15" i="2"/>
  <c r="H17" i="2"/>
  <c r="H19" i="2"/>
  <c r="H21" i="2"/>
  <c r="H23" i="2"/>
  <c r="H25" i="2"/>
  <c r="H27" i="2"/>
  <c r="H30" i="2"/>
  <c r="C13" i="6"/>
  <c r="C29" i="6"/>
  <c r="F33" i="2"/>
  <c r="C11" i="6"/>
  <c r="C27" i="6"/>
  <c r="D6" i="8"/>
  <c r="C6" i="7"/>
  <c r="C7" i="6"/>
  <c r="D7" i="8"/>
  <c r="C8" i="6"/>
  <c r="C7" i="7"/>
  <c r="D9" i="8"/>
  <c r="C10" i="6"/>
  <c r="C9" i="7"/>
  <c r="D11" i="8"/>
  <c r="C12" i="6"/>
  <c r="C11" i="7"/>
  <c r="D13" i="8"/>
  <c r="C14" i="6"/>
  <c r="C13" i="7"/>
  <c r="D15" i="8"/>
  <c r="C16" i="6"/>
  <c r="D17" i="8"/>
  <c r="C18" i="6"/>
  <c r="C17" i="7"/>
  <c r="D19" i="8"/>
  <c r="C19" i="7"/>
  <c r="C20" i="6"/>
  <c r="D21" i="8"/>
  <c r="C22" i="6"/>
  <c r="C21" i="7"/>
  <c r="D23" i="8"/>
  <c r="C23" i="7"/>
  <c r="C24" i="6"/>
  <c r="D25" i="8"/>
  <c r="C26" i="6"/>
  <c r="C25" i="7"/>
  <c r="D27" i="8"/>
  <c r="C27" i="7"/>
  <c r="C28" i="6"/>
  <c r="C30" i="7"/>
  <c r="D30" i="8"/>
  <c r="C31" i="6"/>
  <c r="C19" i="6"/>
  <c r="H8" i="2"/>
  <c r="H10" i="2"/>
  <c r="H12" i="2"/>
  <c r="H14" i="2"/>
  <c r="H16" i="2"/>
  <c r="H18" i="2"/>
  <c r="H20" i="2"/>
  <c r="H22" i="2"/>
  <c r="H24" i="2"/>
  <c r="H26" i="2"/>
  <c r="H28" i="2"/>
  <c r="H29" i="2"/>
  <c r="H31" i="2"/>
  <c r="H32" i="2"/>
  <c r="G33" i="2"/>
  <c r="C32" i="7" s="1"/>
  <c r="C21" i="6"/>
  <c r="C22" i="7"/>
  <c r="J40" i="8"/>
  <c r="J42" i="8" s="1"/>
  <c r="I8" i="2" l="1"/>
  <c r="I29" i="2"/>
  <c r="I14" i="2"/>
  <c r="I21" i="2"/>
  <c r="D24" i="5"/>
  <c r="D13" i="5"/>
  <c r="D15" i="5"/>
  <c r="C22" i="8"/>
  <c r="E22" i="8" s="1"/>
  <c r="C33" i="6"/>
  <c r="H33" i="2"/>
  <c r="C26" i="8"/>
  <c r="E26" i="8" s="1"/>
  <c r="C18" i="8"/>
  <c r="E18" i="8" s="1"/>
  <c r="I19" i="2"/>
  <c r="C10" i="8"/>
  <c r="E10" i="8" s="1"/>
  <c r="C15" i="8"/>
  <c r="E15" i="8" s="1"/>
  <c r="I16" i="2"/>
  <c r="C27" i="8"/>
  <c r="E27" i="8" s="1"/>
  <c r="C19" i="8"/>
  <c r="E19" i="8" s="1"/>
  <c r="I20" i="2"/>
  <c r="C11" i="8"/>
  <c r="E11" i="8" s="1"/>
  <c r="C31" i="8"/>
  <c r="E31" i="8" s="1"/>
  <c r="C25" i="8"/>
  <c r="E25" i="8" s="1"/>
  <c r="I26" i="2"/>
  <c r="C17" i="8"/>
  <c r="E17" i="8" s="1"/>
  <c r="C9" i="8"/>
  <c r="E9" i="8" s="1"/>
  <c r="I10" i="2"/>
  <c r="D32" i="8"/>
  <c r="I25" i="2"/>
  <c r="C16" i="8"/>
  <c r="E16" i="8" s="1"/>
  <c r="I17" i="2"/>
  <c r="I9" i="2"/>
  <c r="B17" i="6" l="1"/>
  <c r="B16" i="7"/>
  <c r="C17" i="4"/>
  <c r="B16" i="8"/>
  <c r="B21" i="6"/>
  <c r="B20" i="7"/>
  <c r="B20" i="8"/>
  <c r="C21" i="4"/>
  <c r="B14" i="6"/>
  <c r="C14" i="4"/>
  <c r="B13" i="7"/>
  <c r="B13" i="8"/>
  <c r="B28" i="7"/>
  <c r="B29" i="6"/>
  <c r="B28" i="8"/>
  <c r="C29" i="4"/>
  <c r="B7" i="7"/>
  <c r="B7" i="8"/>
  <c r="C8" i="4"/>
  <c r="B8" i="6"/>
  <c r="B9" i="7"/>
  <c r="C10" i="4"/>
  <c r="B9" i="8"/>
  <c r="B10" i="6"/>
  <c r="C26" i="4"/>
  <c r="B25" i="8"/>
  <c r="B25" i="7"/>
  <c r="B26" i="6"/>
  <c r="B19" i="7"/>
  <c r="B19" i="8"/>
  <c r="C20" i="4"/>
  <c r="B20" i="6"/>
  <c r="B15" i="7"/>
  <c r="B15" i="8"/>
  <c r="C16" i="4"/>
  <c r="B16" i="6"/>
  <c r="B19" i="6"/>
  <c r="B18" i="7"/>
  <c r="B18" i="8"/>
  <c r="C19" i="4"/>
  <c r="J43" i="8"/>
  <c r="J44" i="8" s="1"/>
  <c r="I33" i="2"/>
  <c r="C6" i="8"/>
  <c r="I7" i="2"/>
  <c r="I24" i="2"/>
  <c r="C29" i="5"/>
  <c r="C20" i="8"/>
  <c r="E20" i="8" s="1"/>
  <c r="C13" i="8"/>
  <c r="E13" i="8" s="1"/>
  <c r="C28" i="8"/>
  <c r="E28" i="8" s="1"/>
  <c r="C7" i="8"/>
  <c r="E7" i="8" s="1"/>
  <c r="I22" i="2"/>
  <c r="I31" i="2"/>
  <c r="B8" i="7"/>
  <c r="B9" i="6"/>
  <c r="C9" i="4"/>
  <c r="B8" i="8"/>
  <c r="B24" i="7"/>
  <c r="B25" i="6"/>
  <c r="C25" i="4"/>
  <c r="B24" i="8"/>
  <c r="C23" i="8"/>
  <c r="E23" i="8" s="1"/>
  <c r="I13" i="2"/>
  <c r="I30" i="2"/>
  <c r="I15" i="2"/>
  <c r="C8" i="8"/>
  <c r="E8" i="8" s="1"/>
  <c r="C24" i="8"/>
  <c r="E24" i="8" s="1"/>
  <c r="I18" i="2"/>
  <c r="I32" i="2"/>
  <c r="I12" i="2"/>
  <c r="I28" i="2"/>
  <c r="I11" i="2"/>
  <c r="I27" i="2"/>
  <c r="I23" i="2"/>
  <c r="C12" i="8"/>
  <c r="E12" i="8" s="1"/>
  <c r="C29" i="8"/>
  <c r="E29" i="8" s="1"/>
  <c r="C21" i="8"/>
  <c r="E21" i="8" s="1"/>
  <c r="C14" i="8"/>
  <c r="E14" i="8" s="1"/>
  <c r="C30" i="8"/>
  <c r="E30" i="8" s="1"/>
  <c r="D8" i="7" l="1"/>
  <c r="E8" i="6"/>
  <c r="F8" i="6" s="1"/>
  <c r="D8" i="6"/>
  <c r="G29" i="4"/>
  <c r="I29" i="4"/>
  <c r="H29" i="4"/>
  <c r="G21" i="4"/>
  <c r="H21" i="4"/>
  <c r="I21" i="4"/>
  <c r="B26" i="7"/>
  <c r="B27" i="6"/>
  <c r="B26" i="8"/>
  <c r="C27" i="4"/>
  <c r="B31" i="7"/>
  <c r="B31" i="8"/>
  <c r="C32" i="4"/>
  <c r="B32" i="6"/>
  <c r="B15" i="6"/>
  <c r="B14" i="8"/>
  <c r="B14" i="7"/>
  <c r="C15" i="4"/>
  <c r="B23" i="7"/>
  <c r="B23" i="8"/>
  <c r="C24" i="4"/>
  <c r="B24" i="6"/>
  <c r="D19" i="6"/>
  <c r="E19" i="6"/>
  <c r="F19" i="6" s="1"/>
  <c r="D15" i="7"/>
  <c r="D19" i="7"/>
  <c r="H26" i="4"/>
  <c r="I26" i="4"/>
  <c r="G26" i="4"/>
  <c r="D9" i="7"/>
  <c r="G8" i="4"/>
  <c r="H8" i="4"/>
  <c r="I8" i="4"/>
  <c r="D13" i="7"/>
  <c r="I17" i="4"/>
  <c r="H17" i="4"/>
  <c r="G17" i="4"/>
  <c r="E20" i="6"/>
  <c r="F20" i="6" s="1"/>
  <c r="D20" i="6"/>
  <c r="E10" i="6"/>
  <c r="F10" i="6" s="1"/>
  <c r="D10" i="6"/>
  <c r="D29" i="6"/>
  <c r="E29" i="6"/>
  <c r="F29" i="6" s="1"/>
  <c r="H14" i="4"/>
  <c r="I14" i="4"/>
  <c r="G14" i="4"/>
  <c r="D20" i="7"/>
  <c r="D16" i="7"/>
  <c r="B22" i="7"/>
  <c r="B23" i="6"/>
  <c r="B22" i="8"/>
  <c r="C23" i="4"/>
  <c r="B11" i="7"/>
  <c r="B11" i="8"/>
  <c r="C12" i="4"/>
  <c r="B12" i="6"/>
  <c r="D24" i="7"/>
  <c r="B21" i="7"/>
  <c r="B22" i="6"/>
  <c r="C22" i="4"/>
  <c r="B21" i="8"/>
  <c r="B33" i="6"/>
  <c r="B32" i="7"/>
  <c r="C33" i="4"/>
  <c r="B32" i="8"/>
  <c r="D18" i="7"/>
  <c r="H10" i="4"/>
  <c r="I10" i="4"/>
  <c r="G10" i="4"/>
  <c r="B11" i="6"/>
  <c r="B10" i="8"/>
  <c r="B10" i="7"/>
  <c r="C11" i="4"/>
  <c r="B17" i="7"/>
  <c r="C18" i="4"/>
  <c r="B18" i="6"/>
  <c r="B17" i="8"/>
  <c r="B30" i="6"/>
  <c r="C30" i="4"/>
  <c r="B29" i="8"/>
  <c r="B29" i="7"/>
  <c r="I25" i="4"/>
  <c r="H25" i="4"/>
  <c r="G25" i="4"/>
  <c r="I9" i="4"/>
  <c r="H9" i="4"/>
  <c r="G9" i="4"/>
  <c r="B6" i="7"/>
  <c r="B7" i="6"/>
  <c r="B6" i="8"/>
  <c r="C7" i="4"/>
  <c r="H19" i="4"/>
  <c r="I19" i="4"/>
  <c r="G19" i="4"/>
  <c r="E16" i="6"/>
  <c r="F16" i="6" s="1"/>
  <c r="D16" i="6"/>
  <c r="E26" i="6"/>
  <c r="F26" i="6" s="1"/>
  <c r="D26" i="6"/>
  <c r="B27" i="7"/>
  <c r="B27" i="8"/>
  <c r="C28" i="4"/>
  <c r="B28" i="6"/>
  <c r="B13" i="6"/>
  <c r="B12" i="8"/>
  <c r="C13" i="4"/>
  <c r="B12" i="7"/>
  <c r="D25" i="6"/>
  <c r="E25" i="6"/>
  <c r="F25" i="6" s="1"/>
  <c r="D9" i="6"/>
  <c r="E9" i="6"/>
  <c r="F9" i="6" s="1"/>
  <c r="B30" i="7"/>
  <c r="B31" i="6"/>
  <c r="B30" i="8"/>
  <c r="C31" i="4"/>
  <c r="E6" i="8"/>
  <c r="C32" i="8"/>
  <c r="E32" i="8" s="1"/>
  <c r="J8" i="8" s="1"/>
  <c r="H16" i="4"/>
  <c r="G16" i="4"/>
  <c r="I16" i="4"/>
  <c r="H20" i="4"/>
  <c r="G20" i="4"/>
  <c r="I20" i="4"/>
  <c r="D25" i="7"/>
  <c r="D7" i="7"/>
  <c r="D28" i="7"/>
  <c r="E14" i="6"/>
  <c r="F14" i="6" s="1"/>
  <c r="D14" i="6"/>
  <c r="D21" i="6"/>
  <c r="E21" i="6"/>
  <c r="F21" i="6" s="1"/>
  <c r="D17" i="6"/>
  <c r="E17" i="6"/>
  <c r="F17" i="6" s="1"/>
  <c r="D31" i="6" l="1"/>
  <c r="B33" i="8"/>
  <c r="E30" i="6"/>
  <c r="F30" i="6" s="1"/>
  <c r="D30" i="6"/>
  <c r="D17" i="7"/>
  <c r="E17" i="7"/>
  <c r="F17" i="7" s="1"/>
  <c r="D11" i="6"/>
  <c r="H22" i="4"/>
  <c r="G22" i="4"/>
  <c r="I22" i="4"/>
  <c r="D11" i="7"/>
  <c r="D22" i="7"/>
  <c r="J20" i="8"/>
  <c r="E24" i="6"/>
  <c r="F24" i="6" s="1"/>
  <c r="D24" i="6"/>
  <c r="G15" i="4"/>
  <c r="H15" i="4"/>
  <c r="I15" i="4" s="1"/>
  <c r="E32" i="6"/>
  <c r="F32" i="6" s="1"/>
  <c r="D32" i="6"/>
  <c r="H27" i="4"/>
  <c r="I27" i="4"/>
  <c r="G27" i="4"/>
  <c r="J7" i="8"/>
  <c r="E30" i="7"/>
  <c r="F30" i="7" s="1"/>
  <c r="D30" i="7"/>
  <c r="D13" i="6"/>
  <c r="H28" i="4"/>
  <c r="I28" i="4" s="1"/>
  <c r="G28" i="4"/>
  <c r="J12" i="8"/>
  <c r="D7" i="6"/>
  <c r="D29" i="7"/>
  <c r="H11" i="4"/>
  <c r="I11" i="4" s="1"/>
  <c r="G11" i="4"/>
  <c r="E22" i="6"/>
  <c r="F22" i="6" s="1"/>
  <c r="D22" i="6"/>
  <c r="E12" i="6"/>
  <c r="F12" i="6" s="1"/>
  <c r="D12" i="6"/>
  <c r="G23" i="4"/>
  <c r="I23" i="4"/>
  <c r="H23" i="4"/>
  <c r="H24" i="4"/>
  <c r="I24" i="4"/>
  <c r="G24" i="4"/>
  <c r="J13" i="8"/>
  <c r="E14" i="7"/>
  <c r="F14" i="7" s="1"/>
  <c r="D14" i="7"/>
  <c r="H32" i="4"/>
  <c r="I32" i="4"/>
  <c r="G32" i="4"/>
  <c r="J21" i="8"/>
  <c r="K13" i="7"/>
  <c r="J32" i="8"/>
  <c r="J31" i="8"/>
  <c r="J27" i="8"/>
  <c r="J26" i="8"/>
  <c r="J16" i="8"/>
  <c r="J9" i="8"/>
  <c r="J19" i="8"/>
  <c r="J18" i="8"/>
  <c r="J17" i="8"/>
  <c r="J25" i="8"/>
  <c r="J11" i="8"/>
  <c r="J10" i="8"/>
  <c r="J22" i="8"/>
  <c r="J15" i="8"/>
  <c r="D21" i="7"/>
  <c r="H12" i="4"/>
  <c r="G12" i="4"/>
  <c r="I12" i="4"/>
  <c r="J23" i="8"/>
  <c r="D27" i="6"/>
  <c r="E27" i="6"/>
  <c r="F27" i="6" s="1"/>
  <c r="D28" i="6"/>
  <c r="H31" i="4"/>
  <c r="G31" i="4"/>
  <c r="I31" i="4" s="1"/>
  <c r="E12" i="7"/>
  <c r="F12" i="7" s="1"/>
  <c r="D12" i="7"/>
  <c r="D6" i="7"/>
  <c r="D32" i="7" s="1"/>
  <c r="K7" i="7"/>
  <c r="E6" i="7"/>
  <c r="F6" i="7" s="1"/>
  <c r="D18" i="6"/>
  <c r="E10" i="7"/>
  <c r="F10" i="7" s="1"/>
  <c r="D10" i="7"/>
  <c r="J29" i="8"/>
  <c r="J28" i="8"/>
  <c r="J6" i="8"/>
  <c r="G13" i="4"/>
  <c r="I13" i="4"/>
  <c r="H13" i="4"/>
  <c r="J24" i="8"/>
  <c r="E27" i="7"/>
  <c r="F27" i="7" s="1"/>
  <c r="D27" i="7"/>
  <c r="J30" i="8"/>
  <c r="I7" i="4"/>
  <c r="G7" i="4"/>
  <c r="H7" i="4"/>
  <c r="H30" i="4"/>
  <c r="G30" i="4"/>
  <c r="I30" i="4"/>
  <c r="H18" i="4"/>
  <c r="I18" i="4" s="1"/>
  <c r="G18" i="4"/>
  <c r="D23" i="6"/>
  <c r="E23" i="6"/>
  <c r="F23" i="6" s="1"/>
  <c r="D23" i="7"/>
  <c r="D15" i="6"/>
  <c r="D31" i="7"/>
  <c r="D26" i="7"/>
  <c r="J14" i="8"/>
  <c r="D33" i="6" l="1"/>
  <c r="H33" i="4"/>
  <c r="I33" i="4" s="1"/>
  <c r="D6" i="5" s="1"/>
  <c r="E6" i="5" s="1"/>
  <c r="G6" i="5" s="1"/>
  <c r="G33" i="4"/>
  <c r="D25" i="5" l="1"/>
  <c r="D14" i="5"/>
  <c r="G27" i="7" l="1"/>
  <c r="H27" i="7" s="1"/>
  <c r="C30" i="5"/>
  <c r="G17" i="7"/>
  <c r="H17" i="7" s="1"/>
  <c r="D26" i="5"/>
  <c r="E15" i="6"/>
  <c r="F15" i="6" s="1"/>
  <c r="F14" i="8" s="1"/>
  <c r="G14" i="8" s="1"/>
  <c r="H14" i="8" s="1"/>
  <c r="E7" i="6"/>
  <c r="F7" i="6" s="1"/>
  <c r="E18" i="6"/>
  <c r="F18" i="6" s="1"/>
  <c r="F17" i="8" s="1"/>
  <c r="G17" i="8" s="1"/>
  <c r="H17" i="8" s="1"/>
  <c r="E31" i="6"/>
  <c r="F31" i="6" s="1"/>
  <c r="F30" i="8" s="1"/>
  <c r="G30" i="8" s="1"/>
  <c r="H30" i="8" s="1"/>
  <c r="E13" i="6"/>
  <c r="F13" i="6" s="1"/>
  <c r="F12" i="8" s="1"/>
  <c r="G12" i="8" s="1"/>
  <c r="H12" i="8" s="1"/>
  <c r="E11" i="6"/>
  <c r="F11" i="6" s="1"/>
  <c r="F10" i="8" s="1"/>
  <c r="G10" i="8" s="1"/>
  <c r="H10" i="8" s="1"/>
  <c r="E28" i="6"/>
  <c r="F28" i="6" s="1"/>
  <c r="F27" i="8" s="1"/>
  <c r="G27" i="8" s="1"/>
  <c r="H27" i="8" s="1"/>
  <c r="K12" i="7" l="1"/>
  <c r="C31" i="5"/>
  <c r="G12" i="7"/>
  <c r="H12" i="7" s="1"/>
  <c r="F33" i="6"/>
  <c r="F6" i="8"/>
  <c r="G6" i="8" s="1"/>
  <c r="H6" i="8" s="1"/>
  <c r="G14" i="7"/>
  <c r="H14" i="7" s="1"/>
  <c r="G10" i="7"/>
  <c r="H10" i="7" s="1"/>
  <c r="G6" i="7"/>
  <c r="G30" i="7"/>
  <c r="H30" i="7" s="1"/>
  <c r="H6" i="7" l="1"/>
  <c r="E19" i="7"/>
  <c r="F19" i="7" s="1"/>
  <c r="E20" i="7"/>
  <c r="F20" i="7" s="1"/>
  <c r="E24" i="7"/>
  <c r="F24" i="7" s="1"/>
  <c r="E25" i="7"/>
  <c r="F25" i="7" s="1"/>
  <c r="E7" i="7"/>
  <c r="F7" i="7" s="1"/>
  <c r="E28" i="7"/>
  <c r="F28" i="7" s="1"/>
  <c r="E8" i="7"/>
  <c r="F8" i="7" s="1"/>
  <c r="E16" i="7"/>
  <c r="F16" i="7" s="1"/>
  <c r="E9" i="7"/>
  <c r="F9" i="7" s="1"/>
  <c r="E15" i="7"/>
  <c r="F15" i="7" s="1"/>
  <c r="E13" i="7"/>
  <c r="F13" i="7" s="1"/>
  <c r="E18" i="7"/>
  <c r="F18" i="7" s="1"/>
  <c r="E22" i="7"/>
  <c r="F22" i="7" s="1"/>
  <c r="E29" i="7"/>
  <c r="F29" i="7" s="1"/>
  <c r="E21" i="7"/>
  <c r="F21" i="7" s="1"/>
  <c r="E23" i="7"/>
  <c r="F23" i="7" s="1"/>
  <c r="E11" i="7"/>
  <c r="F11" i="7" s="1"/>
  <c r="E26" i="7"/>
  <c r="F26" i="7" s="1"/>
  <c r="E31" i="7"/>
  <c r="F31" i="7" s="1"/>
  <c r="K8" i="7"/>
  <c r="K6" i="7" s="1"/>
  <c r="F16" i="8" l="1"/>
  <c r="G16" i="8" s="1"/>
  <c r="H16" i="8" s="1"/>
  <c r="G16" i="7"/>
  <c r="H16" i="7" s="1"/>
  <c r="F11" i="8"/>
  <c r="G11" i="8" s="1"/>
  <c r="H11" i="8" s="1"/>
  <c r="G11" i="7"/>
  <c r="H11" i="7" s="1"/>
  <c r="H22" i="7"/>
  <c r="F22" i="8"/>
  <c r="G22" i="8" s="1"/>
  <c r="H22" i="8" s="1"/>
  <c r="G22" i="7"/>
  <c r="H9" i="7"/>
  <c r="F9" i="8"/>
  <c r="G9" i="8" s="1"/>
  <c r="H9" i="8" s="1"/>
  <c r="G9" i="7"/>
  <c r="F7" i="8"/>
  <c r="G7" i="8" s="1"/>
  <c r="H7" i="8" s="1"/>
  <c r="F32" i="7"/>
  <c r="G7" i="7"/>
  <c r="F19" i="8"/>
  <c r="G19" i="8" s="1"/>
  <c r="H19" i="8" s="1"/>
  <c r="G19" i="7"/>
  <c r="H19" i="7" s="1"/>
  <c r="F23" i="8"/>
  <c r="G23" i="8" s="1"/>
  <c r="H23" i="8" s="1"/>
  <c r="G23" i="7"/>
  <c r="H23" i="7" s="1"/>
  <c r="H21" i="7"/>
  <c r="F21" i="8"/>
  <c r="G21" i="8" s="1"/>
  <c r="H21" i="8" s="1"/>
  <c r="G21" i="7"/>
  <c r="H24" i="7"/>
  <c r="F24" i="8"/>
  <c r="G24" i="8" s="1"/>
  <c r="H24" i="8" s="1"/>
  <c r="G24" i="7"/>
  <c r="H18" i="7"/>
  <c r="F18" i="8"/>
  <c r="G18" i="8" s="1"/>
  <c r="H18" i="8" s="1"/>
  <c r="G18" i="7"/>
  <c r="F25" i="8"/>
  <c r="G25" i="8" s="1"/>
  <c r="H25" i="8" s="1"/>
  <c r="G25" i="7"/>
  <c r="H25" i="7" s="1"/>
  <c r="F31" i="8"/>
  <c r="G31" i="8" s="1"/>
  <c r="H31" i="8" s="1"/>
  <c r="G31" i="7"/>
  <c r="H31" i="7" s="1"/>
  <c r="H13" i="7"/>
  <c r="F13" i="8"/>
  <c r="G13" i="8" s="1"/>
  <c r="H13" i="8" s="1"/>
  <c r="G13" i="7"/>
  <c r="H8" i="7"/>
  <c r="F8" i="8"/>
  <c r="G8" i="8" s="1"/>
  <c r="H8" i="8" s="1"/>
  <c r="G8" i="7"/>
  <c r="F26" i="8"/>
  <c r="G26" i="8" s="1"/>
  <c r="H26" i="8" s="1"/>
  <c r="G26" i="7"/>
  <c r="H26" i="7" s="1"/>
  <c r="F29" i="8"/>
  <c r="G29" i="8" s="1"/>
  <c r="H29" i="8" s="1"/>
  <c r="G29" i="7"/>
  <c r="H29" i="7" s="1"/>
  <c r="H15" i="7"/>
  <c r="F15" i="8"/>
  <c r="G15" i="8" s="1"/>
  <c r="H15" i="8" s="1"/>
  <c r="G15" i="7"/>
  <c r="H28" i="7"/>
  <c r="F28" i="8"/>
  <c r="G28" i="8" s="1"/>
  <c r="H28" i="8" s="1"/>
  <c r="G28" i="7"/>
  <c r="F20" i="8"/>
  <c r="G20" i="8" s="1"/>
  <c r="H20" i="8" s="1"/>
  <c r="G20" i="7"/>
  <c r="H20" i="7" s="1"/>
  <c r="G32" i="7" l="1"/>
  <c r="H33" i="8"/>
  <c r="H7" i="7"/>
  <c r="H32" i="7" s="1"/>
</calcChain>
</file>

<file path=xl/sharedStrings.xml><?xml version="1.0" encoding="utf-8"?>
<sst xmlns="http://schemas.openxmlformats.org/spreadsheetml/2006/main" count="370" uniqueCount="139">
  <si>
    <t>Ressourcenausgleich</t>
  </si>
  <si>
    <t>(RA)</t>
  </si>
  <si>
    <t>Arbeitsblatt</t>
  </si>
  <si>
    <t>Inhalt</t>
  </si>
  <si>
    <t>RP</t>
  </si>
  <si>
    <t>Ressourcenpotenzial und -index</t>
  </si>
  <si>
    <t>BEV</t>
  </si>
  <si>
    <t>Massgebende Wohnbevölkerung</t>
  </si>
  <si>
    <t>Wachstum_RP</t>
  </si>
  <si>
    <t>Wachstumsraten der Ressourcenpotenziale</t>
  </si>
  <si>
    <t>Dotation_RA</t>
  </si>
  <si>
    <t>Fortschreibung der Dotationen im Ressourcenausgleich</t>
  </si>
  <si>
    <t>Einzahlungen</t>
  </si>
  <si>
    <t>Einzahlungen der ressourcenstarken Kantone</t>
  </si>
  <si>
    <t>Auszahlungen</t>
  </si>
  <si>
    <t>Auszahlungen an die ressourcenschwachen Kantone</t>
  </si>
  <si>
    <t>SSE</t>
  </si>
  <si>
    <t>Standardisierter Steuerertrag und -steuersatz</t>
  </si>
  <si>
    <t>Produktion</t>
  </si>
  <si>
    <t>Umgebung</t>
  </si>
  <si>
    <t>Typ</t>
  </si>
  <si>
    <t>Berechnung</t>
  </si>
  <si>
    <t>WS</t>
  </si>
  <si>
    <t>FA_2017_20160519</t>
  </si>
  <si>
    <t>SWS</t>
  </si>
  <si>
    <t>RA_2017_20160519</t>
  </si>
  <si>
    <t>RefJahr</t>
  </si>
  <si>
    <t>Spalte</t>
  </si>
  <si>
    <t>C</t>
  </si>
  <si>
    <t>D</t>
  </si>
  <si>
    <t>E</t>
  </si>
  <si>
    <t>F</t>
  </si>
  <si>
    <t>G</t>
  </si>
  <si>
    <t>H</t>
  </si>
  <si>
    <t>I</t>
  </si>
  <si>
    <t>Formel</t>
  </si>
  <si>
    <t>(C + D + E) / 3</t>
  </si>
  <si>
    <t>F / G * 1000</t>
  </si>
  <si>
    <t>H / H[total] * 100</t>
  </si>
  <si>
    <t>Ressourcen-potenzial</t>
  </si>
  <si>
    <t>Ressourcen-potenzial pro Einwohner</t>
  </si>
  <si>
    <t>Ressourcenindex</t>
  </si>
  <si>
    <t>Datenquelle</t>
  </si>
  <si>
    <t>Einheit</t>
  </si>
  <si>
    <t>CHF 1'000</t>
  </si>
  <si>
    <t>Personen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</si>
  <si>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</si>
  <si>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</si>
  <si>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</si>
  <si>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</si>
  <si>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</si>
  <si>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</si>
  <si>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</si>
  <si>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</si>
  <si>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</si>
  <si>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</si>
  <si>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</si>
  <si>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</si>
  <si>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</si>
  <si>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</si>
  <si>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</si>
  <si>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</si>
  <si>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</si>
  <si>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</si>
  <si>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</si>
  <si>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</si>
  <si>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</si>
  <si>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</si>
  <si>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</si>
  <si>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</si>
  <si>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</si>
  <si>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</si>
  <si>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</si>
  <si>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</si>
  <si>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Mittlere ständige und nichtständige Wohnbevölkerung</t>
  </si>
  <si>
    <t>BFS</t>
  </si>
  <si>
    <t>Ressourcenpotenzial aller Kantone</t>
  </si>
  <si>
    <t>Ressourcenpotenzial der
ressourcenstarken Kantone</t>
  </si>
  <si>
    <t>Veränderung</t>
  </si>
  <si>
    <t>Punkte</t>
  </si>
  <si>
    <t>Prozent</t>
  </si>
  <si>
    <t>in CHF</t>
  </si>
  <si>
    <t>Dotationen gemäss Fortschreibung</t>
  </si>
  <si>
    <t>Wachstum</t>
  </si>
  <si>
    <t>ordentliche Fortschreibung</t>
  </si>
  <si>
    <t>Anpassung Dotation</t>
  </si>
  <si>
    <t>Vertikaler Ressourcenausgleich</t>
  </si>
  <si>
    <t>Horizontaler Ressourcenausgleich</t>
  </si>
  <si>
    <t>Bandbreite HRA</t>
  </si>
  <si>
    <t>Obere Grenze (80% des VRA)</t>
  </si>
  <si>
    <t>HRA in % des VRA</t>
  </si>
  <si>
    <t>Untere Grenze (2/3 des VRA)</t>
  </si>
  <si>
    <t>HRA: Horizontaler Ressourcenausgleich</t>
  </si>
  <si>
    <t>VRA: Vertikaler Ressourcenausgleich</t>
  </si>
  <si>
    <t>Ressourcenausgleich Total</t>
  </si>
  <si>
    <t>Gesamte Dotation</t>
  </si>
  <si>
    <t>* Nach Anpassung der Dotation</t>
  </si>
  <si>
    <t>B</t>
  </si>
  <si>
    <t>(B - 100) * C</t>
  </si>
  <si>
    <t>Dotation/D[total]*(B-100)</t>
  </si>
  <si>
    <t>E * C</t>
  </si>
  <si>
    <t>Ressourcen-index</t>
  </si>
  <si>
    <t>Massgebende Wohn-bevölkerung</t>
  </si>
  <si>
    <t>Summe der gewichteten Abweichungen</t>
  </si>
  <si>
    <t>Betrag pro Einwohner</t>
  </si>
  <si>
    <t>Betrag</t>
  </si>
  <si>
    <t>Einwohner</t>
  </si>
  <si>
    <t>davon horizontaler Ressourcen-ausgleich</t>
  </si>
  <si>
    <t>davon vertikaler Ressourcen-ausgleich</t>
  </si>
  <si>
    <t>Iterative Berechnung
von "p"</t>
  </si>
  <si>
    <t>p</t>
  </si>
  <si>
    <t>p_dach</t>
  </si>
  <si>
    <t>RI_26</t>
  </si>
  <si>
    <t>RI_MIN</t>
  </si>
  <si>
    <t>Schweiz</t>
  </si>
  <si>
    <t>J</t>
  </si>
  <si>
    <t>C / D</t>
  </si>
  <si>
    <t>E + F</t>
  </si>
  <si>
    <t>G / E[total]</t>
  </si>
  <si>
    <t>E - E[total]</t>
  </si>
  <si>
    <t>Standardisierter Steuerertrag</t>
  </si>
  <si>
    <t>Standardisierter Steuerertrag pro Einwohner vor Ausgleich</t>
  </si>
  <si>
    <t>Ressourcen-ausgleich pro Einwohner</t>
  </si>
  <si>
    <t>Standardisierter Steuerertrag pro Einwohner nach Ausgleich</t>
  </si>
  <si>
    <t>Index SSE nach Ausgleich</t>
  </si>
  <si>
    <t>Differenz SSE pro Einwohner vor Ausgleich zum Schweizer Mittel</t>
  </si>
  <si>
    <t>Minimum</t>
  </si>
  <si>
    <r>
      <rPr>
        <sz val="10"/>
        <rFont val="Arial"/>
        <family val="2"/>
      </rPr>
      <t>A   Steuereinnahmen der Kantone und Gemeinden</t>
    </r>
  </si>
  <si>
    <r>
      <rPr>
        <sz val="10"/>
        <rFont val="Arial"/>
        <family val="2"/>
      </rPr>
      <t>B   Einnahmen direkte Bundessteuer (DBSt)</t>
    </r>
  </si>
  <si>
    <r>
      <rPr>
        <sz val="10"/>
        <rFont val="Arial"/>
        <family val="2"/>
      </rPr>
      <t>C   17 % Kantonsanteil an DBSt</t>
    </r>
  </si>
  <si>
    <t>0,17 * B</t>
  </si>
  <si>
    <t>D   Standardisierte Steuerertäge (SSE) total</t>
  </si>
  <si>
    <t>A + C</t>
  </si>
  <si>
    <t>E   Massgebende Wohnbevölkerung</t>
  </si>
  <si>
    <t>F   Standardisierte Steuererträge pro Kopf</t>
  </si>
  <si>
    <t>D / E * 1000</t>
  </si>
  <si>
    <t>G   Ressourcenpotenzial pro Kopf</t>
  </si>
  <si>
    <t>H   Standardisierter Steuersatz (SST)</t>
  </si>
  <si>
    <t>F /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</si>
</sst>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%"/>
    <numFmt numFmtId="167" formatCode="#,##0.0"/>
    <numFmt numFmtId="168" formatCode="#,##0.000000000"/>
    <numFmt numFmtId="169" formatCode="0.000000000"/>
  </numFmts>
  <fonts count="25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</fills>
  <borders count="43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/>
      <top/>
      <bottom style="thin">
        <color auto="1"/>
      </bottom>
      <diagonal/>
    </border>
    <border diagonalUp="1" diagonalDown="1">
      <left style="hair">
        <color auto="1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hair">
        <color auto="1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hair">
        <color auto="1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auto="1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auto="1"/>
      </left>
      <right/>
      <top style="thin">
        <color rgb="FF000000"/>
      </top>
      <bottom/>
      <diagonal/>
    </border>
    <border diagonalUp="1" diagonalDown="1">
      <left/>
      <right style="hair">
        <color auto="1"/>
      </right>
      <top style="thin">
        <color rgb="FF000000"/>
      </top>
      <bottom/>
      <diagonal/>
    </border>
    <border diagonalUp="1" diagonalDown="1">
      <left style="hair">
        <color auto="1"/>
      </left>
      <right/>
      <top/>
      <bottom/>
      <diagonal/>
    </border>
    <border diagonalUp="1" diagonalDown="1">
      <left/>
      <right style="hair">
        <color auto="1"/>
      </right>
      <top/>
      <bottom/>
      <diagonal/>
    </border>
    <border diagonalUp="1" diagonalDown="1">
      <left style="hair">
        <color auto="1"/>
      </left>
      <right/>
      <top style="thin">
        <color auto="1"/>
      </top>
      <bottom style="hair">
        <color auto="1"/>
      </bottom>
      <diagonal/>
    </border>
    <border diagonalUp="1" diagonalDown="1">
      <left/>
      <right/>
      <top style="thin">
        <color auto="1"/>
      </top>
      <bottom style="hair">
        <color auto="1"/>
      </bottom>
      <diagonal/>
    </border>
    <border diagonalUp="1" diagonalDown="1">
      <left/>
      <right style="hair">
        <color auto="1"/>
      </right>
      <top style="thin">
        <color auto="1"/>
      </top>
      <bottom style="hair">
        <color auto="1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hair">
        <color auto="1"/>
      </left>
      <right/>
      <top style="hair">
        <color auto="1"/>
      </top>
      <bottom style="thin">
        <color rgb="FF000000"/>
      </bottom>
      <diagonal/>
    </border>
    <border diagonalUp="1" diagonalDown="1">
      <left/>
      <right/>
      <top style="hair">
        <color auto="1"/>
      </top>
      <bottom style="thin">
        <color rgb="FF000000"/>
      </bottom>
      <diagonal/>
    </border>
    <border diagonalUp="1" diagonalDown="1">
      <left/>
      <right style="hair">
        <color auto="1"/>
      </right>
      <top style="hair">
        <color auto="1"/>
      </top>
      <bottom style="thin">
        <color rgb="FF000000"/>
      </bottom>
      <diagonal/>
    </border>
    <border diagonalUp="1" diagonalDown="1">
      <left/>
      <right style="thin">
        <color rgb="FF000000"/>
      </right>
      <top style="hair">
        <color auto="1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 style="thin">
        <color auto="1"/>
      </top>
      <bottom style="hair">
        <color auto="1"/>
      </bottom>
      <diagonal/>
    </border>
    <border diagonalUp="1" diagonalDown="1">
      <left/>
      <right style="hair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4" fillId="0" borderId="5" xfId="0" applyFont="1" applyFill="1" applyBorder="1"/>
    <xf numFmtId="1" fontId="5" fillId="0" borderId="6" xfId="0" applyNumberFormat="1" applyFont="1" applyFill="1" applyBorder="1" applyAlignment="1" applyProtection="1">
      <alignment horizontal="left" vertical="top"/>
      <protection locked="0"/>
    </xf>
    <xf numFmtId="1" fontId="5" fillId="0" borderId="7" xfId="0" applyNumberFormat="1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/>
    <xf numFmtId="1" fontId="5" fillId="0" borderId="9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>
      <alignment horizontal="right"/>
    </xf>
    <xf numFmtId="0" fontId="10" fillId="0" borderId="0" xfId="0" applyFont="1" applyFill="1" applyBorder="1"/>
    <xf numFmtId="0" fontId="10" fillId="0" borderId="10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right"/>
    </xf>
    <xf numFmtId="0" fontId="11" fillId="0" borderId="0" xfId="0" applyFont="1" applyFill="1"/>
    <xf numFmtId="0" fontId="12" fillId="0" borderId="0" xfId="0" applyFont="1" applyFill="1" applyBorder="1"/>
    <xf numFmtId="0" fontId="12" fillId="0" borderId="10" xfId="0" applyFont="1" applyFill="1" applyBorder="1" applyAlignment="1">
      <alignment horizontal="right"/>
    </xf>
    <xf numFmtId="0" fontId="12" fillId="0" borderId="11" xfId="0" applyFont="1" applyFill="1" applyBorder="1" applyAlignment="1">
      <alignment horizontal="right"/>
    </xf>
    <xf numFmtId="0" fontId="11" fillId="0" borderId="11" xfId="0" applyFont="1" applyFill="1" applyBorder="1" applyAlignment="1">
      <alignment horizontal="right" wrapText="1"/>
    </xf>
    <xf numFmtId="0" fontId="11" fillId="0" borderId="11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5" xfId="0" applyFont="1" applyFill="1" applyBorder="1"/>
    <xf numFmtId="0" fontId="1" fillId="0" borderId="13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right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right" vertical="center"/>
    </xf>
    <xf numFmtId="0" fontId="0" fillId="0" borderId="15" xfId="0" applyFont="1" applyFill="1" applyBorder="1"/>
    <xf numFmtId="3" fontId="15" fillId="0" borderId="13" xfId="0" applyNumberFormat="1" applyFont="1" applyFill="1" applyBorder="1" applyProtection="1">
      <protection locked="0"/>
    </xf>
    <xf numFmtId="3" fontId="0" fillId="0" borderId="13" xfId="0" applyNumberFormat="1" applyFont="1" applyFill="1" applyBorder="1" applyProtection="1">
      <protection locked="0"/>
    </xf>
    <xf numFmtId="3" fontId="0" fillId="0" borderId="13" xfId="0" applyNumberFormat="1" applyFont="1" applyFill="1" applyBorder="1"/>
    <xf numFmtId="164" fontId="0" fillId="0" borderId="14" xfId="0" applyNumberFormat="1" applyFont="1" applyFill="1" applyBorder="1"/>
    <xf numFmtId="0" fontId="0" fillId="3" borderId="5" xfId="0" applyFont="1" applyFill="1" applyBorder="1"/>
    <xf numFmtId="3" fontId="15" fillId="3" borderId="0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3" fontId="0" fillId="3" borderId="0" xfId="0" applyNumberFormat="1" applyFont="1" applyFill="1" applyBorder="1"/>
    <xf numFmtId="164" fontId="0" fillId="3" borderId="16" xfId="0" applyNumberFormat="1" applyFont="1" applyFill="1" applyBorder="1"/>
    <xf numFmtId="3" fontId="15" fillId="0" borderId="0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3" fontId="0" fillId="0" borderId="0" xfId="0" applyNumberFormat="1" applyFont="1" applyFill="1" applyBorder="1"/>
    <xf numFmtId="164" fontId="0" fillId="0" borderId="16" xfId="0" applyNumberFormat="1" applyFont="1" applyFill="1" applyBorder="1"/>
    <xf numFmtId="0" fontId="1" fillId="0" borderId="0" xfId="0" applyFont="1" applyFill="1" applyBorder="1"/>
    <xf numFmtId="0" fontId="1" fillId="0" borderId="10" xfId="0" applyFont="1" applyFill="1" applyBorder="1"/>
    <xf numFmtId="3" fontId="1" fillId="0" borderId="11" xfId="0" applyNumberFormat="1" applyFont="1" applyFill="1" applyBorder="1"/>
    <xf numFmtId="164" fontId="1" fillId="0" borderId="12" xfId="0" applyNumberFormat="1" applyFont="1" applyFill="1" applyBorder="1"/>
    <xf numFmtId="0" fontId="7" fillId="0" borderId="17" xfId="0" applyFont="1" applyFill="1" applyBorder="1" applyAlignment="1" applyProtection="1">
      <alignment vertical="top"/>
      <protection locked="0"/>
    </xf>
    <xf numFmtId="0" fontId="7" fillId="0" borderId="17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right"/>
    </xf>
    <xf numFmtId="0" fontId="9" fillId="0" borderId="0" xfId="0" applyFont="1" applyFill="1"/>
    <xf numFmtId="0" fontId="14" fillId="0" borderId="0" xfId="0" applyFont="1" applyFill="1" applyBorder="1"/>
    <xf numFmtId="0" fontId="12" fillId="0" borderId="1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right" wrapText="1"/>
    </xf>
    <xf numFmtId="0" fontId="6" fillId="0" borderId="15" xfId="0" applyFont="1" applyFill="1" applyBorder="1" applyAlignment="1">
      <alignment vertical="center" wrapText="1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6" fillId="0" borderId="8" xfId="0" applyFont="1" applyFill="1" applyBorder="1" applyAlignment="1">
      <alignment vertical="center" wrapText="1"/>
    </xf>
    <xf numFmtId="1" fontId="1" fillId="0" borderId="18" xfId="0" applyNumberFormat="1" applyFont="1" applyFill="1" applyBorder="1" applyAlignment="1" applyProtection="1">
      <alignment horizontal="right" vertical="center"/>
      <protection locked="0"/>
    </xf>
    <xf numFmtId="1" fontId="1" fillId="0" borderId="19" xfId="0" applyNumberFormat="1" applyFont="1" applyFill="1" applyBorder="1" applyAlignment="1" applyProtection="1">
      <alignment horizontal="right" vertical="center"/>
      <protection locked="0"/>
    </xf>
    <xf numFmtId="1" fontId="1" fillId="0" borderId="20" xfId="0" applyNumberFormat="1" applyFont="1" applyFill="1" applyBorder="1" applyAlignment="1" applyProtection="1">
      <alignment horizontal="right" vertical="center"/>
      <protection locked="0"/>
    </xf>
    <xf numFmtId="1" fontId="1" fillId="0" borderId="2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3" fontId="15" fillId="0" borderId="24" xfId="0" applyNumberFormat="1" applyFont="1" applyFill="1" applyBorder="1" applyProtection="1">
      <protection locked="0"/>
    </xf>
    <xf numFmtId="3" fontId="15" fillId="0" borderId="25" xfId="0" applyNumberFormat="1" applyFont="1" applyFill="1" applyBorder="1" applyProtection="1">
      <protection locked="0"/>
    </xf>
    <xf numFmtId="3" fontId="0" fillId="0" borderId="14" xfId="0" applyNumberFormat="1" applyFont="1" applyFill="1" applyBorder="1"/>
    <xf numFmtId="3" fontId="15" fillId="3" borderId="26" xfId="0" applyNumberFormat="1" applyFont="1" applyFill="1" applyBorder="1" applyProtection="1">
      <protection locked="0"/>
    </xf>
    <xf numFmtId="3" fontId="15" fillId="3" borderId="27" xfId="0" applyNumberFormat="1" applyFont="1" applyFill="1" applyBorder="1" applyProtection="1">
      <protection locked="0"/>
    </xf>
    <xf numFmtId="3" fontId="0" fillId="3" borderId="16" xfId="0" applyNumberFormat="1" applyFont="1" applyFill="1" applyBorder="1"/>
    <xf numFmtId="3" fontId="15" fillId="0" borderId="26" xfId="0" applyNumberFormat="1" applyFont="1" applyFill="1" applyBorder="1" applyProtection="1">
      <protection locked="0"/>
    </xf>
    <xf numFmtId="3" fontId="15" fillId="0" borderId="27" xfId="0" applyNumberFormat="1" applyFont="1" applyFill="1" applyBorder="1" applyProtection="1">
      <protection locked="0"/>
    </xf>
    <xf numFmtId="3" fontId="0" fillId="0" borderId="16" xfId="0" applyNumberFormat="1" applyFont="1" applyFill="1" applyBorder="1"/>
    <xf numFmtId="3" fontId="1" fillId="0" borderId="22" xfId="0" applyNumberFormat="1" applyFont="1" applyFill="1" applyBorder="1"/>
    <xf numFmtId="3" fontId="1" fillId="0" borderId="23" xfId="0" applyNumberFormat="1" applyFont="1" applyFill="1" applyBorder="1"/>
    <xf numFmtId="3" fontId="1" fillId="0" borderId="12" xfId="0" applyNumberFormat="1" applyFont="1" applyFill="1" applyBorder="1"/>
    <xf numFmtId="0" fontId="0" fillId="0" borderId="13" xfId="0" applyFont="1" applyFill="1" applyBorder="1"/>
    <xf numFmtId="0" fontId="0" fillId="0" borderId="31" xfId="0" applyFont="1" applyFill="1" applyBorder="1"/>
    <xf numFmtId="1" fontId="1" fillId="0" borderId="32" xfId="0" applyNumberFormat="1" applyFont="1" applyFill="1" applyBorder="1" applyAlignment="1" applyProtection="1">
      <alignment horizontal="right"/>
      <protection locked="0"/>
    </xf>
    <xf numFmtId="1" fontId="1" fillId="0" borderId="33" xfId="0" applyNumberFormat="1" applyFont="1" applyFill="1" applyBorder="1" applyAlignment="1" applyProtection="1">
      <alignment horizontal="right"/>
      <protection locked="0"/>
    </xf>
    <xf numFmtId="0" fontId="1" fillId="0" borderId="34" xfId="0" applyFont="1" applyFill="1" applyBorder="1" applyAlignment="1">
      <alignment horizontal="right" vertical="center" wrapText="1"/>
    </xf>
    <xf numFmtId="0" fontId="1" fillId="0" borderId="35" xfId="0" applyFont="1" applyFill="1" applyBorder="1" applyAlignment="1">
      <alignment horizontal="right" vertical="center" wrapText="1"/>
    </xf>
    <xf numFmtId="0" fontId="0" fillId="0" borderId="16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4" fillId="0" borderId="22" xfId="0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 wrapText="1"/>
    </xf>
    <xf numFmtId="0" fontId="0" fillId="0" borderId="16" xfId="0" applyFont="1" applyFill="1" applyBorder="1"/>
    <xf numFmtId="164" fontId="0" fillId="0" borderId="13" xfId="0" applyNumberFormat="1" applyFont="1" applyFill="1" applyBorder="1"/>
    <xf numFmtId="165" fontId="15" fillId="0" borderId="24" xfId="0" applyNumberFormat="1" applyFont="1" applyFill="1" applyBorder="1" applyAlignment="1" applyProtection="1">
      <alignment horizontal="right"/>
      <protection locked="0"/>
    </xf>
    <xf numFmtId="165" fontId="0" fillId="0" borderId="13" xfId="0" applyNumberFormat="1" applyFont="1" applyFill="1" applyBorder="1" applyAlignment="1">
      <alignment horizontal="right"/>
    </xf>
    <xf numFmtId="166" fontId="0" fillId="0" borderId="25" xfId="0" applyNumberFormat="1" applyFont="1" applyFill="1" applyBorder="1"/>
    <xf numFmtId="166" fontId="0" fillId="0" borderId="14" xfId="0" applyNumberFormat="1" applyFont="1" applyFill="1" applyBorder="1"/>
    <xf numFmtId="0" fontId="0" fillId="3" borderId="36" xfId="0" applyFont="1" applyFill="1" applyBorder="1"/>
    <xf numFmtId="164" fontId="0" fillId="3" borderId="0" xfId="0" applyNumberFormat="1" applyFont="1" applyFill="1" applyBorder="1"/>
    <xf numFmtId="165" fontId="15" fillId="3" borderId="26" xfId="0" applyNumberFormat="1" applyFont="1" applyFill="1" applyBorder="1" applyAlignment="1" applyProtection="1">
      <alignment horizontal="right"/>
      <protection locked="0"/>
    </xf>
    <xf numFmtId="165" fontId="0" fillId="3" borderId="0" xfId="0" applyNumberFormat="1" applyFont="1" applyFill="1" applyBorder="1" applyAlignment="1">
      <alignment horizontal="right"/>
    </xf>
    <xf numFmtId="166" fontId="0" fillId="3" borderId="27" xfId="0" applyNumberFormat="1" applyFont="1" applyFill="1" applyBorder="1"/>
    <xf numFmtId="166" fontId="0" fillId="3" borderId="16" xfId="0" applyNumberFormat="1" applyFont="1" applyFill="1" applyBorder="1"/>
    <xf numFmtId="0" fontId="0" fillId="0" borderId="36" xfId="0" applyFont="1" applyFill="1" applyBorder="1"/>
    <xf numFmtId="164" fontId="0" fillId="0" borderId="0" xfId="0" applyNumberFormat="1" applyFont="1" applyFill="1" applyBorder="1"/>
    <xf numFmtId="165" fontId="15" fillId="0" borderId="26" xfId="0" applyNumberFormat="1" applyFont="1" applyFill="1" applyBorder="1" applyAlignment="1" applyProtection="1">
      <alignment horizontal="right"/>
      <protection locked="0"/>
    </xf>
    <xf numFmtId="165" fontId="0" fillId="0" borderId="0" xfId="0" applyNumberFormat="1" applyFont="1" applyFill="1" applyBorder="1" applyAlignment="1">
      <alignment horizontal="right"/>
    </xf>
    <xf numFmtId="166" fontId="0" fillId="0" borderId="27" xfId="0" applyNumberFormat="1" applyFont="1" applyFill="1" applyBorder="1"/>
    <xf numFmtId="166" fontId="0" fillId="0" borderId="16" xfId="0" applyNumberFormat="1" applyFont="1" applyFill="1" applyBorder="1"/>
    <xf numFmtId="0" fontId="1" fillId="0" borderId="16" xfId="0" applyFont="1" applyFill="1" applyBorder="1"/>
    <xf numFmtId="0" fontId="0" fillId="3" borderId="31" xfId="0" applyFont="1" applyFill="1" applyBorder="1"/>
    <xf numFmtId="164" fontId="0" fillId="3" borderId="19" xfId="0" applyNumberFormat="1" applyFont="1" applyFill="1" applyBorder="1"/>
    <xf numFmtId="165" fontId="15" fillId="3" borderId="18" xfId="0" applyNumberFormat="1" applyFont="1" applyFill="1" applyBorder="1" applyAlignment="1" applyProtection="1">
      <alignment horizontal="right"/>
      <protection locked="0"/>
    </xf>
    <xf numFmtId="165" fontId="0" fillId="3" borderId="19" xfId="0" applyNumberFormat="1" applyFont="1" applyFill="1" applyBorder="1" applyAlignment="1">
      <alignment horizontal="right"/>
    </xf>
    <xf numFmtId="166" fontId="0" fillId="3" borderId="20" xfId="0" applyNumberFormat="1" applyFont="1" applyFill="1" applyBorder="1"/>
    <xf numFmtId="3" fontId="0" fillId="3" borderId="19" xfId="0" applyNumberFormat="1" applyFont="1" applyFill="1" applyBorder="1"/>
    <xf numFmtId="166" fontId="0" fillId="3" borderId="21" xfId="0" applyNumberFormat="1" applyFont="1" applyFill="1" applyBorder="1"/>
    <xf numFmtId="167" fontId="1" fillId="0" borderId="11" xfId="0" applyNumberFormat="1" applyFont="1" applyFill="1" applyBorder="1"/>
    <xf numFmtId="165" fontId="1" fillId="0" borderId="22" xfId="0" applyNumberFormat="1" applyFont="1" applyFill="1" applyBorder="1" applyAlignment="1" applyProtection="1">
      <alignment horizontal="right"/>
      <protection locked="0"/>
    </xf>
    <xf numFmtId="165" fontId="1" fillId="0" borderId="11" xfId="0" applyNumberFormat="1" applyFont="1" applyFill="1" applyBorder="1" applyAlignment="1">
      <alignment horizontal="right"/>
    </xf>
    <xf numFmtId="166" fontId="1" fillId="4" borderId="23" xfId="0" applyNumberFormat="1" applyFont="1" applyFill="1" applyBorder="1"/>
    <xf numFmtId="166" fontId="1" fillId="4" borderId="12" xfId="0" applyNumberFormat="1" applyFont="1" applyFill="1" applyBorder="1"/>
    <xf numFmtId="0" fontId="16" fillId="0" borderId="0" xfId="0" applyFont="1" applyFill="1" applyAlignment="1">
      <alignment horizontal="left" vertical="top"/>
    </xf>
    <xf numFmtId="0" fontId="6" fillId="0" borderId="0" xfId="0" applyFont="1" applyFill="1"/>
    <xf numFmtId="0" fontId="17" fillId="0" borderId="0" xfId="0" applyFont="1" applyFill="1" applyBorder="1"/>
    <xf numFmtId="0" fontId="1" fillId="3" borderId="10" xfId="0" applyFont="1" applyFill="1" applyBorder="1"/>
    <xf numFmtId="1" fontId="1" fillId="3" borderId="11" xfId="0" applyNumberFormat="1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 wrapText="1"/>
    </xf>
    <xf numFmtId="1" fontId="1" fillId="3" borderId="12" xfId="0" applyNumberFormat="1" applyFont="1" applyFill="1" applyBorder="1"/>
    <xf numFmtId="166" fontId="0" fillId="0" borderId="13" xfId="0" applyNumberFormat="1" applyFont="1" applyFill="1" applyBorder="1"/>
    <xf numFmtId="3" fontId="1" fillId="0" borderId="14" xfId="0" applyNumberFormat="1" applyFont="1" applyFill="1" applyBorder="1"/>
    <xf numFmtId="3" fontId="15" fillId="0" borderId="19" xfId="0" applyNumberFormat="1" applyFont="1" applyFill="1" applyBorder="1" applyProtection="1">
      <protection locked="0"/>
    </xf>
    <xf numFmtId="166" fontId="0" fillId="0" borderId="19" xfId="0" applyNumberFormat="1" applyFont="1" applyFill="1" applyBorder="1"/>
    <xf numFmtId="3" fontId="0" fillId="0" borderId="19" xfId="0" applyNumberFormat="1" applyFont="1" applyFill="1" applyBorder="1"/>
    <xf numFmtId="3" fontId="1" fillId="0" borderId="21" xfId="0" applyNumberFormat="1" applyFont="1" applyFill="1" applyBorder="1"/>
    <xf numFmtId="0" fontId="0" fillId="0" borderId="0" xfId="0" applyFont="1" applyFill="1" applyAlignment="1">
      <alignment horizontal="right"/>
    </xf>
    <xf numFmtId="166" fontId="0" fillId="0" borderId="0" xfId="0" applyNumberFormat="1" applyFont="1" applyFill="1" applyBorder="1"/>
    <xf numFmtId="3" fontId="0" fillId="0" borderId="0" xfId="0" applyNumberFormat="1" applyFont="1" applyFill="1"/>
    <xf numFmtId="0" fontId="1" fillId="3" borderId="11" xfId="0" applyFont="1" applyFill="1" applyBorder="1" applyAlignment="1">
      <alignment horizontal="right"/>
    </xf>
    <xf numFmtId="1" fontId="1" fillId="3" borderId="12" xfId="0" applyNumberFormat="1" applyFont="1" applyFill="1" applyBorder="1" applyAlignment="1">
      <alignment horizontal="right"/>
    </xf>
    <xf numFmtId="0" fontId="3" fillId="0" borderId="36" xfId="0" applyFont="1" applyFill="1" applyBorder="1" applyAlignment="1">
      <alignment horizontal="left" indent="2"/>
    </xf>
    <xf numFmtId="166" fontId="3" fillId="0" borderId="0" xfId="0" applyNumberFormat="1" applyFont="1" applyFill="1" applyBorder="1"/>
    <xf numFmtId="166" fontId="3" fillId="0" borderId="16" xfId="0" applyNumberFormat="1" applyFont="1" applyFill="1" applyBorder="1"/>
    <xf numFmtId="3" fontId="0" fillId="0" borderId="21" xfId="0" applyNumberFormat="1" applyFont="1" applyFill="1" applyBorder="1"/>
    <xf numFmtId="0" fontId="9" fillId="0" borderId="0" xfId="0" applyFont="1" applyFill="1" applyAlignment="1">
      <alignment horizontal="left" indent="1"/>
    </xf>
    <xf numFmtId="0" fontId="9" fillId="0" borderId="0" xfId="0" applyFont="1" applyFill="1" applyBorder="1" applyAlignment="1">
      <alignment horizontal="left" indent="1"/>
    </xf>
    <xf numFmtId="0" fontId="18" fillId="5" borderId="10" xfId="0" applyFont="1" applyFill="1" applyBorder="1"/>
    <xf numFmtId="0" fontId="19" fillId="5" borderId="11" xfId="0" applyFont="1" applyFill="1" applyBorder="1"/>
    <xf numFmtId="0" fontId="18" fillId="5" borderId="12" xfId="0" applyFont="1" applyFill="1" applyBorder="1" applyAlignment="1">
      <alignment horizontal="center"/>
    </xf>
    <xf numFmtId="0" fontId="20" fillId="4" borderId="36" xfId="0" applyFont="1" applyFill="1" applyBorder="1"/>
    <xf numFmtId="0" fontId="20" fillId="4" borderId="0" xfId="0" applyFont="1" applyFill="1" applyBorder="1"/>
    <xf numFmtId="3" fontId="21" fillId="4" borderId="16" xfId="0" applyNumberFormat="1" applyFont="1" applyFill="1" applyBorder="1"/>
    <xf numFmtId="0" fontId="20" fillId="4" borderId="10" xfId="0" applyFont="1" applyFill="1" applyBorder="1"/>
    <xf numFmtId="0" fontId="20" fillId="4" borderId="11" xfId="0" applyFont="1" applyFill="1" applyBorder="1"/>
    <xf numFmtId="3" fontId="21" fillId="4" borderId="12" xfId="0" applyNumberFormat="1" applyFont="1" applyFill="1" applyBorder="1"/>
    <xf numFmtId="0" fontId="0" fillId="0" borderId="15" xfId="0" applyFont="1" applyFill="1" applyBorder="1" applyAlignment="1">
      <alignment horizontal="left" indent="1"/>
    </xf>
    <xf numFmtId="0" fontId="0" fillId="0" borderId="31" xfId="0" applyFont="1" applyFill="1" applyBorder="1" applyAlignment="1">
      <alignment horizontal="left" indent="1"/>
    </xf>
    <xf numFmtId="166" fontId="0" fillId="0" borderId="21" xfId="0" applyNumberFormat="1" applyFont="1" applyFill="1" applyBorder="1"/>
    <xf numFmtId="0" fontId="0" fillId="0" borderId="10" xfId="0" applyFont="1" applyFill="1" applyBorder="1" applyAlignment="1">
      <alignment horizontal="left" indent="1"/>
    </xf>
    <xf numFmtId="166" fontId="0" fillId="0" borderId="12" xfId="0" applyNumberFormat="1" applyFont="1" applyFill="1" applyBorder="1"/>
    <xf numFmtId="0" fontId="0" fillId="0" borderId="2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right"/>
    </xf>
    <xf numFmtId="0" fontId="11" fillId="0" borderId="0" xfId="0" applyFont="1" applyFill="1" applyBorder="1"/>
    <xf numFmtId="0" fontId="12" fillId="0" borderId="17" xfId="0" applyFont="1" applyFill="1" applyBorder="1" applyAlignment="1">
      <alignment horizontal="right"/>
    </xf>
    <xf numFmtId="0" fontId="11" fillId="0" borderId="9" xfId="0" applyFont="1" applyFill="1" applyBorder="1" applyAlignment="1">
      <alignment horizontal="right" wrapText="1"/>
    </xf>
    <xf numFmtId="0" fontId="0" fillId="0" borderId="10" xfId="0" applyFont="1" applyFill="1" applyBorder="1"/>
    <xf numFmtId="0" fontId="0" fillId="0" borderId="11" xfId="0" applyFont="1" applyFill="1" applyBorder="1" applyAlignment="1" applyProtection="1">
      <alignment horizontal="right" vertical="center" wrapText="1"/>
      <protection locked="0"/>
    </xf>
    <xf numFmtId="0" fontId="0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right" vertical="center"/>
    </xf>
    <xf numFmtId="0" fontId="0" fillId="0" borderId="36" xfId="0" applyFont="1" applyFill="1" applyBorder="1" applyAlignment="1">
      <alignment vertical="center" wrapText="1"/>
    </xf>
    <xf numFmtId="167" fontId="0" fillId="0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0" fontId="0" fillId="3" borderId="36" xfId="0" applyFont="1" applyFill="1" applyBorder="1" applyAlignment="1">
      <alignment vertical="center" wrapText="1"/>
    </xf>
    <xf numFmtId="167" fontId="0" fillId="3" borderId="0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 applyProtection="1">
      <alignment vertical="center"/>
      <protection locked="0"/>
    </xf>
    <xf numFmtId="3" fontId="0" fillId="3" borderId="0" xfId="0" applyNumberFormat="1" applyFont="1" applyFill="1" applyBorder="1" applyAlignment="1">
      <alignment vertical="center"/>
    </xf>
    <xf numFmtId="3" fontId="1" fillId="3" borderId="16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67" fontId="1" fillId="0" borderId="11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right" vertical="center" wrapText="1"/>
    </xf>
    <xf numFmtId="0" fontId="11" fillId="0" borderId="39" xfId="0" applyFont="1" applyFill="1" applyBorder="1" applyAlignment="1">
      <alignment vertical="center"/>
    </xf>
    <xf numFmtId="168" fontId="22" fillId="0" borderId="4" xfId="0" applyNumberFormat="1" applyFont="1" applyFill="1" applyBorder="1" applyProtection="1">
      <protection locked="0"/>
    </xf>
    <xf numFmtId="0" fontId="1" fillId="0" borderId="0" xfId="0" applyFont="1" applyFill="1" applyAlignment="1">
      <alignment vertical="center"/>
    </xf>
    <xf numFmtId="0" fontId="0" fillId="0" borderId="15" xfId="0" applyFont="1" applyFill="1" applyBorder="1" applyAlignment="1">
      <alignment vertical="center" wrapText="1"/>
    </xf>
    <xf numFmtId="167" fontId="0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169" fontId="11" fillId="0" borderId="39" xfId="0" applyNumberFormat="1" applyFont="1" applyFill="1" applyBorder="1" applyAlignment="1">
      <alignment vertical="center"/>
    </xf>
    <xf numFmtId="167" fontId="0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1" fillId="3" borderId="0" xfId="0" applyNumberFormat="1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164" fontId="11" fillId="0" borderId="39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3" fontId="11" fillId="0" borderId="39" xfId="0" applyNumberFormat="1" applyFont="1" applyFill="1" applyBorder="1" applyAlignment="1">
      <alignment vertical="center"/>
    </xf>
    <xf numFmtId="167" fontId="1" fillId="0" borderId="11" xfId="0" applyNumberFormat="1" applyFont="1" applyFill="1" applyBorder="1" applyAlignment="1">
      <alignment vertical="center"/>
    </xf>
    <xf numFmtId="3" fontId="23" fillId="0" borderId="11" xfId="0" applyNumberFormat="1" applyFont="1" applyFill="1" applyBorder="1" applyAlignment="1">
      <alignment vertical="center"/>
    </xf>
    <xf numFmtId="3" fontId="23" fillId="0" borderId="12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right"/>
    </xf>
    <xf numFmtId="167" fontId="1" fillId="0" borderId="1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1" fillId="0" borderId="39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167" fontId="9" fillId="0" borderId="13" xfId="0" applyNumberFormat="1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40" xfId="0" applyFont="1" applyFill="1" applyBorder="1" applyAlignment="1">
      <alignment horizontal="right" vertical="center" wrapText="1"/>
    </xf>
    <xf numFmtId="0" fontId="0" fillId="0" borderId="15" xfId="0" applyFont="1" applyFill="1" applyBorder="1" applyAlignment="1">
      <alignment wrapText="1"/>
    </xf>
    <xf numFmtId="167" fontId="0" fillId="0" borderId="13" xfId="0" applyNumberFormat="1" applyFont="1" applyFill="1" applyBorder="1"/>
    <xf numFmtId="3" fontId="0" fillId="0" borderId="13" xfId="0" applyNumberFormat="1" applyFont="1" applyFill="1" applyBorder="1" applyAlignment="1">
      <alignment horizontal="right"/>
    </xf>
    <xf numFmtId="3" fontId="0" fillId="0" borderId="40" xfId="0" applyNumberFormat="1" applyFont="1" applyFill="1" applyBorder="1"/>
    <xf numFmtId="0" fontId="0" fillId="3" borderId="36" xfId="0" applyFont="1" applyFill="1" applyBorder="1" applyAlignment="1">
      <alignment wrapText="1"/>
    </xf>
    <xf numFmtId="167" fontId="0" fillId="3" borderId="0" xfId="0" applyNumberFormat="1" applyFont="1" applyFill="1" applyBorder="1"/>
    <xf numFmtId="3" fontId="0" fillId="3" borderId="0" xfId="0" applyNumberFormat="1" applyFont="1" applyFill="1" applyBorder="1" applyAlignment="1">
      <alignment horizontal="right"/>
    </xf>
    <xf numFmtId="3" fontId="0" fillId="3" borderId="41" xfId="0" applyNumberFormat="1" applyFont="1" applyFill="1" applyBorder="1"/>
    <xf numFmtId="0" fontId="0" fillId="0" borderId="36" xfId="0" applyFont="1" applyFill="1" applyBorder="1" applyAlignment="1">
      <alignment wrapText="1"/>
    </xf>
    <xf numFmtId="167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41" xfId="0" applyNumberFormat="1" applyFont="1" applyFill="1" applyBorder="1"/>
    <xf numFmtId="167" fontId="0" fillId="3" borderId="19" xfId="0" applyNumberFormat="1" applyFont="1" applyFill="1" applyBorder="1"/>
    <xf numFmtId="3" fontId="0" fillId="3" borderId="19" xfId="0" applyNumberFormat="1" applyFont="1" applyFill="1" applyBorder="1" applyAlignment="1">
      <alignment horizontal="right"/>
    </xf>
    <xf numFmtId="164" fontId="0" fillId="3" borderId="21" xfId="0" applyNumberFormat="1" applyFont="1" applyFill="1" applyBorder="1"/>
    <xf numFmtId="3" fontId="0" fillId="3" borderId="42" xfId="0" applyNumberFormat="1" applyFont="1" applyFill="1" applyBorder="1"/>
    <xf numFmtId="3" fontId="1" fillId="0" borderId="11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3" fontId="1" fillId="0" borderId="39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10" xfId="0" applyFont="1" applyFill="1" applyBorder="1"/>
    <xf numFmtId="164" fontId="2" fillId="0" borderId="11" xfId="0" applyNumberFormat="1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/>
    <xf numFmtId="164" fontId="2" fillId="0" borderId="12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0" fillId="0" borderId="11" xfId="0" applyFont="1" applyFill="1" applyBorder="1"/>
    <xf numFmtId="0" fontId="9" fillId="0" borderId="4" xfId="0" applyFont="1" applyFill="1" applyBorder="1" applyAlignment="1">
      <alignment horizontal="right"/>
    </xf>
    <xf numFmtId="0" fontId="11" fillId="0" borderId="39" xfId="0" applyFont="1" applyFill="1" applyBorder="1" applyAlignment="1">
      <alignment horizontal="right"/>
    </xf>
    <xf numFmtId="1" fontId="1" fillId="0" borderId="10" xfId="0" applyNumberFormat="1" applyFont="1" applyFill="1" applyBorder="1" applyAlignment="1" applyProtection="1">
      <alignment horizontal="right"/>
      <protection locked="0"/>
    </xf>
    <xf numFmtId="1" fontId="1" fillId="0" borderId="11" xfId="0" applyNumberFormat="1" applyFont="1" applyFill="1" applyBorder="1" applyAlignment="1" applyProtection="1">
      <alignment horizontal="righ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0" fillId="0" borderId="10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3" fontId="15" fillId="0" borderId="10" xfId="0" applyNumberFormat="1" applyFont="1" applyFill="1" applyBorder="1" applyAlignment="1" applyProtection="1">
      <alignment horizontal="right"/>
      <protection locked="0"/>
    </xf>
    <xf numFmtId="3" fontId="15" fillId="0" borderId="11" xfId="0" applyNumberFormat="1" applyFont="1" applyFill="1" applyBorder="1" applyAlignment="1" applyProtection="1">
      <alignment horizontal="right"/>
      <protection locked="0"/>
    </xf>
    <xf numFmtId="3" fontId="15" fillId="0" borderId="12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Fill="1" applyBorder="1" applyAlignment="1">
      <alignment horizontal="right"/>
    </xf>
    <xf numFmtId="3" fontId="0" fillId="0" borderId="14" xfId="0" applyNumberFormat="1" applyFont="1" applyFill="1" applyBorder="1" applyAlignment="1">
      <alignment horizontal="right"/>
    </xf>
    <xf numFmtId="0" fontId="0" fillId="0" borderId="36" xfId="0" applyFont="1" applyFill="1" applyBorder="1" applyAlignment="1">
      <alignment horizontal="right"/>
    </xf>
    <xf numFmtId="3" fontId="0" fillId="0" borderId="16" xfId="0" applyNumberFormat="1" applyFont="1" applyFill="1" applyBorder="1" applyAlignment="1">
      <alignment horizontal="right"/>
    </xf>
    <xf numFmtId="3" fontId="0" fillId="0" borderId="10" xfId="0" applyNumberFormat="1" applyFont="1" applyFill="1" applyBorder="1" applyAlignment="1">
      <alignment horizontal="right"/>
    </xf>
    <xf numFmtId="3" fontId="0" fillId="0" borderId="11" xfId="0" applyNumberFormat="1" applyFont="1" applyFill="1" applyBorder="1" applyAlignment="1">
      <alignment horizontal="right"/>
    </xf>
    <xf numFmtId="3" fontId="0" fillId="0" borderId="12" xfId="0" applyNumberFormat="1" applyFont="1" applyFill="1" applyBorder="1" applyAlignment="1">
      <alignment horizontal="right"/>
    </xf>
    <xf numFmtId="0" fontId="0" fillId="0" borderId="31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0" fontId="0" fillId="3" borderId="10" xfId="0" applyFont="1" applyFill="1" applyBorder="1"/>
    <xf numFmtId="0" fontId="0" fillId="3" borderId="11" xfId="0" applyFont="1" applyFill="1" applyBorder="1"/>
    <xf numFmtId="0" fontId="9" fillId="3" borderId="4" xfId="0" applyFont="1" applyFill="1" applyBorder="1" applyAlignment="1">
      <alignment horizontal="right"/>
    </xf>
    <xf numFmtId="0" fontId="11" fillId="3" borderId="39" xfId="0" applyFont="1" applyFill="1" applyBorder="1" applyAlignment="1">
      <alignment horizontal="right"/>
    </xf>
    <xf numFmtId="3" fontId="1" fillId="3" borderId="10" xfId="0" applyNumberFormat="1" applyFont="1" applyFill="1" applyBorder="1" applyAlignment="1">
      <alignment horizontal="right"/>
    </xf>
    <xf numFmtId="3" fontId="1" fillId="3" borderId="11" xfId="0" applyNumberFormat="1" applyFont="1" applyFill="1" applyBorder="1" applyAlignment="1">
      <alignment horizontal="right"/>
    </xf>
    <xf numFmtId="3" fontId="0" fillId="3" borderId="12" xfId="0" applyNumberFormat="1" applyFont="1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3" fontId="1" fillId="3" borderId="12" xfId="0" applyNumberFormat="1" applyFont="1" applyFill="1" applyBorder="1" applyAlignment="1">
      <alignment horizontal="right"/>
    </xf>
    <xf numFmtId="166" fontId="1" fillId="3" borderId="12" xfId="0" applyNumberFormat="1" applyFont="1" applyFill="1" applyBorder="1" applyAlignment="1">
      <alignment horizontal="right"/>
    </xf>
    <xf numFmtId="43" fontId="0" fillId="0" borderId="0" xfId="0" applyNumberFormat="1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17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1" fillId="0" borderId="25" xfId="0" applyFont="1" applyFill="1" applyBorder="1" applyAlignment="1">
      <alignment horizontal="right" vertical="center" wrapText="1"/>
    </xf>
    <xf numFmtId="0" fontId="1" fillId="0" borderId="38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 indent="1"/>
    </xf>
    <xf numFmtId="0" fontId="0" fillId="0" borderId="3" xfId="0" applyFont="1" applyFill="1" applyBorder="1" applyAlignment="1">
      <alignment horizontal="left" vertical="center" wrapText="1" indent="1"/>
    </xf>
  </cellXfs>
  <cellStyles count="1">
    <cellStyle name="Standard" xfId="0" builtinId="0"/>
  </cellStyles>
  <dxfs count="9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300456</xdr:colOff>
      <xdr:row>6</xdr:row>
      <xdr:rowOff>0</xdr:rowOff>
    </xdr:from>
    <xdr:to>
      <xdr:col>2</xdr:col>
      <xdr:colOff>785728</xdr:colOff>
      <xdr:row>10</xdr:row>
      <xdr:rowOff>149274</xdr:rowOff>
    </xdr:to>
    <xdr:sp macro="" textlink="">
      <xdr:nvSpPr>
        <xdr:cNvPr id="2059" name="AutoShape 2"/>
        <xdr:cNvSpPr>
          <a:spLocks noChangeArrowheads="1"/>
        </xdr:cNvSpPr>
      </xdr:nvSpPr>
      <xdr:spPr bwMode="auto">
        <a:xfrm>
          <a:off x="2552700" y="1190625"/>
          <a:ext cx="485775" cy="800100"/>
        </a:xfrm>
        <a:prstGeom prst="downArrow">
          <a:avLst>
            <a:gd name="adj1" fmla="val 50000"/>
            <a:gd name="adj2" fmla="val 41176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384748</xdr:colOff>
      <xdr:row>15</xdr:row>
      <xdr:rowOff>0</xdr:rowOff>
    </xdr:from>
    <xdr:to>
      <xdr:col>3</xdr:col>
      <xdr:colOff>870942</xdr:colOff>
      <xdr:row>21</xdr:row>
      <xdr:rowOff>149274</xdr:rowOff>
    </xdr:to>
    <xdr:sp macro="" textlink="">
      <xdr:nvSpPr>
        <xdr:cNvPr id="2060" name="AutoShape 3"/>
        <xdr:cNvSpPr>
          <a:spLocks noChangeArrowheads="1"/>
        </xdr:cNvSpPr>
      </xdr:nvSpPr>
      <xdr:spPr bwMode="auto">
        <a:xfrm>
          <a:off x="3695700" y="2647950"/>
          <a:ext cx="485775" cy="1123950"/>
        </a:xfrm>
        <a:prstGeom prst="downArrow">
          <a:avLst>
            <a:gd name="adj1" fmla="val 50000"/>
            <a:gd name="adj2" fmla="val 57843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374851</xdr:colOff>
      <xdr:row>6</xdr:row>
      <xdr:rowOff>111323</xdr:rowOff>
    </xdr:from>
    <xdr:to>
      <xdr:col>3</xdr:col>
      <xdr:colOff>861045</xdr:colOff>
      <xdr:row>11</xdr:row>
      <xdr:rowOff>6957</xdr:rowOff>
    </xdr:to>
    <xdr:sp macro="" textlink="">
      <xdr:nvSpPr>
        <xdr:cNvPr id="2061" name="AutoShape 4"/>
        <xdr:cNvSpPr>
          <a:spLocks noChangeArrowheads="1"/>
        </xdr:cNvSpPr>
      </xdr:nvSpPr>
      <xdr:spPr bwMode="auto">
        <a:xfrm>
          <a:off x="3686175" y="1304925"/>
          <a:ext cx="485775" cy="704850"/>
        </a:xfrm>
        <a:prstGeom prst="downArrow">
          <a:avLst>
            <a:gd name="adj1" fmla="val 50000"/>
            <a:gd name="adj2" fmla="val 36275"/>
          </a:avLst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508461</xdr:colOff>
      <xdr:row>6</xdr:row>
      <xdr:rowOff>101835</xdr:rowOff>
    </xdr:from>
    <xdr:to>
      <xdr:col>6</xdr:col>
      <xdr:colOff>680777</xdr:colOff>
      <xdr:row>7</xdr:row>
      <xdr:rowOff>54396</xdr:rowOff>
    </xdr:to>
    <xdr:sp macro="" textlink="">
      <xdr:nvSpPr>
        <xdr:cNvPr id="2062" name="Rectangle 5"/>
        <xdr:cNvSpPr>
          <a:spLocks noChangeArrowheads="1"/>
        </xdr:cNvSpPr>
      </xdr:nvSpPr>
      <xdr:spPr bwMode="auto">
        <a:xfrm>
          <a:off x="3819525" y="1295400"/>
          <a:ext cx="3552825" cy="11430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452790</xdr:colOff>
      <xdr:row>6</xdr:row>
      <xdr:rowOff>0</xdr:rowOff>
    </xdr:from>
    <xdr:to>
      <xdr:col>6</xdr:col>
      <xdr:colOff>680777</xdr:colOff>
      <xdr:row>6</xdr:row>
      <xdr:rowOff>111323</xdr:rowOff>
    </xdr:to>
    <xdr:sp macro="" textlink="">
      <xdr:nvSpPr>
        <xdr:cNvPr id="2063" name="Rectangle 6"/>
        <xdr:cNvSpPr>
          <a:spLocks noChangeArrowheads="1"/>
        </xdr:cNvSpPr>
      </xdr:nvSpPr>
      <xdr:spPr bwMode="auto">
        <a:xfrm>
          <a:off x="7143750" y="1190625"/>
          <a:ext cx="228600" cy="114300"/>
        </a:xfrm>
        <a:prstGeom prst="rect">
          <a:avLst/>
        </a:prstGeom>
        <a:solidFill>
          <a:srgbClr val="3366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showGridLines="0" tabSelected="1" workbookViewId="0">
      <selection activeCell="A5" sqref="A5:E5"/>
    </sheetView>
  </sheetViews>
  <sheetFormatPr baseColWidth="10" defaultColWidth="11.42578125" defaultRowHeight="12.75" x14ac:dyDescent="0.2"/>
  <cols>
    <col min="1" max="1" width="15.140625" style="1" customWidth="1"/>
    <col min="2" max="2" width="15.5703125" style="1" customWidth="1"/>
    <col min="3" max="3" width="22" style="1" customWidth="1"/>
    <col min="4" max="5" width="12.8554687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297" t="s">
        <v>0</v>
      </c>
      <c r="B1" s="297"/>
      <c r="C1" s="297"/>
      <c r="D1" s="297"/>
      <c r="E1" s="297"/>
    </row>
    <row r="2" spans="1:5" ht="27.75" customHeight="1" x14ac:dyDescent="0.4">
      <c r="A2" s="297" t="s">
        <v>1</v>
      </c>
      <c r="B2" s="297"/>
      <c r="C2" s="297"/>
      <c r="D2" s="297"/>
      <c r="E2" s="297"/>
    </row>
    <row r="3" spans="1:5" ht="24.75" customHeight="1" x14ac:dyDescent="0.35">
      <c r="A3" s="296"/>
      <c r="B3" s="296"/>
      <c r="C3" s="296"/>
      <c r="D3" s="296"/>
      <c r="E3" s="296"/>
    </row>
    <row r="4" spans="1:5" ht="18" customHeight="1" x14ac:dyDescent="0.25">
      <c r="A4" s="295"/>
      <c r="B4" s="295"/>
      <c r="C4" s="295"/>
      <c r="D4" s="295"/>
      <c r="E4" s="295"/>
    </row>
    <row r="5" spans="1:5" ht="18" customHeight="1" x14ac:dyDescent="0.25">
      <c r="A5" s="295" t="str">
        <f>"Referenzjahr "&amp;C30</f>
        <v>Referenzjahr 2017</v>
      </c>
      <c r="B5" s="295"/>
      <c r="C5" s="295"/>
      <c r="D5" s="295"/>
      <c r="E5" s="295"/>
    </row>
    <row r="11" spans="1:5" x14ac:dyDescent="0.2">
      <c r="A11" s="2" t="s">
        <v>2</v>
      </c>
      <c r="B11" s="2" t="s">
        <v>3</v>
      </c>
      <c r="C11" s="3"/>
      <c r="D11" s="3"/>
      <c r="E11" s="4"/>
    </row>
    <row r="12" spans="1:5" x14ac:dyDescent="0.2">
      <c r="A12" s="5" t="s">
        <v>4</v>
      </c>
      <c r="B12" s="5" t="s">
        <v>5</v>
      </c>
      <c r="C12" s="6"/>
      <c r="D12" s="6"/>
      <c r="E12" s="7"/>
    </row>
    <row r="13" spans="1:5" x14ac:dyDescent="0.2">
      <c r="A13" s="5" t="s">
        <v>6</v>
      </c>
      <c r="B13" s="5" t="s">
        <v>7</v>
      </c>
      <c r="C13" s="6"/>
      <c r="D13" s="6"/>
      <c r="E13" s="7"/>
    </row>
    <row r="14" spans="1:5" x14ac:dyDescent="0.2">
      <c r="A14" s="5" t="s">
        <v>8</v>
      </c>
      <c r="B14" s="5" t="s">
        <v>9</v>
      </c>
      <c r="C14" s="6"/>
      <c r="D14" s="6"/>
      <c r="E14" s="7"/>
    </row>
    <row r="15" spans="1:5" x14ac:dyDescent="0.2">
      <c r="A15" s="5" t="s">
        <v>10</v>
      </c>
      <c r="B15" s="5" t="s">
        <v>11</v>
      </c>
      <c r="C15" s="6"/>
      <c r="D15" s="6"/>
      <c r="E15" s="7"/>
    </row>
    <row r="16" spans="1:5" x14ac:dyDescent="0.2">
      <c r="A16" s="5" t="s">
        <v>12</v>
      </c>
      <c r="B16" s="5" t="s">
        <v>13</v>
      </c>
      <c r="C16" s="6"/>
      <c r="D16" s="6"/>
      <c r="E16" s="7"/>
    </row>
    <row r="17" spans="1:5" x14ac:dyDescent="0.2">
      <c r="A17" s="8" t="s">
        <v>14</v>
      </c>
      <c r="B17" s="6" t="s">
        <v>15</v>
      </c>
      <c r="C17" s="6"/>
      <c r="D17" s="6"/>
      <c r="E17" s="7"/>
    </row>
    <row r="18" spans="1:5" x14ac:dyDescent="0.2">
      <c r="A18" s="8" t="s">
        <v>16</v>
      </c>
      <c r="B18" s="6" t="s">
        <v>17</v>
      </c>
      <c r="C18" s="6"/>
      <c r="D18" s="6"/>
      <c r="E18" s="7"/>
    </row>
    <row r="25" spans="1:5" x14ac:dyDescent="0.2">
      <c r="B25" s="9" t="s">
        <v>18</v>
      </c>
      <c r="C25" s="10"/>
    </row>
    <row r="26" spans="1:5" x14ac:dyDescent="0.2">
      <c r="B26" s="11" t="s">
        <v>19</v>
      </c>
      <c r="C26" s="12" t="s">
        <v>18</v>
      </c>
    </row>
    <row r="27" spans="1:5" x14ac:dyDescent="0.2">
      <c r="B27" s="11" t="s">
        <v>20</v>
      </c>
      <c r="C27" s="13" t="s">
        <v>21</v>
      </c>
    </row>
    <row r="28" spans="1:5" x14ac:dyDescent="0.2">
      <c r="B28" s="11" t="s">
        <v>22</v>
      </c>
      <c r="C28" s="13" t="s">
        <v>23</v>
      </c>
    </row>
    <row r="29" spans="1:5" x14ac:dyDescent="0.2">
      <c r="B29" s="11" t="s">
        <v>24</v>
      </c>
      <c r="C29" s="13" t="s">
        <v>25</v>
      </c>
    </row>
    <row r="30" spans="1:5" x14ac:dyDescent="0.2">
      <c r="B30" s="14" t="s">
        <v>26</v>
      </c>
      <c r="C30" s="15">
        <v>2017</v>
      </c>
    </row>
  </sheetData>
  <mergeCells count="5">
    <mergeCell ref="A4:E4"/>
    <mergeCell ref="A3:E3"/>
    <mergeCell ref="A2:E2"/>
    <mergeCell ref="A1:E1"/>
    <mergeCell ref="A5:E5"/>
  </mergeCells>
  <conditionalFormatting sqref="C26:C30">
    <cfRule type="expression" dxfId="8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" customWidth="1"/>
    <col min="2" max="2" width="15.28515625" style="1" customWidth="1"/>
    <col min="3" max="5" width="16.42578125" style="1" customWidth="1"/>
    <col min="6" max="9" width="17.5703125" style="1" customWidth="1"/>
  </cols>
  <sheetData>
    <row r="1" spans="1:9" ht="39.75" customHeight="1" x14ac:dyDescent="0.2">
      <c r="B1" s="298" t="str">
        <f>"Berechnung Ressourcenpotenzial und -index "&amp;Info!C30</f>
        <v>Berechnung Ressourcenpotenzial und -index 2017</v>
      </c>
      <c r="C1" s="298"/>
      <c r="D1" s="298"/>
      <c r="E1" s="298"/>
      <c r="F1" s="298"/>
      <c r="G1" s="298"/>
      <c r="H1" s="16"/>
      <c r="I1" s="17" t="str">
        <f>Info!$C$28</f>
        <v>FA_2017_20160519</v>
      </c>
    </row>
    <row r="2" spans="1:9" s="1" customFormat="1" x14ac:dyDescent="0.2">
      <c r="A2" s="18"/>
      <c r="B2" s="19" t="s">
        <v>27</v>
      </c>
      <c r="C2" s="20" t="s">
        <v>28</v>
      </c>
      <c r="D2" s="20" t="s">
        <v>29</v>
      </c>
      <c r="E2" s="20" t="s">
        <v>30</v>
      </c>
      <c r="F2" s="20" t="s">
        <v>31</v>
      </c>
      <c r="G2" s="20" t="s">
        <v>32</v>
      </c>
      <c r="H2" s="20" t="s">
        <v>33</v>
      </c>
      <c r="I2" s="21" t="s">
        <v>34</v>
      </c>
    </row>
    <row r="3" spans="1:9" s="22" customFormat="1" ht="11.25" customHeight="1" x14ac:dyDescent="0.2">
      <c r="A3" s="23"/>
      <c r="B3" s="24" t="s">
        <v>35</v>
      </c>
      <c r="C3" s="25"/>
      <c r="D3" s="25"/>
      <c r="E3" s="25"/>
      <c r="F3" s="26" t="s">
        <v>36</v>
      </c>
      <c r="G3" s="27"/>
      <c r="H3" s="26" t="s">
        <v>37</v>
      </c>
      <c r="I3" s="28" t="s">
        <v>38</v>
      </c>
    </row>
    <row r="4" spans="1:9" ht="38.25" customHeight="1" x14ac:dyDescent="0.2">
      <c r="A4" s="29"/>
      <c r="B4" s="30"/>
      <c r="C4" s="31" t="str">
        <f>"ASG "&amp;BEV!C5</f>
        <v>ASG 2011</v>
      </c>
      <c r="D4" s="31" t="str">
        <f>"ASG "&amp;BEV!D5</f>
        <v>ASG 2012</v>
      </c>
      <c r="E4" s="31" t="str">
        <f>"ASG "&amp;BEV!E5</f>
        <v>ASG 2013</v>
      </c>
      <c r="F4" s="31" t="s">
        <v>39</v>
      </c>
      <c r="G4" s="31" t="s">
        <v>7</v>
      </c>
      <c r="H4" s="31" t="s">
        <v>40</v>
      </c>
      <c r="I4" s="32" t="s">
        <v>41</v>
      </c>
    </row>
    <row r="5" spans="1:9" s="33" customFormat="1" ht="11.25" customHeight="1" x14ac:dyDescent="0.2">
      <c r="A5" s="34"/>
      <c r="B5" s="35" t="s">
        <v>42</v>
      </c>
      <c r="C5" s="36" t="str">
        <f>"ASG_"&amp;Info!$C$30&amp;"_"&amp;Info!$C$30-6</f>
        <v>ASG_2017_2011</v>
      </c>
      <c r="D5" s="36" t="str">
        <f>"ASG_"&amp;Info!$C$30&amp;"_"&amp;Info!$C$30-5</f>
        <v>ASG_2017_2012</v>
      </c>
      <c r="E5" s="36" t="str">
        <f>"ASG_"&amp;Info!$C$30&amp;"_"&amp;Info!$C$30-4</f>
        <v>ASG_2017_2013</v>
      </c>
      <c r="F5" s="37"/>
      <c r="G5" s="37"/>
      <c r="H5" s="37"/>
      <c r="I5" s="38"/>
    </row>
    <row r="6" spans="1:9" s="33" customFormat="1" ht="11.25" customHeight="1" x14ac:dyDescent="0.2">
      <c r="A6" s="34"/>
      <c r="B6" s="39" t="s">
        <v>43</v>
      </c>
      <c r="C6" s="40" t="s">
        <v>44</v>
      </c>
      <c r="D6" s="40" t="s">
        <v>44</v>
      </c>
      <c r="E6" s="40" t="s">
        <v>44</v>
      </c>
      <c r="F6" s="40" t="s">
        <v>44</v>
      </c>
      <c r="G6" s="40" t="s">
        <v>45</v>
      </c>
      <c r="H6" s="40" t="s">
        <v>46</v>
      </c>
      <c r="I6" s="41"/>
    </row>
    <row r="7" spans="1:9" x14ac:dyDescent="0.2">
      <c r="A7" s="29"/>
      <c r="B7" s="42" t="s">
        <v>47</v>
      </c>
      <c r="C7" s="43">
        <v>55133268.501502499</v>
      </c>
      <c r="D7" s="43">
        <v>53988332.463295802</v>
      </c>
      <c r="E7" s="43">
        <v>55934229.204297602</v>
      </c>
      <c r="F7" s="44">
        <f t="shared" ref="F7:F32" si="0">AVERAGE(C7:E7)</f>
        <v>55018610.056365304</v>
      </c>
      <c r="G7" s="45">
        <f>BEV!F7</f>
        <v>1412646.8333333333</v>
      </c>
      <c r="H7" s="45">
        <f t="shared" ref="H7:H33" si="1">F7/G7*1000</f>
        <v>38947.179690015924</v>
      </c>
      <c r="I7" s="46">
        <f t="shared" ref="I7:I33" si="2">H7/H$33*100</f>
        <v>120.42753074221453</v>
      </c>
    </row>
    <row r="8" spans="1:9" x14ac:dyDescent="0.2">
      <c r="A8" s="29"/>
      <c r="B8" s="47" t="s">
        <v>48</v>
      </c>
      <c r="C8" s="48">
        <v>23008243.559748702</v>
      </c>
      <c r="D8" s="48">
        <v>23581339.359680898</v>
      </c>
      <c r="E8" s="48">
        <v>25335229.2682763</v>
      </c>
      <c r="F8" s="49">
        <f t="shared" si="0"/>
        <v>23974937.395901967</v>
      </c>
      <c r="G8" s="50">
        <f>BEV!F8</f>
        <v>997235.66666666663</v>
      </c>
      <c r="H8" s="50">
        <f t="shared" si="1"/>
        <v>24041.395827768531</v>
      </c>
      <c r="I8" s="51">
        <f t="shared" si="2"/>
        <v>74.337755857493747</v>
      </c>
    </row>
    <row r="9" spans="1:9" x14ac:dyDescent="0.2">
      <c r="A9" s="29"/>
      <c r="B9" s="30" t="s">
        <v>49</v>
      </c>
      <c r="C9" s="52">
        <v>9840348.7692771796</v>
      </c>
      <c r="D9" s="52">
        <v>11081515.939746801</v>
      </c>
      <c r="E9" s="52">
        <v>11682543.061411601</v>
      </c>
      <c r="F9" s="53">
        <f t="shared" si="0"/>
        <v>10868135.923478527</v>
      </c>
      <c r="G9" s="54">
        <f>BEV!F9</f>
        <v>386801.33333333331</v>
      </c>
      <c r="H9" s="54">
        <f t="shared" si="1"/>
        <v>28097.46241001891</v>
      </c>
      <c r="I9" s="55">
        <f t="shared" si="2"/>
        <v>86.879410655457036</v>
      </c>
    </row>
    <row r="10" spans="1:9" x14ac:dyDescent="0.2">
      <c r="A10" s="29"/>
      <c r="B10" s="47" t="s">
        <v>50</v>
      </c>
      <c r="C10" s="48">
        <v>713699.20527513395</v>
      </c>
      <c r="D10" s="48">
        <v>774248.59552651795</v>
      </c>
      <c r="E10" s="48">
        <v>824175.59504777205</v>
      </c>
      <c r="F10" s="49">
        <f t="shared" si="0"/>
        <v>770707.79861647461</v>
      </c>
      <c r="G10" s="50">
        <f>BEV!F10</f>
        <v>35990.333333333336</v>
      </c>
      <c r="H10" s="50">
        <f t="shared" si="1"/>
        <v>21414.300097706087</v>
      </c>
      <c r="I10" s="51">
        <f t="shared" si="2"/>
        <v>66.214583542761602</v>
      </c>
    </row>
    <row r="11" spans="1:9" x14ac:dyDescent="0.2">
      <c r="A11" s="29"/>
      <c r="B11" s="30" t="s">
        <v>51</v>
      </c>
      <c r="C11" s="52">
        <v>8642129.0090689007</v>
      </c>
      <c r="D11" s="52">
        <v>7904735.3925390802</v>
      </c>
      <c r="E11" s="52">
        <v>8288327.2330913702</v>
      </c>
      <c r="F11" s="53">
        <f t="shared" si="0"/>
        <v>8278397.211566451</v>
      </c>
      <c r="G11" s="54">
        <f>BEV!F11</f>
        <v>150310.83333333334</v>
      </c>
      <c r="H11" s="54">
        <f t="shared" si="1"/>
        <v>55075.186717966324</v>
      </c>
      <c r="I11" s="55">
        <f t="shared" si="2"/>
        <v>170.29650912852486</v>
      </c>
    </row>
    <row r="12" spans="1:9" x14ac:dyDescent="0.2">
      <c r="A12" s="29"/>
      <c r="B12" s="47" t="s">
        <v>52</v>
      </c>
      <c r="C12" s="48">
        <v>1033010.29344116</v>
      </c>
      <c r="D12" s="48">
        <v>1127036.30358711</v>
      </c>
      <c r="E12" s="48">
        <v>1343843.6333500999</v>
      </c>
      <c r="F12" s="49">
        <f t="shared" si="0"/>
        <v>1167963.4101261233</v>
      </c>
      <c r="G12" s="50">
        <f>BEV!F12</f>
        <v>36436.333333333336</v>
      </c>
      <c r="H12" s="50">
        <f t="shared" si="1"/>
        <v>32054.910669554836</v>
      </c>
      <c r="I12" s="51">
        <f t="shared" si="2"/>
        <v>99.11613038020154</v>
      </c>
    </row>
    <row r="13" spans="1:9" x14ac:dyDescent="0.2">
      <c r="A13" s="29"/>
      <c r="B13" s="30" t="s">
        <v>53</v>
      </c>
      <c r="C13" s="52">
        <v>1937106.66456498</v>
      </c>
      <c r="D13" s="52">
        <v>2020074.5416349701</v>
      </c>
      <c r="E13" s="52">
        <v>2180030.1371052102</v>
      </c>
      <c r="F13" s="53">
        <f t="shared" si="0"/>
        <v>2045737.1144350534</v>
      </c>
      <c r="G13" s="54">
        <f>BEV!F13</f>
        <v>41748</v>
      </c>
      <c r="H13" s="54">
        <f t="shared" si="1"/>
        <v>49002.03876676855</v>
      </c>
      <c r="I13" s="55">
        <f t="shared" si="2"/>
        <v>151.51789107669262</v>
      </c>
    </row>
    <row r="14" spans="1:9" x14ac:dyDescent="0.2">
      <c r="A14" s="29"/>
      <c r="B14" s="47" t="s">
        <v>54</v>
      </c>
      <c r="C14" s="48">
        <v>870331.84616503306</v>
      </c>
      <c r="D14" s="48">
        <v>877636.485952007</v>
      </c>
      <c r="E14" s="48">
        <v>988711.721466591</v>
      </c>
      <c r="F14" s="49">
        <f t="shared" si="0"/>
        <v>912226.68452787714</v>
      </c>
      <c r="G14" s="50">
        <f>BEV!F14</f>
        <v>39846.333333333336</v>
      </c>
      <c r="H14" s="50">
        <f t="shared" si="1"/>
        <v>22893.616757573942</v>
      </c>
      <c r="I14" s="51">
        <f t="shared" si="2"/>
        <v>70.788738948919928</v>
      </c>
    </row>
    <row r="15" spans="1:9" x14ac:dyDescent="0.2">
      <c r="A15" s="29"/>
      <c r="B15" s="30" t="s">
        <v>55</v>
      </c>
      <c r="C15" s="52">
        <v>11150927.881304801</v>
      </c>
      <c r="D15" s="52">
        <v>9389355.09972913</v>
      </c>
      <c r="E15" s="52">
        <v>9486040.5928676892</v>
      </c>
      <c r="F15" s="53">
        <f t="shared" si="0"/>
        <v>10008774.524633871</v>
      </c>
      <c r="G15" s="54">
        <f>BEV!F15</f>
        <v>117174.83333333333</v>
      </c>
      <c r="H15" s="54">
        <f t="shared" si="1"/>
        <v>85417.441953268164</v>
      </c>
      <c r="I15" s="55">
        <f t="shared" si="2"/>
        <v>264.11698353052998</v>
      </c>
    </row>
    <row r="16" spans="1:9" x14ac:dyDescent="0.2">
      <c r="A16" s="29"/>
      <c r="B16" s="47" t="s">
        <v>56</v>
      </c>
      <c r="C16" s="48">
        <v>7066524.1128865303</v>
      </c>
      <c r="D16" s="48">
        <v>7323111.3514167704</v>
      </c>
      <c r="E16" s="48">
        <v>7724928.9767447896</v>
      </c>
      <c r="F16" s="49">
        <f t="shared" si="0"/>
        <v>7371521.4803493628</v>
      </c>
      <c r="G16" s="50">
        <f>BEV!F16</f>
        <v>290342</v>
      </c>
      <c r="H16" s="50">
        <f t="shared" si="1"/>
        <v>25389.097961539712</v>
      </c>
      <c r="I16" s="51">
        <f t="shared" si="2"/>
        <v>78.504949514077893</v>
      </c>
    </row>
    <row r="17" spans="1:9" x14ac:dyDescent="0.2">
      <c r="A17" s="29"/>
      <c r="B17" s="30" t="s">
        <v>57</v>
      </c>
      <c r="C17" s="52">
        <v>6133252.6235008799</v>
      </c>
      <c r="D17" s="52">
        <v>6435743.2124164402</v>
      </c>
      <c r="E17" s="52">
        <v>6302328.2622734299</v>
      </c>
      <c r="F17" s="53">
        <f t="shared" si="0"/>
        <v>6290441.3660635836</v>
      </c>
      <c r="G17" s="54">
        <f>BEV!F17</f>
        <v>259970.83333333334</v>
      </c>
      <c r="H17" s="54">
        <f t="shared" si="1"/>
        <v>24196.719629690189</v>
      </c>
      <c r="I17" s="55">
        <f t="shared" si="2"/>
        <v>74.818028423563874</v>
      </c>
    </row>
    <row r="18" spans="1:9" x14ac:dyDescent="0.2">
      <c r="A18" s="29"/>
      <c r="B18" s="47" t="s">
        <v>58</v>
      </c>
      <c r="C18" s="48">
        <v>8418197.6450907309</v>
      </c>
      <c r="D18" s="48">
        <v>9117911.2988571394</v>
      </c>
      <c r="E18" s="48">
        <v>9483879.5753480494</v>
      </c>
      <c r="F18" s="49">
        <f t="shared" si="0"/>
        <v>9006662.8397653066</v>
      </c>
      <c r="G18" s="50">
        <f>BEV!F18</f>
        <v>190126.5</v>
      </c>
      <c r="H18" s="50">
        <f t="shared" si="1"/>
        <v>47371.948885427897</v>
      </c>
      <c r="I18" s="51">
        <f t="shared" si="2"/>
        <v>146.47753383233874</v>
      </c>
    </row>
    <row r="19" spans="1:9" x14ac:dyDescent="0.2">
      <c r="A19" s="29"/>
      <c r="B19" s="30" t="s">
        <v>59</v>
      </c>
      <c r="C19" s="52">
        <v>8450036.3007507399</v>
      </c>
      <c r="D19" s="52">
        <v>8563294.4566873293</v>
      </c>
      <c r="E19" s="52">
        <v>8904410.0316137206</v>
      </c>
      <c r="F19" s="53">
        <f t="shared" si="0"/>
        <v>8639246.9296839312</v>
      </c>
      <c r="G19" s="54">
        <f>BEV!F19</f>
        <v>277605.83333333331</v>
      </c>
      <c r="H19" s="54">
        <f t="shared" si="1"/>
        <v>31120.552568902305</v>
      </c>
      <c r="I19" s="55">
        <f t="shared" si="2"/>
        <v>96.227026733001765</v>
      </c>
    </row>
    <row r="20" spans="1:9" x14ac:dyDescent="0.2">
      <c r="A20" s="29"/>
      <c r="B20" s="47" t="s">
        <v>60</v>
      </c>
      <c r="C20" s="48">
        <v>2446027.0177252502</v>
      </c>
      <c r="D20" s="48">
        <v>2414425.6532343701</v>
      </c>
      <c r="E20" s="48">
        <v>2390235.6179231498</v>
      </c>
      <c r="F20" s="49">
        <f t="shared" si="0"/>
        <v>2416896.0962942564</v>
      </c>
      <c r="G20" s="50">
        <f>BEV!F20</f>
        <v>78322.333333333328</v>
      </c>
      <c r="H20" s="50">
        <f t="shared" si="1"/>
        <v>30858.326015494815</v>
      </c>
      <c r="I20" s="51">
        <f t="shared" si="2"/>
        <v>95.416203033487506</v>
      </c>
    </row>
    <row r="21" spans="1:9" x14ac:dyDescent="0.2">
      <c r="A21" s="29"/>
      <c r="B21" s="30" t="s">
        <v>61</v>
      </c>
      <c r="C21" s="52">
        <v>1429848.96696089</v>
      </c>
      <c r="D21" s="52">
        <v>1461281.1304003999</v>
      </c>
      <c r="E21" s="52">
        <v>1517242.8030932499</v>
      </c>
      <c r="F21" s="53">
        <f t="shared" si="0"/>
        <v>1469457.6334848467</v>
      </c>
      <c r="G21" s="54">
        <f>BEV!F21</f>
        <v>53614</v>
      </c>
      <c r="H21" s="54">
        <f t="shared" si="1"/>
        <v>27408.095525139826</v>
      </c>
      <c r="I21" s="55">
        <f t="shared" si="2"/>
        <v>84.747837782088681</v>
      </c>
    </row>
    <row r="22" spans="1:9" x14ac:dyDescent="0.2">
      <c r="A22" s="29"/>
      <c r="B22" s="47" t="s">
        <v>62</v>
      </c>
      <c r="C22" s="48">
        <v>433138.93147411803</v>
      </c>
      <c r="D22" s="48">
        <v>429937.19868553698</v>
      </c>
      <c r="E22" s="48">
        <v>440756.04225078202</v>
      </c>
      <c r="F22" s="49">
        <f t="shared" si="0"/>
        <v>434610.72413681232</v>
      </c>
      <c r="G22" s="50">
        <f>BEV!F22</f>
        <v>15791.5</v>
      </c>
      <c r="H22" s="50">
        <f t="shared" si="1"/>
        <v>27521.813895881474</v>
      </c>
      <c r="I22" s="51">
        <f t="shared" si="2"/>
        <v>85.099463309211387</v>
      </c>
    </row>
    <row r="23" spans="1:9" x14ac:dyDescent="0.2">
      <c r="A23" s="29"/>
      <c r="B23" s="30" t="s">
        <v>63</v>
      </c>
      <c r="C23" s="52">
        <v>12346243.017523101</v>
      </c>
      <c r="D23" s="52">
        <v>12476336.2813081</v>
      </c>
      <c r="E23" s="52">
        <v>12793392.8440673</v>
      </c>
      <c r="F23" s="53">
        <f t="shared" si="0"/>
        <v>12538657.380966166</v>
      </c>
      <c r="G23" s="54">
        <f>BEV!F23</f>
        <v>488488</v>
      </c>
      <c r="H23" s="54">
        <f t="shared" si="1"/>
        <v>25668.301741222233</v>
      </c>
      <c r="I23" s="55">
        <f t="shared" si="2"/>
        <v>79.368268040057799</v>
      </c>
    </row>
    <row r="24" spans="1:9" x14ac:dyDescent="0.2">
      <c r="A24" s="29"/>
      <c r="B24" s="47" t="s">
        <v>64</v>
      </c>
      <c r="C24" s="48">
        <v>5233265.6433768403</v>
      </c>
      <c r="D24" s="48">
        <v>5382667.7903310601</v>
      </c>
      <c r="E24" s="48">
        <v>5568826.4408962904</v>
      </c>
      <c r="F24" s="49">
        <f t="shared" si="0"/>
        <v>5394919.9582013972</v>
      </c>
      <c r="G24" s="50">
        <f>BEV!F24</f>
        <v>202118.33333333334</v>
      </c>
      <c r="H24" s="50">
        <f t="shared" si="1"/>
        <v>26691.888208399687</v>
      </c>
      <c r="I24" s="51">
        <f t="shared" si="2"/>
        <v>82.533272328543603</v>
      </c>
    </row>
    <row r="25" spans="1:9" x14ac:dyDescent="0.2">
      <c r="A25" s="29"/>
      <c r="B25" s="30" t="s">
        <v>65</v>
      </c>
      <c r="C25" s="52">
        <v>17595976.1137047</v>
      </c>
      <c r="D25" s="52">
        <v>17295207.168408498</v>
      </c>
      <c r="E25" s="52">
        <v>18085235.247673102</v>
      </c>
      <c r="F25" s="53">
        <f t="shared" si="0"/>
        <v>17658806.176595431</v>
      </c>
      <c r="G25" s="54">
        <f>BEV!F25</f>
        <v>627598.5</v>
      </c>
      <c r="H25" s="54">
        <f t="shared" si="1"/>
        <v>28137.107046297006</v>
      </c>
      <c r="I25" s="55">
        <f t="shared" si="2"/>
        <v>87.001994773027121</v>
      </c>
    </row>
    <row r="26" spans="1:9" x14ac:dyDescent="0.2">
      <c r="A26" s="29"/>
      <c r="B26" s="47" t="s">
        <v>66</v>
      </c>
      <c r="C26" s="48">
        <v>6273247.7217642004</v>
      </c>
      <c r="D26" s="48">
        <v>6510811.7562578199</v>
      </c>
      <c r="E26" s="48">
        <v>6923366.0541123403</v>
      </c>
      <c r="F26" s="49">
        <f t="shared" si="0"/>
        <v>6569141.8440447869</v>
      </c>
      <c r="G26" s="50">
        <f>BEV!F26</f>
        <v>256521.5</v>
      </c>
      <c r="H26" s="50">
        <f t="shared" si="1"/>
        <v>25608.542925426475</v>
      </c>
      <c r="I26" s="51">
        <f t="shared" si="2"/>
        <v>79.183489406954195</v>
      </c>
    </row>
    <row r="27" spans="1:9" x14ac:dyDescent="0.2">
      <c r="A27" s="29"/>
      <c r="B27" s="30" t="s">
        <v>67</v>
      </c>
      <c r="C27" s="52">
        <v>10119878.1503105</v>
      </c>
      <c r="D27" s="52">
        <v>10687540.741269</v>
      </c>
      <c r="E27" s="52">
        <v>11227154.7680829</v>
      </c>
      <c r="F27" s="53">
        <f t="shared" si="0"/>
        <v>10678191.219887467</v>
      </c>
      <c r="G27" s="54">
        <f>BEV!F27</f>
        <v>341905.5</v>
      </c>
      <c r="H27" s="54">
        <f t="shared" si="1"/>
        <v>31231.411076708235</v>
      </c>
      <c r="I27" s="55">
        <f t="shared" si="2"/>
        <v>96.56980935457004</v>
      </c>
    </row>
    <row r="28" spans="1:9" x14ac:dyDescent="0.2">
      <c r="A28" s="29"/>
      <c r="B28" s="47" t="s">
        <v>68</v>
      </c>
      <c r="C28" s="48">
        <v>24046182.500760902</v>
      </c>
      <c r="D28" s="48">
        <v>24235601.710930701</v>
      </c>
      <c r="E28" s="48">
        <v>24457463.904527999</v>
      </c>
      <c r="F28" s="49">
        <f t="shared" si="0"/>
        <v>24246416.038739871</v>
      </c>
      <c r="G28" s="50">
        <f>BEV!F28</f>
        <v>739461.5</v>
      </c>
      <c r="H28" s="50">
        <f t="shared" si="1"/>
        <v>32789.287932826621</v>
      </c>
      <c r="I28" s="51">
        <f t="shared" si="2"/>
        <v>101.3868786385592</v>
      </c>
    </row>
    <row r="29" spans="1:9" x14ac:dyDescent="0.2">
      <c r="A29" s="29"/>
      <c r="B29" s="30" t="s">
        <v>69</v>
      </c>
      <c r="C29" s="52">
        <v>6791283.6493357299</v>
      </c>
      <c r="D29" s="52">
        <v>7016217.4867689405</v>
      </c>
      <c r="E29" s="52">
        <v>7463466.4632061198</v>
      </c>
      <c r="F29" s="53">
        <f t="shared" si="0"/>
        <v>7090322.5331035964</v>
      </c>
      <c r="G29" s="54">
        <f>BEV!F29</f>
        <v>327591.83333333331</v>
      </c>
      <c r="H29" s="54">
        <f t="shared" si="1"/>
        <v>21643.770728218999</v>
      </c>
      <c r="I29" s="55">
        <f t="shared" si="2"/>
        <v>66.924123530778061</v>
      </c>
    </row>
    <row r="30" spans="1:9" x14ac:dyDescent="0.2">
      <c r="A30" s="29"/>
      <c r="B30" s="47" t="s">
        <v>70</v>
      </c>
      <c r="C30" s="48">
        <v>5097348.38493382</v>
      </c>
      <c r="D30" s="48">
        <v>5243440.9903603503</v>
      </c>
      <c r="E30" s="48">
        <v>6156098.6864706399</v>
      </c>
      <c r="F30" s="49">
        <f t="shared" si="0"/>
        <v>5498962.6872549364</v>
      </c>
      <c r="G30" s="50">
        <f>BEV!F30</f>
        <v>175314</v>
      </c>
      <c r="H30" s="50">
        <f t="shared" si="1"/>
        <v>31366.363708859168</v>
      </c>
      <c r="I30" s="51">
        <f t="shared" si="2"/>
        <v>96.987092772431112</v>
      </c>
    </row>
    <row r="31" spans="1:9" x14ac:dyDescent="0.2">
      <c r="A31" s="29"/>
      <c r="B31" s="30" t="s">
        <v>71</v>
      </c>
      <c r="C31" s="52">
        <v>21038964.699401502</v>
      </c>
      <c r="D31" s="52">
        <v>21424803.459974401</v>
      </c>
      <c r="E31" s="52">
        <v>21954443.673838399</v>
      </c>
      <c r="F31" s="53">
        <f t="shared" si="0"/>
        <v>21472737.277738102</v>
      </c>
      <c r="G31" s="54">
        <f>BEV!F31</f>
        <v>466126.83333333331</v>
      </c>
      <c r="H31" s="54">
        <f t="shared" si="1"/>
        <v>46066.297286907473</v>
      </c>
      <c r="I31" s="55">
        <f t="shared" si="2"/>
        <v>142.44036350907274</v>
      </c>
    </row>
    <row r="32" spans="1:9" x14ac:dyDescent="0.2">
      <c r="A32" s="29"/>
      <c r="B32" s="47" t="s">
        <v>72</v>
      </c>
      <c r="C32" s="48">
        <v>1450181.6868832901</v>
      </c>
      <c r="D32" s="48">
        <v>1499360.6785178401</v>
      </c>
      <c r="E32" s="48">
        <v>1547632.1980745799</v>
      </c>
      <c r="F32" s="49">
        <f t="shared" si="0"/>
        <v>1499058.1878252367</v>
      </c>
      <c r="G32" s="50">
        <f>BEV!F32</f>
        <v>71163.833333333328</v>
      </c>
      <c r="H32" s="50">
        <f t="shared" si="1"/>
        <v>21064.888126579794</v>
      </c>
      <c r="I32" s="51">
        <f t="shared" si="2"/>
        <v>65.134176149224544</v>
      </c>
    </row>
    <row r="33" spans="1:9" x14ac:dyDescent="0.2">
      <c r="A33" s="56"/>
      <c r="B33" s="57" t="s">
        <v>73</v>
      </c>
      <c r="C33" s="58">
        <f>SUM(C7:C32)</f>
        <v>256698662.89673215</v>
      </c>
      <c r="D33" s="58">
        <f>SUM(D7:D32)</f>
        <v>258261966.54751703</v>
      </c>
      <c r="E33" s="58">
        <f>SUM(E7:E32)</f>
        <v>269003992.03711104</v>
      </c>
      <c r="F33" s="58">
        <f>SUM(F7:F32)</f>
        <v>261321540.49378663</v>
      </c>
      <c r="G33" s="58">
        <f>SUM(G7:G32)</f>
        <v>8080253.333333333</v>
      </c>
      <c r="H33" s="58">
        <f t="shared" si="1"/>
        <v>32340.760829337029</v>
      </c>
      <c r="I33" s="59">
        <f t="shared" si="2"/>
        <v>100</v>
      </c>
    </row>
  </sheetData>
  <mergeCells count="1">
    <mergeCell ref="B1:G1"/>
  </mergeCells>
  <conditionalFormatting sqref="C7:F32">
    <cfRule type="expression" dxfId="7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34"/>
  <sheetViews>
    <sheetView showGridLines="0" workbookViewId="0"/>
  </sheetViews>
  <sheetFormatPr baseColWidth="10" defaultColWidth="11.42578125" defaultRowHeight="12.75" x14ac:dyDescent="0.2"/>
  <cols>
    <col min="1" max="1" width="1.42578125" style="1" customWidth="1"/>
    <col min="2" max="2" width="18.85546875" style="1" customWidth="1"/>
    <col min="3" max="3" width="16.28515625" style="1" customWidth="1"/>
    <col min="4" max="6" width="18.5703125" style="1" customWidth="1"/>
  </cols>
  <sheetData>
    <row r="1" spans="1:6" ht="38.25" customHeight="1" x14ac:dyDescent="0.2">
      <c r="B1" s="60" t="str">
        <f>"Massgebende Wohnbevölkerung "&amp;Info!C30</f>
        <v>Massgebende Wohnbevölkerung 2017</v>
      </c>
      <c r="C1" s="60"/>
      <c r="D1" s="60"/>
      <c r="E1" s="61"/>
      <c r="F1" s="17" t="str">
        <f>Info!$C$28</f>
        <v>FA_2017_20160519</v>
      </c>
    </row>
    <row r="2" spans="1:6" s="1" customFormat="1" x14ac:dyDescent="0.2">
      <c r="A2" s="18"/>
      <c r="B2" s="62" t="s">
        <v>27</v>
      </c>
      <c r="C2" s="63" t="s">
        <v>28</v>
      </c>
      <c r="D2" s="63" t="s">
        <v>29</v>
      </c>
      <c r="E2" s="63" t="s">
        <v>30</v>
      </c>
      <c r="F2" s="64" t="s">
        <v>31</v>
      </c>
    </row>
    <row r="3" spans="1:6" s="65" customFormat="1" ht="11.25" customHeight="1" x14ac:dyDescent="0.2">
      <c r="A3" s="66"/>
      <c r="B3" s="67" t="s">
        <v>35</v>
      </c>
      <c r="C3" s="68"/>
      <c r="D3" s="68"/>
      <c r="E3" s="68"/>
      <c r="F3" s="69" t="s">
        <v>36</v>
      </c>
    </row>
    <row r="4" spans="1:6" ht="26.25" customHeight="1" x14ac:dyDescent="0.2">
      <c r="A4" s="29"/>
      <c r="B4" s="70"/>
      <c r="C4" s="299" t="s">
        <v>74</v>
      </c>
      <c r="D4" s="300"/>
      <c r="E4" s="301"/>
      <c r="F4" s="71" t="s">
        <v>7</v>
      </c>
    </row>
    <row r="5" spans="1:6" ht="16.5" customHeight="1" x14ac:dyDescent="0.2">
      <c r="A5" s="29"/>
      <c r="B5" s="72"/>
      <c r="C5" s="73">
        <v>2011</v>
      </c>
      <c r="D5" s="74">
        <v>2012</v>
      </c>
      <c r="E5" s="75">
        <v>2013</v>
      </c>
      <c r="F5" s="76">
        <f>Info!C30</f>
        <v>2017</v>
      </c>
    </row>
    <row r="6" spans="1:6" s="77" customFormat="1" x14ac:dyDescent="0.2">
      <c r="A6" s="78"/>
      <c r="B6" s="39" t="s">
        <v>42</v>
      </c>
      <c r="C6" s="79" t="s">
        <v>75</v>
      </c>
      <c r="D6" s="80" t="s">
        <v>75</v>
      </c>
      <c r="E6" s="81" t="s">
        <v>75</v>
      </c>
      <c r="F6" s="82"/>
    </row>
    <row r="7" spans="1:6" x14ac:dyDescent="0.2">
      <c r="A7" s="29"/>
      <c r="B7" s="42" t="s">
        <v>47</v>
      </c>
      <c r="C7" s="83">
        <v>1394540</v>
      </c>
      <c r="D7" s="43">
        <v>1413296.5</v>
      </c>
      <c r="E7" s="84">
        <v>1430104</v>
      </c>
      <c r="F7" s="85">
        <f t="shared" ref="F7:F32" si="0">AVERAGE(C7:E7)</f>
        <v>1412646.8333333333</v>
      </c>
    </row>
    <row r="8" spans="1:6" x14ac:dyDescent="0.2">
      <c r="A8" s="29"/>
      <c r="B8" s="47" t="s">
        <v>48</v>
      </c>
      <c r="C8" s="86">
        <v>989712.5</v>
      </c>
      <c r="D8" s="48">
        <v>997080.5</v>
      </c>
      <c r="E8" s="87">
        <v>1004914</v>
      </c>
      <c r="F8" s="88">
        <f t="shared" si="0"/>
        <v>997235.66666666663</v>
      </c>
    </row>
    <row r="9" spans="1:6" x14ac:dyDescent="0.2">
      <c r="A9" s="29"/>
      <c r="B9" s="30" t="s">
        <v>49</v>
      </c>
      <c r="C9" s="89">
        <v>382271.5</v>
      </c>
      <c r="D9" s="52">
        <v>386834.5</v>
      </c>
      <c r="E9" s="90">
        <v>391298</v>
      </c>
      <c r="F9" s="91">
        <f t="shared" si="0"/>
        <v>386801.33333333331</v>
      </c>
    </row>
    <row r="10" spans="1:6" x14ac:dyDescent="0.2">
      <c r="A10" s="29"/>
      <c r="B10" s="47" t="s">
        <v>50</v>
      </c>
      <c r="C10" s="86">
        <v>35758.5</v>
      </c>
      <c r="D10" s="48">
        <v>35955</v>
      </c>
      <c r="E10" s="87">
        <v>36257.5</v>
      </c>
      <c r="F10" s="88">
        <f t="shared" si="0"/>
        <v>35990.333333333336</v>
      </c>
    </row>
    <row r="11" spans="1:6" x14ac:dyDescent="0.2">
      <c r="A11" s="29"/>
      <c r="B11" s="30" t="s">
        <v>51</v>
      </c>
      <c r="C11" s="89">
        <v>148533</v>
      </c>
      <c r="D11" s="52">
        <v>150290</v>
      </c>
      <c r="E11" s="90">
        <v>152109.5</v>
      </c>
      <c r="F11" s="91">
        <f t="shared" si="0"/>
        <v>150310.83333333334</v>
      </c>
    </row>
    <row r="12" spans="1:6" x14ac:dyDescent="0.2">
      <c r="A12" s="29"/>
      <c r="B12" s="47" t="s">
        <v>52</v>
      </c>
      <c r="C12" s="86">
        <v>36153</v>
      </c>
      <c r="D12" s="48">
        <v>36430.5</v>
      </c>
      <c r="E12" s="87">
        <v>36725.5</v>
      </c>
      <c r="F12" s="88">
        <f t="shared" si="0"/>
        <v>36436.333333333336</v>
      </c>
    </row>
    <row r="13" spans="1:6" x14ac:dyDescent="0.2">
      <c r="A13" s="29"/>
      <c r="B13" s="30" t="s">
        <v>53</v>
      </c>
      <c r="C13" s="89">
        <v>41428.5</v>
      </c>
      <c r="D13" s="52">
        <v>41747.5</v>
      </c>
      <c r="E13" s="90">
        <v>42068</v>
      </c>
      <c r="F13" s="91">
        <f t="shared" si="0"/>
        <v>41748</v>
      </c>
    </row>
    <row r="14" spans="1:6" x14ac:dyDescent="0.2">
      <c r="A14" s="29"/>
      <c r="B14" s="47" t="s">
        <v>54</v>
      </c>
      <c r="C14" s="86">
        <v>39499</v>
      </c>
      <c r="D14" s="48">
        <v>39938.5</v>
      </c>
      <c r="E14" s="87">
        <v>40101.5</v>
      </c>
      <c r="F14" s="88">
        <f t="shared" si="0"/>
        <v>39846.333333333336</v>
      </c>
    </row>
    <row r="15" spans="1:6" x14ac:dyDescent="0.2">
      <c r="A15" s="29"/>
      <c r="B15" s="30" t="s">
        <v>55</v>
      </c>
      <c r="C15" s="89">
        <v>115375</v>
      </c>
      <c r="D15" s="52">
        <v>117255</v>
      </c>
      <c r="E15" s="90">
        <v>118894.5</v>
      </c>
      <c r="F15" s="91">
        <f t="shared" si="0"/>
        <v>117174.83333333333</v>
      </c>
    </row>
    <row r="16" spans="1:6" x14ac:dyDescent="0.2">
      <c r="A16" s="29"/>
      <c r="B16" s="47" t="s">
        <v>56</v>
      </c>
      <c r="C16" s="86">
        <v>283754.5</v>
      </c>
      <c r="D16" s="48">
        <v>290483</v>
      </c>
      <c r="E16" s="87">
        <v>296788.5</v>
      </c>
      <c r="F16" s="88">
        <f t="shared" si="0"/>
        <v>290342</v>
      </c>
    </row>
    <row r="17" spans="1:6" x14ac:dyDescent="0.2">
      <c r="A17" s="29"/>
      <c r="B17" s="30" t="s">
        <v>57</v>
      </c>
      <c r="C17" s="89">
        <v>257767.5</v>
      </c>
      <c r="D17" s="52">
        <v>259892</v>
      </c>
      <c r="E17" s="90">
        <v>262253</v>
      </c>
      <c r="F17" s="91">
        <f t="shared" si="0"/>
        <v>259970.83333333334</v>
      </c>
    </row>
    <row r="18" spans="1:6" x14ac:dyDescent="0.2">
      <c r="A18" s="29"/>
      <c r="B18" s="47" t="s">
        <v>58</v>
      </c>
      <c r="C18" s="86">
        <v>188584</v>
      </c>
      <c r="D18" s="48">
        <v>190052.5</v>
      </c>
      <c r="E18" s="87">
        <v>191743</v>
      </c>
      <c r="F18" s="88">
        <f t="shared" si="0"/>
        <v>190126.5</v>
      </c>
    </row>
    <row r="19" spans="1:6" x14ac:dyDescent="0.2">
      <c r="A19" s="29"/>
      <c r="B19" s="30" t="s">
        <v>59</v>
      </c>
      <c r="C19" s="89">
        <v>276382</v>
      </c>
      <c r="D19" s="52">
        <v>277460.5</v>
      </c>
      <c r="E19" s="90">
        <v>278975</v>
      </c>
      <c r="F19" s="91">
        <f t="shared" si="0"/>
        <v>277605.83333333331</v>
      </c>
    </row>
    <row r="20" spans="1:6" x14ac:dyDescent="0.2">
      <c r="A20" s="29"/>
      <c r="B20" s="47" t="s">
        <v>60</v>
      </c>
      <c r="C20" s="86">
        <v>77520</v>
      </c>
      <c r="D20" s="48">
        <v>78343.5</v>
      </c>
      <c r="E20" s="87">
        <v>79103.5</v>
      </c>
      <c r="F20" s="88">
        <f t="shared" si="0"/>
        <v>78322.333333333328</v>
      </c>
    </row>
    <row r="21" spans="1:6" x14ac:dyDescent="0.2">
      <c r="A21" s="29"/>
      <c r="B21" s="30" t="s">
        <v>61</v>
      </c>
      <c r="C21" s="89">
        <v>53380</v>
      </c>
      <c r="D21" s="52">
        <v>53645</v>
      </c>
      <c r="E21" s="90">
        <v>53817</v>
      </c>
      <c r="F21" s="91">
        <f t="shared" si="0"/>
        <v>53614</v>
      </c>
    </row>
    <row r="22" spans="1:6" x14ac:dyDescent="0.2">
      <c r="A22" s="29"/>
      <c r="B22" s="47" t="s">
        <v>62</v>
      </c>
      <c r="C22" s="86">
        <v>15761.5</v>
      </c>
      <c r="D22" s="48">
        <v>15794</v>
      </c>
      <c r="E22" s="87">
        <v>15819</v>
      </c>
      <c r="F22" s="88">
        <f t="shared" si="0"/>
        <v>15791.5</v>
      </c>
    </row>
    <row r="23" spans="1:6" x14ac:dyDescent="0.2">
      <c r="A23" s="29"/>
      <c r="B23" s="30" t="s">
        <v>63</v>
      </c>
      <c r="C23" s="89">
        <v>483935</v>
      </c>
      <c r="D23" s="52">
        <v>488559.5</v>
      </c>
      <c r="E23" s="90">
        <v>492969.5</v>
      </c>
      <c r="F23" s="91">
        <f t="shared" si="0"/>
        <v>488488</v>
      </c>
    </row>
    <row r="24" spans="1:6" x14ac:dyDescent="0.2">
      <c r="A24" s="29"/>
      <c r="B24" s="47" t="s">
        <v>64</v>
      </c>
      <c r="C24" s="86">
        <v>201492.5</v>
      </c>
      <c r="D24" s="48">
        <v>201984</v>
      </c>
      <c r="E24" s="87">
        <v>202878.5</v>
      </c>
      <c r="F24" s="88">
        <f t="shared" si="0"/>
        <v>202118.33333333334</v>
      </c>
    </row>
    <row r="25" spans="1:6" x14ac:dyDescent="0.2">
      <c r="A25" s="29"/>
      <c r="B25" s="30" t="s">
        <v>65</v>
      </c>
      <c r="C25" s="89">
        <v>618855</v>
      </c>
      <c r="D25" s="52">
        <v>627494.5</v>
      </c>
      <c r="E25" s="90">
        <v>636446</v>
      </c>
      <c r="F25" s="91">
        <f t="shared" si="0"/>
        <v>627598.5</v>
      </c>
    </row>
    <row r="26" spans="1:6" x14ac:dyDescent="0.2">
      <c r="A26" s="29"/>
      <c r="B26" s="47" t="s">
        <v>66</v>
      </c>
      <c r="C26" s="86">
        <v>252430.5</v>
      </c>
      <c r="D26" s="48">
        <v>256484.5</v>
      </c>
      <c r="E26" s="87">
        <v>260649.5</v>
      </c>
      <c r="F26" s="88">
        <f t="shared" si="0"/>
        <v>256521.5</v>
      </c>
    </row>
    <row r="27" spans="1:6" x14ac:dyDescent="0.2">
      <c r="A27" s="29"/>
      <c r="B27" s="30" t="s">
        <v>67</v>
      </c>
      <c r="C27" s="89">
        <v>337639.5</v>
      </c>
      <c r="D27" s="52">
        <v>341615.5</v>
      </c>
      <c r="E27" s="90">
        <v>346461.5</v>
      </c>
      <c r="F27" s="91">
        <f t="shared" si="0"/>
        <v>341905.5</v>
      </c>
    </row>
    <row r="28" spans="1:6" x14ac:dyDescent="0.2">
      <c r="A28" s="29"/>
      <c r="B28" s="47" t="s">
        <v>68</v>
      </c>
      <c r="C28" s="86">
        <v>727685.5</v>
      </c>
      <c r="D28" s="48">
        <v>739347</v>
      </c>
      <c r="E28" s="87">
        <v>751352</v>
      </c>
      <c r="F28" s="88">
        <f t="shared" si="0"/>
        <v>739461.5</v>
      </c>
    </row>
    <row r="29" spans="1:6" x14ac:dyDescent="0.2">
      <c r="A29" s="29"/>
      <c r="B29" s="30" t="s">
        <v>69</v>
      </c>
      <c r="C29" s="89">
        <v>322611.5</v>
      </c>
      <c r="D29" s="52">
        <v>327370</v>
      </c>
      <c r="E29" s="90">
        <v>332794</v>
      </c>
      <c r="F29" s="91">
        <f t="shared" si="0"/>
        <v>327591.83333333331</v>
      </c>
    </row>
    <row r="30" spans="1:6" x14ac:dyDescent="0.2">
      <c r="A30" s="29"/>
      <c r="B30" s="47" t="s">
        <v>70</v>
      </c>
      <c r="C30" s="86">
        <v>173692</v>
      </c>
      <c r="D30" s="48">
        <v>175260</v>
      </c>
      <c r="E30" s="87">
        <v>176990</v>
      </c>
      <c r="F30" s="88">
        <f t="shared" si="0"/>
        <v>175314</v>
      </c>
    </row>
    <row r="31" spans="1:6" x14ac:dyDescent="0.2">
      <c r="A31" s="29"/>
      <c r="B31" s="30" t="s">
        <v>71</v>
      </c>
      <c r="C31" s="89">
        <v>462822.5</v>
      </c>
      <c r="D31" s="52">
        <v>465786</v>
      </c>
      <c r="E31" s="90">
        <v>469772</v>
      </c>
      <c r="F31" s="91">
        <f t="shared" si="0"/>
        <v>466126.83333333331</v>
      </c>
    </row>
    <row r="32" spans="1:6" x14ac:dyDescent="0.2">
      <c r="A32" s="29"/>
      <c r="B32" s="47" t="s">
        <v>72</v>
      </c>
      <c r="C32" s="86">
        <v>70595.5</v>
      </c>
      <c r="D32" s="48">
        <v>71156.5</v>
      </c>
      <c r="E32" s="87">
        <v>71739.5</v>
      </c>
      <c r="F32" s="88">
        <f t="shared" si="0"/>
        <v>71163.833333333328</v>
      </c>
    </row>
    <row r="33" spans="1:6" x14ac:dyDescent="0.2">
      <c r="A33" s="56"/>
      <c r="B33" s="57" t="s">
        <v>73</v>
      </c>
      <c r="C33" s="92">
        <f>SUM(C7:C32)</f>
        <v>7988180</v>
      </c>
      <c r="D33" s="58">
        <f>SUM(D7:D32)</f>
        <v>8079556</v>
      </c>
      <c r="E33" s="93">
        <f>SUM(E7:E32)</f>
        <v>8173024</v>
      </c>
      <c r="F33" s="94">
        <f>SUM(F7:F32)</f>
        <v>8080253.333333333</v>
      </c>
    </row>
    <row r="34" spans="1:6" x14ac:dyDescent="0.2">
      <c r="B34" s="95"/>
      <c r="C34" s="95"/>
      <c r="D34" s="95"/>
      <c r="E34" s="95"/>
      <c r="F34" s="95"/>
    </row>
  </sheetData>
  <mergeCells count="1">
    <mergeCell ref="C4:E4"/>
  </mergeCells>
  <conditionalFormatting sqref="C7:E32 C5:F5">
    <cfRule type="expression" dxfId="6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8" orientation="landscape" r:id="rId1"/>
  <headerFooter>
    <oddHeader>&amp;L&amp;F&amp;R&amp;A</oddHeader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35"/>
  <sheetViews>
    <sheetView showGridLines="0" workbookViewId="0">
      <selection activeCell="C7" sqref="C7"/>
    </sheetView>
  </sheetViews>
  <sheetFormatPr baseColWidth="10" defaultColWidth="11.42578125" defaultRowHeight="12.75" x14ac:dyDescent="0.2"/>
  <cols>
    <col min="1" max="1" width="1.42578125" style="1" customWidth="1"/>
    <col min="2" max="2" width="15.85546875" style="1" customWidth="1"/>
    <col min="3" max="3" width="12.42578125" style="1" customWidth="1"/>
    <col min="4" max="5" width="13.28515625" style="1" customWidth="1"/>
    <col min="6" max="6" width="13.7109375" style="1" customWidth="1"/>
    <col min="7" max="8" width="13.28515625" style="1" customWidth="1"/>
    <col min="9" max="9" width="14" style="1" customWidth="1"/>
  </cols>
  <sheetData>
    <row r="1" spans="1:9" ht="26.25" customHeight="1" x14ac:dyDescent="0.2">
      <c r="B1" s="302" t="str">
        <f>"Wachstumsraten der Ressourcenpotenziale "&amp;Info!C30</f>
        <v>Wachstumsraten der Ressourcenpotenziale 2017</v>
      </c>
      <c r="C1" s="302"/>
      <c r="D1" s="302"/>
      <c r="E1" s="302"/>
      <c r="F1" s="302"/>
      <c r="G1" s="302"/>
      <c r="H1" s="16"/>
    </row>
    <row r="2" spans="1:9" ht="18.75" customHeight="1" x14ac:dyDescent="0.2">
      <c r="I2" s="17" t="str">
        <f>Info!$C$28</f>
        <v>FA_2017_20160519</v>
      </c>
    </row>
    <row r="3" spans="1:9" x14ac:dyDescent="0.2">
      <c r="B3" s="62" t="s">
        <v>27</v>
      </c>
      <c r="C3" s="63" t="s">
        <v>28</v>
      </c>
      <c r="D3" s="63" t="s">
        <v>29</v>
      </c>
      <c r="E3" s="63" t="s">
        <v>30</v>
      </c>
      <c r="F3" s="63" t="s">
        <v>31</v>
      </c>
      <c r="G3" s="63" t="s">
        <v>32</v>
      </c>
      <c r="H3" s="63" t="s">
        <v>33</v>
      </c>
      <c r="I3" s="64" t="s">
        <v>34</v>
      </c>
    </row>
    <row r="4" spans="1:9" ht="27.75" customHeight="1" x14ac:dyDescent="0.2">
      <c r="A4" s="29"/>
      <c r="B4" s="42"/>
      <c r="C4" s="303" t="str">
        <f>"Ressourcen-index "&amp;Info!C30</f>
        <v>Ressourcen-index 2017</v>
      </c>
      <c r="D4" s="307" t="s">
        <v>76</v>
      </c>
      <c r="E4" s="308"/>
      <c r="F4" s="309"/>
      <c r="G4" s="305" t="s">
        <v>77</v>
      </c>
      <c r="H4" s="305"/>
      <c r="I4" s="306"/>
    </row>
    <row r="5" spans="1:9" ht="15.75" customHeight="1" x14ac:dyDescent="0.2">
      <c r="A5" s="29"/>
      <c r="B5" s="96"/>
      <c r="C5" s="304"/>
      <c r="D5" s="97">
        <f>Info!C30-1</f>
        <v>2016</v>
      </c>
      <c r="E5" s="98">
        <f>Info!C30</f>
        <v>2017</v>
      </c>
      <c r="F5" s="99" t="s">
        <v>78</v>
      </c>
      <c r="G5" s="98">
        <f>D5</f>
        <v>2016</v>
      </c>
      <c r="H5" s="98">
        <f>E5</f>
        <v>2017</v>
      </c>
      <c r="I5" s="100" t="s">
        <v>78</v>
      </c>
    </row>
    <row r="6" spans="1:9" s="77" customFormat="1" ht="14.45" customHeight="1" x14ac:dyDescent="0.2">
      <c r="A6" s="101"/>
      <c r="B6" s="39" t="s">
        <v>43</v>
      </c>
      <c r="C6" s="102" t="s">
        <v>79</v>
      </c>
      <c r="D6" s="103" t="s">
        <v>44</v>
      </c>
      <c r="E6" s="40" t="s">
        <v>44</v>
      </c>
      <c r="F6" s="104" t="s">
        <v>80</v>
      </c>
      <c r="G6" s="40" t="s">
        <v>44</v>
      </c>
      <c r="H6" s="40" t="s">
        <v>44</v>
      </c>
      <c r="I6" s="105" t="s">
        <v>80</v>
      </c>
    </row>
    <row r="7" spans="1:9" x14ac:dyDescent="0.2">
      <c r="A7" s="106"/>
      <c r="B7" s="42" t="s">
        <v>47</v>
      </c>
      <c r="C7" s="107">
        <f>RP!I7</f>
        <v>120.42753074221453</v>
      </c>
      <c r="D7" s="108">
        <v>53992909.4079744</v>
      </c>
      <c r="E7" s="109">
        <f>RP!F7</f>
        <v>55018610.056365304</v>
      </c>
      <c r="F7" s="110">
        <f t="shared" ref="F7:F33" si="0">E7/D7-1</f>
        <v>1.8996950889248021E-2</v>
      </c>
      <c r="G7" s="45">
        <f t="shared" ref="G7:G32" si="1">IF($C7&gt;100,D7,"")</f>
        <v>53992909.4079744</v>
      </c>
      <c r="H7" s="45">
        <f t="shared" ref="H7:H32" si="2">IF($C7&gt;100,E7,"")</f>
        <v>55018610.056365304</v>
      </c>
      <c r="I7" s="111">
        <f t="shared" ref="I7:I32" si="3">IF(C7&gt;=100,H7/G7-1,"")</f>
        <v>1.8996950889248021E-2</v>
      </c>
    </row>
    <row r="8" spans="1:9" x14ac:dyDescent="0.2">
      <c r="A8" s="106"/>
      <c r="B8" s="112" t="s">
        <v>48</v>
      </c>
      <c r="C8" s="113">
        <f>RP!I8</f>
        <v>74.337755857493747</v>
      </c>
      <c r="D8" s="114">
        <v>23530125.454438299</v>
      </c>
      <c r="E8" s="115">
        <f>RP!F8</f>
        <v>23974937.395901967</v>
      </c>
      <c r="F8" s="116">
        <f t="shared" si="0"/>
        <v>1.8903934121599297E-2</v>
      </c>
      <c r="G8" s="50" t="str">
        <f t="shared" si="1"/>
        <v/>
      </c>
      <c r="H8" s="50" t="str">
        <f t="shared" si="2"/>
        <v/>
      </c>
      <c r="I8" s="117" t="str">
        <f t="shared" si="3"/>
        <v/>
      </c>
    </row>
    <row r="9" spans="1:9" x14ac:dyDescent="0.2">
      <c r="A9" s="106"/>
      <c r="B9" s="118" t="s">
        <v>49</v>
      </c>
      <c r="C9" s="119">
        <f>RP!I9</f>
        <v>86.879410655457036</v>
      </c>
      <c r="D9" s="120">
        <v>10201664.4400736</v>
      </c>
      <c r="E9" s="121">
        <f>RP!F9</f>
        <v>10868135.923478527</v>
      </c>
      <c r="F9" s="122">
        <f t="shared" si="0"/>
        <v>6.5329680986852656E-2</v>
      </c>
      <c r="G9" s="54" t="str">
        <f t="shared" si="1"/>
        <v/>
      </c>
      <c r="H9" s="54" t="str">
        <f t="shared" si="2"/>
        <v/>
      </c>
      <c r="I9" s="123" t="str">
        <f t="shared" si="3"/>
        <v/>
      </c>
    </row>
    <row r="10" spans="1:9" x14ac:dyDescent="0.2">
      <c r="A10" s="106"/>
      <c r="B10" s="112" t="s">
        <v>50</v>
      </c>
      <c r="C10" s="113">
        <f>RP!I10</f>
        <v>66.214583542761602</v>
      </c>
      <c r="D10" s="114">
        <v>729538.29913865903</v>
      </c>
      <c r="E10" s="115">
        <f>RP!F10</f>
        <v>770707.79861647461</v>
      </c>
      <c r="F10" s="116">
        <f t="shared" si="0"/>
        <v>5.6432266169470502E-2</v>
      </c>
      <c r="G10" s="50" t="str">
        <f t="shared" si="1"/>
        <v/>
      </c>
      <c r="H10" s="50" t="str">
        <f t="shared" si="2"/>
        <v/>
      </c>
      <c r="I10" s="117" t="str">
        <f t="shared" si="3"/>
        <v/>
      </c>
    </row>
    <row r="11" spans="1:9" x14ac:dyDescent="0.2">
      <c r="A11" s="106"/>
      <c r="B11" s="118" t="s">
        <v>51</v>
      </c>
      <c r="C11" s="119">
        <f>RP!I11</f>
        <v>170.29650912852486</v>
      </c>
      <c r="D11" s="120">
        <v>8092993.7434376804</v>
      </c>
      <c r="E11" s="121">
        <f>RP!F11</f>
        <v>8278397.211566451</v>
      </c>
      <c r="F11" s="122">
        <f t="shared" si="0"/>
        <v>2.2909132764263873E-2</v>
      </c>
      <c r="G11" s="54">
        <f t="shared" si="1"/>
        <v>8092993.7434376804</v>
      </c>
      <c r="H11" s="54">
        <f t="shared" si="2"/>
        <v>8278397.211566451</v>
      </c>
      <c r="I11" s="123">
        <f t="shared" si="3"/>
        <v>2.2909132764263873E-2</v>
      </c>
    </row>
    <row r="12" spans="1:9" x14ac:dyDescent="0.2">
      <c r="A12" s="106"/>
      <c r="B12" s="112" t="s">
        <v>52</v>
      </c>
      <c r="C12" s="113">
        <f>RP!I12</f>
        <v>99.11613038020154</v>
      </c>
      <c r="D12" s="114">
        <v>1056016.61573721</v>
      </c>
      <c r="E12" s="115">
        <f>RP!F12</f>
        <v>1167963.4101261233</v>
      </c>
      <c r="F12" s="116">
        <f t="shared" si="0"/>
        <v>0.10600855395704434</v>
      </c>
      <c r="G12" s="50" t="str">
        <f t="shared" si="1"/>
        <v/>
      </c>
      <c r="H12" s="50" t="str">
        <f t="shared" si="2"/>
        <v/>
      </c>
      <c r="I12" s="117" t="str">
        <f t="shared" si="3"/>
        <v/>
      </c>
    </row>
    <row r="13" spans="1:9" x14ac:dyDescent="0.2">
      <c r="A13" s="106"/>
      <c r="B13" s="118" t="s">
        <v>53</v>
      </c>
      <c r="C13" s="119">
        <f>RP!I13</f>
        <v>151.51789107669262</v>
      </c>
      <c r="D13" s="120">
        <v>1897362.9771626</v>
      </c>
      <c r="E13" s="121">
        <f>RP!F13</f>
        <v>2045737.1144350534</v>
      </c>
      <c r="F13" s="122">
        <f t="shared" si="0"/>
        <v>7.8200185762208996E-2</v>
      </c>
      <c r="G13" s="54">
        <f t="shared" si="1"/>
        <v>1897362.9771626</v>
      </c>
      <c r="H13" s="54">
        <f t="shared" si="2"/>
        <v>2045737.1144350534</v>
      </c>
      <c r="I13" s="123">
        <f t="shared" si="3"/>
        <v>7.8200185762208996E-2</v>
      </c>
    </row>
    <row r="14" spans="1:9" x14ac:dyDescent="0.2">
      <c r="A14" s="106"/>
      <c r="B14" s="112" t="s">
        <v>54</v>
      </c>
      <c r="C14" s="113">
        <f>RP!I14</f>
        <v>70.788738948919928</v>
      </c>
      <c r="D14" s="114">
        <v>887546.64727022697</v>
      </c>
      <c r="E14" s="115">
        <f>RP!F14</f>
        <v>912226.68452787714</v>
      </c>
      <c r="F14" s="116">
        <f t="shared" si="0"/>
        <v>2.7807031138652905E-2</v>
      </c>
      <c r="G14" s="50" t="str">
        <f t="shared" si="1"/>
        <v/>
      </c>
      <c r="H14" s="50" t="str">
        <f t="shared" si="2"/>
        <v/>
      </c>
      <c r="I14" s="117" t="str">
        <f t="shared" si="3"/>
        <v/>
      </c>
    </row>
    <row r="15" spans="1:9" x14ac:dyDescent="0.2">
      <c r="A15" s="106"/>
      <c r="B15" s="118" t="s">
        <v>55</v>
      </c>
      <c r="C15" s="119">
        <f>RP!I15</f>
        <v>264.11698353052998</v>
      </c>
      <c r="D15" s="120">
        <v>9698885.0279658008</v>
      </c>
      <c r="E15" s="121">
        <f>RP!F15</f>
        <v>10008774.524633871</v>
      </c>
      <c r="F15" s="122">
        <f t="shared" si="0"/>
        <v>3.1951043421438063E-2</v>
      </c>
      <c r="G15" s="54">
        <f t="shared" si="1"/>
        <v>9698885.0279658008</v>
      </c>
      <c r="H15" s="54">
        <f t="shared" si="2"/>
        <v>10008774.524633871</v>
      </c>
      <c r="I15" s="123">
        <f t="shared" si="3"/>
        <v>3.1951043421438063E-2</v>
      </c>
    </row>
    <row r="16" spans="1:9" x14ac:dyDescent="0.2">
      <c r="A16" s="106"/>
      <c r="B16" s="112" t="s">
        <v>56</v>
      </c>
      <c r="C16" s="113">
        <f>RP!I16</f>
        <v>78.504949514077893</v>
      </c>
      <c r="D16" s="114">
        <v>6981678.7339202799</v>
      </c>
      <c r="E16" s="115">
        <f>RP!F16</f>
        <v>7371521.4803493628</v>
      </c>
      <c r="F16" s="116">
        <f t="shared" si="0"/>
        <v>5.5837966954142892E-2</v>
      </c>
      <c r="G16" s="50" t="str">
        <f t="shared" si="1"/>
        <v/>
      </c>
      <c r="H16" s="50" t="str">
        <f t="shared" si="2"/>
        <v/>
      </c>
      <c r="I16" s="117" t="str">
        <f t="shared" si="3"/>
        <v/>
      </c>
    </row>
    <row r="17" spans="1:9" x14ac:dyDescent="0.2">
      <c r="A17" s="106"/>
      <c r="B17" s="118" t="s">
        <v>57</v>
      </c>
      <c r="C17" s="119">
        <f>RP!I17</f>
        <v>74.818028423563874</v>
      </c>
      <c r="D17" s="120">
        <v>6334908.6614436004</v>
      </c>
      <c r="E17" s="121">
        <f>RP!F17</f>
        <v>6290441.3660635836</v>
      </c>
      <c r="F17" s="122">
        <f t="shared" si="0"/>
        <v>-7.0194059230340722E-3</v>
      </c>
      <c r="G17" s="54" t="str">
        <f t="shared" si="1"/>
        <v/>
      </c>
      <c r="H17" s="54" t="str">
        <f t="shared" si="2"/>
        <v/>
      </c>
      <c r="I17" s="123" t="str">
        <f t="shared" si="3"/>
        <v/>
      </c>
    </row>
    <row r="18" spans="1:9" x14ac:dyDescent="0.2">
      <c r="A18" s="106"/>
      <c r="B18" s="112" t="s">
        <v>58</v>
      </c>
      <c r="C18" s="113">
        <f>RP!I18</f>
        <v>146.47753383233874</v>
      </c>
      <c r="D18" s="114">
        <v>8772736.2116235401</v>
      </c>
      <c r="E18" s="115">
        <f>RP!F18</f>
        <v>9006662.8397653066</v>
      </c>
      <c r="F18" s="116">
        <f t="shared" si="0"/>
        <v>2.6665184327761215E-2</v>
      </c>
      <c r="G18" s="50">
        <f t="shared" si="1"/>
        <v>8772736.2116235401</v>
      </c>
      <c r="H18" s="50">
        <f t="shared" si="2"/>
        <v>9006662.8397653066</v>
      </c>
      <c r="I18" s="117">
        <f t="shared" si="3"/>
        <v>2.6665184327761215E-2</v>
      </c>
    </row>
    <row r="19" spans="1:9" x14ac:dyDescent="0.2">
      <c r="A19" s="106"/>
      <c r="B19" s="118" t="s">
        <v>59</v>
      </c>
      <c r="C19" s="119">
        <f>RP!I19</f>
        <v>96.227026733001765</v>
      </c>
      <c r="D19" s="120">
        <v>8620826.4930923004</v>
      </c>
      <c r="E19" s="121">
        <f>RP!F19</f>
        <v>8639246.9296839312</v>
      </c>
      <c r="F19" s="122">
        <f t="shared" si="0"/>
        <v>2.1367367277824734E-3</v>
      </c>
      <c r="G19" s="54" t="str">
        <f t="shared" si="1"/>
        <v/>
      </c>
      <c r="H19" s="54" t="str">
        <f t="shared" si="2"/>
        <v/>
      </c>
      <c r="I19" s="123" t="str">
        <f t="shared" si="3"/>
        <v/>
      </c>
    </row>
    <row r="20" spans="1:9" x14ac:dyDescent="0.2">
      <c r="A20" s="106"/>
      <c r="B20" s="112" t="s">
        <v>60</v>
      </c>
      <c r="C20" s="113">
        <f>RP!I20</f>
        <v>95.416203033487506</v>
      </c>
      <c r="D20" s="114">
        <v>2436671.0895066601</v>
      </c>
      <c r="E20" s="115">
        <f>RP!F20</f>
        <v>2416896.0962942564</v>
      </c>
      <c r="F20" s="116">
        <f t="shared" si="0"/>
        <v>-8.1155775588930279E-3</v>
      </c>
      <c r="G20" s="50" t="str">
        <f t="shared" si="1"/>
        <v/>
      </c>
      <c r="H20" s="50" t="str">
        <f t="shared" si="2"/>
        <v/>
      </c>
      <c r="I20" s="117" t="str">
        <f t="shared" si="3"/>
        <v/>
      </c>
    </row>
    <row r="21" spans="1:9" x14ac:dyDescent="0.2">
      <c r="A21" s="106"/>
      <c r="B21" s="118" t="s">
        <v>61</v>
      </c>
      <c r="C21" s="119">
        <f>RP!I21</f>
        <v>84.747837782088681</v>
      </c>
      <c r="D21" s="120">
        <v>1457169.07719525</v>
      </c>
      <c r="E21" s="121">
        <f>RP!F21</f>
        <v>1469457.6334848467</v>
      </c>
      <c r="F21" s="122">
        <f t="shared" si="0"/>
        <v>8.4331711960630162E-3</v>
      </c>
      <c r="G21" s="54" t="str">
        <f t="shared" si="1"/>
        <v/>
      </c>
      <c r="H21" s="54" t="str">
        <f t="shared" si="2"/>
        <v/>
      </c>
      <c r="I21" s="123" t="str">
        <f t="shared" si="3"/>
        <v/>
      </c>
    </row>
    <row r="22" spans="1:9" x14ac:dyDescent="0.2">
      <c r="A22" s="106"/>
      <c r="B22" s="112" t="s">
        <v>62</v>
      </c>
      <c r="C22" s="113">
        <f>RP!I22</f>
        <v>85.099463309211387</v>
      </c>
      <c r="D22" s="114">
        <v>427586.80827540701</v>
      </c>
      <c r="E22" s="115">
        <f>RP!F22</f>
        <v>434610.72413681232</v>
      </c>
      <c r="F22" s="116">
        <f t="shared" si="0"/>
        <v>1.6426876894857889E-2</v>
      </c>
      <c r="G22" s="50" t="str">
        <f t="shared" si="1"/>
        <v/>
      </c>
      <c r="H22" s="50" t="str">
        <f t="shared" si="2"/>
        <v/>
      </c>
      <c r="I22" s="117" t="str">
        <f t="shared" si="3"/>
        <v/>
      </c>
    </row>
    <row r="23" spans="1:9" x14ac:dyDescent="0.2">
      <c r="A23" s="106"/>
      <c r="B23" s="118" t="s">
        <v>63</v>
      </c>
      <c r="C23" s="119">
        <f>RP!I23</f>
        <v>79.368268040057799</v>
      </c>
      <c r="D23" s="120">
        <v>12343712.2069222</v>
      </c>
      <c r="E23" s="121">
        <f>RP!F23</f>
        <v>12538657.380966166</v>
      </c>
      <c r="F23" s="122">
        <f t="shared" si="0"/>
        <v>1.5793075111929733E-2</v>
      </c>
      <c r="G23" s="54" t="str">
        <f t="shared" si="1"/>
        <v/>
      </c>
      <c r="H23" s="54" t="str">
        <f t="shared" si="2"/>
        <v/>
      </c>
      <c r="I23" s="123" t="str">
        <f t="shared" si="3"/>
        <v/>
      </c>
    </row>
    <row r="24" spans="1:9" x14ac:dyDescent="0.2">
      <c r="A24" s="106"/>
      <c r="B24" s="112" t="s">
        <v>64</v>
      </c>
      <c r="C24" s="113">
        <f>RP!I24</f>
        <v>82.533272328543603</v>
      </c>
      <c r="D24" s="114">
        <v>5311135.9814106803</v>
      </c>
      <c r="E24" s="115">
        <f>RP!F24</f>
        <v>5394919.9582013972</v>
      </c>
      <c r="F24" s="116">
        <f t="shared" si="0"/>
        <v>1.5775151885390581E-2</v>
      </c>
      <c r="G24" s="50" t="str">
        <f t="shared" si="1"/>
        <v/>
      </c>
      <c r="H24" s="50" t="str">
        <f t="shared" si="2"/>
        <v/>
      </c>
      <c r="I24" s="117" t="str">
        <f t="shared" si="3"/>
        <v/>
      </c>
    </row>
    <row r="25" spans="1:9" x14ac:dyDescent="0.2">
      <c r="A25" s="106"/>
      <c r="B25" s="118" t="s">
        <v>65</v>
      </c>
      <c r="C25" s="119">
        <f>RP!I25</f>
        <v>87.001994773027121</v>
      </c>
      <c r="D25" s="120">
        <v>17347367.654709</v>
      </c>
      <c r="E25" s="121">
        <f>RP!F25</f>
        <v>17658806.176595431</v>
      </c>
      <c r="F25" s="122">
        <f t="shared" si="0"/>
        <v>1.7953070926117753E-2</v>
      </c>
      <c r="G25" s="54" t="str">
        <f t="shared" si="1"/>
        <v/>
      </c>
      <c r="H25" s="54" t="str">
        <f t="shared" si="2"/>
        <v/>
      </c>
      <c r="I25" s="123" t="str">
        <f t="shared" si="3"/>
        <v/>
      </c>
    </row>
    <row r="26" spans="1:9" x14ac:dyDescent="0.2">
      <c r="A26" s="106"/>
      <c r="B26" s="112" t="s">
        <v>66</v>
      </c>
      <c r="C26" s="113">
        <f>RP!I26</f>
        <v>79.183489406954195</v>
      </c>
      <c r="D26" s="114">
        <v>6346928.2530827401</v>
      </c>
      <c r="E26" s="115">
        <f>RP!F26</f>
        <v>6569141.8440447869</v>
      </c>
      <c r="F26" s="116">
        <f t="shared" si="0"/>
        <v>3.5011202600898628E-2</v>
      </c>
      <c r="G26" s="50" t="str">
        <f t="shared" si="1"/>
        <v/>
      </c>
      <c r="H26" s="50" t="str">
        <f t="shared" si="2"/>
        <v/>
      </c>
      <c r="I26" s="117" t="str">
        <f t="shared" si="3"/>
        <v/>
      </c>
    </row>
    <row r="27" spans="1:9" x14ac:dyDescent="0.2">
      <c r="A27" s="106"/>
      <c r="B27" s="118" t="s">
        <v>67</v>
      </c>
      <c r="C27" s="119">
        <f>RP!I27</f>
        <v>96.56980935457004</v>
      </c>
      <c r="D27" s="120">
        <v>10441094.0840459</v>
      </c>
      <c r="E27" s="121">
        <f>RP!F27</f>
        <v>10678191.219887467</v>
      </c>
      <c r="F27" s="122">
        <f t="shared" si="0"/>
        <v>2.2708073879331714E-2</v>
      </c>
      <c r="G27" s="54" t="str">
        <f t="shared" si="1"/>
        <v/>
      </c>
      <c r="H27" s="54" t="str">
        <f t="shared" si="2"/>
        <v/>
      </c>
      <c r="I27" s="123" t="str">
        <f t="shared" si="3"/>
        <v/>
      </c>
    </row>
    <row r="28" spans="1:9" x14ac:dyDescent="0.2">
      <c r="A28" s="106"/>
      <c r="B28" s="112" t="s">
        <v>68</v>
      </c>
      <c r="C28" s="113">
        <f>RP!I28</f>
        <v>101.3868786385592</v>
      </c>
      <c r="D28" s="114">
        <v>24234014.344671302</v>
      </c>
      <c r="E28" s="115">
        <f>RP!F28</f>
        <v>24246416.038739871</v>
      </c>
      <c r="F28" s="116">
        <f t="shared" si="0"/>
        <v>5.117474097433572E-4</v>
      </c>
      <c r="G28" s="50">
        <f t="shared" si="1"/>
        <v>24234014.344671302</v>
      </c>
      <c r="H28" s="50">
        <f t="shared" si="2"/>
        <v>24246416.038739871</v>
      </c>
      <c r="I28" s="117">
        <f t="shared" si="3"/>
        <v>5.117474097433572E-4</v>
      </c>
    </row>
    <row r="29" spans="1:9" x14ac:dyDescent="0.2">
      <c r="A29" s="106"/>
      <c r="B29" s="118" t="s">
        <v>69</v>
      </c>
      <c r="C29" s="119">
        <f>RP!I29</f>
        <v>66.924123530778061</v>
      </c>
      <c r="D29" s="120">
        <v>6949209.52373897</v>
      </c>
      <c r="E29" s="121">
        <f>RP!F29</f>
        <v>7090322.5331035964</v>
      </c>
      <c r="F29" s="122">
        <f t="shared" si="0"/>
        <v>2.0306339718578759E-2</v>
      </c>
      <c r="G29" s="54" t="str">
        <f t="shared" si="1"/>
        <v/>
      </c>
      <c r="H29" s="54" t="str">
        <f t="shared" si="2"/>
        <v/>
      </c>
      <c r="I29" s="123" t="str">
        <f t="shared" si="3"/>
        <v/>
      </c>
    </row>
    <row r="30" spans="1:9" x14ac:dyDescent="0.2">
      <c r="A30" s="106"/>
      <c r="B30" s="112" t="s">
        <v>70</v>
      </c>
      <c r="C30" s="113">
        <f>RP!I30</f>
        <v>96.987092772431112</v>
      </c>
      <c r="D30" s="114">
        <v>5041486.5377836498</v>
      </c>
      <c r="E30" s="115">
        <f>RP!F30</f>
        <v>5498962.6872549364</v>
      </c>
      <c r="F30" s="116">
        <f t="shared" si="0"/>
        <v>9.0742313014764875E-2</v>
      </c>
      <c r="G30" s="50" t="str">
        <f t="shared" si="1"/>
        <v/>
      </c>
      <c r="H30" s="50" t="str">
        <f t="shared" si="2"/>
        <v/>
      </c>
      <c r="I30" s="117" t="str">
        <f t="shared" si="3"/>
        <v/>
      </c>
    </row>
    <row r="31" spans="1:9" x14ac:dyDescent="0.2">
      <c r="A31" s="106"/>
      <c r="B31" s="118" t="s">
        <v>71</v>
      </c>
      <c r="C31" s="119">
        <f>RP!I31</f>
        <v>142.44036350907274</v>
      </c>
      <c r="D31" s="120">
        <v>21249749.6455492</v>
      </c>
      <c r="E31" s="121">
        <f>RP!F31</f>
        <v>21472737.277738102</v>
      </c>
      <c r="F31" s="122">
        <f t="shared" si="0"/>
        <v>1.0493659262268418E-2</v>
      </c>
      <c r="G31" s="54">
        <f t="shared" si="1"/>
        <v>21249749.6455492</v>
      </c>
      <c r="H31" s="54">
        <f t="shared" si="2"/>
        <v>21472737.277738102</v>
      </c>
      <c r="I31" s="123">
        <f t="shared" si="3"/>
        <v>1.0493659262268418E-2</v>
      </c>
    </row>
    <row r="32" spans="1:9" x14ac:dyDescent="0.2">
      <c r="A32" s="124"/>
      <c r="B32" s="125" t="s">
        <v>72</v>
      </c>
      <c r="C32" s="126">
        <f>RP!I32</f>
        <v>65.134176149224544</v>
      </c>
      <c r="D32" s="127">
        <v>1439635.9762016099</v>
      </c>
      <c r="E32" s="128">
        <f>RP!F32</f>
        <v>1499058.1878252367</v>
      </c>
      <c r="F32" s="129">
        <f t="shared" si="0"/>
        <v>4.1275859040705853E-2</v>
      </c>
      <c r="G32" s="130" t="str">
        <f t="shared" si="1"/>
        <v/>
      </c>
      <c r="H32" s="130" t="str">
        <f t="shared" si="2"/>
        <v/>
      </c>
      <c r="I32" s="131" t="str">
        <f t="shared" si="3"/>
        <v/>
      </c>
    </row>
    <row r="33" spans="1:9" x14ac:dyDescent="0.2">
      <c r="B33" s="57" t="s">
        <v>73</v>
      </c>
      <c r="C33" s="132">
        <f>RP!I33</f>
        <v>100</v>
      </c>
      <c r="D33" s="133">
        <f>SUM(D7:D32)</f>
        <v>255822953.89637083</v>
      </c>
      <c r="E33" s="134">
        <f>SUM(E7:E32)</f>
        <v>261321540.49378663</v>
      </c>
      <c r="F33" s="135">
        <f t="shared" si="0"/>
        <v>2.1493718658424976E-2</v>
      </c>
      <c r="G33" s="58">
        <f>SUM(G7:G32)</f>
        <v>127938651.35838452</v>
      </c>
      <c r="H33" s="58">
        <f>SUM(H7:H32)</f>
        <v>130077335.06324396</v>
      </c>
      <c r="I33" s="136">
        <f>IF(H33&gt;0,H33/G33-1,0)</f>
        <v>1.6716478422681647E-2</v>
      </c>
    </row>
    <row r="34" spans="1:9" x14ac:dyDescent="0.2">
      <c r="A34" s="137"/>
      <c r="B34" s="29"/>
      <c r="C34" s="29"/>
      <c r="D34" s="29"/>
    </row>
    <row r="35" spans="1:9" x14ac:dyDescent="0.2">
      <c r="B35" s="29"/>
      <c r="C35" s="29"/>
      <c r="D35" s="29"/>
    </row>
  </sheetData>
  <mergeCells count="4">
    <mergeCell ref="B1:G1"/>
    <mergeCell ref="C4:C5"/>
    <mergeCell ref="G4:I4"/>
    <mergeCell ref="D4:F4"/>
  </mergeCells>
  <conditionalFormatting sqref="G5:H5 D5:E5 C33 D7:E33">
    <cfRule type="expression" dxfId="5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2"/>
  <sheetViews>
    <sheetView showGridLines="0" workbookViewId="0">
      <selection activeCell="A27" sqref="A27:XFD27"/>
    </sheetView>
  </sheetViews>
  <sheetFormatPr baseColWidth="10" defaultColWidth="11.42578125" defaultRowHeight="12.75" x14ac:dyDescent="0.2"/>
  <cols>
    <col min="1" max="1" width="1.7109375" style="1" customWidth="1"/>
    <col min="2" max="2" width="32" style="1" customWidth="1"/>
    <col min="3" max="3" width="15.85546875" style="1" customWidth="1"/>
    <col min="4" max="4" width="19" style="1" customWidth="1"/>
    <col min="5" max="5" width="17.140625" style="1" customWidth="1"/>
    <col min="6" max="6" width="14.5703125" style="1" customWidth="1"/>
    <col min="7" max="7" width="16.28515625" style="1" customWidth="1"/>
    <col min="8" max="8" width="6.140625" style="1" customWidth="1"/>
  </cols>
  <sheetData>
    <row r="1" spans="2:8" ht="18" customHeight="1" x14ac:dyDescent="0.25">
      <c r="B1" s="138" t="str">
        <f>"Fortschreibung der Dotationen im Ressourcenausgleich "&amp;G4</f>
        <v>Fortschreibung der Dotationen im Ressourcenausgleich 2017</v>
      </c>
    </row>
    <row r="2" spans="2:8" x14ac:dyDescent="0.2">
      <c r="B2" s="139" t="s">
        <v>81</v>
      </c>
      <c r="H2" s="29"/>
    </row>
    <row r="3" spans="2:8" x14ac:dyDescent="0.2">
      <c r="G3" s="17" t="str">
        <f>Info!C28</f>
        <v>FA_2017_20160519</v>
      </c>
      <c r="H3" s="29"/>
    </row>
    <row r="4" spans="2:8" ht="24.75" customHeight="1" x14ac:dyDescent="0.2">
      <c r="B4" s="140" t="s">
        <v>82</v>
      </c>
      <c r="C4" s="141">
        <f>G4-1</f>
        <v>2016</v>
      </c>
      <c r="D4" s="142" t="s">
        <v>83</v>
      </c>
      <c r="E4" s="143" t="s">
        <v>84</v>
      </c>
      <c r="F4" s="143" t="s">
        <v>85</v>
      </c>
      <c r="G4" s="144">
        <f>Info!C30</f>
        <v>2017</v>
      </c>
      <c r="H4" s="29"/>
    </row>
    <row r="5" spans="2:8" x14ac:dyDescent="0.2">
      <c r="B5" s="42" t="s">
        <v>86</v>
      </c>
      <c r="C5" s="43">
        <v>2300682536.4223399</v>
      </c>
      <c r="D5" s="145">
        <f>Wachstum_RP!F33</f>
        <v>2.1493718658424976E-2</v>
      </c>
      <c r="E5" s="45">
        <f>C5*(1+D5)</f>
        <v>2350132759.5825534</v>
      </c>
      <c r="F5" s="43">
        <v>0</v>
      </c>
      <c r="G5" s="146">
        <f>E5+F5</f>
        <v>2350132759.5825534</v>
      </c>
      <c r="H5" s="29"/>
    </row>
    <row r="6" spans="2:8" x14ac:dyDescent="0.2">
      <c r="B6" s="96" t="s">
        <v>87</v>
      </c>
      <c r="C6" s="147">
        <v>1572308112.29373</v>
      </c>
      <c r="D6" s="148">
        <f>Wachstum_RP!I33</f>
        <v>1.6716478422681647E-2</v>
      </c>
      <c r="E6" s="149">
        <f>C6*(1+D6)</f>
        <v>1598591566.9266956</v>
      </c>
      <c r="F6" s="147">
        <v>0</v>
      </c>
      <c r="G6" s="150">
        <f>E6+F6</f>
        <v>1598591566.9266956</v>
      </c>
      <c r="H6" s="29"/>
    </row>
    <row r="7" spans="2:8" x14ac:dyDescent="0.2">
      <c r="B7" s="95"/>
      <c r="C7" s="29"/>
      <c r="D7" s="29"/>
      <c r="H7" s="29"/>
    </row>
    <row r="10" spans="2:8" x14ac:dyDescent="0.2">
      <c r="E10" s="151"/>
    </row>
    <row r="11" spans="2:8" x14ac:dyDescent="0.2">
      <c r="B11" s="139"/>
      <c r="C11" s="152"/>
      <c r="D11" s="152"/>
      <c r="E11" s="151"/>
      <c r="F11" s="153"/>
      <c r="G11" s="153"/>
    </row>
    <row r="12" spans="2:8" x14ac:dyDescent="0.2">
      <c r="B12" s="140" t="s">
        <v>88</v>
      </c>
      <c r="C12" s="154">
        <f>C4</f>
        <v>2016</v>
      </c>
      <c r="D12" s="155">
        <f>G4</f>
        <v>2017</v>
      </c>
      <c r="E12" s="151"/>
      <c r="F12" s="153"/>
      <c r="G12" s="153"/>
    </row>
    <row r="13" spans="2:8" x14ac:dyDescent="0.2">
      <c r="B13" s="118" t="s">
        <v>89</v>
      </c>
      <c r="C13" s="54">
        <f>0.8*C$5</f>
        <v>1840546029.137872</v>
      </c>
      <c r="D13" s="91">
        <f>0.8*G5</f>
        <v>1880106207.6660428</v>
      </c>
      <c r="E13" s="151"/>
      <c r="F13" s="153"/>
      <c r="G13" s="153"/>
    </row>
    <row r="14" spans="2:8" x14ac:dyDescent="0.2">
      <c r="B14" s="156" t="s">
        <v>90</v>
      </c>
      <c r="C14" s="157">
        <f>C6/C5</f>
        <v>0.68340941759776064</v>
      </c>
      <c r="D14" s="158">
        <f>G6/G5</f>
        <v>0.68021330301810201</v>
      </c>
    </row>
    <row r="15" spans="2:8" x14ac:dyDescent="0.2">
      <c r="B15" s="96" t="s">
        <v>91</v>
      </c>
      <c r="C15" s="149">
        <f>(2/3)*C$5</f>
        <v>1533788357.6148932</v>
      </c>
      <c r="D15" s="159">
        <f>(2/3)*G5</f>
        <v>1566755173.0550356</v>
      </c>
    </row>
    <row r="16" spans="2:8" x14ac:dyDescent="0.2">
      <c r="B16" s="160" t="s">
        <v>92</v>
      </c>
    </row>
    <row r="17" spans="2:4" x14ac:dyDescent="0.2">
      <c r="B17" s="161" t="s">
        <v>93</v>
      </c>
    </row>
    <row r="22" spans="2:4" x14ac:dyDescent="0.2">
      <c r="B22" s="139"/>
    </row>
    <row r="23" spans="2:4" ht="15.75" customHeight="1" x14ac:dyDescent="0.25">
      <c r="B23" s="162" t="str">
        <f>"Dotationen "&amp;G4</f>
        <v>Dotationen 2017</v>
      </c>
      <c r="C23" s="163"/>
      <c r="D23" s="164"/>
    </row>
    <row r="24" spans="2:4" ht="15.75" customHeight="1" x14ac:dyDescent="0.25">
      <c r="B24" s="165" t="s">
        <v>86</v>
      </c>
      <c r="C24" s="166"/>
      <c r="D24" s="167">
        <f>G5</f>
        <v>2350132759.5825534</v>
      </c>
    </row>
    <row r="25" spans="2:4" ht="15.75" customHeight="1" x14ac:dyDescent="0.25">
      <c r="B25" s="165" t="s">
        <v>87</v>
      </c>
      <c r="C25" s="166"/>
      <c r="D25" s="167">
        <f>IF(G6&gt;D13,D13,IF(G6&lt;D15,D15,G6))</f>
        <v>1598591566.9266956</v>
      </c>
    </row>
    <row r="26" spans="2:4" ht="20.25" customHeight="1" x14ac:dyDescent="0.25">
      <c r="B26" s="168" t="s">
        <v>94</v>
      </c>
      <c r="C26" s="169"/>
      <c r="D26" s="170">
        <f>D24+D25</f>
        <v>3948724326.5092487</v>
      </c>
    </row>
    <row r="27" spans="2:4" ht="25.5" customHeight="1" x14ac:dyDescent="0.2"/>
    <row r="28" spans="2:4" x14ac:dyDescent="0.2">
      <c r="B28" s="310" t="str">
        <f>"Effektive Wachstumsraten* "&amp;C4&amp;"-"&amp;G4</f>
        <v>Effektive Wachstumsraten* 2016-2017</v>
      </c>
      <c r="C28" s="311"/>
    </row>
    <row r="29" spans="2:4" x14ac:dyDescent="0.2">
      <c r="B29" s="171" t="s">
        <v>86</v>
      </c>
      <c r="C29" s="111">
        <f>D24/C5-1</f>
        <v>2.1493718658424976E-2</v>
      </c>
    </row>
    <row r="30" spans="2:4" x14ac:dyDescent="0.2">
      <c r="B30" s="172" t="s">
        <v>87</v>
      </c>
      <c r="C30" s="173">
        <f>D25/C6-1</f>
        <v>1.6716478422681647E-2</v>
      </c>
    </row>
    <row r="31" spans="2:4" ht="17.25" customHeight="1" x14ac:dyDescent="0.2">
      <c r="B31" s="174" t="s">
        <v>95</v>
      </c>
      <c r="C31" s="175">
        <f>D26/(C5+C6)-1</f>
        <v>1.9554314653015048E-2</v>
      </c>
    </row>
    <row r="32" spans="2:4" x14ac:dyDescent="0.2">
      <c r="B32" s="65" t="s">
        <v>96</v>
      </c>
    </row>
  </sheetData>
  <mergeCells count="1">
    <mergeCell ref="B28:C28"/>
  </mergeCells>
  <conditionalFormatting sqref="C5:C6 F5:F6">
    <cfRule type="expression" dxfId="4" priority="1" stopIfTrue="1">
      <formula>ISBLANK(C5)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3"/>
    <pageSetUpPr fitToPage="1"/>
  </sheetPr>
  <dimension ref="A1:F33"/>
  <sheetViews>
    <sheetView showGridLines="0" workbookViewId="0">
      <selection activeCell="A3" sqref="A3"/>
    </sheetView>
  </sheetViews>
  <sheetFormatPr baseColWidth="10" defaultColWidth="11.42578125" defaultRowHeight="12.75" x14ac:dyDescent="0.2"/>
  <cols>
    <col min="1" max="1" width="16.5703125" style="1" customWidth="1"/>
    <col min="2" max="2" width="11.7109375" style="1" customWidth="1"/>
    <col min="3" max="3" width="14.28515625" style="1" customWidth="1"/>
    <col min="4" max="4" width="15.42578125" style="1" customWidth="1"/>
    <col min="5" max="5" width="17.7109375" style="1" customWidth="1"/>
    <col min="6" max="6" width="13" style="1" customWidth="1"/>
  </cols>
  <sheetData>
    <row r="1" spans="1:6" ht="26.25" customHeight="1" x14ac:dyDescent="0.2">
      <c r="A1" s="302" t="str">
        <f>"Einzahlungen der ressourcenstarken Kantone "&amp;Info!C30</f>
        <v>Einzahlungen der ressourcenstarken Kantone 2017</v>
      </c>
      <c r="B1" s="302"/>
      <c r="C1" s="302"/>
      <c r="D1" s="302"/>
      <c r="E1" s="302"/>
      <c r="F1" s="302"/>
    </row>
    <row r="2" spans="1:6" ht="18.75" customHeight="1" x14ac:dyDescent="0.2">
      <c r="F2" s="17" t="str">
        <f>Info!$C$28</f>
        <v>FA_2017_20160519</v>
      </c>
    </row>
    <row r="3" spans="1:6" s="1" customFormat="1" x14ac:dyDescent="0.2">
      <c r="A3" s="62" t="s">
        <v>27</v>
      </c>
      <c r="B3" s="176" t="s">
        <v>97</v>
      </c>
      <c r="C3" s="63" t="s">
        <v>28</v>
      </c>
      <c r="D3" s="63" t="s">
        <v>29</v>
      </c>
      <c r="E3" s="63" t="s">
        <v>30</v>
      </c>
      <c r="F3" s="64" t="s">
        <v>31</v>
      </c>
    </row>
    <row r="4" spans="1:6" s="65" customFormat="1" ht="11.25" customHeight="1" x14ac:dyDescent="0.2">
      <c r="A4" s="177" t="s">
        <v>35</v>
      </c>
      <c r="B4" s="178"/>
      <c r="C4" s="179"/>
      <c r="D4" s="179" t="s">
        <v>98</v>
      </c>
      <c r="E4" s="179" t="s">
        <v>99</v>
      </c>
      <c r="F4" s="180" t="s">
        <v>100</v>
      </c>
    </row>
    <row r="5" spans="1:6" ht="42.75" customHeight="1" x14ac:dyDescent="0.2">
      <c r="A5" s="181"/>
      <c r="B5" s="182" t="s">
        <v>101</v>
      </c>
      <c r="C5" s="182" t="s">
        <v>102</v>
      </c>
      <c r="D5" s="183" t="s">
        <v>103</v>
      </c>
      <c r="E5" s="183" t="s">
        <v>104</v>
      </c>
      <c r="F5" s="184" t="s">
        <v>105</v>
      </c>
    </row>
    <row r="6" spans="1:6" s="185" customFormat="1" x14ac:dyDescent="0.2">
      <c r="A6" s="39" t="s">
        <v>43</v>
      </c>
      <c r="B6" s="186" t="s">
        <v>79</v>
      </c>
      <c r="C6" s="40" t="s">
        <v>106</v>
      </c>
      <c r="D6" s="40"/>
      <c r="E6" s="40" t="s">
        <v>46</v>
      </c>
      <c r="F6" s="41" t="s">
        <v>46</v>
      </c>
    </row>
    <row r="7" spans="1:6" s="77" customFormat="1" ht="15" customHeight="1" x14ac:dyDescent="0.2">
      <c r="A7" s="187" t="s">
        <v>47</v>
      </c>
      <c r="B7" s="188">
        <f>RP!I7</f>
        <v>120.42753074221453</v>
      </c>
      <c r="C7" s="189">
        <f>RP!G7</f>
        <v>1412646.8333333333</v>
      </c>
      <c r="D7" s="190">
        <f t="shared" ref="D7:D32" si="0">IF(B7&gt;100,(B7-100)*C7,0)</f>
        <v>28856886.615808669</v>
      </c>
      <c r="E7" s="190">
        <f t="shared" ref="E7:E32" si="1">IF(B7&gt;100,A/$D$33*(B7-100),0)</f>
        <v>361.03482639092186</v>
      </c>
      <c r="F7" s="191">
        <f t="shared" ref="F7:F32" si="2">E7*C7</f>
        <v>510014704.22418553</v>
      </c>
    </row>
    <row r="8" spans="1:6" s="77" customFormat="1" ht="15" customHeight="1" x14ac:dyDescent="0.2">
      <c r="A8" s="192" t="s">
        <v>48</v>
      </c>
      <c r="B8" s="193">
        <f>RP!I8</f>
        <v>74.337755857493747</v>
      </c>
      <c r="C8" s="194">
        <f>RP!G8</f>
        <v>997235.66666666663</v>
      </c>
      <c r="D8" s="195">
        <f t="shared" si="0"/>
        <v>0</v>
      </c>
      <c r="E8" s="195">
        <f t="shared" si="1"/>
        <v>0</v>
      </c>
      <c r="F8" s="196">
        <f t="shared" si="2"/>
        <v>0</v>
      </c>
    </row>
    <row r="9" spans="1:6" s="77" customFormat="1" ht="15" customHeight="1" x14ac:dyDescent="0.2">
      <c r="A9" s="187" t="s">
        <v>49</v>
      </c>
      <c r="B9" s="188">
        <f>RP!I9</f>
        <v>86.879410655457036</v>
      </c>
      <c r="C9" s="189">
        <f>RP!G9</f>
        <v>386801.33333333331</v>
      </c>
      <c r="D9" s="190">
        <f t="shared" si="0"/>
        <v>0</v>
      </c>
      <c r="E9" s="190">
        <f t="shared" si="1"/>
        <v>0</v>
      </c>
      <c r="F9" s="191">
        <f t="shared" si="2"/>
        <v>0</v>
      </c>
    </row>
    <row r="10" spans="1:6" s="77" customFormat="1" ht="15" customHeight="1" x14ac:dyDescent="0.2">
      <c r="A10" s="192" t="s">
        <v>50</v>
      </c>
      <c r="B10" s="193">
        <f>RP!I10</f>
        <v>66.214583542761602</v>
      </c>
      <c r="C10" s="194">
        <f>RP!G10</f>
        <v>35990.333333333336</v>
      </c>
      <c r="D10" s="195">
        <f t="shared" si="0"/>
        <v>0</v>
      </c>
      <c r="E10" s="195">
        <f t="shared" si="1"/>
        <v>0</v>
      </c>
      <c r="F10" s="196">
        <f t="shared" si="2"/>
        <v>0</v>
      </c>
    </row>
    <row r="11" spans="1:6" s="77" customFormat="1" ht="15" customHeight="1" x14ac:dyDescent="0.2">
      <c r="A11" s="187" t="s">
        <v>51</v>
      </c>
      <c r="B11" s="188">
        <f>RP!I11</f>
        <v>170.29650912852486</v>
      </c>
      <c r="C11" s="189">
        <f>RP!G11</f>
        <v>150310.83333333334</v>
      </c>
      <c r="D11" s="190">
        <f t="shared" si="0"/>
        <v>10566326.867532846</v>
      </c>
      <c r="E11" s="190">
        <f t="shared" si="1"/>
        <v>1242.4158499322109</v>
      </c>
      <c r="F11" s="191">
        <f t="shared" si="2"/>
        <v>186748561.74985224</v>
      </c>
    </row>
    <row r="12" spans="1:6" s="77" customFormat="1" ht="15" customHeight="1" x14ac:dyDescent="0.2">
      <c r="A12" s="192" t="s">
        <v>52</v>
      </c>
      <c r="B12" s="193">
        <f>RP!I12</f>
        <v>99.11613038020154</v>
      </c>
      <c r="C12" s="194">
        <f>RP!G12</f>
        <v>36436.333333333336</v>
      </c>
      <c r="D12" s="195">
        <f t="shared" si="0"/>
        <v>0</v>
      </c>
      <c r="E12" s="195">
        <f t="shared" si="1"/>
        <v>0</v>
      </c>
      <c r="F12" s="196">
        <f t="shared" si="2"/>
        <v>0</v>
      </c>
    </row>
    <row r="13" spans="1:6" s="77" customFormat="1" ht="15" customHeight="1" x14ac:dyDescent="0.2">
      <c r="A13" s="187" t="s">
        <v>53</v>
      </c>
      <c r="B13" s="188">
        <f>RP!I13</f>
        <v>151.51789107669262</v>
      </c>
      <c r="C13" s="189">
        <f>RP!G13</f>
        <v>41748</v>
      </c>
      <c r="D13" s="190">
        <f t="shared" si="0"/>
        <v>2150768.9166697636</v>
      </c>
      <c r="E13" s="190">
        <f t="shared" si="1"/>
        <v>910.52379730178598</v>
      </c>
      <c r="F13" s="191">
        <f t="shared" si="2"/>
        <v>38012547.48975496</v>
      </c>
    </row>
    <row r="14" spans="1:6" s="77" customFormat="1" ht="15" customHeight="1" x14ac:dyDescent="0.2">
      <c r="A14" s="192" t="s">
        <v>54</v>
      </c>
      <c r="B14" s="193">
        <f>RP!I14</f>
        <v>70.788738948919928</v>
      </c>
      <c r="C14" s="194">
        <f>RP!G14</f>
        <v>39846.333333333336</v>
      </c>
      <c r="D14" s="195">
        <f t="shared" si="0"/>
        <v>0</v>
      </c>
      <c r="E14" s="195">
        <f t="shared" si="1"/>
        <v>0</v>
      </c>
      <c r="F14" s="196">
        <f t="shared" si="2"/>
        <v>0</v>
      </c>
    </row>
    <row r="15" spans="1:6" s="77" customFormat="1" ht="15" customHeight="1" x14ac:dyDescent="0.2">
      <c r="A15" s="187" t="s">
        <v>55</v>
      </c>
      <c r="B15" s="188">
        <f>RP!I15</f>
        <v>264.11698353052998</v>
      </c>
      <c r="C15" s="189">
        <f>RP!G15</f>
        <v>117174.83333333333</v>
      </c>
      <c r="D15" s="190">
        <f t="shared" si="0"/>
        <v>19230380.192359261</v>
      </c>
      <c r="E15" s="190">
        <f t="shared" si="1"/>
        <v>2900.5927052308639</v>
      </c>
      <c r="F15" s="191">
        <f t="shared" si="2"/>
        <v>339876466.8033089</v>
      </c>
    </row>
    <row r="16" spans="1:6" s="77" customFormat="1" ht="15" customHeight="1" x14ac:dyDescent="0.2">
      <c r="A16" s="192" t="s">
        <v>56</v>
      </c>
      <c r="B16" s="193">
        <f>RP!I16</f>
        <v>78.504949514077893</v>
      </c>
      <c r="C16" s="194">
        <f>RP!G16</f>
        <v>290342</v>
      </c>
      <c r="D16" s="195">
        <f t="shared" si="0"/>
        <v>0</v>
      </c>
      <c r="E16" s="195">
        <f t="shared" si="1"/>
        <v>0</v>
      </c>
      <c r="F16" s="196">
        <f t="shared" si="2"/>
        <v>0</v>
      </c>
    </row>
    <row r="17" spans="1:6" s="77" customFormat="1" ht="15" customHeight="1" x14ac:dyDescent="0.2">
      <c r="A17" s="187" t="s">
        <v>57</v>
      </c>
      <c r="B17" s="188">
        <f>RP!I17</f>
        <v>74.818028423563874</v>
      </c>
      <c r="C17" s="189">
        <f>RP!G17</f>
        <v>259970.83333333334</v>
      </c>
      <c r="D17" s="190">
        <f t="shared" si="0"/>
        <v>0</v>
      </c>
      <c r="E17" s="190">
        <f t="shared" si="1"/>
        <v>0</v>
      </c>
      <c r="F17" s="191">
        <f t="shared" si="2"/>
        <v>0</v>
      </c>
    </row>
    <row r="18" spans="1:6" s="77" customFormat="1" ht="15" customHeight="1" x14ac:dyDescent="0.2">
      <c r="A18" s="192" t="s">
        <v>58</v>
      </c>
      <c r="B18" s="193">
        <f>RP!I18</f>
        <v>146.47753383233874</v>
      </c>
      <c r="C18" s="194">
        <f>RP!G18</f>
        <v>190126.5</v>
      </c>
      <c r="D18" s="195">
        <f t="shared" si="0"/>
        <v>8836610.8361741509</v>
      </c>
      <c r="E18" s="195">
        <f t="shared" si="1"/>
        <v>821.44085694899366</v>
      </c>
      <c r="F18" s="196">
        <f t="shared" si="2"/>
        <v>156177675.08871284</v>
      </c>
    </row>
    <row r="19" spans="1:6" s="77" customFormat="1" ht="15" customHeight="1" x14ac:dyDescent="0.2">
      <c r="A19" s="187" t="s">
        <v>59</v>
      </c>
      <c r="B19" s="188">
        <f>RP!I19</f>
        <v>96.227026733001765</v>
      </c>
      <c r="C19" s="189">
        <f>RP!G19</f>
        <v>277605.83333333331</v>
      </c>
      <c r="D19" s="190">
        <f t="shared" si="0"/>
        <v>0</v>
      </c>
      <c r="E19" s="190">
        <f t="shared" si="1"/>
        <v>0</v>
      </c>
      <c r="F19" s="191">
        <f t="shared" si="2"/>
        <v>0</v>
      </c>
    </row>
    <row r="20" spans="1:6" s="77" customFormat="1" ht="15" customHeight="1" x14ac:dyDescent="0.2">
      <c r="A20" s="192" t="s">
        <v>60</v>
      </c>
      <c r="B20" s="193">
        <f>RP!I20</f>
        <v>95.416203033487506</v>
      </c>
      <c r="C20" s="194">
        <f>RP!G20</f>
        <v>78322.333333333328</v>
      </c>
      <c r="D20" s="195">
        <f t="shared" si="0"/>
        <v>0</v>
      </c>
      <c r="E20" s="195">
        <f t="shared" si="1"/>
        <v>0</v>
      </c>
      <c r="F20" s="196">
        <f t="shared" si="2"/>
        <v>0</v>
      </c>
    </row>
    <row r="21" spans="1:6" s="77" customFormat="1" ht="15" customHeight="1" x14ac:dyDescent="0.2">
      <c r="A21" s="187" t="s">
        <v>61</v>
      </c>
      <c r="B21" s="188">
        <f>RP!I21</f>
        <v>84.747837782088681</v>
      </c>
      <c r="C21" s="189">
        <f>RP!G21</f>
        <v>53614</v>
      </c>
      <c r="D21" s="190">
        <f t="shared" si="0"/>
        <v>0</v>
      </c>
      <c r="E21" s="190">
        <f t="shared" si="1"/>
        <v>0</v>
      </c>
      <c r="F21" s="191">
        <f t="shared" si="2"/>
        <v>0</v>
      </c>
    </row>
    <row r="22" spans="1:6" s="77" customFormat="1" ht="15" customHeight="1" x14ac:dyDescent="0.2">
      <c r="A22" s="192" t="s">
        <v>62</v>
      </c>
      <c r="B22" s="193">
        <f>RP!I22</f>
        <v>85.099463309211387</v>
      </c>
      <c r="C22" s="194">
        <f>RP!G22</f>
        <v>15791.5</v>
      </c>
      <c r="D22" s="195">
        <f t="shared" si="0"/>
        <v>0</v>
      </c>
      <c r="E22" s="195">
        <f t="shared" si="1"/>
        <v>0</v>
      </c>
      <c r="F22" s="196">
        <f t="shared" si="2"/>
        <v>0</v>
      </c>
    </row>
    <row r="23" spans="1:6" s="77" customFormat="1" ht="15" customHeight="1" x14ac:dyDescent="0.2">
      <c r="A23" s="187" t="s">
        <v>63</v>
      </c>
      <c r="B23" s="188">
        <f>RP!I23</f>
        <v>79.368268040057799</v>
      </c>
      <c r="C23" s="189">
        <f>RP!G23</f>
        <v>488488</v>
      </c>
      <c r="D23" s="190">
        <f t="shared" si="0"/>
        <v>0</v>
      </c>
      <c r="E23" s="190">
        <f t="shared" si="1"/>
        <v>0</v>
      </c>
      <c r="F23" s="191">
        <f t="shared" si="2"/>
        <v>0</v>
      </c>
    </row>
    <row r="24" spans="1:6" s="77" customFormat="1" ht="15" customHeight="1" x14ac:dyDescent="0.2">
      <c r="A24" s="192" t="s">
        <v>64</v>
      </c>
      <c r="B24" s="193">
        <f>RP!I24</f>
        <v>82.533272328543603</v>
      </c>
      <c r="C24" s="194">
        <f>RP!G24</f>
        <v>202118.33333333334</v>
      </c>
      <c r="D24" s="195">
        <f t="shared" si="0"/>
        <v>0</v>
      </c>
      <c r="E24" s="195">
        <f t="shared" si="1"/>
        <v>0</v>
      </c>
      <c r="F24" s="196">
        <f t="shared" si="2"/>
        <v>0</v>
      </c>
    </row>
    <row r="25" spans="1:6" s="77" customFormat="1" ht="15" customHeight="1" x14ac:dyDescent="0.2">
      <c r="A25" s="187" t="s">
        <v>65</v>
      </c>
      <c r="B25" s="188">
        <f>RP!I25</f>
        <v>87.001994773027121</v>
      </c>
      <c r="C25" s="189">
        <f>RP!G25</f>
        <v>627598.5</v>
      </c>
      <c r="D25" s="190">
        <f t="shared" si="0"/>
        <v>0</v>
      </c>
      <c r="E25" s="190">
        <f t="shared" si="1"/>
        <v>0</v>
      </c>
      <c r="F25" s="191">
        <f t="shared" si="2"/>
        <v>0</v>
      </c>
    </row>
    <row r="26" spans="1:6" s="77" customFormat="1" ht="15" customHeight="1" x14ac:dyDescent="0.2">
      <c r="A26" s="192" t="s">
        <v>66</v>
      </c>
      <c r="B26" s="193">
        <f>RP!I26</f>
        <v>79.183489406954195</v>
      </c>
      <c r="C26" s="194">
        <f>RP!G26</f>
        <v>256521.5</v>
      </c>
      <c r="D26" s="195">
        <f t="shared" si="0"/>
        <v>0</v>
      </c>
      <c r="E26" s="195">
        <f t="shared" si="1"/>
        <v>0</v>
      </c>
      <c r="F26" s="196">
        <f t="shared" si="2"/>
        <v>0</v>
      </c>
    </row>
    <row r="27" spans="1:6" s="77" customFormat="1" ht="15" customHeight="1" x14ac:dyDescent="0.2">
      <c r="A27" s="187" t="s">
        <v>67</v>
      </c>
      <c r="B27" s="188">
        <f>RP!I27</f>
        <v>96.56980935457004</v>
      </c>
      <c r="C27" s="189">
        <f>RP!G27</f>
        <v>341905.5</v>
      </c>
      <c r="D27" s="190">
        <f t="shared" si="0"/>
        <v>0</v>
      </c>
      <c r="E27" s="190">
        <f t="shared" si="1"/>
        <v>0</v>
      </c>
      <c r="F27" s="191">
        <f t="shared" si="2"/>
        <v>0</v>
      </c>
    </row>
    <row r="28" spans="1:6" s="77" customFormat="1" ht="15" customHeight="1" x14ac:dyDescent="0.2">
      <c r="A28" s="192" t="s">
        <v>68</v>
      </c>
      <c r="B28" s="193">
        <f>RP!I28</f>
        <v>101.3868786385592</v>
      </c>
      <c r="C28" s="194">
        <f>RP!G28</f>
        <v>739461.5</v>
      </c>
      <c r="D28" s="195">
        <f t="shared" si="0"/>
        <v>1025543.3583869409</v>
      </c>
      <c r="E28" s="195">
        <f t="shared" si="1"/>
        <v>24.511601270669086</v>
      </c>
      <c r="F28" s="196">
        <f t="shared" si="2"/>
        <v>18125385.443010867</v>
      </c>
    </row>
    <row r="29" spans="1:6" s="77" customFormat="1" ht="15" customHeight="1" x14ac:dyDescent="0.2">
      <c r="A29" s="187" t="s">
        <v>69</v>
      </c>
      <c r="B29" s="188">
        <f>RP!I29</f>
        <v>66.924123530778061</v>
      </c>
      <c r="C29" s="189">
        <f>RP!G29</f>
        <v>327591.83333333331</v>
      </c>
      <c r="D29" s="190">
        <f t="shared" si="0"/>
        <v>0</v>
      </c>
      <c r="E29" s="190">
        <f t="shared" si="1"/>
        <v>0</v>
      </c>
      <c r="F29" s="191">
        <f t="shared" si="2"/>
        <v>0</v>
      </c>
    </row>
    <row r="30" spans="1:6" s="77" customFormat="1" ht="15" customHeight="1" x14ac:dyDescent="0.2">
      <c r="A30" s="192" t="s">
        <v>70</v>
      </c>
      <c r="B30" s="193">
        <f>RP!I30</f>
        <v>96.987092772431112</v>
      </c>
      <c r="C30" s="194">
        <f>RP!G30</f>
        <v>175314</v>
      </c>
      <c r="D30" s="195">
        <f t="shared" si="0"/>
        <v>0</v>
      </c>
      <c r="E30" s="195">
        <f t="shared" si="1"/>
        <v>0</v>
      </c>
      <c r="F30" s="196">
        <f t="shared" si="2"/>
        <v>0</v>
      </c>
    </row>
    <row r="31" spans="1:6" s="77" customFormat="1" ht="15" customHeight="1" x14ac:dyDescent="0.2">
      <c r="A31" s="187" t="s">
        <v>71</v>
      </c>
      <c r="B31" s="188">
        <f>RP!I31</f>
        <v>142.44036350907274</v>
      </c>
      <c r="C31" s="189">
        <f>RP!G31</f>
        <v>466126.83333333331</v>
      </c>
      <c r="D31" s="190">
        <f t="shared" si="0"/>
        <v>19782592.247999631</v>
      </c>
      <c r="E31" s="190">
        <f t="shared" si="1"/>
        <v>750.08817584599558</v>
      </c>
      <c r="F31" s="191">
        <f t="shared" si="2"/>
        <v>349636226.12787038</v>
      </c>
    </row>
    <row r="32" spans="1:6" s="77" customFormat="1" ht="15" customHeight="1" x14ac:dyDescent="0.2">
      <c r="A32" s="192" t="s">
        <v>72</v>
      </c>
      <c r="B32" s="193">
        <f>RP!I32</f>
        <v>65.134176149224544</v>
      </c>
      <c r="C32" s="194">
        <f>RP!G32</f>
        <v>71163.833333333328</v>
      </c>
      <c r="D32" s="195">
        <f t="shared" si="0"/>
        <v>0</v>
      </c>
      <c r="E32" s="195">
        <f t="shared" si="1"/>
        <v>0</v>
      </c>
      <c r="F32" s="196">
        <f t="shared" si="2"/>
        <v>0</v>
      </c>
    </row>
    <row r="33" spans="1:6" s="77" customFormat="1" ht="15" customHeight="1" x14ac:dyDescent="0.2">
      <c r="A33" s="197" t="s">
        <v>73</v>
      </c>
      <c r="B33" s="198">
        <f>RP!I33</f>
        <v>100</v>
      </c>
      <c r="C33" s="199">
        <f>SUM(BEV)</f>
        <v>8080253.333333333</v>
      </c>
      <c r="D33" s="199">
        <f>SUM(D7:D32)</f>
        <v>90449109.034931242</v>
      </c>
      <c r="E33" s="199"/>
      <c r="F33" s="200">
        <f>SUM(F7:F32)</f>
        <v>1598591566.9266956</v>
      </c>
    </row>
  </sheetData>
  <mergeCells count="1">
    <mergeCell ref="A1:F1"/>
  </mergeCells>
  <conditionalFormatting sqref="B33">
    <cfRule type="expression" dxfId="3" priority="1" stopIfTrue="1">
      <formula>ISBLANK(B33)</formula>
    </cfRule>
  </conditionalFormatting>
  <printOptions horizontalCentered="1"/>
  <pageMargins left="0.78740157480314965" right="0.78740157480314965" top="0.74803149606299213" bottom="0.78740157480314965" header="0.51181102362204722" footer="0.51181102362204722"/>
  <pageSetup paperSize="9" scale="94" orientation="landscape" r:id="rId1"/>
  <headerFooter>
    <oddHeader>&amp;L&amp;F&amp;R&amp;A</oddHeader>
    <oddFooter>&amp;CSeite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52"/>
    <pageSetUpPr fitToPage="1"/>
  </sheetPr>
  <dimension ref="A1:L32"/>
  <sheetViews>
    <sheetView showGridLines="0" workbookViewId="0">
      <selection activeCell="A3" sqref="A3"/>
    </sheetView>
  </sheetViews>
  <sheetFormatPr baseColWidth="10" defaultColWidth="11.42578125" defaultRowHeight="12.75" x14ac:dyDescent="0.2"/>
  <cols>
    <col min="1" max="1" width="17.28515625" style="1" customWidth="1"/>
    <col min="2" max="2" width="11.85546875" style="1" customWidth="1"/>
    <col min="3" max="3" width="13.5703125" style="1" customWidth="1"/>
    <col min="4" max="4" width="15.140625" style="1" customWidth="1"/>
    <col min="5" max="5" width="13" style="1" customWidth="1"/>
    <col min="6" max="8" width="13.7109375" style="1" customWidth="1"/>
    <col min="9" max="9" width="5" style="1" customWidth="1"/>
    <col min="10" max="10" width="11.28515625" style="1" customWidth="1"/>
    <col min="11" max="11" width="12.42578125" style="1" customWidth="1"/>
  </cols>
  <sheetData>
    <row r="1" spans="1:12" ht="26.25" customHeight="1" x14ac:dyDescent="0.2">
      <c r="A1" s="302" t="str">
        <f>"Auszahlungen an die ressourcenschwachen Kantone "&amp;Info!C30</f>
        <v>Auszahlungen an die ressourcenschwachen Kantone 2017</v>
      </c>
      <c r="B1" s="302"/>
      <c r="C1" s="302"/>
      <c r="D1" s="302"/>
      <c r="E1" s="302"/>
      <c r="F1" s="302"/>
      <c r="G1" s="302"/>
      <c r="H1" s="302"/>
    </row>
    <row r="2" spans="1:12" ht="18.75" customHeight="1" x14ac:dyDescent="0.2">
      <c r="H2" s="17" t="str">
        <f>Info!$C$28</f>
        <v>FA_2017_20160519</v>
      </c>
    </row>
    <row r="3" spans="1:12" s="1" customFormat="1" x14ac:dyDescent="0.2">
      <c r="A3" s="62" t="s">
        <v>27</v>
      </c>
      <c r="B3" s="176" t="s">
        <v>97</v>
      </c>
      <c r="C3" s="63" t="s">
        <v>28</v>
      </c>
      <c r="D3" s="63" t="s">
        <v>29</v>
      </c>
      <c r="E3" s="63" t="s">
        <v>30</v>
      </c>
      <c r="F3" s="63" t="s">
        <v>31</v>
      </c>
      <c r="G3" s="63" t="s">
        <v>32</v>
      </c>
      <c r="H3" s="64" t="s">
        <v>33</v>
      </c>
    </row>
    <row r="4" spans="1:12" ht="45" customHeight="1" x14ac:dyDescent="0.2">
      <c r="A4" s="181"/>
      <c r="B4" s="183" t="s">
        <v>101</v>
      </c>
      <c r="C4" s="183" t="s">
        <v>102</v>
      </c>
      <c r="D4" s="183" t="s">
        <v>103</v>
      </c>
      <c r="E4" s="183" t="s">
        <v>104</v>
      </c>
      <c r="F4" s="201" t="s">
        <v>105</v>
      </c>
      <c r="G4" s="202" t="s">
        <v>107</v>
      </c>
      <c r="H4" s="203" t="s">
        <v>108</v>
      </c>
      <c r="J4" s="312" t="s">
        <v>109</v>
      </c>
      <c r="K4" s="313"/>
    </row>
    <row r="5" spans="1:12" s="77" customFormat="1" x14ac:dyDescent="0.2">
      <c r="A5" s="39" t="s">
        <v>43</v>
      </c>
      <c r="B5" s="186" t="s">
        <v>79</v>
      </c>
      <c r="C5" s="40" t="s">
        <v>106</v>
      </c>
      <c r="D5" s="40"/>
      <c r="E5" s="40" t="s">
        <v>46</v>
      </c>
      <c r="F5" s="40" t="s">
        <v>46</v>
      </c>
      <c r="G5" s="40" t="s">
        <v>46</v>
      </c>
      <c r="H5" s="41" t="s">
        <v>46</v>
      </c>
      <c r="J5" s="204" t="s">
        <v>110</v>
      </c>
      <c r="K5" s="205">
        <v>0.54070034854517302</v>
      </c>
      <c r="L5" s="206"/>
    </row>
    <row r="6" spans="1:12" s="77" customFormat="1" ht="15" customHeight="1" x14ac:dyDescent="0.2">
      <c r="A6" s="207" t="s">
        <v>47</v>
      </c>
      <c r="B6" s="208">
        <f>RP!I7</f>
        <v>120.42753074221453</v>
      </c>
      <c r="C6" s="190">
        <f>RP!G7</f>
        <v>1412646.8333333333</v>
      </c>
      <c r="D6" s="190">
        <f>IF(B6&lt;100,(100-RI)^(1+p)*BEV,0)</f>
        <v>0</v>
      </c>
      <c r="E6" s="190">
        <f t="shared" ref="E6:E31" si="0">IF(B6&lt;100,B/SUM*(100-RI)^(1+p),0)</f>
        <v>0</v>
      </c>
      <c r="F6" s="209">
        <f t="shared" ref="F6:F31" si="1">E6*BEV</f>
        <v>0</v>
      </c>
      <c r="G6" s="210">
        <f>Dotation_RA!$D$25/Dotation_RA!$D$26*F6</f>
        <v>0</v>
      </c>
      <c r="H6" s="211">
        <f t="shared" ref="H6:H31" si="2">F6-G6</f>
        <v>0</v>
      </c>
      <c r="J6" s="204" t="s">
        <v>111</v>
      </c>
      <c r="K6" s="212">
        <f>(RI_26/RI_MIN)*p</f>
        <v>0.5407003485451729</v>
      </c>
    </row>
    <row r="7" spans="1:12" s="77" customFormat="1" ht="15" customHeight="1" x14ac:dyDescent="0.2">
      <c r="A7" s="192" t="s">
        <v>48</v>
      </c>
      <c r="B7" s="213">
        <f>RP!I8</f>
        <v>74.337755857493747</v>
      </c>
      <c r="C7" s="195">
        <f>RP!G8</f>
        <v>997235.66666666663</v>
      </c>
      <c r="D7" s="195">
        <f>IF(B7&lt;100,(100-B7)^(1+p)*BEV,0)</f>
        <v>147944401.14424834</v>
      </c>
      <c r="E7" s="195">
        <f t="shared" si="0"/>
        <v>1215.0047507604263</v>
      </c>
      <c r="F7" s="214">
        <f t="shared" si="1"/>
        <v>1211646072.6277409</v>
      </c>
      <c r="G7" s="215">
        <f>Dotation_RA!$D$25/Dotation_RA!$D$26*F7</f>
        <v>490519730.8404761</v>
      </c>
      <c r="H7" s="216">
        <f t="shared" si="2"/>
        <v>721126341.78726482</v>
      </c>
      <c r="J7" s="204" t="s">
        <v>112</v>
      </c>
      <c r="K7" s="217">
        <f>MIN(B6:B31)</f>
        <v>65.134176149224544</v>
      </c>
    </row>
    <row r="8" spans="1:12" s="77" customFormat="1" ht="15" customHeight="1" x14ac:dyDescent="0.2">
      <c r="A8" s="187" t="s">
        <v>49</v>
      </c>
      <c r="B8" s="208">
        <f>RP!I9</f>
        <v>86.879410655457036</v>
      </c>
      <c r="C8" s="190">
        <f>RP!G9</f>
        <v>386801.33333333331</v>
      </c>
      <c r="D8" s="190">
        <f t="shared" ref="D8:D31" si="3">IF(B8&lt;100,(100-RI)^(1+p)*BEV,0)</f>
        <v>20413574.94372521</v>
      </c>
      <c r="E8" s="190">
        <f t="shared" si="0"/>
        <v>432.22347414181559</v>
      </c>
      <c r="F8" s="209">
        <f t="shared" si="1"/>
        <v>167184616.09601977</v>
      </c>
      <c r="G8" s="210">
        <f>Dotation_RA!$D$25/Dotation_RA!$D$26*F8</f>
        <v>67682597.039443731</v>
      </c>
      <c r="H8" s="211">
        <f t="shared" si="2"/>
        <v>99502019.056576043</v>
      </c>
      <c r="J8" s="204" t="s">
        <v>113</v>
      </c>
      <c r="K8" s="217">
        <f>100-((sse*SUM)/((1+p)*B*100))^(1/p)</f>
        <v>65.134176149224558</v>
      </c>
    </row>
    <row r="9" spans="1:12" s="77" customFormat="1" ht="15" customHeight="1" x14ac:dyDescent="0.2">
      <c r="A9" s="192" t="s">
        <v>50</v>
      </c>
      <c r="B9" s="213">
        <f>RP!I10</f>
        <v>66.214583542761602</v>
      </c>
      <c r="C9" s="195">
        <f>RP!G10</f>
        <v>35990.333333333336</v>
      </c>
      <c r="D9" s="195">
        <f t="shared" si="3"/>
        <v>8156420.3279919997</v>
      </c>
      <c r="E9" s="195">
        <f t="shared" si="0"/>
        <v>1856.0555669599623</v>
      </c>
      <c r="F9" s="214">
        <f t="shared" si="1"/>
        <v>66800058.540078036</v>
      </c>
      <c r="G9" s="215">
        <f>Dotation_RA!$D$25/Dotation_RA!$D$26*F9</f>
        <v>27043166.709685024</v>
      </c>
      <c r="H9" s="216">
        <f t="shared" si="2"/>
        <v>39756891.830393016</v>
      </c>
      <c r="J9" s="218"/>
      <c r="K9" s="219"/>
    </row>
    <row r="10" spans="1:12" s="77" customFormat="1" ht="15" customHeight="1" x14ac:dyDescent="0.2">
      <c r="A10" s="187" t="s">
        <v>51</v>
      </c>
      <c r="B10" s="208">
        <f>RP!I11</f>
        <v>170.29650912852486</v>
      </c>
      <c r="C10" s="190">
        <f>RP!G11</f>
        <v>150310.83333333334</v>
      </c>
      <c r="D10" s="190">
        <f t="shared" si="3"/>
        <v>0</v>
      </c>
      <c r="E10" s="190">
        <f t="shared" si="0"/>
        <v>0</v>
      </c>
      <c r="F10" s="209">
        <f t="shared" si="1"/>
        <v>0</v>
      </c>
      <c r="G10" s="210">
        <f>Dotation_RA!$D$25/Dotation_RA!$D$26*F10</f>
        <v>0</v>
      </c>
      <c r="H10" s="211">
        <f t="shared" si="2"/>
        <v>0</v>
      </c>
      <c r="J10" s="218"/>
      <c r="K10" s="219"/>
    </row>
    <row r="11" spans="1:12" s="77" customFormat="1" ht="15" customHeight="1" x14ac:dyDescent="0.2">
      <c r="A11" s="192" t="s">
        <v>52</v>
      </c>
      <c r="B11" s="213">
        <f>RP!I12</f>
        <v>99.11613038020154</v>
      </c>
      <c r="C11" s="195">
        <f>RP!G12</f>
        <v>36436.333333333336</v>
      </c>
      <c r="D11" s="195">
        <f t="shared" si="3"/>
        <v>30125.548147773581</v>
      </c>
      <c r="E11" s="195">
        <f t="shared" si="0"/>
        <v>6.771385450666199</v>
      </c>
      <c r="F11" s="214">
        <f t="shared" si="1"/>
        <v>246724.45740895721</v>
      </c>
      <c r="G11" s="215">
        <f>Dotation_RA!$D$25/Dotation_RA!$D$26*F11</f>
        <v>99883.305178001989</v>
      </c>
      <c r="H11" s="216">
        <f t="shared" si="2"/>
        <v>146841.15223095522</v>
      </c>
      <c r="J11" s="218"/>
      <c r="K11" s="219"/>
    </row>
    <row r="12" spans="1:12" s="77" customFormat="1" ht="15" customHeight="1" x14ac:dyDescent="0.2">
      <c r="A12" s="187" t="s">
        <v>53</v>
      </c>
      <c r="B12" s="208">
        <f>RP!I13</f>
        <v>151.51789107669262</v>
      </c>
      <c r="C12" s="190">
        <f>RP!G13</f>
        <v>41748</v>
      </c>
      <c r="D12" s="190">
        <f t="shared" si="3"/>
        <v>0</v>
      </c>
      <c r="E12" s="190">
        <f t="shared" si="0"/>
        <v>0</v>
      </c>
      <c r="F12" s="209">
        <f t="shared" si="1"/>
        <v>0</v>
      </c>
      <c r="G12" s="210">
        <f>Dotation_RA!$D$25/Dotation_RA!$D$26*F12</f>
        <v>0</v>
      </c>
      <c r="H12" s="211">
        <f t="shared" si="2"/>
        <v>0</v>
      </c>
      <c r="J12" s="204" t="s">
        <v>97</v>
      </c>
      <c r="K12" s="220">
        <f>Dotation_RA!D26</f>
        <v>3948724326.5092487</v>
      </c>
    </row>
    <row r="13" spans="1:12" s="77" customFormat="1" ht="15" customHeight="1" x14ac:dyDescent="0.2">
      <c r="A13" s="192" t="s">
        <v>54</v>
      </c>
      <c r="B13" s="213">
        <f>RP!I14</f>
        <v>70.788738948919928</v>
      </c>
      <c r="C13" s="195">
        <f>RP!G14</f>
        <v>39846.333333333336</v>
      </c>
      <c r="D13" s="195">
        <f t="shared" si="3"/>
        <v>7217091.8220846141</v>
      </c>
      <c r="E13" s="195">
        <f t="shared" si="0"/>
        <v>1483.3755343130636</v>
      </c>
      <c r="F13" s="214">
        <f t="shared" si="1"/>
        <v>59107075.99874977</v>
      </c>
      <c r="G13" s="215">
        <f>Dotation_RA!$D$25/Dotation_RA!$D$26*F13</f>
        <v>23928759.119233329</v>
      </c>
      <c r="H13" s="216">
        <f t="shared" si="2"/>
        <v>35178316.879516438</v>
      </c>
      <c r="J13" s="204" t="s">
        <v>16</v>
      </c>
      <c r="K13" s="220">
        <f>SSE!E32</f>
        <v>8609.3746297804901</v>
      </c>
    </row>
    <row r="14" spans="1:12" s="77" customFormat="1" ht="15" customHeight="1" x14ac:dyDescent="0.2">
      <c r="A14" s="187" t="s">
        <v>55</v>
      </c>
      <c r="B14" s="208">
        <f>RP!I15</f>
        <v>264.11698353052998</v>
      </c>
      <c r="C14" s="190">
        <f>RP!G15</f>
        <v>117174.83333333333</v>
      </c>
      <c r="D14" s="190">
        <f t="shared" si="3"/>
        <v>0</v>
      </c>
      <c r="E14" s="190">
        <f t="shared" si="0"/>
        <v>0</v>
      </c>
      <c r="F14" s="209">
        <f t="shared" si="1"/>
        <v>0</v>
      </c>
      <c r="G14" s="210">
        <f>Dotation_RA!$D$25/Dotation_RA!$D$26*F14</f>
        <v>0</v>
      </c>
      <c r="H14" s="211">
        <f t="shared" si="2"/>
        <v>0</v>
      </c>
    </row>
    <row r="15" spans="1:12" s="77" customFormat="1" ht="15" customHeight="1" x14ac:dyDescent="0.2">
      <c r="A15" s="192" t="s">
        <v>56</v>
      </c>
      <c r="B15" s="213">
        <f>RP!I16</f>
        <v>78.504949514077893</v>
      </c>
      <c r="C15" s="195">
        <f>RP!G16</f>
        <v>290342</v>
      </c>
      <c r="D15" s="195">
        <f t="shared" si="3"/>
        <v>32782661.428035647</v>
      </c>
      <c r="E15" s="195">
        <f t="shared" si="0"/>
        <v>924.72284961814307</v>
      </c>
      <c r="F15" s="214">
        <f t="shared" si="1"/>
        <v>268485881.60383087</v>
      </c>
      <c r="G15" s="215">
        <f>Dotation_RA!$D$25/Dotation_RA!$D$26*F15</f>
        <v>108693145.09736465</v>
      </c>
      <c r="H15" s="216">
        <f t="shared" si="2"/>
        <v>159792736.50646621</v>
      </c>
    </row>
    <row r="16" spans="1:12" s="77" customFormat="1" ht="15" customHeight="1" x14ac:dyDescent="0.2">
      <c r="A16" s="187" t="s">
        <v>57</v>
      </c>
      <c r="B16" s="208">
        <f>RP!I17</f>
        <v>74.818028423563874</v>
      </c>
      <c r="C16" s="190">
        <f>RP!G17</f>
        <v>259970.83333333334</v>
      </c>
      <c r="D16" s="190">
        <f t="shared" si="3"/>
        <v>37461404.918349072</v>
      </c>
      <c r="E16" s="190">
        <f t="shared" si="0"/>
        <v>1180.1485554838009</v>
      </c>
      <c r="F16" s="209">
        <f t="shared" si="1"/>
        <v>306804203.42625332</v>
      </c>
      <c r="G16" s="210">
        <f>Dotation_RA!$D$25/Dotation_RA!$D$26*F16</f>
        <v>124205837.56689914</v>
      </c>
      <c r="H16" s="211">
        <f t="shared" si="2"/>
        <v>182598365.8593542</v>
      </c>
    </row>
    <row r="17" spans="1:8" s="77" customFormat="1" ht="15" customHeight="1" x14ac:dyDescent="0.2">
      <c r="A17" s="192" t="s">
        <v>58</v>
      </c>
      <c r="B17" s="213">
        <f>RP!I18</f>
        <v>146.47753383233874</v>
      </c>
      <c r="C17" s="195">
        <f>RP!G18</f>
        <v>190126.5</v>
      </c>
      <c r="D17" s="195">
        <f t="shared" si="3"/>
        <v>0</v>
      </c>
      <c r="E17" s="195">
        <f t="shared" si="0"/>
        <v>0</v>
      </c>
      <c r="F17" s="214">
        <f t="shared" si="1"/>
        <v>0</v>
      </c>
      <c r="G17" s="215">
        <f>Dotation_RA!$D$25/Dotation_RA!$D$26*F17</f>
        <v>0</v>
      </c>
      <c r="H17" s="216">
        <f t="shared" si="2"/>
        <v>0</v>
      </c>
    </row>
    <row r="18" spans="1:8" s="77" customFormat="1" ht="15" customHeight="1" x14ac:dyDescent="0.2">
      <c r="A18" s="187" t="s">
        <v>59</v>
      </c>
      <c r="B18" s="208">
        <f>RP!I19</f>
        <v>96.227026733001765</v>
      </c>
      <c r="C18" s="190">
        <f>RP!G19</f>
        <v>277605.83333333331</v>
      </c>
      <c r="D18" s="190">
        <f t="shared" si="3"/>
        <v>2147461.6090904325</v>
      </c>
      <c r="E18" s="190">
        <f t="shared" si="0"/>
        <v>63.354003688582488</v>
      </c>
      <c r="F18" s="209">
        <f t="shared" si="1"/>
        <v>17587440.988972016</v>
      </c>
      <c r="G18" s="210">
        <f>Dotation_RA!$D$25/Dotation_RA!$D$26*F18</f>
        <v>7120055.117558917</v>
      </c>
      <c r="H18" s="211">
        <f t="shared" si="2"/>
        <v>10467385.871413099</v>
      </c>
    </row>
    <row r="19" spans="1:8" s="77" customFormat="1" ht="15" customHeight="1" x14ac:dyDescent="0.2">
      <c r="A19" s="192" t="s">
        <v>60</v>
      </c>
      <c r="B19" s="213">
        <f>RP!I20</f>
        <v>95.416203033487506</v>
      </c>
      <c r="C19" s="195">
        <f>RP!G20</f>
        <v>78322.333333333328</v>
      </c>
      <c r="D19" s="195">
        <f t="shared" si="3"/>
        <v>817778.67177398817</v>
      </c>
      <c r="E19" s="195">
        <f t="shared" si="0"/>
        <v>85.512067553918214</v>
      </c>
      <c r="F19" s="214">
        <f t="shared" si="1"/>
        <v>6697504.6589805</v>
      </c>
      <c r="G19" s="215">
        <f>Dotation_RA!$D$25/Dotation_RA!$D$26*F19</f>
        <v>2711400.8429054623</v>
      </c>
      <c r="H19" s="216">
        <f t="shared" si="2"/>
        <v>3986103.8160750377</v>
      </c>
    </row>
    <row r="20" spans="1:8" s="77" customFormat="1" ht="15" customHeight="1" x14ac:dyDescent="0.2">
      <c r="A20" s="187" t="s">
        <v>61</v>
      </c>
      <c r="B20" s="208">
        <f>RP!I21</f>
        <v>84.747837782088681</v>
      </c>
      <c r="C20" s="190">
        <f>RP!G21</f>
        <v>53614</v>
      </c>
      <c r="D20" s="190">
        <f t="shared" si="3"/>
        <v>3568102.6052799467</v>
      </c>
      <c r="E20" s="190">
        <f t="shared" si="0"/>
        <v>545.0500317525283</v>
      </c>
      <c r="F20" s="209">
        <f t="shared" si="1"/>
        <v>29222312.402380053</v>
      </c>
      <c r="G20" s="210">
        <f>Dotation_RA!$D$25/Dotation_RA!$D$26*F20</f>
        <v>11830287.026858298</v>
      </c>
      <c r="H20" s="211">
        <f t="shared" si="2"/>
        <v>17392025.375521757</v>
      </c>
    </row>
    <row r="21" spans="1:8" s="77" customFormat="1" ht="15" customHeight="1" x14ac:dyDescent="0.2">
      <c r="A21" s="192" t="s">
        <v>62</v>
      </c>
      <c r="B21" s="213">
        <f>RP!I22</f>
        <v>85.099463309211387</v>
      </c>
      <c r="C21" s="195">
        <f>RP!G22</f>
        <v>15791.5</v>
      </c>
      <c r="D21" s="195">
        <f t="shared" si="3"/>
        <v>1013855.305487588</v>
      </c>
      <c r="E21" s="195">
        <f t="shared" si="0"/>
        <v>525.81120690844261</v>
      </c>
      <c r="F21" s="214">
        <f t="shared" si="1"/>
        <v>8303347.6738946717</v>
      </c>
      <c r="G21" s="215">
        <f>Dotation_RA!$D$25/Dotation_RA!$D$26*F21</f>
        <v>3361506.2666282905</v>
      </c>
      <c r="H21" s="216">
        <f t="shared" si="2"/>
        <v>4941841.4072663812</v>
      </c>
    </row>
    <row r="22" spans="1:8" s="77" customFormat="1" ht="15" customHeight="1" x14ac:dyDescent="0.2">
      <c r="A22" s="187" t="s">
        <v>63</v>
      </c>
      <c r="B22" s="208">
        <f>RP!I23</f>
        <v>79.368268040057799</v>
      </c>
      <c r="C22" s="190">
        <f>RP!G23</f>
        <v>488488</v>
      </c>
      <c r="D22" s="190">
        <f t="shared" si="3"/>
        <v>51779695.31060113</v>
      </c>
      <c r="E22" s="190">
        <f t="shared" si="0"/>
        <v>868.12614483802292</v>
      </c>
      <c r="F22" s="209">
        <f t="shared" si="1"/>
        <v>424069204.23963612</v>
      </c>
      <c r="G22" s="210">
        <f>Dotation_RA!$D$25/Dotation_RA!$D$26*F22</f>
        <v>171679103.84113491</v>
      </c>
      <c r="H22" s="211">
        <f t="shared" si="2"/>
        <v>252390100.39850122</v>
      </c>
    </row>
    <row r="23" spans="1:8" s="77" customFormat="1" ht="15" customHeight="1" x14ac:dyDescent="0.2">
      <c r="A23" s="192" t="s">
        <v>64</v>
      </c>
      <c r="B23" s="213">
        <f>RP!I24</f>
        <v>82.533272328543603</v>
      </c>
      <c r="C23" s="195">
        <f>RP!G24</f>
        <v>202118.33333333334</v>
      </c>
      <c r="D23" s="195">
        <f t="shared" si="3"/>
        <v>16576066.296765408</v>
      </c>
      <c r="E23" s="195">
        <f t="shared" si="0"/>
        <v>671.66545357006248</v>
      </c>
      <c r="F23" s="214">
        <f t="shared" si="1"/>
        <v>135755902.03315842</v>
      </c>
      <c r="G23" s="215">
        <f>Dotation_RA!$D$25/Dotation_RA!$D$26*F23</f>
        <v>54959075.946074501</v>
      </c>
      <c r="H23" s="216">
        <f t="shared" si="2"/>
        <v>80796826.087083921</v>
      </c>
    </row>
    <row r="24" spans="1:8" s="77" customFormat="1" ht="15" customHeight="1" x14ac:dyDescent="0.2">
      <c r="A24" s="187" t="s">
        <v>65</v>
      </c>
      <c r="B24" s="208">
        <f>RP!I25</f>
        <v>87.001994773027121</v>
      </c>
      <c r="C24" s="190">
        <f>RP!G25</f>
        <v>627598.5</v>
      </c>
      <c r="D24" s="190">
        <f t="shared" si="3"/>
        <v>32646161.74959638</v>
      </c>
      <c r="E24" s="190">
        <f t="shared" si="0"/>
        <v>426.01753569105347</v>
      </c>
      <c r="F24" s="209">
        <f t="shared" si="1"/>
        <v>267367966.37340161</v>
      </c>
      <c r="G24" s="210">
        <f>Dotation_RA!$D$25/Dotation_RA!$D$26*F24</f>
        <v>108240571.12356107</v>
      </c>
      <c r="H24" s="211">
        <f t="shared" si="2"/>
        <v>159127395.24984056</v>
      </c>
    </row>
    <row r="25" spans="1:8" s="77" customFormat="1" ht="15" customHeight="1" x14ac:dyDescent="0.2">
      <c r="A25" s="192" t="s">
        <v>66</v>
      </c>
      <c r="B25" s="213">
        <f>RP!I26</f>
        <v>79.183489406954195</v>
      </c>
      <c r="C25" s="195">
        <f>RP!G26</f>
        <v>256521.5</v>
      </c>
      <c r="D25" s="195">
        <f t="shared" si="3"/>
        <v>27567369.723665327</v>
      </c>
      <c r="E25" s="195">
        <f t="shared" si="0"/>
        <v>880.13401319512298</v>
      </c>
      <c r="F25" s="214">
        <f t="shared" si="1"/>
        <v>225773297.26583275</v>
      </c>
      <c r="G25" s="215">
        <f>Dotation_RA!$D$25/Dotation_RA!$D$26*F25</f>
        <v>91401490.507556915</v>
      </c>
      <c r="H25" s="216">
        <f t="shared" si="2"/>
        <v>134371806.75827584</v>
      </c>
    </row>
    <row r="26" spans="1:8" s="77" customFormat="1" ht="15" customHeight="1" x14ac:dyDescent="0.2">
      <c r="A26" s="187" t="s">
        <v>67</v>
      </c>
      <c r="B26" s="208">
        <f>RP!I27</f>
        <v>96.56980935457004</v>
      </c>
      <c r="C26" s="190">
        <f>RP!G27</f>
        <v>341905.5</v>
      </c>
      <c r="D26" s="190">
        <f t="shared" si="3"/>
        <v>2283868.6024476676</v>
      </c>
      <c r="E26" s="190">
        <f t="shared" si="0"/>
        <v>54.706920889587828</v>
      </c>
      <c r="F26" s="209">
        <f t="shared" si="1"/>
        <v>18704597.140214972</v>
      </c>
      <c r="G26" s="210">
        <f>Dotation_RA!$D$25/Dotation_RA!$D$26*F26</f>
        <v>7572321.7876650132</v>
      </c>
      <c r="H26" s="211">
        <f t="shared" si="2"/>
        <v>11132275.352549959</v>
      </c>
    </row>
    <row r="27" spans="1:8" s="77" customFormat="1" ht="15" customHeight="1" x14ac:dyDescent="0.2">
      <c r="A27" s="192" t="s">
        <v>68</v>
      </c>
      <c r="B27" s="213">
        <f>RP!I28</f>
        <v>101.3868786385592</v>
      </c>
      <c r="C27" s="195">
        <f>RP!G28</f>
        <v>739461.5</v>
      </c>
      <c r="D27" s="195">
        <f t="shared" si="3"/>
        <v>0</v>
      </c>
      <c r="E27" s="195">
        <f t="shared" si="0"/>
        <v>0</v>
      </c>
      <c r="F27" s="214">
        <f t="shared" si="1"/>
        <v>0</v>
      </c>
      <c r="G27" s="215">
        <f>Dotation_RA!$D$25/Dotation_RA!$D$26*F27</f>
        <v>0</v>
      </c>
      <c r="H27" s="216">
        <f t="shared" si="2"/>
        <v>0</v>
      </c>
    </row>
    <row r="28" spans="1:8" s="77" customFormat="1" ht="15" customHeight="1" x14ac:dyDescent="0.2">
      <c r="A28" s="187" t="s">
        <v>69</v>
      </c>
      <c r="B28" s="208">
        <f>RP!I29</f>
        <v>66.924123530778061</v>
      </c>
      <c r="C28" s="190">
        <f>RP!G29</f>
        <v>327591.83333333331</v>
      </c>
      <c r="D28" s="190">
        <f t="shared" si="3"/>
        <v>71852974.352206662</v>
      </c>
      <c r="E28" s="190">
        <f t="shared" si="0"/>
        <v>1796.341604825084</v>
      </c>
      <c r="F28" s="209">
        <f t="shared" si="1"/>
        <v>588466839.61759138</v>
      </c>
      <c r="G28" s="210">
        <f>Dotation_RA!$D$25/Dotation_RA!$D$26*F28</f>
        <v>238233426.65713498</v>
      </c>
      <c r="H28" s="211">
        <f t="shared" si="2"/>
        <v>350233412.96045637</v>
      </c>
    </row>
    <row r="29" spans="1:8" s="77" customFormat="1" ht="15" customHeight="1" x14ac:dyDescent="0.2">
      <c r="A29" s="192" t="s">
        <v>70</v>
      </c>
      <c r="B29" s="213">
        <f>RP!I30</f>
        <v>96.987092772431112</v>
      </c>
      <c r="C29" s="195">
        <f>RP!G30</f>
        <v>175314</v>
      </c>
      <c r="D29" s="195">
        <f t="shared" si="3"/>
        <v>958937.10833061975</v>
      </c>
      <c r="E29" s="195">
        <f t="shared" si="0"/>
        <v>44.79718980535862</v>
      </c>
      <c r="F29" s="214">
        <f t="shared" si="1"/>
        <v>7853574.5335366409</v>
      </c>
      <c r="G29" s="215">
        <f>Dotation_RA!$D$25/Dotation_RA!$D$26*F29</f>
        <v>3179421.2463143761</v>
      </c>
      <c r="H29" s="216">
        <f t="shared" si="2"/>
        <v>4674153.2872222643</v>
      </c>
    </row>
    <row r="30" spans="1:8" s="77" customFormat="1" ht="15" customHeight="1" x14ac:dyDescent="0.2">
      <c r="A30" s="187" t="s">
        <v>71</v>
      </c>
      <c r="B30" s="208">
        <f>RP!I31</f>
        <v>142.44036350907274</v>
      </c>
      <c r="C30" s="190">
        <f>RP!G31</f>
        <v>466126.83333333331</v>
      </c>
      <c r="D30" s="190">
        <f t="shared" si="3"/>
        <v>0</v>
      </c>
      <c r="E30" s="190">
        <f t="shared" si="0"/>
        <v>0</v>
      </c>
      <c r="F30" s="209">
        <f t="shared" si="1"/>
        <v>0</v>
      </c>
      <c r="G30" s="210">
        <f>Dotation_RA!$D$25/Dotation_RA!$D$26*F30</f>
        <v>0</v>
      </c>
      <c r="H30" s="211">
        <f t="shared" si="2"/>
        <v>0</v>
      </c>
    </row>
    <row r="31" spans="1:8" s="77" customFormat="1" ht="15" customHeight="1" x14ac:dyDescent="0.2">
      <c r="A31" s="192" t="s">
        <v>72</v>
      </c>
      <c r="B31" s="213">
        <f>RP!I32</f>
        <v>65.134176149224544</v>
      </c>
      <c r="C31" s="195">
        <f>RP!G32</f>
        <v>71163.833333333328</v>
      </c>
      <c r="D31" s="195">
        <f t="shared" si="3"/>
        <v>16929161.428084638</v>
      </c>
      <c r="E31" s="195">
        <f t="shared" si="0"/>
        <v>1948.2889037488944</v>
      </c>
      <c r="F31" s="214">
        <f t="shared" si="1"/>
        <v>138647706.83156902</v>
      </c>
      <c r="G31" s="215">
        <f>Dotation_RA!$D$25/Dotation_RA!$D$26*F31</f>
        <v>56129786.885023229</v>
      </c>
      <c r="H31" s="216">
        <f t="shared" si="2"/>
        <v>82517919.94654578</v>
      </c>
    </row>
    <row r="32" spans="1:8" x14ac:dyDescent="0.2">
      <c r="A32" s="197" t="s">
        <v>114</v>
      </c>
      <c r="B32" s="221">
        <f>RP!I33</f>
        <v>100</v>
      </c>
      <c r="C32" s="199">
        <f>RP!G33</f>
        <v>8080253.333333333</v>
      </c>
      <c r="D32" s="199">
        <f>SUM(D6:D31)</f>
        <v>482147112.89591229</v>
      </c>
      <c r="E32" s="199"/>
      <c r="F32" s="199">
        <f>SUM(F6:F31)</f>
        <v>3948724326.5092492</v>
      </c>
      <c r="G32" s="222">
        <f>SUM(G6:G31)</f>
        <v>1598591566.9266961</v>
      </c>
      <c r="H32" s="223">
        <f>SUM(H6:H31)</f>
        <v>2350132759.5825534</v>
      </c>
    </row>
  </sheetData>
  <mergeCells count="2">
    <mergeCell ref="A1:H1"/>
    <mergeCell ref="J4:K4"/>
  </mergeCells>
  <conditionalFormatting sqref="K5">
    <cfRule type="expression" dxfId="2" priority="1" stopIfTrue="1">
      <formula>ISBLANK(K5)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Header>&amp;L&amp;F&amp;R&amp;A</oddHeader>
    <oddFooter>&amp;CSeite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8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2" width="15.28515625" style="1" customWidth="1"/>
    <col min="3" max="3" width="17.42578125" style="1" customWidth="1"/>
    <col min="4" max="4" width="16.7109375" style="1" customWidth="1"/>
    <col min="5" max="5" width="19.140625" style="1" customWidth="1"/>
    <col min="6" max="6" width="15.140625" style="1" customWidth="1"/>
    <col min="7" max="7" width="18.5703125" style="1" customWidth="1"/>
    <col min="8" max="8" width="13.42578125" style="1" customWidth="1"/>
    <col min="9" max="9" width="2.42578125" style="1" customWidth="1"/>
    <col min="10" max="10" width="16.7109375" style="1" customWidth="1"/>
  </cols>
  <sheetData>
    <row r="1" spans="1:10" ht="27" customHeight="1" x14ac:dyDescent="0.2">
      <c r="A1" s="298" t="str">
        <f>"Standardisierte Steuererträge (SSE) "&amp;Info!C30</f>
        <v>Standardisierte Steuererträge (SSE) 2017</v>
      </c>
      <c r="B1" s="298"/>
      <c r="C1" s="298"/>
      <c r="D1" s="298"/>
      <c r="E1" s="298"/>
      <c r="F1" s="61"/>
      <c r="G1" s="61"/>
      <c r="H1" s="61"/>
      <c r="J1" s="17" t="str">
        <f>Info!$C$28</f>
        <v>FA_2017_20160519</v>
      </c>
    </row>
    <row r="2" spans="1:10" s="1" customFormat="1" x14ac:dyDescent="0.2">
      <c r="A2" s="62" t="s">
        <v>27</v>
      </c>
      <c r="B2" s="176" t="s">
        <v>97</v>
      </c>
      <c r="C2" s="63" t="s">
        <v>28</v>
      </c>
      <c r="D2" s="63" t="s">
        <v>29</v>
      </c>
      <c r="E2" s="63" t="s">
        <v>30</v>
      </c>
      <c r="F2" s="63" t="s">
        <v>31</v>
      </c>
      <c r="G2" s="63" t="s">
        <v>32</v>
      </c>
      <c r="H2" s="64" t="s">
        <v>33</v>
      </c>
      <c r="J2" s="224" t="s">
        <v>115</v>
      </c>
    </row>
    <row r="3" spans="1:10" s="22" customFormat="1" ht="11.25" customHeight="1" x14ac:dyDescent="0.2">
      <c r="A3" s="67" t="s">
        <v>35</v>
      </c>
      <c r="B3" s="225"/>
      <c r="C3" s="68"/>
      <c r="D3" s="68"/>
      <c r="E3" s="68" t="s">
        <v>116</v>
      </c>
      <c r="F3" s="68"/>
      <c r="G3" s="68" t="s">
        <v>117</v>
      </c>
      <c r="H3" s="226" t="s">
        <v>118</v>
      </c>
      <c r="J3" s="227" t="s">
        <v>119</v>
      </c>
    </row>
    <row r="4" spans="1:10" ht="63.75" customHeight="1" x14ac:dyDescent="0.2">
      <c r="A4" s="181"/>
      <c r="B4" s="228" t="s">
        <v>101</v>
      </c>
      <c r="C4" s="228" t="s">
        <v>120</v>
      </c>
      <c r="D4" s="201" t="s">
        <v>102</v>
      </c>
      <c r="E4" s="228" t="s">
        <v>121</v>
      </c>
      <c r="F4" s="201" t="s">
        <v>122</v>
      </c>
      <c r="G4" s="228" t="s">
        <v>123</v>
      </c>
      <c r="H4" s="184" t="s">
        <v>124</v>
      </c>
      <c r="I4" s="229"/>
      <c r="J4" s="230" t="s">
        <v>125</v>
      </c>
    </row>
    <row r="5" spans="1:10" s="33" customFormat="1" ht="13.5" customHeight="1" x14ac:dyDescent="0.2">
      <c r="A5" s="39" t="s">
        <v>43</v>
      </c>
      <c r="B5" s="186" t="s">
        <v>79</v>
      </c>
      <c r="C5" s="40" t="s">
        <v>46</v>
      </c>
      <c r="D5" s="40" t="s">
        <v>106</v>
      </c>
      <c r="E5" s="40" t="s">
        <v>46</v>
      </c>
      <c r="F5" s="231" t="s">
        <v>46</v>
      </c>
      <c r="G5" s="232" t="s">
        <v>46</v>
      </c>
      <c r="H5" s="233" t="s">
        <v>79</v>
      </c>
      <c r="I5" s="234"/>
      <c r="J5" s="235" t="s">
        <v>46</v>
      </c>
    </row>
    <row r="6" spans="1:10" x14ac:dyDescent="0.2">
      <c r="A6" s="236" t="s">
        <v>47</v>
      </c>
      <c r="B6" s="237">
        <f>RP!I7</f>
        <v>120.42753074221453</v>
      </c>
      <c r="C6" s="45">
        <f>RP!H7/RP!$H$33*sse*D6</f>
        <v>14646403282.985695</v>
      </c>
      <c r="D6" s="238">
        <f>RP!G7</f>
        <v>1412646.8333333333</v>
      </c>
      <c r="E6" s="45">
        <f t="shared" ref="E6:E32" si="0">C6/D6</f>
        <v>10368.057278991313</v>
      </c>
      <c r="F6" s="45">
        <f>IF(B6&gt;100,-Einzahlungen!F7,Auszahlungen!F6)/D6</f>
        <v>-361.03482639092186</v>
      </c>
      <c r="G6" s="45">
        <f t="shared" ref="G6:G31" si="1">E6+F6</f>
        <v>10007.022452600391</v>
      </c>
      <c r="H6" s="46">
        <f t="shared" ref="H6:H31" si="2">ROUND(G6/E$32*100,1)</f>
        <v>116.2</v>
      </c>
      <c r="J6" s="239">
        <f t="shared" ref="J6:J32" si="3">E6-E$32</f>
        <v>1758.682649210823</v>
      </c>
    </row>
    <row r="7" spans="1:10" x14ac:dyDescent="0.2">
      <c r="A7" s="240" t="s">
        <v>48</v>
      </c>
      <c r="B7" s="241">
        <f>RP!I8</f>
        <v>74.337755857493747</v>
      </c>
      <c r="C7" s="50">
        <f>RP!H8/RP!$H$33*sse*D7</f>
        <v>6382324115.8759451</v>
      </c>
      <c r="D7" s="242">
        <f>RP!G8</f>
        <v>997235.66666666663</v>
      </c>
      <c r="E7" s="50">
        <f t="shared" si="0"/>
        <v>6400.0158931432243</v>
      </c>
      <c r="F7" s="50">
        <f>IF(B7&gt;100,-Einzahlungen!F8,Auszahlungen!F7)/D7</f>
        <v>1215.0047507604263</v>
      </c>
      <c r="G7" s="50">
        <f t="shared" si="1"/>
        <v>7615.0206439036501</v>
      </c>
      <c r="H7" s="51">
        <f t="shared" si="2"/>
        <v>88.5</v>
      </c>
      <c r="J7" s="243">
        <f t="shared" si="3"/>
        <v>-2209.3587366372658</v>
      </c>
    </row>
    <row r="8" spans="1:10" x14ac:dyDescent="0.2">
      <c r="A8" s="244" t="s">
        <v>49</v>
      </c>
      <c r="B8" s="245">
        <f>RP!I9</f>
        <v>86.879410655457036</v>
      </c>
      <c r="C8" s="54">
        <f>RP!H9/RP!$H$33*sse*D8</f>
        <v>2893186532.8203549</v>
      </c>
      <c r="D8" s="246">
        <f>RP!G9</f>
        <v>386801.33333333331</v>
      </c>
      <c r="E8" s="54">
        <f t="shared" si="0"/>
        <v>7479.7739394737227</v>
      </c>
      <c r="F8" s="54">
        <f>IF(B8&gt;100,-Einzahlungen!F9,Auszahlungen!F8)/D8</f>
        <v>432.22347414181559</v>
      </c>
      <c r="G8" s="54">
        <f t="shared" si="1"/>
        <v>7911.9974136155379</v>
      </c>
      <c r="H8" s="55">
        <f t="shared" si="2"/>
        <v>91.9</v>
      </c>
      <c r="J8" s="247">
        <f t="shared" si="3"/>
        <v>-1129.6006903067673</v>
      </c>
    </row>
    <row r="9" spans="1:10" x14ac:dyDescent="0.2">
      <c r="A9" s="240" t="s">
        <v>50</v>
      </c>
      <c r="B9" s="241">
        <f>RP!I10</f>
        <v>66.214583542761602</v>
      </c>
      <c r="C9" s="50">
        <f>RP!H10/RP!$H$33*sse*D9</f>
        <v>205168709.6477831</v>
      </c>
      <c r="D9" s="242">
        <f>RP!G10</f>
        <v>35990.333333333336</v>
      </c>
      <c r="E9" s="50">
        <f t="shared" si="0"/>
        <v>5700.6615567453227</v>
      </c>
      <c r="F9" s="50">
        <f>IF(B9&gt;100,-Einzahlungen!F10,Auszahlungen!F9)/D9</f>
        <v>1856.0555669599623</v>
      </c>
      <c r="G9" s="50">
        <f t="shared" si="1"/>
        <v>7556.7171237052853</v>
      </c>
      <c r="H9" s="51">
        <f t="shared" si="2"/>
        <v>87.8</v>
      </c>
      <c r="J9" s="243">
        <f t="shared" si="3"/>
        <v>-2908.7130730351673</v>
      </c>
    </row>
    <row r="10" spans="1:10" x14ac:dyDescent="0.2">
      <c r="A10" s="244" t="s">
        <v>51</v>
      </c>
      <c r="B10" s="245">
        <f>RP!I11</f>
        <v>170.29650912852486</v>
      </c>
      <c r="C10" s="54">
        <f>RP!H11/RP!$H$33*sse*D10</f>
        <v>2203776939.7142148</v>
      </c>
      <c r="D10" s="246">
        <f>RP!G11</f>
        <v>150310.83333333334</v>
      </c>
      <c r="E10" s="54">
        <f t="shared" si="0"/>
        <v>14661.464452313026</v>
      </c>
      <c r="F10" s="54">
        <f>IF(B10&gt;100,-Einzahlungen!F11,Auszahlungen!F10)/D10</f>
        <v>-1242.4158499322109</v>
      </c>
      <c r="G10" s="54">
        <f t="shared" si="1"/>
        <v>13419.048602380815</v>
      </c>
      <c r="H10" s="55">
        <f t="shared" si="2"/>
        <v>155.9</v>
      </c>
      <c r="J10" s="247">
        <f t="shared" si="3"/>
        <v>6052.0898225325363</v>
      </c>
    </row>
    <row r="11" spans="1:10" x14ac:dyDescent="0.2">
      <c r="A11" s="240" t="s">
        <v>52</v>
      </c>
      <c r="B11" s="241">
        <f>RP!I12</f>
        <v>99.11613038020154</v>
      </c>
      <c r="C11" s="50">
        <f>RP!H12/RP!$H$33*sse*D11</f>
        <v>310921397.44993997</v>
      </c>
      <c r="D11" s="242">
        <f>RP!G12</f>
        <v>36436.333333333336</v>
      </c>
      <c r="E11" s="50">
        <f t="shared" si="0"/>
        <v>8533.278982973221</v>
      </c>
      <c r="F11" s="50">
        <f>IF(B11&gt;100,-Einzahlungen!F12,Auszahlungen!F11)/D11</f>
        <v>6.771385450666199</v>
      </c>
      <c r="G11" s="50">
        <f t="shared" si="1"/>
        <v>8540.0503684238865</v>
      </c>
      <c r="H11" s="51">
        <f t="shared" si="2"/>
        <v>99.2</v>
      </c>
      <c r="J11" s="243">
        <f t="shared" si="3"/>
        <v>-76.095646807269077</v>
      </c>
    </row>
    <row r="12" spans="1:10" x14ac:dyDescent="0.2">
      <c r="A12" s="244" t="s">
        <v>53</v>
      </c>
      <c r="B12" s="245">
        <f>RP!I13</f>
        <v>151.51789107669262</v>
      </c>
      <c r="C12" s="54">
        <f>RP!H13/RP!$H$33*sse*D12</f>
        <v>544591925.5010469</v>
      </c>
      <c r="D12" s="246">
        <f>RP!G13</f>
        <v>41748</v>
      </c>
      <c r="E12" s="54">
        <f t="shared" si="0"/>
        <v>13044.742873935204</v>
      </c>
      <c r="F12" s="54">
        <f>IF(B12&gt;100,-Einzahlungen!F13,Auszahlungen!F12)/D12</f>
        <v>-910.52379730178598</v>
      </c>
      <c r="G12" s="54">
        <f t="shared" si="1"/>
        <v>12134.219076633417</v>
      </c>
      <c r="H12" s="55">
        <f t="shared" si="2"/>
        <v>140.9</v>
      </c>
      <c r="J12" s="247">
        <f t="shared" si="3"/>
        <v>4435.3682441547135</v>
      </c>
    </row>
    <row r="13" spans="1:10" x14ac:dyDescent="0.2">
      <c r="A13" s="240" t="s">
        <v>54</v>
      </c>
      <c r="B13" s="241">
        <f>RP!I14</f>
        <v>70.788738948919928</v>
      </c>
      <c r="C13" s="50">
        <f>RP!H14/RP!$H$33*sse*D13</f>
        <v>242842192.73093924</v>
      </c>
      <c r="D13" s="242">
        <f>RP!G14</f>
        <v>39846.333333333336</v>
      </c>
      <c r="E13" s="50">
        <f t="shared" si="0"/>
        <v>6094.4677318098502</v>
      </c>
      <c r="F13" s="50">
        <f>IF(B13&gt;100,-Einzahlungen!F14,Auszahlungen!F13)/D13</f>
        <v>1483.3755343130636</v>
      </c>
      <c r="G13" s="50">
        <f t="shared" si="1"/>
        <v>7577.8432661229135</v>
      </c>
      <c r="H13" s="51">
        <f t="shared" si="2"/>
        <v>88</v>
      </c>
      <c r="J13" s="243">
        <f t="shared" si="3"/>
        <v>-2514.9068979706399</v>
      </c>
    </row>
    <row r="14" spans="1:10" x14ac:dyDescent="0.2">
      <c r="A14" s="244" t="s">
        <v>55</v>
      </c>
      <c r="B14" s="245">
        <f>RP!I15</f>
        <v>264.11698353052998</v>
      </c>
      <c r="C14" s="54">
        <f>RP!H15/RP!$H$33*sse*D14</f>
        <v>2664417510.8400664</v>
      </c>
      <c r="D14" s="246">
        <f>RP!G15</f>
        <v>117174.83333333333</v>
      </c>
      <c r="E14" s="54">
        <f t="shared" si="0"/>
        <v>22738.820573018947</v>
      </c>
      <c r="F14" s="54">
        <f>IF(B14&gt;100,-Einzahlungen!F15,Auszahlungen!F14)/D14</f>
        <v>-2900.5927052308639</v>
      </c>
      <c r="G14" s="54">
        <f t="shared" si="1"/>
        <v>19838.227867788082</v>
      </c>
      <c r="H14" s="55">
        <f t="shared" si="2"/>
        <v>230.4</v>
      </c>
      <c r="J14" s="247">
        <f t="shared" si="3"/>
        <v>14129.445943238457</v>
      </c>
    </row>
    <row r="15" spans="1:10" x14ac:dyDescent="0.2">
      <c r="A15" s="240" t="s">
        <v>56</v>
      </c>
      <c r="B15" s="241">
        <f>RP!I16</f>
        <v>78.504949514077893</v>
      </c>
      <c r="C15" s="50">
        <f>RP!H16/RP!$H$33*sse*D15</f>
        <v>1962359214.4508832</v>
      </c>
      <c r="D15" s="242">
        <f>RP!G16</f>
        <v>290342</v>
      </c>
      <c r="E15" s="50">
        <f t="shared" si="0"/>
        <v>6758.7852065870011</v>
      </c>
      <c r="F15" s="50">
        <f>IF(B15&gt;100,-Einzahlungen!F16,Auszahlungen!F15)/D15</f>
        <v>924.72284961814296</v>
      </c>
      <c r="G15" s="50">
        <f t="shared" si="1"/>
        <v>7683.5080562051444</v>
      </c>
      <c r="H15" s="51">
        <f t="shared" si="2"/>
        <v>89.2</v>
      </c>
      <c r="J15" s="243">
        <f t="shared" si="3"/>
        <v>-1850.589423193489</v>
      </c>
    </row>
    <row r="16" spans="1:10" x14ac:dyDescent="0.2">
      <c r="A16" s="244" t="s">
        <v>57</v>
      </c>
      <c r="B16" s="245">
        <f>RP!I17</f>
        <v>74.818028423563874</v>
      </c>
      <c r="C16" s="54">
        <f>RP!H17/RP!$H$33*sse*D16</f>
        <v>1674566859.8489714</v>
      </c>
      <c r="D16" s="246">
        <f>RP!G17</f>
        <v>259970.83333333334</v>
      </c>
      <c r="E16" s="54">
        <f t="shared" si="0"/>
        <v>6441.3643576002614</v>
      </c>
      <c r="F16" s="54">
        <f>IF(B16&gt;100,-Einzahlungen!F17,Auszahlungen!F16)/D16</f>
        <v>1180.1485554838009</v>
      </c>
      <c r="G16" s="54">
        <f t="shared" si="1"/>
        <v>7621.5129130840623</v>
      </c>
      <c r="H16" s="55">
        <f t="shared" si="2"/>
        <v>88.5</v>
      </c>
      <c r="J16" s="247">
        <f t="shared" si="3"/>
        <v>-2168.0102721802286</v>
      </c>
    </row>
    <row r="17" spans="1:10" x14ac:dyDescent="0.2">
      <c r="A17" s="240" t="s">
        <v>58</v>
      </c>
      <c r="B17" s="241">
        <f>RP!I18</f>
        <v>146.47753383233874</v>
      </c>
      <c r="C17" s="50">
        <f>RP!H18/RP!$H$33*sse*D17</f>
        <v>2397647197.0109701</v>
      </c>
      <c r="D17" s="242">
        <f>RP!G18</f>
        <v>190126.5</v>
      </c>
      <c r="E17" s="50">
        <f t="shared" si="0"/>
        <v>12610.799636089499</v>
      </c>
      <c r="F17" s="50">
        <f>IF(B17&gt;100,-Einzahlungen!F18,Auszahlungen!F17)/D17</f>
        <v>-821.44085694899366</v>
      </c>
      <c r="G17" s="50">
        <f t="shared" si="1"/>
        <v>11789.358779140506</v>
      </c>
      <c r="H17" s="51">
        <f t="shared" si="2"/>
        <v>136.9</v>
      </c>
      <c r="J17" s="243">
        <f t="shared" si="3"/>
        <v>4001.4250063090094</v>
      </c>
    </row>
    <row r="18" spans="1:10" x14ac:dyDescent="0.2">
      <c r="A18" s="244" t="s">
        <v>59</v>
      </c>
      <c r="B18" s="245">
        <f>RP!I19</f>
        <v>96.227026733001765</v>
      </c>
      <c r="C18" s="54">
        <f>RP!H19/RP!$H$33*sse*D18</f>
        <v>2299838081.4021969</v>
      </c>
      <c r="D18" s="246">
        <f>RP!G19</f>
        <v>277605.83333333331</v>
      </c>
      <c r="E18" s="54">
        <f t="shared" si="0"/>
        <v>8284.5452265431395</v>
      </c>
      <c r="F18" s="54">
        <f>IF(B18&gt;100,-Einzahlungen!F19,Auszahlungen!F18)/D18</f>
        <v>63.354003688582495</v>
      </c>
      <c r="G18" s="54">
        <f t="shared" si="1"/>
        <v>8347.899230231722</v>
      </c>
      <c r="H18" s="55">
        <f t="shared" si="2"/>
        <v>97</v>
      </c>
      <c r="J18" s="247">
        <f t="shared" si="3"/>
        <v>-324.82940323735056</v>
      </c>
    </row>
    <row r="19" spans="1:10" x14ac:dyDescent="0.2">
      <c r="A19" s="240" t="s">
        <v>60</v>
      </c>
      <c r="B19" s="241">
        <f>RP!I20</f>
        <v>95.416203033487506</v>
      </c>
      <c r="C19" s="50">
        <f>RP!H20/RP!$H$33*sse*D19</f>
        <v>643397477.38327467</v>
      </c>
      <c r="D19" s="242">
        <f>RP!G20</f>
        <v>78322.333333333328</v>
      </c>
      <c r="E19" s="50">
        <f t="shared" si="0"/>
        <v>8214.7383766649109</v>
      </c>
      <c r="F19" s="50">
        <f>IF(B19&gt;100,-Einzahlungen!F20,Auszahlungen!F19)/D19</f>
        <v>85.512067553918214</v>
      </c>
      <c r="G19" s="50">
        <f t="shared" si="1"/>
        <v>8300.2504442188292</v>
      </c>
      <c r="H19" s="51">
        <f t="shared" si="2"/>
        <v>96.4</v>
      </c>
      <c r="J19" s="243">
        <f t="shared" si="3"/>
        <v>-394.63625311557917</v>
      </c>
    </row>
    <row r="20" spans="1:10" x14ac:dyDescent="0.2">
      <c r="A20" s="244" t="s">
        <v>61</v>
      </c>
      <c r="B20" s="245">
        <f>RP!I21</f>
        <v>84.747837782088681</v>
      </c>
      <c r="C20" s="54">
        <f>RP!H21/RP!$H$33*sse*D20</f>
        <v>391181621.73184264</v>
      </c>
      <c r="D20" s="246">
        <f>RP!G21</f>
        <v>53614</v>
      </c>
      <c r="E20" s="54">
        <f t="shared" si="0"/>
        <v>7296.2588452986656</v>
      </c>
      <c r="F20" s="54">
        <f>IF(B20&gt;100,-Einzahlungen!F21,Auszahlungen!F20)/D20</f>
        <v>545.0500317525283</v>
      </c>
      <c r="G20" s="54">
        <f t="shared" si="1"/>
        <v>7841.308877051194</v>
      </c>
      <c r="H20" s="55">
        <f t="shared" si="2"/>
        <v>91.1</v>
      </c>
      <c r="J20" s="247">
        <f t="shared" si="3"/>
        <v>-1313.1157844818244</v>
      </c>
    </row>
    <row r="21" spans="1:10" x14ac:dyDescent="0.2">
      <c r="A21" s="240" t="s">
        <v>62</v>
      </c>
      <c r="B21" s="241">
        <f>RP!I22</f>
        <v>85.099463309211387</v>
      </c>
      <c r="C21" s="50">
        <f>RP!H22/RP!$H$33*sse*D21</f>
        <v>115696923.82808116</v>
      </c>
      <c r="D21" s="242">
        <f>RP!G22</f>
        <v>15791.5</v>
      </c>
      <c r="E21" s="50">
        <f t="shared" si="0"/>
        <v>7326.5316042225986</v>
      </c>
      <c r="F21" s="50">
        <f>IF(B21&gt;100,-Einzahlungen!F22,Auszahlungen!F21)/D21</f>
        <v>525.81120690844261</v>
      </c>
      <c r="G21" s="50">
        <f t="shared" si="1"/>
        <v>7852.3428111310413</v>
      </c>
      <c r="H21" s="51">
        <f t="shared" si="2"/>
        <v>91.2</v>
      </c>
      <c r="J21" s="243">
        <f t="shared" si="3"/>
        <v>-1282.8430255578915</v>
      </c>
    </row>
    <row r="22" spans="1:10" x14ac:dyDescent="0.2">
      <c r="A22" s="244" t="s">
        <v>63</v>
      </c>
      <c r="B22" s="245">
        <f>RP!I23</f>
        <v>79.368268040057799</v>
      </c>
      <c r="C22" s="54">
        <f>RP!H23/RP!$H$33*sse*D22</f>
        <v>3337892986.4035878</v>
      </c>
      <c r="D22" s="246">
        <f>RP!G23</f>
        <v>488488</v>
      </c>
      <c r="E22" s="54">
        <f t="shared" si="0"/>
        <v>6833.1115327369107</v>
      </c>
      <c r="F22" s="54">
        <f>IF(B22&gt;100,-Einzahlungen!F23,Auszahlungen!F22)/D22</f>
        <v>868.12614483802292</v>
      </c>
      <c r="G22" s="54">
        <f t="shared" si="1"/>
        <v>7701.2376775749335</v>
      </c>
      <c r="H22" s="55">
        <f t="shared" si="2"/>
        <v>89.5</v>
      </c>
      <c r="J22" s="247">
        <f t="shared" si="3"/>
        <v>-1776.2630970435794</v>
      </c>
    </row>
    <row r="23" spans="1:10" x14ac:dyDescent="0.2">
      <c r="A23" s="240" t="s">
        <v>64</v>
      </c>
      <c r="B23" s="241">
        <f>RP!I24</f>
        <v>82.533272328543603</v>
      </c>
      <c r="C23" s="50">
        <f>RP!H24/RP!$H$33*sse*D23</f>
        <v>1436171748.1829464</v>
      </c>
      <c r="D23" s="242">
        <f>RP!G24</f>
        <v>202118.33333333334</v>
      </c>
      <c r="E23" s="50">
        <f t="shared" si="0"/>
        <v>7105.5986089812723</v>
      </c>
      <c r="F23" s="50">
        <f>IF(B23&gt;100,-Einzahlungen!F24,Auszahlungen!F23)/D23</f>
        <v>671.66545357006248</v>
      </c>
      <c r="G23" s="50">
        <f t="shared" si="1"/>
        <v>7777.264062551335</v>
      </c>
      <c r="H23" s="51">
        <f t="shared" si="2"/>
        <v>90.3</v>
      </c>
      <c r="J23" s="243">
        <f t="shared" si="3"/>
        <v>-1503.7760207992178</v>
      </c>
    </row>
    <row r="24" spans="1:10" x14ac:dyDescent="0.2">
      <c r="A24" s="244" t="s">
        <v>65</v>
      </c>
      <c r="B24" s="245">
        <f>RP!I25</f>
        <v>87.001994773027121</v>
      </c>
      <c r="C24" s="54">
        <f>RP!H25/RP!$H$33*sse*D24</f>
        <v>4700918407.308485</v>
      </c>
      <c r="D24" s="246">
        <f>RP!G25</f>
        <v>627598.5</v>
      </c>
      <c r="E24" s="54">
        <f t="shared" si="0"/>
        <v>7490.3276653919429</v>
      </c>
      <c r="F24" s="54">
        <f>IF(B24&gt;100,-Einzahlungen!F25,Auszahlungen!F24)/D24</f>
        <v>426.01753569105347</v>
      </c>
      <c r="G24" s="54">
        <f t="shared" si="1"/>
        <v>7916.345201082996</v>
      </c>
      <c r="H24" s="55">
        <f t="shared" si="2"/>
        <v>92</v>
      </c>
      <c r="J24" s="247">
        <f t="shared" si="3"/>
        <v>-1119.0469643885472</v>
      </c>
    </row>
    <row r="25" spans="1:10" x14ac:dyDescent="0.2">
      <c r="A25" s="240" t="s">
        <v>66</v>
      </c>
      <c r="B25" s="241">
        <f>RP!I26</f>
        <v>79.183489406954195</v>
      </c>
      <c r="C25" s="50">
        <f>RP!H26/RP!$H$33*sse*D25</f>
        <v>1748759202.9759917</v>
      </c>
      <c r="D25" s="242">
        <f>RP!G26</f>
        <v>256521.5</v>
      </c>
      <c r="E25" s="50">
        <f t="shared" si="0"/>
        <v>6817.2032479772324</v>
      </c>
      <c r="F25" s="50">
        <f>IF(B25&gt;100,-Einzahlungen!F26,Auszahlungen!F25)/D25</f>
        <v>880.13401319512298</v>
      </c>
      <c r="G25" s="50">
        <f t="shared" si="1"/>
        <v>7697.3372611723553</v>
      </c>
      <c r="H25" s="51">
        <f t="shared" si="2"/>
        <v>89.4</v>
      </c>
      <c r="J25" s="243">
        <f t="shared" si="3"/>
        <v>-1792.1713818032576</v>
      </c>
    </row>
    <row r="26" spans="1:10" x14ac:dyDescent="0.2">
      <c r="A26" s="244" t="s">
        <v>67</v>
      </c>
      <c r="B26" s="245">
        <f>RP!I27</f>
        <v>96.56980935457004</v>
      </c>
      <c r="C26" s="54">
        <f>RP!H27/RP!$H$33*sse*D26</f>
        <v>2842621701.6221161</v>
      </c>
      <c r="D26" s="246">
        <f>RP!G27</f>
        <v>341905.5</v>
      </c>
      <c r="E26" s="54">
        <f t="shared" si="0"/>
        <v>8314.0566665997358</v>
      </c>
      <c r="F26" s="54">
        <f>IF(B26&gt;100,-Einzahlungen!F27,Auszahlungen!F26)/D26</f>
        <v>54.706920889587828</v>
      </c>
      <c r="G26" s="54">
        <f t="shared" si="1"/>
        <v>8368.763587489324</v>
      </c>
      <c r="H26" s="55">
        <f t="shared" si="2"/>
        <v>97.2</v>
      </c>
      <c r="J26" s="247">
        <f t="shared" si="3"/>
        <v>-295.3179631807543</v>
      </c>
    </row>
    <row r="27" spans="1:10" x14ac:dyDescent="0.2">
      <c r="A27" s="240" t="s">
        <v>68</v>
      </c>
      <c r="B27" s="241">
        <f>RP!I28</f>
        <v>101.3868786385592</v>
      </c>
      <c r="C27" s="50">
        <f>RP!H28/RP!$H$33*sse*D27</f>
        <v>6454593947.5137873</v>
      </c>
      <c r="D27" s="242">
        <f>RP!G28</f>
        <v>739461.5</v>
      </c>
      <c r="E27" s="50">
        <f t="shared" si="0"/>
        <v>8728.7762074344464</v>
      </c>
      <c r="F27" s="50">
        <f>IF(B27&gt;100,-Einzahlungen!F28,Auszahlungen!F27)/D27</f>
        <v>-24.511601270669082</v>
      </c>
      <c r="G27" s="50">
        <f t="shared" si="1"/>
        <v>8704.264606163777</v>
      </c>
      <c r="H27" s="51">
        <f t="shared" si="2"/>
        <v>101.1</v>
      </c>
      <c r="J27" s="243">
        <f t="shared" si="3"/>
        <v>119.40157765395634</v>
      </c>
    </row>
    <row r="28" spans="1:10" x14ac:dyDescent="0.2">
      <c r="A28" s="244" t="s">
        <v>69</v>
      </c>
      <c r="B28" s="245">
        <f>RP!I29</f>
        <v>66.924123530778061</v>
      </c>
      <c r="C28" s="54">
        <f>RP!H29/RP!$H$33*sse*D28</f>
        <v>1887501758.4029539</v>
      </c>
      <c r="D28" s="246">
        <f>RP!G29</f>
        <v>327591.83333333331</v>
      </c>
      <c r="E28" s="54">
        <f t="shared" si="0"/>
        <v>5761.7485124617597</v>
      </c>
      <c r="F28" s="54">
        <f>IF(B28&gt;100,-Einzahlungen!F29,Auszahlungen!F28)/D28</f>
        <v>1796.341604825084</v>
      </c>
      <c r="G28" s="54">
        <f t="shared" si="1"/>
        <v>7558.0901172868435</v>
      </c>
      <c r="H28" s="55">
        <f t="shared" si="2"/>
        <v>87.8</v>
      </c>
      <c r="J28" s="247">
        <f t="shared" si="3"/>
        <v>-2847.6261173187304</v>
      </c>
    </row>
    <row r="29" spans="1:10" x14ac:dyDescent="0.2">
      <c r="A29" s="240" t="s">
        <v>70</v>
      </c>
      <c r="B29" s="241">
        <f>RP!I30</f>
        <v>96.987092772431112</v>
      </c>
      <c r="C29" s="50">
        <f>RP!H30/RP!$H$33*sse*D29</f>
        <v>1463868772.2775097</v>
      </c>
      <c r="D29" s="242">
        <f>RP!G30</f>
        <v>175314</v>
      </c>
      <c r="E29" s="50">
        <f t="shared" si="0"/>
        <v>8349.9821593113484</v>
      </c>
      <c r="F29" s="50">
        <f>IF(B29&gt;100,-Einzahlungen!F30,Auszahlungen!F29)/D29</f>
        <v>44.79718980535862</v>
      </c>
      <c r="G29" s="50">
        <f t="shared" si="1"/>
        <v>8394.7793491167067</v>
      </c>
      <c r="H29" s="51">
        <f t="shared" si="2"/>
        <v>97.5</v>
      </c>
      <c r="J29" s="243">
        <f t="shared" si="3"/>
        <v>-259.3924704691417</v>
      </c>
    </row>
    <row r="30" spans="1:10" x14ac:dyDescent="0.2">
      <c r="A30" s="244" t="s">
        <v>71</v>
      </c>
      <c r="B30" s="245">
        <f>RP!I31</f>
        <v>142.44036350907274</v>
      </c>
      <c r="C30" s="54">
        <f>RP!H31/RP!$H$33*sse*D30</f>
        <v>5716218011.2721186</v>
      </c>
      <c r="D30" s="246">
        <f>RP!G31</f>
        <v>466126.83333333331</v>
      </c>
      <c r="E30" s="54">
        <f t="shared" si="0"/>
        <v>12263.224518517211</v>
      </c>
      <c r="F30" s="54">
        <f>IF(B30&gt;100,-Einzahlungen!F31,Auszahlungen!F30)/D30</f>
        <v>-750.08817584599558</v>
      </c>
      <c r="G30" s="54">
        <f t="shared" si="1"/>
        <v>11513.136342671214</v>
      </c>
      <c r="H30" s="55">
        <f t="shared" si="2"/>
        <v>133.69999999999999</v>
      </c>
      <c r="J30" s="247">
        <f t="shared" si="3"/>
        <v>3653.8498887367205</v>
      </c>
    </row>
    <row r="31" spans="1:10" x14ac:dyDescent="0.2">
      <c r="A31" s="240" t="s">
        <v>72</v>
      </c>
      <c r="B31" s="248">
        <f>RP!I32</f>
        <v>65.134176149224544</v>
      </c>
      <c r="C31" s="130">
        <f>RP!H32/RP!$H$33*sse*D31</f>
        <v>399061531.01753938</v>
      </c>
      <c r="D31" s="249">
        <f>RP!G32</f>
        <v>71163.833333333328</v>
      </c>
      <c r="E31" s="130">
        <f t="shared" si="0"/>
        <v>5607.64523670787</v>
      </c>
      <c r="F31" s="130">
        <f>IF(B31&gt;100,-Einzahlungen!F32,Auszahlungen!F31)/D31</f>
        <v>1948.2889037488944</v>
      </c>
      <c r="G31" s="130">
        <f t="shared" si="1"/>
        <v>7555.934140456764</v>
      </c>
      <c r="H31" s="250">
        <f t="shared" si="2"/>
        <v>87.8</v>
      </c>
      <c r="J31" s="251">
        <f t="shared" si="3"/>
        <v>-3001.72939307262</v>
      </c>
    </row>
    <row r="32" spans="1:10" s="77" customFormat="1" ht="15" customHeight="1" x14ac:dyDescent="0.2">
      <c r="A32" s="197" t="s">
        <v>114</v>
      </c>
      <c r="B32" s="221">
        <f>RP!I33</f>
        <v>100</v>
      </c>
      <c r="C32" s="199">
        <f>SUM(C6:C31)</f>
        <v>69565928050.199234</v>
      </c>
      <c r="D32" s="252">
        <f>SUM(D6:D31)</f>
        <v>8080253.333333333</v>
      </c>
      <c r="E32" s="199">
        <f t="shared" si="0"/>
        <v>8609.3746297804901</v>
      </c>
      <c r="F32" s="199"/>
      <c r="G32" s="199"/>
      <c r="H32" s="253"/>
      <c r="J32" s="254">
        <f t="shared" si="3"/>
        <v>0</v>
      </c>
    </row>
    <row r="33" spans="1:10" s="255" customFormat="1" ht="18.75" customHeight="1" x14ac:dyDescent="0.2">
      <c r="A33" s="256" t="s">
        <v>126</v>
      </c>
      <c r="B33" s="257">
        <f>MIN(B6:B31)</f>
        <v>65.134176149224544</v>
      </c>
      <c r="C33" s="257"/>
      <c r="D33" s="258"/>
      <c r="E33" s="259"/>
      <c r="F33" s="259"/>
      <c r="G33" s="259"/>
      <c r="H33" s="260">
        <f>MIN(H6:H31)</f>
        <v>87.8</v>
      </c>
    </row>
    <row r="34" spans="1:10" s="1" customFormat="1" ht="14.25" customHeight="1" x14ac:dyDescent="0.2">
      <c r="A34" s="56"/>
      <c r="B34" s="261"/>
      <c r="C34" s="261"/>
      <c r="D34" s="262"/>
      <c r="E34" s="29"/>
      <c r="F34" s="29"/>
      <c r="G34" s="29"/>
      <c r="H34" s="261"/>
    </row>
    <row r="35" spans="1:10" ht="26.25" customHeight="1" x14ac:dyDescent="0.2">
      <c r="A35" s="302" t="str">
        <f>"Standardisierter Steuersatz "&amp;Info!C30</f>
        <v>Standardisierter Steuersatz 2017</v>
      </c>
      <c r="B35" s="302"/>
      <c r="C35" s="302"/>
      <c r="D35" s="302"/>
      <c r="E35" s="302"/>
      <c r="F35" s="302"/>
      <c r="G35" s="302"/>
      <c r="H35" s="302"/>
    </row>
    <row r="36" spans="1:10" ht="15.75" customHeight="1" x14ac:dyDescent="0.2">
      <c r="A36" s="181"/>
      <c r="B36" s="263"/>
      <c r="C36" s="263"/>
      <c r="D36" s="264" t="s">
        <v>43</v>
      </c>
      <c r="E36" s="265" t="s">
        <v>35</v>
      </c>
      <c r="F36" s="266">
        <v>2011</v>
      </c>
      <c r="G36" s="267">
        <v>2012</v>
      </c>
      <c r="H36" s="268">
        <v>2013</v>
      </c>
      <c r="I36" s="269"/>
      <c r="J36" s="270" t="str">
        <f>F36&amp;" - "&amp;H36</f>
        <v>2011 - 2013</v>
      </c>
    </row>
    <row r="37" spans="1:10" ht="15" customHeight="1" x14ac:dyDescent="0.2">
      <c r="A37" s="256" t="s">
        <v>127</v>
      </c>
      <c r="B37" s="263"/>
      <c r="C37" s="263"/>
      <c r="D37" s="264" t="s">
        <v>44</v>
      </c>
      <c r="E37" s="265"/>
      <c r="F37" s="271">
        <v>65434075.998970002</v>
      </c>
      <c r="G37" s="272">
        <v>66323505.69613</v>
      </c>
      <c r="H37" s="273">
        <v>67660602.117990002</v>
      </c>
      <c r="I37" s="274"/>
      <c r="J37" s="275"/>
    </row>
    <row r="38" spans="1:10" ht="15" customHeight="1" x14ac:dyDescent="0.2">
      <c r="A38" s="256" t="s">
        <v>128</v>
      </c>
      <c r="B38" s="263"/>
      <c r="C38" s="263"/>
      <c r="D38" s="264" t="s">
        <v>44</v>
      </c>
      <c r="E38" s="265"/>
      <c r="F38" s="271">
        <v>17891142.747850001</v>
      </c>
      <c r="G38" s="272">
        <v>18342023.320909999</v>
      </c>
      <c r="H38" s="273">
        <v>18352718.26952</v>
      </c>
      <c r="I38" s="276"/>
      <c r="J38" s="277"/>
    </row>
    <row r="39" spans="1:10" ht="15" customHeight="1" x14ac:dyDescent="0.2">
      <c r="A39" s="256" t="s">
        <v>129</v>
      </c>
      <c r="B39" s="263"/>
      <c r="C39" s="263"/>
      <c r="D39" s="264" t="s">
        <v>44</v>
      </c>
      <c r="E39" s="265" t="s">
        <v>130</v>
      </c>
      <c r="F39" s="278">
        <f>0.17*F38</f>
        <v>3041494.2671345002</v>
      </c>
      <c r="G39" s="279">
        <f>0.17*G38</f>
        <v>3118143.9645547001</v>
      </c>
      <c r="H39" s="280">
        <f>0.17*H38</f>
        <v>3119962.1058184002</v>
      </c>
      <c r="I39" s="281"/>
      <c r="J39" s="282"/>
    </row>
    <row r="40" spans="1:10" ht="15.75" customHeight="1" x14ac:dyDescent="0.2">
      <c r="A40" s="283" t="s">
        <v>131</v>
      </c>
      <c r="B40" s="284"/>
      <c r="C40" s="284"/>
      <c r="D40" s="285" t="s">
        <v>44</v>
      </c>
      <c r="E40" s="286" t="s">
        <v>132</v>
      </c>
      <c r="F40" s="287">
        <f>F37+F39</f>
        <v>68475570.266104504</v>
      </c>
      <c r="G40" s="288">
        <f>G37+G39</f>
        <v>69441649.660684705</v>
      </c>
      <c r="H40" s="288">
        <f>H37+H39</f>
        <v>70780564.223808408</v>
      </c>
      <c r="I40" s="142"/>
      <c r="J40" s="289">
        <f>AVERAGE(F40:H40)</f>
        <v>69565928.050199211</v>
      </c>
    </row>
    <row r="41" spans="1:10" ht="15" customHeight="1" x14ac:dyDescent="0.2">
      <c r="A41" s="181" t="s">
        <v>133</v>
      </c>
      <c r="B41" s="263"/>
      <c r="C41" s="263"/>
      <c r="D41" s="264" t="s">
        <v>106</v>
      </c>
      <c r="E41" s="265"/>
      <c r="F41" s="278"/>
      <c r="G41" s="279"/>
      <c r="H41" s="279"/>
      <c r="I41" s="290"/>
      <c r="J41" s="280">
        <f>BEV!F33</f>
        <v>8080253.333333333</v>
      </c>
    </row>
    <row r="42" spans="1:10" ht="15.75" customHeight="1" x14ac:dyDescent="0.2">
      <c r="A42" s="283" t="s">
        <v>134</v>
      </c>
      <c r="B42" s="284"/>
      <c r="C42" s="284"/>
      <c r="D42" s="285" t="s">
        <v>46</v>
      </c>
      <c r="E42" s="286" t="s">
        <v>135</v>
      </c>
      <c r="F42" s="291"/>
      <c r="G42" s="142"/>
      <c r="H42" s="142"/>
      <c r="I42" s="142"/>
      <c r="J42" s="292">
        <f>J40/J41*1000</f>
        <v>8609.3746297804864</v>
      </c>
    </row>
    <row r="43" spans="1:10" ht="15" customHeight="1" x14ac:dyDescent="0.2">
      <c r="A43" s="181" t="s">
        <v>136</v>
      </c>
      <c r="B43" s="263"/>
      <c r="C43" s="263"/>
      <c r="D43" s="264" t="s">
        <v>46</v>
      </c>
      <c r="E43" s="265"/>
      <c r="F43" s="269"/>
      <c r="G43" s="290"/>
      <c r="H43" s="290"/>
      <c r="I43" s="290"/>
      <c r="J43" s="280">
        <f>RP!H33</f>
        <v>32340.760829337029</v>
      </c>
    </row>
    <row r="44" spans="1:10" ht="15.75" customHeight="1" x14ac:dyDescent="0.2">
      <c r="A44" s="283" t="s">
        <v>137</v>
      </c>
      <c r="B44" s="284"/>
      <c r="C44" s="284"/>
      <c r="D44" s="285" t="s">
        <v>80</v>
      </c>
      <c r="E44" s="286" t="s">
        <v>138</v>
      </c>
      <c r="F44" s="291"/>
      <c r="G44" s="142"/>
      <c r="H44" s="142"/>
      <c r="I44" s="142"/>
      <c r="J44" s="293">
        <f>sse/J43</f>
        <v>0.26620816607291226</v>
      </c>
    </row>
    <row r="48" spans="1:10" x14ac:dyDescent="0.2">
      <c r="A48" s="294"/>
    </row>
  </sheetData>
  <mergeCells count="2">
    <mergeCell ref="A1:E1"/>
    <mergeCell ref="A35:H35"/>
  </mergeCells>
  <conditionalFormatting sqref="J43">
    <cfRule type="expression" dxfId="1" priority="1" stopIfTrue="1">
      <formula>ISBLANK($F$12)</formula>
    </cfRule>
  </conditionalFormatting>
  <conditionalFormatting sqref="F36:H38">
    <cfRule type="expression" dxfId="0" priority="2" stopIfTrue="1">
      <formula>ISBLANK(F36)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3" orientation="landscape" r:id="rId1"/>
  <headerFooter>
    <oddHeader>&amp;L&amp;F&amp;R&amp;A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14</vt:i4>
      </vt:variant>
    </vt:vector>
  </HeadingPairs>
  <TitlesOfParts>
    <vt:vector size="22" baseType="lpstr">
      <vt:lpstr>Info</vt:lpstr>
      <vt:lpstr>RP</vt:lpstr>
      <vt:lpstr>BEV</vt:lpstr>
      <vt:lpstr>Wachstum_RP</vt:lpstr>
      <vt:lpstr>Dotation_RA</vt:lpstr>
      <vt:lpstr>Einzahlungen</vt:lpstr>
      <vt:lpstr>Auszahlungen</vt:lpstr>
      <vt:lpstr>SSE</vt:lpstr>
      <vt:lpstr>A</vt:lpstr>
      <vt:lpstr>B</vt:lpstr>
      <vt:lpstr>BEV</vt:lpstr>
      <vt:lpstr>Druckbereich</vt:lpstr>
      <vt:lpstr>p</vt:lpstr>
      <vt:lpstr>RI</vt:lpstr>
      <vt:lpstr>RI_26</vt:lpstr>
      <vt:lpstr>RI_MIN</vt:lpstr>
      <vt:lpstr>solver_adj</vt:lpstr>
      <vt:lpstr>solver_lhs1</vt:lpstr>
      <vt:lpstr>solver_opt</vt:lpstr>
      <vt:lpstr>solver_rhs1</vt:lpstr>
      <vt:lpstr>sse</vt:lpstr>
      <vt:lpstr>SUM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2015-02-03T10:26:18Z</cp:lastPrinted>
  <dcterms:created xsi:type="dcterms:W3CDTF">2010-11-03T16:06:04Z</dcterms:created>
  <dcterms:modified xsi:type="dcterms:W3CDTF">2016-06-10T07:29:20Z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RA_2017.xlsx</vt:lpwstr>
  </property>
</Properties>
</file>