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printerSettings/printerSettings1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Y:\FP-Archiv\FA\380 Allgemeines\Medien\Homepage\2024\Zahlen\Dateien\Tabellen\"/>
    </mc:Choice>
  </mc:AlternateContent>
  <xr:revisionPtr revIDLastSave="0" documentId="13_ncr:1_{FCA5C564-1430-438A-8035-CA91DAF52B6D}" xr6:coauthVersionLast="47" xr6:coauthVersionMax="47" xr10:uidLastSave="{00000000-0000-0000-0000-000000000000}"/>
  <bookViews>
    <workbookView xWindow="-108" yWindow="-108" windowWidth="30936" windowHeight="16776" tabRatio="759" xr2:uid="{00000000-000D-0000-FFFF-FFFF00000000}"/>
  </bookViews>
  <sheets>
    <sheet name="INTRO" sheetId="30" r:id="rId1"/>
    <sheet name="TOTAL" sheetId="26" r:id="rId2"/>
    <sheet name="NP" sheetId="10" r:id="rId3"/>
    <sheet name="QS" sheetId="16" r:id="rId4"/>
    <sheet name="VERM" sheetId="12" r:id="rId5"/>
    <sheet name="JP" sheetId="35" r:id="rId6"/>
    <sheet name="REP" sheetId="13" r:id="rId7"/>
    <sheet name="ASG" sheetId="15" r:id="rId8"/>
    <sheet name="BEV" sheetId="18" r:id="rId9"/>
    <sheet name="RP" sheetId="19" r:id="rId10"/>
    <sheet name="SST" sheetId="28" r:id="rId11"/>
    <sheet name="AUSZ" sheetId="6" r:id="rId12"/>
    <sheet name="DOT" sheetId="21" r:id="rId13"/>
    <sheet name="EINZ" sheetId="22" r:id="rId14"/>
    <sheet name="SSE" sheetId="24" r:id="rId15"/>
    <sheet name="ALPHA" sheetId="39" r:id="rId16"/>
    <sheet name="ZETA" sheetId="38" r:id="rId17"/>
    <sheet name="DFIE" sheetId="29" state="veryHidden" r:id="rId18"/>
  </sheets>
  <definedNames>
    <definedName name="_xlnm.Print_Area" localSheetId="15">ALPHA!$B$1:$L$35</definedName>
    <definedName name="_xlnm.Print_Area" localSheetId="7">ASG!$A$1:$I$91</definedName>
    <definedName name="_xlnm.Print_Area" localSheetId="11">AUSZ!$B$1:$K$35</definedName>
    <definedName name="_xlnm.Print_Area" localSheetId="8">BEV!$B$1:$F$35</definedName>
    <definedName name="_xlnm.Print_Area" localSheetId="12">DOT!$B$1:$F$12</definedName>
    <definedName name="_xlnm.Print_Area" localSheetId="13">EINZ!$B$1:$G$35</definedName>
    <definedName name="_xlnm.Print_Area" localSheetId="2">NP!$A$1:$I$91</definedName>
    <definedName name="_xlnm.Print_Area" localSheetId="3">QS!$A$1:$AA$91</definedName>
    <definedName name="_xlnm.Print_Area" localSheetId="6">REP!$A$1:$J$91</definedName>
    <definedName name="_xlnm.Print_Area" localSheetId="9">RP!$B$1:$I$38</definedName>
    <definedName name="_xlnm.Print_Area" localSheetId="14">SSE!$B$1:$I$37</definedName>
    <definedName name="_xlnm.Print_Area" localSheetId="10">SST!$B$1:$I$19</definedName>
    <definedName name="_xlnm.Print_Area" localSheetId="1">TOTAL!$B$1:$F$36</definedName>
    <definedName name="_xlnm.Print_Area" localSheetId="4">VERM!$B$1:$J$36</definedName>
    <definedName name="_xlnm.Print_Area" localSheetId="16">ZETA!$B$1:$X$48</definedName>
    <definedName name="_xlnm.Print_Titles" localSheetId="7">ASG!$1:$8</definedName>
    <definedName name="_xlnm.Print_Titles" localSheetId="5">JP!$1:$8</definedName>
    <definedName name="_xlnm.Print_Titles" localSheetId="2">NP!$1:$8</definedName>
    <definedName name="_xlnm.Print_Titles" localSheetId="3">QS!$1:$8</definedName>
    <definedName name="_xlnm.Print_Titles" localSheetId="6">REP!$1:$8</definedName>
    <definedName name="Print_Area" localSheetId="16">ZETA!$A$2:$AK$39</definedName>
    <definedName name="solver_adj" localSheetId="11" hidden="1">AUSZ!#REF!</definedName>
    <definedName name="solver_cvg" localSheetId="11" hidden="1">0.0001</definedName>
    <definedName name="solver_drv" localSheetId="11" hidden="1">1</definedName>
    <definedName name="solver_est" localSheetId="11" hidden="1">1</definedName>
    <definedName name="solver_itr" localSheetId="11" hidden="1">100</definedName>
    <definedName name="solver_lhs1" localSheetId="11" hidden="1">AUSZ!#REF!</definedName>
    <definedName name="solver_lin" localSheetId="11" hidden="1">2</definedName>
    <definedName name="solver_neg" localSheetId="11" hidden="1">2</definedName>
    <definedName name="solver_num" localSheetId="11" hidden="1">1</definedName>
    <definedName name="solver_nwt" localSheetId="11" hidden="1">1</definedName>
    <definedName name="solver_opt" localSheetId="11" hidden="1">AUSZ!#REF!</definedName>
    <definedName name="solver_pre" localSheetId="11" hidden="1">0.00000000000001</definedName>
    <definedName name="solver_rel1" localSheetId="11" hidden="1">2</definedName>
    <definedName name="solver_rhs1" localSheetId="11" hidden="1">AUSZ!#REF!</definedName>
    <definedName name="solver_scl" localSheetId="11" hidden="1">2</definedName>
    <definedName name="solver_sho" localSheetId="11" hidden="1">2</definedName>
    <definedName name="solver_tim" localSheetId="11" hidden="1">100</definedName>
    <definedName name="solver_tol" localSheetId="11" hidden="1">0.05</definedName>
    <definedName name="solver_typ" localSheetId="11" hidden="1">1</definedName>
    <definedName name="solver_val" localSheetId="11" hidden="1">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8" i="38" l="1"/>
  <c r="U28" i="38"/>
  <c r="G3" i="29"/>
  <c r="G173" i="29" s="1"/>
  <c r="T41" i="38"/>
  <c r="S41" i="38"/>
  <c r="R41" i="38"/>
  <c r="S36" i="38"/>
  <c r="S42" i="38" s="1"/>
  <c r="R36" i="38"/>
  <c r="E36" i="38"/>
  <c r="D36" i="38"/>
  <c r="S7" i="38" s="1"/>
  <c r="C36" i="38"/>
  <c r="W33" i="38"/>
  <c r="W36" i="38" s="1"/>
  <c r="V33" i="38"/>
  <c r="V36" i="38" s="1"/>
  <c r="U33" i="38"/>
  <c r="U36" i="38" s="1"/>
  <c r="T33" i="38"/>
  <c r="T36" i="38" s="1"/>
  <c r="S33" i="38"/>
  <c r="R33" i="38"/>
  <c r="W12" i="38"/>
  <c r="V12" i="38"/>
  <c r="S12" i="38"/>
  <c r="S29" i="38" s="1"/>
  <c r="W11" i="38"/>
  <c r="V11" i="38"/>
  <c r="U11" i="38"/>
  <c r="U12" i="38" s="1"/>
  <c r="T11" i="38"/>
  <c r="T12" i="38" s="1"/>
  <c r="T29" i="38" s="1"/>
  <c r="S11" i="38"/>
  <c r="R11" i="38"/>
  <c r="R12" i="38" s="1"/>
  <c r="F36" i="38"/>
  <c r="U7" i="38" s="1"/>
  <c r="T7" i="38"/>
  <c r="R7" i="38"/>
  <c r="H20" i="39"/>
  <c r="G20" i="39"/>
  <c r="F20" i="39"/>
  <c r="L15" i="39"/>
  <c r="G14" i="39"/>
  <c r="K13" i="39"/>
  <c r="K14" i="39" s="1"/>
  <c r="J13" i="39"/>
  <c r="J14" i="39" s="1"/>
  <c r="I13" i="39"/>
  <c r="I14" i="39" s="1"/>
  <c r="H13" i="39"/>
  <c r="H14" i="39" s="1"/>
  <c r="G13" i="39"/>
  <c r="F13" i="39"/>
  <c r="F14" i="39" s="1"/>
  <c r="C35" i="24"/>
  <c r="D16" i="22"/>
  <c r="D12" i="22"/>
  <c r="E10" i="21"/>
  <c r="D10" i="21"/>
  <c r="C35" i="6"/>
  <c r="K16" i="6"/>
  <c r="K15" i="6"/>
  <c r="H13" i="28"/>
  <c r="H14" i="28" s="1"/>
  <c r="G13" i="28"/>
  <c r="G14" i="28" s="1"/>
  <c r="F13" i="28"/>
  <c r="F14" i="28" s="1"/>
  <c r="G29" i="19"/>
  <c r="E29" i="24" s="1"/>
  <c r="G25" i="19"/>
  <c r="G16" i="19"/>
  <c r="E16" i="24" s="1"/>
  <c r="G12" i="19"/>
  <c r="E12" i="24" s="1"/>
  <c r="E35" i="18"/>
  <c r="D35" i="18"/>
  <c r="C35" i="18"/>
  <c r="F34" i="18"/>
  <c r="G34" i="19" s="1"/>
  <c r="F33" i="18"/>
  <c r="G33" i="19" s="1"/>
  <c r="F32" i="18"/>
  <c r="G32" i="19" s="1"/>
  <c r="F31" i="18"/>
  <c r="G31" i="19" s="1"/>
  <c r="F30" i="18"/>
  <c r="G30" i="19" s="1"/>
  <c r="E30" i="24" s="1"/>
  <c r="F29" i="18"/>
  <c r="F28" i="18"/>
  <c r="G28" i="19" s="1"/>
  <c r="F27" i="18"/>
  <c r="G27" i="19" s="1"/>
  <c r="F26" i="18"/>
  <c r="G26" i="19" s="1"/>
  <c r="F25" i="18"/>
  <c r="F24" i="18"/>
  <c r="G24" i="19" s="1"/>
  <c r="F23" i="18"/>
  <c r="G23" i="19" s="1"/>
  <c r="E23" i="24" s="1"/>
  <c r="F22" i="18"/>
  <c r="G22" i="19" s="1"/>
  <c r="F21" i="18"/>
  <c r="G21" i="19" s="1"/>
  <c r="F20" i="18"/>
  <c r="G20" i="19" s="1"/>
  <c r="F19" i="18"/>
  <c r="G19" i="19" s="1"/>
  <c r="F18" i="18"/>
  <c r="G18" i="19" s="1"/>
  <c r="F17" i="18"/>
  <c r="G17" i="19" s="1"/>
  <c r="F16" i="18"/>
  <c r="F15" i="18"/>
  <c r="G15" i="19" s="1"/>
  <c r="F14" i="18"/>
  <c r="G14" i="19" s="1"/>
  <c r="F13" i="18"/>
  <c r="G13" i="19" s="1"/>
  <c r="F12" i="18"/>
  <c r="F11" i="18"/>
  <c r="G11" i="19" s="1"/>
  <c r="F10" i="18"/>
  <c r="G10" i="19" s="1"/>
  <c r="F9" i="18"/>
  <c r="G9" i="19" s="1"/>
  <c r="E33" i="15"/>
  <c r="F91" i="13"/>
  <c r="D91" i="13"/>
  <c r="C91" i="13"/>
  <c r="E90" i="13"/>
  <c r="E89" i="13"/>
  <c r="E88" i="13"/>
  <c r="E87" i="13"/>
  <c r="E86" i="13"/>
  <c r="E85" i="13"/>
  <c r="E84" i="13"/>
  <c r="E83" i="13"/>
  <c r="E82" i="13"/>
  <c r="E81" i="13"/>
  <c r="E80" i="13"/>
  <c r="E79" i="13"/>
  <c r="E78" i="13"/>
  <c r="E77" i="13"/>
  <c r="E76" i="13"/>
  <c r="E75" i="13"/>
  <c r="E74" i="13"/>
  <c r="E73" i="13"/>
  <c r="E72" i="13"/>
  <c r="E71" i="13"/>
  <c r="E70" i="13"/>
  <c r="E69" i="13"/>
  <c r="E68" i="13"/>
  <c r="E67" i="13"/>
  <c r="E66" i="13"/>
  <c r="E65" i="13"/>
  <c r="F63" i="13"/>
  <c r="D63" i="13"/>
  <c r="C63" i="13"/>
  <c r="E62" i="13"/>
  <c r="E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F35" i="13"/>
  <c r="D35" i="13"/>
  <c r="C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L78" i="35"/>
  <c r="D88" i="35" s="1"/>
  <c r="L50" i="35"/>
  <c r="L22" i="35"/>
  <c r="F13" i="35"/>
  <c r="D87" i="35"/>
  <c r="D83" i="35"/>
  <c r="D11" i="35"/>
  <c r="I35" i="12"/>
  <c r="K21" i="39" s="1"/>
  <c r="F35" i="12"/>
  <c r="J21" i="39" s="1"/>
  <c r="C35" i="12"/>
  <c r="I21" i="39" s="1"/>
  <c r="G34" i="12"/>
  <c r="E62" i="15" s="1"/>
  <c r="D34" i="12"/>
  <c r="E34" i="15" s="1"/>
  <c r="G33" i="12"/>
  <c r="E61" i="15" s="1"/>
  <c r="D33" i="12"/>
  <c r="G32" i="12"/>
  <c r="E60" i="15" s="1"/>
  <c r="D32" i="12"/>
  <c r="E32" i="15" s="1"/>
  <c r="G31" i="12"/>
  <c r="E59" i="15" s="1"/>
  <c r="D31" i="12"/>
  <c r="E31" i="15" s="1"/>
  <c r="G30" i="12"/>
  <c r="E58" i="15" s="1"/>
  <c r="D30" i="12"/>
  <c r="E30" i="15" s="1"/>
  <c r="G29" i="12"/>
  <c r="E57" i="15" s="1"/>
  <c r="D29" i="12"/>
  <c r="E29" i="15" s="1"/>
  <c r="G28" i="12"/>
  <c r="E56" i="15" s="1"/>
  <c r="D28" i="12"/>
  <c r="E28" i="15" s="1"/>
  <c r="G27" i="12"/>
  <c r="E55" i="15" s="1"/>
  <c r="D27" i="12"/>
  <c r="E27" i="15" s="1"/>
  <c r="G26" i="12"/>
  <c r="E54" i="15" s="1"/>
  <c r="D26" i="12"/>
  <c r="E26" i="15" s="1"/>
  <c r="G25" i="12"/>
  <c r="E53" i="15" s="1"/>
  <c r="D25" i="12"/>
  <c r="E25" i="15" s="1"/>
  <c r="G24" i="12"/>
  <c r="E52" i="15" s="1"/>
  <c r="D24" i="12"/>
  <c r="E24" i="15" s="1"/>
  <c r="G23" i="12"/>
  <c r="E51" i="15" s="1"/>
  <c r="D23" i="12"/>
  <c r="E23" i="15" s="1"/>
  <c r="G22" i="12"/>
  <c r="E50" i="15" s="1"/>
  <c r="D22" i="12"/>
  <c r="E22" i="15" s="1"/>
  <c r="G21" i="12"/>
  <c r="E49" i="15" s="1"/>
  <c r="D21" i="12"/>
  <c r="E21" i="15" s="1"/>
  <c r="G20" i="12"/>
  <c r="E48" i="15" s="1"/>
  <c r="D20" i="12"/>
  <c r="E20" i="15" s="1"/>
  <c r="G19" i="12"/>
  <c r="E47" i="15" s="1"/>
  <c r="D19" i="12"/>
  <c r="E19" i="15" s="1"/>
  <c r="G18" i="12"/>
  <c r="E46" i="15" s="1"/>
  <c r="D18" i="12"/>
  <c r="E18" i="15" s="1"/>
  <c r="G17" i="12"/>
  <c r="E45" i="15" s="1"/>
  <c r="D17" i="12"/>
  <c r="E17" i="15" s="1"/>
  <c r="G16" i="12"/>
  <c r="E44" i="15" s="1"/>
  <c r="D16" i="12"/>
  <c r="E16" i="15" s="1"/>
  <c r="G15" i="12"/>
  <c r="E43" i="15" s="1"/>
  <c r="D15" i="12"/>
  <c r="E15" i="15" s="1"/>
  <c r="G14" i="12"/>
  <c r="E42" i="15" s="1"/>
  <c r="D14" i="12"/>
  <c r="E14" i="15" s="1"/>
  <c r="G13" i="12"/>
  <c r="E41" i="15" s="1"/>
  <c r="D13" i="12"/>
  <c r="E13" i="15" s="1"/>
  <c r="G12" i="12"/>
  <c r="E40" i="15" s="1"/>
  <c r="D12" i="12"/>
  <c r="E12" i="15" s="1"/>
  <c r="G11" i="12"/>
  <c r="E39" i="15" s="1"/>
  <c r="D11" i="12"/>
  <c r="E11" i="15" s="1"/>
  <c r="G10" i="12"/>
  <c r="E38" i="15" s="1"/>
  <c r="D10" i="12"/>
  <c r="E10" i="15" s="1"/>
  <c r="G9" i="12"/>
  <c r="D9" i="12"/>
  <c r="E9" i="15" s="1"/>
  <c r="I91" i="16"/>
  <c r="H91" i="16"/>
  <c r="G91" i="16"/>
  <c r="F91" i="16"/>
  <c r="E91" i="16"/>
  <c r="D91" i="16"/>
  <c r="C91" i="16"/>
  <c r="J90" i="16"/>
  <c r="J89" i="16"/>
  <c r="J88" i="16"/>
  <c r="J87" i="16"/>
  <c r="J86" i="16"/>
  <c r="J85" i="16"/>
  <c r="J84" i="16"/>
  <c r="J83" i="16"/>
  <c r="N82" i="16"/>
  <c r="V90" i="16" s="1"/>
  <c r="J82" i="16"/>
  <c r="J81" i="16"/>
  <c r="N80" i="16"/>
  <c r="T86" i="16" s="1"/>
  <c r="J80" i="16"/>
  <c r="J79" i="16"/>
  <c r="J78" i="16"/>
  <c r="J77" i="16"/>
  <c r="J76" i="16"/>
  <c r="J75" i="16"/>
  <c r="J74" i="16"/>
  <c r="J73" i="16"/>
  <c r="J72" i="16"/>
  <c r="J71" i="16"/>
  <c r="J70" i="16"/>
  <c r="J69" i="16"/>
  <c r="J68" i="16"/>
  <c r="J67" i="16"/>
  <c r="J66" i="16"/>
  <c r="J65" i="16"/>
  <c r="I63" i="16"/>
  <c r="H63" i="16"/>
  <c r="G63" i="16"/>
  <c r="F63" i="16"/>
  <c r="E63" i="16"/>
  <c r="D63" i="16"/>
  <c r="C63" i="16"/>
  <c r="J63" i="16" s="1"/>
  <c r="J62" i="16"/>
  <c r="J61" i="16"/>
  <c r="W60" i="16"/>
  <c r="J60" i="16"/>
  <c r="V59" i="16"/>
  <c r="J59" i="16"/>
  <c r="S58" i="16"/>
  <c r="J58" i="16"/>
  <c r="J57" i="16"/>
  <c r="V56" i="16"/>
  <c r="J56" i="16"/>
  <c r="W55" i="16"/>
  <c r="J55" i="16"/>
  <c r="J54" i="16"/>
  <c r="J53" i="16"/>
  <c r="W52" i="16"/>
  <c r="J52" i="16"/>
  <c r="V51" i="16"/>
  <c r="J51" i="16"/>
  <c r="S50" i="16"/>
  <c r="N50" i="16"/>
  <c r="W58" i="16" s="1"/>
  <c r="J50" i="16"/>
  <c r="N49" i="16"/>
  <c r="V57" i="16" s="1"/>
  <c r="J49" i="16"/>
  <c r="W48" i="16"/>
  <c r="V48" i="16"/>
  <c r="N48" i="16"/>
  <c r="J48" i="16"/>
  <c r="W47" i="16"/>
  <c r="V47" i="16"/>
  <c r="N47" i="16"/>
  <c r="T58" i="16" s="1"/>
  <c r="J47" i="16"/>
  <c r="W46" i="16"/>
  <c r="V46" i="16"/>
  <c r="N46" i="16"/>
  <c r="S55" i="16" s="1"/>
  <c r="J46" i="16"/>
  <c r="W45" i="16"/>
  <c r="U45" i="16"/>
  <c r="N45" i="16"/>
  <c r="R61" i="16" s="1"/>
  <c r="J45" i="16"/>
  <c r="W44" i="16"/>
  <c r="N44" i="16"/>
  <c r="Q58" i="16" s="1"/>
  <c r="J44" i="16"/>
  <c r="W43" i="16"/>
  <c r="V43" i="16"/>
  <c r="J43" i="16"/>
  <c r="W42" i="16"/>
  <c r="V42" i="16"/>
  <c r="Q42" i="16"/>
  <c r="J42" i="16"/>
  <c r="W41" i="16"/>
  <c r="V41" i="16"/>
  <c r="U41" i="16"/>
  <c r="J41" i="16"/>
  <c r="W40" i="16"/>
  <c r="Q40" i="16"/>
  <c r="J40" i="16"/>
  <c r="W39" i="16"/>
  <c r="V39" i="16"/>
  <c r="Q39" i="16"/>
  <c r="J39" i="16"/>
  <c r="W38" i="16"/>
  <c r="V38" i="16"/>
  <c r="U38" i="16"/>
  <c r="J38" i="16"/>
  <c r="W37" i="16"/>
  <c r="V37" i="16"/>
  <c r="U37" i="16"/>
  <c r="R37" i="16"/>
  <c r="J37" i="16"/>
  <c r="I35" i="16"/>
  <c r="H35" i="16"/>
  <c r="G35" i="16"/>
  <c r="F35" i="16"/>
  <c r="E35" i="16"/>
  <c r="D35" i="16"/>
  <c r="C35" i="16"/>
  <c r="J34" i="16"/>
  <c r="J33" i="16"/>
  <c r="Q32" i="16"/>
  <c r="J32" i="16"/>
  <c r="J31" i="16"/>
  <c r="R30" i="16"/>
  <c r="J30" i="16"/>
  <c r="Q29" i="16"/>
  <c r="J29" i="16"/>
  <c r="J28" i="16"/>
  <c r="Q27" i="16"/>
  <c r="J27" i="16"/>
  <c r="J26" i="16"/>
  <c r="T25" i="16"/>
  <c r="J25" i="16"/>
  <c r="R24" i="16"/>
  <c r="J24" i="16"/>
  <c r="J23" i="16"/>
  <c r="R22" i="16"/>
  <c r="N22" i="16"/>
  <c r="W32" i="16" s="1"/>
  <c r="J22" i="16"/>
  <c r="N21" i="16"/>
  <c r="V29" i="16" s="1"/>
  <c r="J21" i="16"/>
  <c r="V20" i="16"/>
  <c r="N20" i="16"/>
  <c r="U31" i="16" s="1"/>
  <c r="J20" i="16"/>
  <c r="V19" i="16"/>
  <c r="N19" i="16"/>
  <c r="T33" i="16" s="1"/>
  <c r="J19" i="16"/>
  <c r="W18" i="16"/>
  <c r="U18" i="16"/>
  <c r="N18" i="16"/>
  <c r="S22" i="16" s="1"/>
  <c r="J18" i="16"/>
  <c r="U17" i="16"/>
  <c r="T17" i="16"/>
  <c r="S17" i="16"/>
  <c r="R17" i="16"/>
  <c r="N17" i="16"/>
  <c r="R33" i="16" s="1"/>
  <c r="J17" i="16"/>
  <c r="S16" i="16"/>
  <c r="R16" i="16"/>
  <c r="N16" i="16"/>
  <c r="Q30" i="16" s="1"/>
  <c r="J16" i="16"/>
  <c r="V15" i="16"/>
  <c r="R15" i="16"/>
  <c r="Q15" i="16"/>
  <c r="J15" i="16"/>
  <c r="R14" i="16"/>
  <c r="Q14" i="16"/>
  <c r="J14" i="16"/>
  <c r="V13" i="16"/>
  <c r="U13" i="16"/>
  <c r="T13" i="16"/>
  <c r="R13" i="16"/>
  <c r="Q13" i="16"/>
  <c r="J13" i="16"/>
  <c r="T12" i="16"/>
  <c r="R12" i="16"/>
  <c r="Q12" i="16"/>
  <c r="J12" i="16"/>
  <c r="R11" i="16"/>
  <c r="Q11" i="16"/>
  <c r="J11" i="16"/>
  <c r="W10" i="16"/>
  <c r="U10" i="16"/>
  <c r="R10" i="16"/>
  <c r="Q10" i="16"/>
  <c r="J10" i="16"/>
  <c r="V9" i="16"/>
  <c r="U9" i="16"/>
  <c r="T9" i="16"/>
  <c r="R9" i="16"/>
  <c r="Q9" i="16"/>
  <c r="J9" i="16"/>
  <c r="D91" i="10"/>
  <c r="C91" i="10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D63" i="10"/>
  <c r="C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37" i="10"/>
  <c r="D35" i="10"/>
  <c r="C35" i="10"/>
  <c r="E34" i="10"/>
  <c r="E33" i="10"/>
  <c r="E32" i="10"/>
  <c r="E31" i="10"/>
  <c r="E30" i="10"/>
  <c r="E29" i="10"/>
  <c r="E28" i="10"/>
  <c r="E27" i="10"/>
  <c r="E26" i="10"/>
  <c r="E25" i="10"/>
  <c r="E24" i="10"/>
  <c r="C24" i="15" s="1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C35" i="26"/>
  <c r="B115" i="29"/>
  <c r="B50" i="29"/>
  <c r="B76" i="29"/>
  <c r="B143" i="29"/>
  <c r="B51" i="29"/>
  <c r="B281" i="29"/>
  <c r="B66" i="29"/>
  <c r="B267" i="29"/>
  <c r="B142" i="29"/>
  <c r="B147" i="29"/>
  <c r="B244" i="29"/>
  <c r="B283" i="29"/>
  <c r="B65" i="29"/>
  <c r="B197" i="29"/>
  <c r="B95" i="29"/>
  <c r="B201" i="29"/>
  <c r="B151" i="29"/>
  <c r="B60" i="29"/>
  <c r="B291" i="29"/>
  <c r="B252" i="29"/>
  <c r="B153" i="29"/>
  <c r="B223" i="29"/>
  <c r="B239" i="29"/>
  <c r="B88" i="29"/>
  <c r="B288" i="29"/>
  <c r="B155" i="29"/>
  <c r="B179" i="29"/>
  <c r="B207" i="29"/>
  <c r="B9" i="29"/>
  <c r="B225" i="29"/>
  <c r="B178" i="29"/>
  <c r="B161" i="29"/>
  <c r="B150" i="29"/>
  <c r="B71" i="29"/>
  <c r="B251" i="29"/>
  <c r="B125" i="29"/>
  <c r="B124" i="29"/>
  <c r="B152" i="29"/>
  <c r="B184" i="29"/>
  <c r="B240" i="29"/>
  <c r="B238" i="29"/>
  <c r="B54" i="29"/>
  <c r="B94" i="29"/>
  <c r="B23" i="29"/>
  <c r="B114" i="29"/>
  <c r="B191" i="29"/>
  <c r="B141" i="29"/>
  <c r="B199" i="29"/>
  <c r="B218" i="29"/>
  <c r="B111" i="29"/>
  <c r="B61" i="29"/>
  <c r="B96" i="29"/>
  <c r="B156" i="29"/>
  <c r="B86" i="29"/>
  <c r="B27" i="29"/>
  <c r="B32" i="29"/>
  <c r="B217" i="29"/>
  <c r="B163" i="29"/>
  <c r="B282" i="29"/>
  <c r="B280" i="29"/>
  <c r="B16" i="29"/>
  <c r="B33" i="29"/>
  <c r="B144" i="29"/>
  <c r="B229" i="29"/>
  <c r="B255" i="29"/>
  <c r="B259" i="29"/>
  <c r="B189" i="29"/>
  <c r="B256" i="29"/>
  <c r="B158" i="29"/>
  <c r="B52" i="29"/>
  <c r="B67" i="29"/>
  <c r="B14" i="29"/>
  <c r="B38" i="29"/>
  <c r="B99" i="29"/>
  <c r="B245" i="29"/>
  <c r="B44" i="29"/>
  <c r="B25" i="29"/>
  <c r="B37" i="29"/>
  <c r="B160" i="29"/>
  <c r="B43" i="29"/>
  <c r="B186" i="29"/>
  <c r="B279" i="29"/>
  <c r="B55" i="29"/>
  <c r="B145" i="29"/>
  <c r="B34" i="29"/>
  <c r="B28" i="29"/>
  <c r="B181" i="29"/>
  <c r="B62" i="29"/>
  <c r="B273" i="29"/>
  <c r="B233" i="29"/>
  <c r="B290" i="29"/>
  <c r="B286" i="29"/>
  <c r="B70" i="29"/>
  <c r="B30" i="29"/>
  <c r="B11" i="29"/>
  <c r="B85" i="29"/>
  <c r="B277" i="29"/>
  <c r="B87" i="29"/>
  <c r="B97" i="29"/>
  <c r="B215" i="29"/>
  <c r="B83" i="29"/>
  <c r="B59" i="29"/>
  <c r="B31" i="29"/>
  <c r="B122" i="29"/>
  <c r="B253" i="29"/>
  <c r="B192" i="29"/>
  <c r="B246" i="29"/>
  <c r="B81" i="29"/>
  <c r="B19" i="29"/>
  <c r="B234" i="29"/>
  <c r="B92" i="29"/>
  <c r="B195" i="29"/>
  <c r="B45" i="29"/>
  <c r="B237" i="29"/>
  <c r="B177" i="29"/>
  <c r="B129" i="29"/>
  <c r="B276" i="29"/>
  <c r="B64" i="29"/>
  <c r="B185" i="29"/>
  <c r="B222" i="29"/>
  <c r="B98" i="29"/>
  <c r="B15" i="29"/>
  <c r="B294" i="29"/>
  <c r="B261" i="29"/>
  <c r="B254" i="29"/>
  <c r="B78" i="29"/>
  <c r="B250" i="29"/>
  <c r="B79" i="29"/>
  <c r="B10" i="29"/>
  <c r="B93" i="29"/>
  <c r="B135" i="29"/>
  <c r="B168" i="29"/>
  <c r="B58" i="29"/>
  <c r="B139" i="29"/>
  <c r="B29" i="29"/>
  <c r="B285" i="29"/>
  <c r="B196" i="29"/>
  <c r="B164" i="29"/>
  <c r="B126" i="29"/>
  <c r="B202" i="29"/>
  <c r="B180" i="29"/>
  <c r="B228" i="29"/>
  <c r="B216" i="29"/>
  <c r="B226" i="29"/>
  <c r="B132" i="29"/>
  <c r="B171" i="29"/>
  <c r="B193" i="29"/>
  <c r="B241" i="29"/>
  <c r="B212" i="29"/>
  <c r="B272" i="29"/>
  <c r="B63" i="29"/>
  <c r="B18" i="29"/>
  <c r="B204" i="29"/>
  <c r="B146" i="29"/>
  <c r="B47" i="29"/>
  <c r="B24" i="29"/>
  <c r="B56" i="29"/>
  <c r="B289" i="29"/>
  <c r="B140" i="29"/>
  <c r="B21" i="29"/>
  <c r="B236" i="29"/>
  <c r="B41" i="29"/>
  <c r="B269" i="29"/>
  <c r="B170" i="29"/>
  <c r="B130" i="29"/>
  <c r="B46" i="29"/>
  <c r="B287" i="29"/>
  <c r="B224" i="29"/>
  <c r="B188" i="29"/>
  <c r="B232" i="29"/>
  <c r="B260" i="29"/>
  <c r="B176" i="29"/>
  <c r="B167" i="29"/>
  <c r="B258" i="29"/>
  <c r="B20" i="29"/>
  <c r="B159" i="29"/>
  <c r="B39" i="29"/>
  <c r="B278" i="29"/>
  <c r="B205" i="29"/>
  <c r="B48" i="29"/>
  <c r="B82" i="29"/>
  <c r="B270" i="29"/>
  <c r="B35" i="29"/>
  <c r="B271" i="29"/>
  <c r="B166" i="29"/>
  <c r="B247" i="29"/>
  <c r="B42" i="29"/>
  <c r="B57" i="29"/>
  <c r="B219" i="29"/>
  <c r="B227" i="29"/>
  <c r="B265" i="29"/>
  <c r="B22" i="29"/>
  <c r="B138" i="29"/>
  <c r="B190" i="29"/>
  <c r="B110" i="29"/>
  <c r="B100" i="29"/>
  <c r="B200" i="29"/>
  <c r="B203" i="29"/>
  <c r="B69" i="29"/>
  <c r="B157" i="29"/>
  <c r="B40" i="29"/>
  <c r="B36" i="29"/>
  <c r="B165" i="29"/>
  <c r="B243" i="29"/>
  <c r="B149" i="29"/>
  <c r="B262" i="29"/>
  <c r="B293" i="29"/>
  <c r="B266" i="29"/>
  <c r="B123" i="29"/>
  <c r="B292" i="29"/>
  <c r="B89" i="29"/>
  <c r="B131" i="29"/>
  <c r="B274" i="29"/>
  <c r="B90" i="29"/>
  <c r="B242" i="29"/>
  <c r="B221" i="29"/>
  <c r="B214" i="29"/>
  <c r="B68" i="29"/>
  <c r="B112" i="29"/>
  <c r="B137" i="29"/>
  <c r="B235" i="29"/>
  <c r="B284" i="29"/>
  <c r="B26" i="29"/>
  <c r="B136" i="29"/>
  <c r="B264" i="29"/>
  <c r="B208" i="29"/>
  <c r="B12" i="29"/>
  <c r="B263" i="29"/>
  <c r="B49" i="29"/>
  <c r="B257" i="29"/>
  <c r="B275" i="29"/>
  <c r="B231" i="29"/>
  <c r="B148" i="29"/>
  <c r="B248" i="29"/>
  <c r="B72" i="29"/>
  <c r="B268" i="29"/>
  <c r="B80" i="29"/>
  <c r="B187" i="29"/>
  <c r="B198" i="29"/>
  <c r="B211" i="29"/>
  <c r="B17" i="29"/>
  <c r="B127" i="29"/>
  <c r="B182" i="29"/>
  <c r="B134" i="29"/>
  <c r="B209" i="29"/>
  <c r="B53" i="29"/>
  <c r="R55" i="16" l="1"/>
  <c r="V74" i="16"/>
  <c r="W20" i="16"/>
  <c r="R40" i="16"/>
  <c r="V79" i="16"/>
  <c r="V88" i="16"/>
  <c r="W9" i="16"/>
  <c r="V12" i="16"/>
  <c r="W13" i="16"/>
  <c r="V16" i="16"/>
  <c r="V17" i="16"/>
  <c r="T22" i="16"/>
  <c r="R27" i="16"/>
  <c r="R32" i="16"/>
  <c r="R42" i="16"/>
  <c r="R53" i="16"/>
  <c r="S61" i="16"/>
  <c r="V67" i="16"/>
  <c r="V71" i="16"/>
  <c r="V75" i="16"/>
  <c r="V66" i="16"/>
  <c r="V11" i="16"/>
  <c r="W15" i="16"/>
  <c r="W19" i="16"/>
  <c r="Q21" i="16"/>
  <c r="V23" i="16"/>
  <c r="U25" i="16"/>
  <c r="T28" i="16"/>
  <c r="R39" i="16"/>
  <c r="R41" i="16"/>
  <c r="Q44" i="16"/>
  <c r="R49" i="16"/>
  <c r="W51" i="16"/>
  <c r="V54" i="16"/>
  <c r="W59" i="16"/>
  <c r="V62" i="16"/>
  <c r="V68" i="16"/>
  <c r="V72" i="16"/>
  <c r="V76" i="16"/>
  <c r="V80" i="16"/>
  <c r="I14" i="28"/>
  <c r="R50" i="16"/>
  <c r="R58" i="16"/>
  <c r="W11" i="16"/>
  <c r="R21" i="16"/>
  <c r="W23" i="16"/>
  <c r="U28" i="16"/>
  <c r="V34" i="16"/>
  <c r="Q38" i="16"/>
  <c r="R44" i="16"/>
  <c r="W49" i="16"/>
  <c r="W54" i="16"/>
  <c r="Q57" i="16"/>
  <c r="W62" i="16"/>
  <c r="W12" i="16"/>
  <c r="W17" i="16"/>
  <c r="V84" i="16"/>
  <c r="V14" i="16"/>
  <c r="W21" i="16"/>
  <c r="V26" i="16"/>
  <c r="V28" i="16"/>
  <c r="V31" i="16"/>
  <c r="W34" i="16"/>
  <c r="R38" i="16"/>
  <c r="Q43" i="16"/>
  <c r="Q48" i="16"/>
  <c r="Q52" i="16"/>
  <c r="W57" i="16"/>
  <c r="Q60" i="16"/>
  <c r="V65" i="16"/>
  <c r="V69" i="16"/>
  <c r="V73" i="16"/>
  <c r="V81" i="16"/>
  <c r="V86" i="16"/>
  <c r="V70" i="16"/>
  <c r="W24" i="16"/>
  <c r="W29" i="16"/>
  <c r="R45" i="16"/>
  <c r="W16" i="16"/>
  <c r="Q49" i="16"/>
  <c r="V10" i="16"/>
  <c r="W14" i="16"/>
  <c r="Q16" i="16"/>
  <c r="V18" i="16"/>
  <c r="Q20" i="16"/>
  <c r="Q24" i="16"/>
  <c r="W26" i="16"/>
  <c r="W31" i="16"/>
  <c r="Q37" i="16"/>
  <c r="R43" i="16"/>
  <c r="R52" i="16"/>
  <c r="Q55" i="16"/>
  <c r="R60" i="16"/>
  <c r="V78" i="16"/>
  <c r="D35" i="12"/>
  <c r="T24" i="38"/>
  <c r="F6" i="39"/>
  <c r="H9" i="10"/>
  <c r="G6" i="39"/>
  <c r="R3" i="38"/>
  <c r="F8" i="38"/>
  <c r="G73" i="29"/>
  <c r="G220" i="29"/>
  <c r="E183" i="29"/>
  <c r="F8" i="28"/>
  <c r="H6" i="39"/>
  <c r="S3" i="38"/>
  <c r="G8" i="38"/>
  <c r="G77" i="29"/>
  <c r="C8" i="38"/>
  <c r="F13" i="29"/>
  <c r="H65" i="10"/>
  <c r="G8" i="28"/>
  <c r="I6" i="39"/>
  <c r="T3" i="38"/>
  <c r="H8" i="38"/>
  <c r="G102" i="29"/>
  <c r="H8" i="28"/>
  <c r="I8" i="28" s="1"/>
  <c r="J6" i="39"/>
  <c r="V3" i="38"/>
  <c r="E107" i="29"/>
  <c r="U24" i="38"/>
  <c r="C7" i="18"/>
  <c r="K6" i="39"/>
  <c r="E116" i="29"/>
  <c r="E7" i="18"/>
  <c r="D172" i="29"/>
  <c r="F7" i="18"/>
  <c r="D8" i="38"/>
  <c r="H37" i="10"/>
  <c r="D7" i="18"/>
  <c r="S24" i="38"/>
  <c r="E108" i="29"/>
  <c r="F194" i="29"/>
  <c r="F119" i="29"/>
  <c r="W3" i="38"/>
  <c r="J8" i="38"/>
  <c r="F91" i="29"/>
  <c r="F162" i="29"/>
  <c r="D104" i="29"/>
  <c r="F173" i="29"/>
  <c r="M43" i="16"/>
  <c r="M15" i="16"/>
  <c r="M76" i="16"/>
  <c r="F7" i="26"/>
  <c r="I6" i="19"/>
  <c r="C17" i="30"/>
  <c r="C14" i="39"/>
  <c r="C42" i="30"/>
  <c r="C19" i="39"/>
  <c r="G7" i="24"/>
  <c r="C31" i="30"/>
  <c r="K72" i="35"/>
  <c r="K16" i="35"/>
  <c r="K44" i="35"/>
  <c r="K5" i="38"/>
  <c r="B11" i="24"/>
  <c r="B12" i="38"/>
  <c r="B11" i="6"/>
  <c r="B11" i="22"/>
  <c r="B67" i="13"/>
  <c r="B11" i="19"/>
  <c r="B11" i="15"/>
  <c r="B67" i="15"/>
  <c r="B11" i="18"/>
  <c r="B39" i="15"/>
  <c r="B11" i="13"/>
  <c r="B67" i="35"/>
  <c r="B39" i="13"/>
  <c r="B11" i="35"/>
  <c r="B39" i="35"/>
  <c r="B67" i="16"/>
  <c r="B39" i="16"/>
  <c r="B11" i="16"/>
  <c r="B11" i="12"/>
  <c r="B67" i="10"/>
  <c r="P67" i="16"/>
  <c r="P11" i="16"/>
  <c r="P39" i="16"/>
  <c r="B11" i="10"/>
  <c r="B11" i="26"/>
  <c r="B39" i="10"/>
  <c r="R7" i="16"/>
  <c r="D7" i="16"/>
  <c r="K13" i="35"/>
  <c r="K69" i="35"/>
  <c r="K41" i="35"/>
  <c r="E7" i="6"/>
  <c r="N8" i="38"/>
  <c r="B27" i="24"/>
  <c r="B27" i="22"/>
  <c r="B28" i="38"/>
  <c r="B27" i="6"/>
  <c r="B27" i="19"/>
  <c r="B27" i="18"/>
  <c r="B83" i="13"/>
  <c r="B27" i="15"/>
  <c r="B55" i="15"/>
  <c r="B83" i="15"/>
  <c r="B55" i="13"/>
  <c r="B27" i="13"/>
  <c r="B83" i="35"/>
  <c r="B27" i="35"/>
  <c r="B55" i="35"/>
  <c r="P55" i="16"/>
  <c r="P27" i="16"/>
  <c r="P83" i="16"/>
  <c r="B55" i="16"/>
  <c r="B27" i="16"/>
  <c r="B83" i="10"/>
  <c r="B83" i="16"/>
  <c r="B27" i="12"/>
  <c r="B27" i="10"/>
  <c r="B27" i="26"/>
  <c r="B55" i="10"/>
  <c r="I7" i="12"/>
  <c r="F7" i="12"/>
  <c r="C7" i="12"/>
  <c r="I7" i="13"/>
  <c r="F8" i="21"/>
  <c r="M30" i="38"/>
  <c r="B32" i="38"/>
  <c r="B31" i="24"/>
  <c r="B31" i="22"/>
  <c r="B31" i="6"/>
  <c r="B31" i="19"/>
  <c r="B87" i="15"/>
  <c r="B31" i="18"/>
  <c r="B87" i="13"/>
  <c r="B59" i="15"/>
  <c r="B31" i="15"/>
  <c r="B59" i="35"/>
  <c r="B87" i="35"/>
  <c r="B59" i="13"/>
  <c r="B31" i="35"/>
  <c r="B31" i="13"/>
  <c r="B87" i="16"/>
  <c r="B87" i="10"/>
  <c r="P59" i="16"/>
  <c r="P31" i="16"/>
  <c r="P87" i="16"/>
  <c r="B31" i="12"/>
  <c r="B59" i="10"/>
  <c r="B59" i="16"/>
  <c r="B31" i="26"/>
  <c r="B31" i="16"/>
  <c r="B31" i="10"/>
  <c r="B12" i="21"/>
  <c r="N35" i="38"/>
  <c r="C32" i="30"/>
  <c r="B31" i="38"/>
  <c r="B30" i="22"/>
  <c r="B30" i="24"/>
  <c r="B30" i="6"/>
  <c r="B30" i="19"/>
  <c r="B30" i="18"/>
  <c r="B58" i="15"/>
  <c r="B86" i="15"/>
  <c r="B86" i="13"/>
  <c r="B58" i="13"/>
  <c r="B86" i="35"/>
  <c r="B30" i="13"/>
  <c r="B30" i="15"/>
  <c r="B58" i="35"/>
  <c r="B30" i="35"/>
  <c r="B30" i="12"/>
  <c r="P58" i="16"/>
  <c r="P30" i="16"/>
  <c r="P86" i="16"/>
  <c r="B58" i="16"/>
  <c r="B30" i="16"/>
  <c r="B86" i="16"/>
  <c r="B30" i="26"/>
  <c r="B30" i="10"/>
  <c r="B86" i="10"/>
  <c r="B58" i="10"/>
  <c r="B6" i="26"/>
  <c r="Q7" i="16"/>
  <c r="C7" i="16"/>
  <c r="D7" i="12"/>
  <c r="G7" i="12"/>
  <c r="J7" i="12"/>
  <c r="K73" i="35"/>
  <c r="K17" i="35"/>
  <c r="K45" i="35"/>
  <c r="B38" i="19"/>
  <c r="D7" i="6"/>
  <c r="C7" i="24"/>
  <c r="C18" i="39"/>
  <c r="M5" i="38"/>
  <c r="N31" i="38"/>
  <c r="B14" i="24"/>
  <c r="B14" i="22"/>
  <c r="B14" i="6"/>
  <c r="B14" i="18"/>
  <c r="B70" i="15"/>
  <c r="B70" i="13"/>
  <c r="B14" i="19"/>
  <c r="B15" i="38"/>
  <c r="B14" i="15"/>
  <c r="B42" i="13"/>
  <c r="B42" i="15"/>
  <c r="B70" i="35"/>
  <c r="B14" i="13"/>
  <c r="B14" i="35"/>
  <c r="B42" i="35"/>
  <c r="B14" i="12"/>
  <c r="B70" i="16"/>
  <c r="B42" i="16"/>
  <c r="B14" i="16"/>
  <c r="P70" i="16"/>
  <c r="B14" i="26"/>
  <c r="B14" i="10"/>
  <c r="P14" i="16"/>
  <c r="B70" i="10"/>
  <c r="P42" i="16"/>
  <c r="B42" i="10"/>
  <c r="B35" i="24"/>
  <c r="B35" i="22"/>
  <c r="B35" i="6"/>
  <c r="B35" i="19"/>
  <c r="B91" i="15"/>
  <c r="B91" i="13"/>
  <c r="B35" i="15"/>
  <c r="B36" i="38"/>
  <c r="B63" i="13"/>
  <c r="B63" i="15"/>
  <c r="B35" i="18"/>
  <c r="B35" i="13"/>
  <c r="B91" i="35"/>
  <c r="B63" i="35"/>
  <c r="B35" i="35"/>
  <c r="P91" i="16"/>
  <c r="B91" i="16"/>
  <c r="P63" i="16"/>
  <c r="P35" i="16"/>
  <c r="B63" i="16"/>
  <c r="B35" i="16"/>
  <c r="B35" i="12"/>
  <c r="B91" i="10"/>
  <c r="B63" i="10"/>
  <c r="B35" i="10"/>
  <c r="B35" i="26"/>
  <c r="H7" i="16"/>
  <c r="V7" i="16"/>
  <c r="K77" i="35"/>
  <c r="K21" i="35"/>
  <c r="K49" i="35"/>
  <c r="E7" i="15"/>
  <c r="C9" i="28"/>
  <c r="I11" i="6"/>
  <c r="I6" i="24"/>
  <c r="C24" i="39"/>
  <c r="N9" i="38"/>
  <c r="N38" i="38"/>
  <c r="C22" i="30"/>
  <c r="B16" i="38"/>
  <c r="B15" i="24"/>
  <c r="B15" i="6"/>
  <c r="B15" i="22"/>
  <c r="B71" i="15"/>
  <c r="B15" i="19"/>
  <c r="B43" i="15"/>
  <c r="B71" i="13"/>
  <c r="B15" i="15"/>
  <c r="B15" i="18"/>
  <c r="B43" i="13"/>
  <c r="B71" i="35"/>
  <c r="B15" i="35"/>
  <c r="B43" i="35"/>
  <c r="B15" i="13"/>
  <c r="P71" i="16"/>
  <c r="B71" i="16"/>
  <c r="B43" i="16"/>
  <c r="B15" i="16"/>
  <c r="B71" i="10"/>
  <c r="B15" i="26"/>
  <c r="P15" i="16"/>
  <c r="B15" i="12"/>
  <c r="P43" i="16"/>
  <c r="B43" i="10"/>
  <c r="B15" i="10"/>
  <c r="L43" i="16"/>
  <c r="L15" i="16"/>
  <c r="L76" i="16"/>
  <c r="B6" i="16"/>
  <c r="P6" i="16"/>
  <c r="X7" i="16"/>
  <c r="K78" i="35"/>
  <c r="K22" i="35"/>
  <c r="K50" i="35"/>
  <c r="H7" i="15"/>
  <c r="C10" i="28"/>
  <c r="I15" i="6"/>
  <c r="B37" i="24"/>
  <c r="B29" i="39"/>
  <c r="M43" i="38"/>
  <c r="M13" i="38"/>
  <c r="N39" i="38"/>
  <c r="C23" i="30"/>
  <c r="B20" i="38"/>
  <c r="B19" i="24"/>
  <c r="B19" i="6"/>
  <c r="B19" i="22"/>
  <c r="B75" i="13"/>
  <c r="B19" i="18"/>
  <c r="B19" i="15"/>
  <c r="B75" i="15"/>
  <c r="B47" i="15"/>
  <c r="B19" i="19"/>
  <c r="B19" i="13"/>
  <c r="B75" i="35"/>
  <c r="B19" i="35"/>
  <c r="B47" i="35"/>
  <c r="B47" i="13"/>
  <c r="B75" i="16"/>
  <c r="B47" i="16"/>
  <c r="B19" i="16"/>
  <c r="B19" i="12"/>
  <c r="B75" i="10"/>
  <c r="P75" i="16"/>
  <c r="P47" i="16"/>
  <c r="B47" i="10"/>
  <c r="P19" i="16"/>
  <c r="B19" i="10"/>
  <c r="B19" i="26"/>
  <c r="P25" i="38"/>
  <c r="D7" i="39"/>
  <c r="B8" i="24"/>
  <c r="B8" i="6"/>
  <c r="P4" i="38"/>
  <c r="B9" i="38"/>
  <c r="B8" i="22"/>
  <c r="C8" i="21"/>
  <c r="D8" i="28"/>
  <c r="B8" i="18"/>
  <c r="B8" i="15"/>
  <c r="B8" i="19"/>
  <c r="B8" i="35"/>
  <c r="B8" i="13"/>
  <c r="B8" i="12"/>
  <c r="P8" i="16"/>
  <c r="B8" i="16"/>
  <c r="B8" i="10"/>
  <c r="C7" i="10"/>
  <c r="L71" i="16"/>
  <c r="Q3" i="16"/>
  <c r="C6" i="35"/>
  <c r="C14" i="28"/>
  <c r="I16" i="6"/>
  <c r="E7" i="22"/>
  <c r="N18" i="38"/>
  <c r="N44" i="38"/>
  <c r="E1" i="30"/>
  <c r="C24" i="30"/>
  <c r="B23" i="38"/>
  <c r="B22" i="24"/>
  <c r="B22" i="6"/>
  <c r="B22" i="22"/>
  <c r="B22" i="18"/>
  <c r="B78" i="15"/>
  <c r="B22" i="19"/>
  <c r="B78" i="13"/>
  <c r="B50" i="13"/>
  <c r="B22" i="15"/>
  <c r="B78" i="35"/>
  <c r="B50" i="15"/>
  <c r="B22" i="13"/>
  <c r="B22" i="35"/>
  <c r="B50" i="35"/>
  <c r="B22" i="12"/>
  <c r="P50" i="16"/>
  <c r="P22" i="16"/>
  <c r="P78" i="16"/>
  <c r="B50" i="16"/>
  <c r="B22" i="16"/>
  <c r="B78" i="16"/>
  <c r="B22" i="26"/>
  <c r="B22" i="10"/>
  <c r="B78" i="10"/>
  <c r="B50" i="10"/>
  <c r="C8" i="24"/>
  <c r="C8" i="6"/>
  <c r="I8" i="24"/>
  <c r="J11" i="6"/>
  <c r="J10" i="6"/>
  <c r="E8" i="6"/>
  <c r="C8" i="22"/>
  <c r="D8" i="6"/>
  <c r="I8" i="19"/>
  <c r="H6" i="10"/>
  <c r="Y5" i="16"/>
  <c r="E6" i="35"/>
  <c r="D7" i="13"/>
  <c r="C18" i="28"/>
  <c r="F7" i="22"/>
  <c r="C9" i="39"/>
  <c r="B2" i="38"/>
  <c r="N19" i="38"/>
  <c r="N47" i="38"/>
  <c r="C28" i="30"/>
  <c r="B23" i="24"/>
  <c r="B23" i="22"/>
  <c r="B24" i="38"/>
  <c r="B23" i="6"/>
  <c r="B79" i="15"/>
  <c r="B23" i="19"/>
  <c r="B51" i="15"/>
  <c r="B79" i="13"/>
  <c r="B23" i="15"/>
  <c r="B23" i="18"/>
  <c r="B79" i="35"/>
  <c r="B51" i="13"/>
  <c r="B51" i="35"/>
  <c r="B23" i="13"/>
  <c r="B23" i="35"/>
  <c r="B79" i="16"/>
  <c r="B23" i="12"/>
  <c r="B79" i="10"/>
  <c r="P51" i="16"/>
  <c r="P23" i="16"/>
  <c r="B23" i="26"/>
  <c r="B51" i="10"/>
  <c r="P79" i="16"/>
  <c r="B51" i="16"/>
  <c r="B23" i="16"/>
  <c r="B23" i="10"/>
  <c r="C41" i="30"/>
  <c r="H8" i="10"/>
  <c r="F7" i="35"/>
  <c r="D7" i="35"/>
  <c r="E7" i="13"/>
  <c r="G7" i="19"/>
  <c r="C19" i="28"/>
  <c r="E8" i="21"/>
  <c r="C10" i="39"/>
  <c r="J5" i="38"/>
  <c r="N27" i="38"/>
  <c r="O48" i="38"/>
  <c r="E2" i="30"/>
  <c r="C19" i="30"/>
  <c r="C25" i="30"/>
  <c r="C33" i="30"/>
  <c r="B17" i="38"/>
  <c r="B16" i="24"/>
  <c r="B16" i="6"/>
  <c r="B16" i="18"/>
  <c r="B72" i="15"/>
  <c r="B44" i="15"/>
  <c r="B16" i="19"/>
  <c r="B72" i="13"/>
  <c r="B16" i="13"/>
  <c r="B72" i="35"/>
  <c r="B16" i="15"/>
  <c r="B16" i="35"/>
  <c r="B44" i="35"/>
  <c r="B16" i="22"/>
  <c r="B44" i="13"/>
  <c r="B16" i="12"/>
  <c r="P44" i="16"/>
  <c r="P16" i="16"/>
  <c r="P72" i="16"/>
  <c r="B72" i="10"/>
  <c r="B44" i="16"/>
  <c r="B16" i="16"/>
  <c r="B72" i="16"/>
  <c r="B44" i="10"/>
  <c r="B16" i="26"/>
  <c r="B16" i="10"/>
  <c r="B25" i="38"/>
  <c r="B24" i="24"/>
  <c r="B24" i="22"/>
  <c r="B24" i="19"/>
  <c r="B24" i="18"/>
  <c r="B80" i="15"/>
  <c r="B52" i="15"/>
  <c r="B24" i="6"/>
  <c r="B24" i="15"/>
  <c r="B80" i="13"/>
  <c r="B24" i="13"/>
  <c r="B80" i="35"/>
  <c r="B24" i="35"/>
  <c r="B52" i="13"/>
  <c r="B52" i="35"/>
  <c r="B24" i="12"/>
  <c r="B52" i="16"/>
  <c r="B24" i="16"/>
  <c r="B80" i="10"/>
  <c r="B80" i="16"/>
  <c r="P80" i="16"/>
  <c r="P52" i="16"/>
  <c r="B52" i="10"/>
  <c r="B24" i="10"/>
  <c r="P24" i="16"/>
  <c r="B24" i="26"/>
  <c r="B33" i="38"/>
  <c r="B32" i="24"/>
  <c r="B32" i="22"/>
  <c r="B32" i="19"/>
  <c r="B32" i="6"/>
  <c r="B32" i="18"/>
  <c r="B88" i="15"/>
  <c r="B60" i="15"/>
  <c r="B60" i="13"/>
  <c r="B88" i="13"/>
  <c r="B32" i="15"/>
  <c r="B32" i="13"/>
  <c r="B60" i="35"/>
  <c r="B88" i="35"/>
  <c r="B32" i="35"/>
  <c r="P88" i="16"/>
  <c r="B32" i="12"/>
  <c r="B60" i="16"/>
  <c r="B32" i="16"/>
  <c r="B88" i="10"/>
  <c r="B60" i="10"/>
  <c r="B88" i="16"/>
  <c r="P32" i="16"/>
  <c r="B32" i="10"/>
  <c r="P60" i="16"/>
  <c r="B32" i="26"/>
  <c r="D8" i="24"/>
  <c r="G8" i="24"/>
  <c r="J14" i="6"/>
  <c r="D17" i="28"/>
  <c r="C9" i="21"/>
  <c r="H8" i="24"/>
  <c r="G8" i="22"/>
  <c r="F8" i="24"/>
  <c r="F8" i="22"/>
  <c r="H8" i="19"/>
  <c r="D18" i="28"/>
  <c r="G8" i="6"/>
  <c r="F8" i="6"/>
  <c r="I8" i="10"/>
  <c r="C43" i="30"/>
  <c r="C7" i="26"/>
  <c r="S7" i="16"/>
  <c r="E7" i="16"/>
  <c r="G5" i="12"/>
  <c r="J5" i="12"/>
  <c r="D5" i="12"/>
  <c r="K10" i="35"/>
  <c r="K38" i="35"/>
  <c r="K66" i="35"/>
  <c r="F7" i="13"/>
  <c r="H38" i="19"/>
  <c r="C11" i="28"/>
  <c r="F7" i="6"/>
  <c r="G7" i="22"/>
  <c r="D7" i="24"/>
  <c r="C11" i="39"/>
  <c r="C20" i="39"/>
  <c r="B38" i="38"/>
  <c r="N10" i="38"/>
  <c r="O20" i="38"/>
  <c r="N32" i="38"/>
  <c r="N40" i="38"/>
  <c r="B13" i="30"/>
  <c r="C20" i="30"/>
  <c r="C26" i="30"/>
  <c r="B9" i="24"/>
  <c r="B9" i="22"/>
  <c r="B10" i="38"/>
  <c r="B9" i="6"/>
  <c r="B9" i="18"/>
  <c r="B65" i="15"/>
  <c r="B9" i="15"/>
  <c r="B37" i="15"/>
  <c r="B65" i="13"/>
  <c r="B37" i="13"/>
  <c r="B9" i="35"/>
  <c r="B37" i="35"/>
  <c r="B9" i="13"/>
  <c r="B65" i="35"/>
  <c r="B9" i="19"/>
  <c r="B9" i="12"/>
  <c r="P65" i="16"/>
  <c r="P37" i="16"/>
  <c r="P9" i="16"/>
  <c r="B9" i="26"/>
  <c r="B37" i="10"/>
  <c r="B9" i="16"/>
  <c r="B65" i="10"/>
  <c r="B9" i="10"/>
  <c r="B37" i="16"/>
  <c r="B65" i="16"/>
  <c r="B17" i="24"/>
  <c r="B18" i="38"/>
  <c r="B17" i="22"/>
  <c r="B17" i="6"/>
  <c r="B17" i="18"/>
  <c r="B73" i="15"/>
  <c r="B17" i="15"/>
  <c r="B45" i="15"/>
  <c r="B73" i="13"/>
  <c r="B17" i="19"/>
  <c r="B45" i="13"/>
  <c r="B73" i="35"/>
  <c r="B17" i="13"/>
  <c r="B17" i="35"/>
  <c r="B45" i="35"/>
  <c r="B17" i="12"/>
  <c r="P45" i="16"/>
  <c r="P17" i="16"/>
  <c r="P73" i="16"/>
  <c r="B73" i="16"/>
  <c r="B17" i="16"/>
  <c r="B45" i="10"/>
  <c r="B17" i="26"/>
  <c r="B17" i="10"/>
  <c r="B73" i="10"/>
  <c r="B45" i="16"/>
  <c r="B25" i="24"/>
  <c r="B26" i="38"/>
  <c r="B25" i="6"/>
  <c r="B25" i="19"/>
  <c r="B25" i="18"/>
  <c r="B53" i="15"/>
  <c r="B25" i="22"/>
  <c r="B81" i="15"/>
  <c r="B25" i="15"/>
  <c r="B81" i="13"/>
  <c r="B53" i="13"/>
  <c r="B81" i="35"/>
  <c r="B25" i="35"/>
  <c r="B53" i="35"/>
  <c r="B25" i="13"/>
  <c r="P53" i="16"/>
  <c r="P25" i="16"/>
  <c r="B81" i="16"/>
  <c r="B25" i="12"/>
  <c r="B53" i="16"/>
  <c r="B25" i="16"/>
  <c r="B53" i="10"/>
  <c r="B25" i="26"/>
  <c r="B81" i="10"/>
  <c r="B25" i="10"/>
  <c r="P81" i="16"/>
  <c r="B34" i="38"/>
  <c r="B33" i="24"/>
  <c r="B33" i="6"/>
  <c r="B33" i="19"/>
  <c r="B33" i="18"/>
  <c r="B61" i="15"/>
  <c r="B33" i="22"/>
  <c r="B89" i="15"/>
  <c r="B33" i="15"/>
  <c r="B89" i="13"/>
  <c r="B61" i="35"/>
  <c r="B89" i="35"/>
  <c r="B61" i="13"/>
  <c r="B33" i="13"/>
  <c r="B33" i="35"/>
  <c r="P89" i="16"/>
  <c r="B33" i="12"/>
  <c r="B61" i="10"/>
  <c r="B89" i="16"/>
  <c r="P61" i="16"/>
  <c r="P33" i="16"/>
  <c r="B61" i="16"/>
  <c r="B33" i="16"/>
  <c r="B33" i="26"/>
  <c r="B33" i="10"/>
  <c r="B89" i="10"/>
  <c r="P41" i="38"/>
  <c r="I9" i="38"/>
  <c r="P6" i="38"/>
  <c r="P38" i="38"/>
  <c r="P35" i="38"/>
  <c r="P33" i="38"/>
  <c r="P27" i="38"/>
  <c r="P39" i="38"/>
  <c r="P34" i="38"/>
  <c r="P32" i="38"/>
  <c r="P9" i="38"/>
  <c r="E9" i="38"/>
  <c r="K9" i="38"/>
  <c r="P8" i="38"/>
  <c r="D20" i="39"/>
  <c r="P28" i="38"/>
  <c r="P12" i="38"/>
  <c r="P40" i="38"/>
  <c r="P31" i="38"/>
  <c r="H9" i="38"/>
  <c r="D18" i="39"/>
  <c r="G9" i="38"/>
  <c r="D11" i="39"/>
  <c r="F9" i="38"/>
  <c r="C9" i="38"/>
  <c r="D15" i="39"/>
  <c r="P36" i="38"/>
  <c r="D19" i="39"/>
  <c r="D14" i="28"/>
  <c r="P11" i="38"/>
  <c r="D11" i="28"/>
  <c r="D10" i="39"/>
  <c r="D13" i="28"/>
  <c r="D9" i="28"/>
  <c r="D9" i="39"/>
  <c r="D21" i="39"/>
  <c r="D9" i="38"/>
  <c r="F8" i="19"/>
  <c r="P7" i="38"/>
  <c r="E8" i="19"/>
  <c r="D8" i="19"/>
  <c r="D10" i="28"/>
  <c r="C8" i="19"/>
  <c r="H8" i="15"/>
  <c r="G8" i="15"/>
  <c r="F8" i="15"/>
  <c r="D13" i="39"/>
  <c r="D8" i="15"/>
  <c r="F8" i="13"/>
  <c r="E8" i="13"/>
  <c r="E8" i="15"/>
  <c r="D8" i="13"/>
  <c r="D14" i="39"/>
  <c r="C8" i="15"/>
  <c r="C8" i="13"/>
  <c r="D8" i="35"/>
  <c r="C8" i="35"/>
  <c r="H8" i="35"/>
  <c r="I8" i="13"/>
  <c r="G8" i="35"/>
  <c r="J8" i="12"/>
  <c r="F8" i="35"/>
  <c r="E8" i="35"/>
  <c r="G8" i="12"/>
  <c r="F8" i="12"/>
  <c r="Y8" i="16"/>
  <c r="Q8" i="16"/>
  <c r="D8" i="16"/>
  <c r="G8" i="13"/>
  <c r="X8" i="16"/>
  <c r="C8" i="16"/>
  <c r="I8" i="12"/>
  <c r="W8" i="16"/>
  <c r="J8" i="16"/>
  <c r="D8" i="12"/>
  <c r="V8" i="16"/>
  <c r="I8" i="16"/>
  <c r="C8" i="12"/>
  <c r="U8" i="16"/>
  <c r="H8" i="16"/>
  <c r="S8" i="16"/>
  <c r="E8" i="10"/>
  <c r="R8" i="16"/>
  <c r="D8" i="10"/>
  <c r="G8" i="16"/>
  <c r="F8" i="16"/>
  <c r="E8" i="16"/>
  <c r="Z8" i="16"/>
  <c r="T8" i="16"/>
  <c r="B2" i="26"/>
  <c r="D7" i="26"/>
  <c r="T7" i="16"/>
  <c r="F7" i="16"/>
  <c r="B6" i="12"/>
  <c r="H5" i="35"/>
  <c r="K67" i="35"/>
  <c r="K11" i="35"/>
  <c r="K39" i="35"/>
  <c r="G7" i="13"/>
  <c r="C7" i="15"/>
  <c r="C12" i="28"/>
  <c r="G7" i="6"/>
  <c r="G6" i="22"/>
  <c r="E7" i="24"/>
  <c r="C12" i="39"/>
  <c r="C21" i="39"/>
  <c r="D38" i="38"/>
  <c r="N11" i="38"/>
  <c r="M23" i="38"/>
  <c r="N33" i="38"/>
  <c r="N41" i="38"/>
  <c r="C21" i="30"/>
  <c r="C27" i="30"/>
  <c r="B10" i="24"/>
  <c r="B10" i="22"/>
  <c r="B11" i="38"/>
  <c r="B10" i="18"/>
  <c r="B10" i="6"/>
  <c r="B10" i="15"/>
  <c r="B10" i="19"/>
  <c r="B38" i="15"/>
  <c r="B66" i="15"/>
  <c r="B66" i="35"/>
  <c r="B66" i="13"/>
  <c r="B10" i="13"/>
  <c r="B38" i="13"/>
  <c r="B10" i="35"/>
  <c r="B38" i="35"/>
  <c r="B10" i="12"/>
  <c r="P66" i="16"/>
  <c r="P38" i="16"/>
  <c r="P10" i="16"/>
  <c r="B66" i="10"/>
  <c r="B10" i="16"/>
  <c r="B10" i="10"/>
  <c r="B66" i="16"/>
  <c r="B10" i="26"/>
  <c r="B38" i="16"/>
  <c r="B38" i="10"/>
  <c r="B19" i="38"/>
  <c r="B18" i="24"/>
  <c r="B18" i="6"/>
  <c r="B18" i="22"/>
  <c r="B18" i="18"/>
  <c r="B18" i="19"/>
  <c r="B18" i="15"/>
  <c r="B46" i="15"/>
  <c r="B74" i="35"/>
  <c r="B74" i="13"/>
  <c r="B46" i="35"/>
  <c r="B74" i="15"/>
  <c r="B18" i="13"/>
  <c r="B46" i="13"/>
  <c r="B18" i="35"/>
  <c r="B18" i="12"/>
  <c r="B74" i="16"/>
  <c r="P74" i="16"/>
  <c r="P46" i="16"/>
  <c r="P18" i="16"/>
  <c r="B18" i="16"/>
  <c r="B74" i="10"/>
  <c r="B18" i="10"/>
  <c r="B18" i="26"/>
  <c r="B46" i="16"/>
  <c r="B46" i="10"/>
  <c r="B26" i="22"/>
  <c r="B26" i="24"/>
  <c r="B26" i="6"/>
  <c r="B26" i="19"/>
  <c r="B26" i="18"/>
  <c r="B27" i="38"/>
  <c r="B54" i="15"/>
  <c r="B26" i="15"/>
  <c r="B82" i="15"/>
  <c r="B82" i="13"/>
  <c r="B26" i="13"/>
  <c r="B26" i="35"/>
  <c r="B54" i="13"/>
  <c r="B54" i="35"/>
  <c r="B82" i="35"/>
  <c r="B26" i="12"/>
  <c r="P82" i="16"/>
  <c r="B82" i="16"/>
  <c r="B82" i="10"/>
  <c r="P26" i="16"/>
  <c r="B26" i="10"/>
  <c r="B26" i="16"/>
  <c r="B26" i="26"/>
  <c r="B54" i="16"/>
  <c r="B54" i="10"/>
  <c r="P54" i="16"/>
  <c r="B35" i="38"/>
  <c r="B34" i="22"/>
  <c r="B34" i="24"/>
  <c r="B34" i="6"/>
  <c r="B34" i="19"/>
  <c r="B34" i="18"/>
  <c r="B62" i="15"/>
  <c r="B62" i="13"/>
  <c r="B90" i="15"/>
  <c r="B34" i="15"/>
  <c r="B90" i="13"/>
  <c r="B90" i="35"/>
  <c r="B34" i="35"/>
  <c r="B62" i="35"/>
  <c r="B90" i="16"/>
  <c r="B34" i="13"/>
  <c r="B34" i="12"/>
  <c r="P90" i="16"/>
  <c r="P34" i="16"/>
  <c r="B62" i="16"/>
  <c r="B62" i="10"/>
  <c r="B34" i="10"/>
  <c r="B34" i="26"/>
  <c r="B90" i="10"/>
  <c r="P62" i="16"/>
  <c r="B34" i="16"/>
  <c r="E8" i="24"/>
  <c r="D16" i="28"/>
  <c r="G8" i="19"/>
  <c r="F8" i="18"/>
  <c r="E8" i="18"/>
  <c r="D8" i="18"/>
  <c r="D8" i="22"/>
  <c r="C8" i="18"/>
  <c r="C8" i="10"/>
  <c r="E8" i="26"/>
  <c r="C6" i="10"/>
  <c r="G7" i="16"/>
  <c r="U7" i="16"/>
  <c r="E7" i="35"/>
  <c r="C7" i="35"/>
  <c r="K68" i="35"/>
  <c r="K12" i="35"/>
  <c r="K40" i="35"/>
  <c r="H7" i="13"/>
  <c r="D7" i="15"/>
  <c r="F7" i="19"/>
  <c r="C13" i="28"/>
  <c r="I10" i="6"/>
  <c r="F7" i="24"/>
  <c r="C13" i="39"/>
  <c r="C23" i="39"/>
  <c r="M2" i="38"/>
  <c r="N12" i="38"/>
  <c r="M26" i="38"/>
  <c r="N34" i="38"/>
  <c r="N42" i="38"/>
  <c r="C29" i="30"/>
  <c r="B13" i="38"/>
  <c r="B12" i="24"/>
  <c r="B12" i="22"/>
  <c r="B68" i="15"/>
  <c r="B12" i="18"/>
  <c r="B12" i="6"/>
  <c r="B12" i="15"/>
  <c r="B68" i="13"/>
  <c r="B40" i="13"/>
  <c r="B12" i="19"/>
  <c r="B12" i="13"/>
  <c r="B68" i="35"/>
  <c r="B12" i="35"/>
  <c r="B40" i="35"/>
  <c r="B40" i="15"/>
  <c r="B12" i="12"/>
  <c r="P68" i="16"/>
  <c r="P40" i="16"/>
  <c r="P12" i="16"/>
  <c r="B68" i="10"/>
  <c r="B68" i="16"/>
  <c r="B40" i="16"/>
  <c r="B12" i="16"/>
  <c r="B12" i="26"/>
  <c r="B12" i="10"/>
  <c r="B40" i="10"/>
  <c r="B20" i="24"/>
  <c r="B21" i="38"/>
  <c r="B76" i="15"/>
  <c r="B20" i="18"/>
  <c r="B20" i="6"/>
  <c r="B20" i="15"/>
  <c r="B76" i="13"/>
  <c r="B20" i="22"/>
  <c r="B20" i="19"/>
  <c r="B48" i="13"/>
  <c r="B76" i="35"/>
  <c r="B20" i="13"/>
  <c r="B20" i="35"/>
  <c r="B48" i="15"/>
  <c r="B48" i="35"/>
  <c r="B20" i="12"/>
  <c r="B76" i="10"/>
  <c r="B48" i="16"/>
  <c r="B20" i="16"/>
  <c r="B76" i="16"/>
  <c r="P20" i="16"/>
  <c r="B20" i="26"/>
  <c r="B48" i="10"/>
  <c r="P76" i="16"/>
  <c r="P48" i="16"/>
  <c r="B20" i="10"/>
  <c r="B29" i="38"/>
  <c r="B28" i="24"/>
  <c r="B28" i="22"/>
  <c r="B28" i="19"/>
  <c r="B84" i="15"/>
  <c r="B28" i="18"/>
  <c r="B28" i="6"/>
  <c r="B28" i="15"/>
  <c r="B84" i="13"/>
  <c r="B56" i="15"/>
  <c r="B56" i="13"/>
  <c r="B28" i="13"/>
  <c r="B56" i="35"/>
  <c r="B84" i="35"/>
  <c r="B28" i="35"/>
  <c r="B28" i="12"/>
  <c r="B84" i="10"/>
  <c r="P56" i="16"/>
  <c r="P28" i="16"/>
  <c r="B84" i="16"/>
  <c r="B28" i="10"/>
  <c r="B56" i="16"/>
  <c r="B28" i="26"/>
  <c r="B56" i="10"/>
  <c r="P84" i="16"/>
  <c r="B28" i="16"/>
  <c r="B3" i="38"/>
  <c r="B5" i="24"/>
  <c r="B5" i="22"/>
  <c r="B5" i="19"/>
  <c r="B6" i="6"/>
  <c r="B4" i="18"/>
  <c r="B6" i="15"/>
  <c r="B5" i="13"/>
  <c r="B4" i="12"/>
  <c r="P4" i="16"/>
  <c r="B4" i="16"/>
  <c r="B3" i="35"/>
  <c r="B4" i="10"/>
  <c r="P29" i="38"/>
  <c r="J9" i="38"/>
  <c r="D23" i="39"/>
  <c r="D12" i="39"/>
  <c r="P42" i="38"/>
  <c r="D26" i="39"/>
  <c r="D24" i="39"/>
  <c r="C12" i="21"/>
  <c r="D12" i="28"/>
  <c r="D19" i="28"/>
  <c r="J12" i="6"/>
  <c r="P10" i="38"/>
  <c r="C10" i="21"/>
  <c r="B36" i="26"/>
  <c r="D7" i="10"/>
  <c r="I7" i="16"/>
  <c r="W7" i="16"/>
  <c r="L72" i="16"/>
  <c r="N76" i="16"/>
  <c r="N43" i="16"/>
  <c r="N15" i="16"/>
  <c r="Y7" i="16"/>
  <c r="C5" i="35"/>
  <c r="K5" i="35"/>
  <c r="K75" i="35"/>
  <c r="K19" i="35"/>
  <c r="K47" i="35"/>
  <c r="F7" i="15"/>
  <c r="C6" i="18"/>
  <c r="H7" i="19"/>
  <c r="C16" i="28"/>
  <c r="I12" i="6"/>
  <c r="C7" i="22"/>
  <c r="H7" i="24"/>
  <c r="C15" i="39"/>
  <c r="C26" i="39"/>
  <c r="C5" i="38"/>
  <c r="N6" i="38"/>
  <c r="N16" i="38"/>
  <c r="N28" i="38"/>
  <c r="N36" i="38"/>
  <c r="M45" i="38"/>
  <c r="C30" i="30"/>
  <c r="B14" i="38"/>
  <c r="B13" i="24"/>
  <c r="B13" i="22"/>
  <c r="B69" i="15"/>
  <c r="B13" i="6"/>
  <c r="B13" i="18"/>
  <c r="B13" i="19"/>
  <c r="B13" i="15"/>
  <c r="B41" i="15"/>
  <c r="B69" i="13"/>
  <c r="B13" i="13"/>
  <c r="B69" i="35"/>
  <c r="B41" i="13"/>
  <c r="B13" i="35"/>
  <c r="B41" i="35"/>
  <c r="P69" i="16"/>
  <c r="P41" i="16"/>
  <c r="P13" i="16"/>
  <c r="B69" i="16"/>
  <c r="B41" i="10"/>
  <c r="B13" i="10"/>
  <c r="B41" i="16"/>
  <c r="B13" i="12"/>
  <c r="B13" i="16"/>
  <c r="B69" i="10"/>
  <c r="B13" i="26"/>
  <c r="B22" i="38"/>
  <c r="B21" i="24"/>
  <c r="B21" i="22"/>
  <c r="B21" i="6"/>
  <c r="B77" i="15"/>
  <c r="B21" i="18"/>
  <c r="B21" i="19"/>
  <c r="B21" i="15"/>
  <c r="B49" i="15"/>
  <c r="B77" i="13"/>
  <c r="B21" i="13"/>
  <c r="B77" i="35"/>
  <c r="B49" i="13"/>
  <c r="B21" i="35"/>
  <c r="B49" i="35"/>
  <c r="P77" i="16"/>
  <c r="B49" i="16"/>
  <c r="B21" i="16"/>
  <c r="B77" i="16"/>
  <c r="B21" i="12"/>
  <c r="B77" i="10"/>
  <c r="P21" i="16"/>
  <c r="B49" i="10"/>
  <c r="B21" i="26"/>
  <c r="B21" i="10"/>
  <c r="P49" i="16"/>
  <c r="B30" i="38"/>
  <c r="B29" i="24"/>
  <c r="B29" i="22"/>
  <c r="B29" i="6"/>
  <c r="B29" i="19"/>
  <c r="B85" i="15"/>
  <c r="B29" i="18"/>
  <c r="B57" i="15"/>
  <c r="B29" i="15"/>
  <c r="B85" i="13"/>
  <c r="B29" i="13"/>
  <c r="B57" i="13"/>
  <c r="B57" i="35"/>
  <c r="B29" i="35"/>
  <c r="B85" i="35"/>
  <c r="P85" i="16"/>
  <c r="B57" i="16"/>
  <c r="B29" i="16"/>
  <c r="B29" i="12"/>
  <c r="B85" i="16"/>
  <c r="P57" i="16"/>
  <c r="P29" i="16"/>
  <c r="B57" i="10"/>
  <c r="B29" i="26"/>
  <c r="B29" i="10"/>
  <c r="B85" i="10"/>
  <c r="B4" i="38"/>
  <c r="E7" i="39"/>
  <c r="Q4" i="38"/>
  <c r="Q25" i="38"/>
  <c r="B6" i="24"/>
  <c r="B6" i="22"/>
  <c r="E8" i="28"/>
  <c r="B6" i="19"/>
  <c r="B5" i="18"/>
  <c r="B6" i="13"/>
  <c r="B4" i="35"/>
  <c r="B5" i="12"/>
  <c r="P5" i="16"/>
  <c r="B5" i="16"/>
  <c r="B5" i="10"/>
  <c r="D8" i="26"/>
  <c r="E6" i="10"/>
  <c r="C3" i="16"/>
  <c r="J7" i="16"/>
  <c r="L73" i="16"/>
  <c r="Z6" i="16"/>
  <c r="G5" i="35"/>
  <c r="K15" i="35"/>
  <c r="K43" i="35"/>
  <c r="K71" i="35"/>
  <c r="K76" i="35"/>
  <c r="K20" i="35"/>
  <c r="K48" i="35"/>
  <c r="C7" i="13"/>
  <c r="G7" i="15"/>
  <c r="F6" i="18"/>
  <c r="I7" i="19"/>
  <c r="C17" i="28"/>
  <c r="C7" i="6"/>
  <c r="I14" i="6"/>
  <c r="D8" i="21"/>
  <c r="B10" i="21"/>
  <c r="D7" i="22"/>
  <c r="I7" i="24"/>
  <c r="C8" i="39"/>
  <c r="C17" i="39"/>
  <c r="L6" i="39"/>
  <c r="I8" i="38"/>
  <c r="X3" i="38"/>
  <c r="X24" i="38"/>
  <c r="N7" i="38"/>
  <c r="M17" i="38"/>
  <c r="N29" i="38"/>
  <c r="M37" i="38"/>
  <c r="N46" i="38"/>
  <c r="D72" i="35"/>
  <c r="F53" i="35"/>
  <c r="D23" i="35"/>
  <c r="D30" i="35"/>
  <c r="T65" i="16"/>
  <c r="D27" i="35"/>
  <c r="C28" i="15"/>
  <c r="C55" i="15"/>
  <c r="D25" i="35"/>
  <c r="C66" i="15"/>
  <c r="C77" i="15"/>
  <c r="U62" i="16"/>
  <c r="U54" i="16"/>
  <c r="U47" i="16"/>
  <c r="U57" i="16"/>
  <c r="U48" i="16"/>
  <c r="U43" i="16"/>
  <c r="U42" i="16"/>
  <c r="U39" i="16"/>
  <c r="U60" i="16"/>
  <c r="U52" i="16"/>
  <c r="U49" i="16"/>
  <c r="U55" i="16"/>
  <c r="U44" i="16"/>
  <c r="U58" i="16"/>
  <c r="U50" i="16"/>
  <c r="U40" i="16"/>
  <c r="U51" i="16"/>
  <c r="U56" i="16"/>
  <c r="T69" i="16"/>
  <c r="T77" i="16"/>
  <c r="T88" i="16"/>
  <c r="D26" i="35"/>
  <c r="D47" i="35"/>
  <c r="D69" i="35"/>
  <c r="C89" i="15"/>
  <c r="C32" i="15"/>
  <c r="C51" i="15"/>
  <c r="C11" i="15"/>
  <c r="C15" i="15"/>
  <c r="C19" i="15"/>
  <c r="C23" i="15"/>
  <c r="C27" i="15"/>
  <c r="C31" i="15"/>
  <c r="C38" i="15"/>
  <c r="C42" i="15"/>
  <c r="C46" i="15"/>
  <c r="C50" i="15"/>
  <c r="C54" i="15"/>
  <c r="C58" i="15"/>
  <c r="X17" i="16"/>
  <c r="Y17" i="16" s="1"/>
  <c r="Z17" i="16" s="1"/>
  <c r="D17" i="15" s="1"/>
  <c r="S28" i="16"/>
  <c r="S13" i="16"/>
  <c r="X13" i="16" s="1"/>
  <c r="Y13" i="16" s="1"/>
  <c r="Z13" i="16" s="1"/>
  <c r="S9" i="16"/>
  <c r="X9" i="16" s="1"/>
  <c r="S31" i="16"/>
  <c r="S23" i="16"/>
  <c r="S18" i="16"/>
  <c r="S10" i="16"/>
  <c r="S34" i="16"/>
  <c r="S26" i="16"/>
  <c r="S19" i="16"/>
  <c r="S29" i="16"/>
  <c r="S20" i="16"/>
  <c r="S15" i="16"/>
  <c r="S14" i="16"/>
  <c r="S11" i="16"/>
  <c r="S32" i="16"/>
  <c r="S24" i="16"/>
  <c r="X24" i="16" s="1"/>
  <c r="Y24" i="16" s="1"/>
  <c r="Z24" i="16" s="1"/>
  <c r="D24" i="15" s="1"/>
  <c r="S21" i="16"/>
  <c r="S25" i="16"/>
  <c r="D14" i="35"/>
  <c r="F15" i="35"/>
  <c r="F26" i="35"/>
  <c r="F28" i="35"/>
  <c r="C73" i="15"/>
  <c r="T59" i="16"/>
  <c r="T51" i="16"/>
  <c r="T46" i="16"/>
  <c r="T38" i="16"/>
  <c r="T62" i="16"/>
  <c r="T54" i="16"/>
  <c r="T47" i="16"/>
  <c r="T57" i="16"/>
  <c r="T48" i="16"/>
  <c r="T43" i="16"/>
  <c r="T42" i="16"/>
  <c r="T39" i="16"/>
  <c r="T60" i="16"/>
  <c r="T52" i="16"/>
  <c r="T49" i="16"/>
  <c r="T55" i="16"/>
  <c r="X55" i="16" s="1"/>
  <c r="Y55" i="16" s="1"/>
  <c r="Z55" i="16" s="1"/>
  <c r="T44" i="16"/>
  <c r="T90" i="16"/>
  <c r="T74" i="16"/>
  <c r="T66" i="16"/>
  <c r="T84" i="16"/>
  <c r="T79" i="16"/>
  <c r="T87" i="16"/>
  <c r="T80" i="16"/>
  <c r="T70" i="16"/>
  <c r="T67" i="16"/>
  <c r="T81" i="16"/>
  <c r="T76" i="16"/>
  <c r="T75" i="16"/>
  <c r="T85" i="16"/>
  <c r="T82" i="16"/>
  <c r="T71" i="16"/>
  <c r="T89" i="16"/>
  <c r="T83" i="16"/>
  <c r="C12" i="15"/>
  <c r="E35" i="10"/>
  <c r="I18" i="39" s="1"/>
  <c r="C43" i="15"/>
  <c r="C9" i="15"/>
  <c r="C60" i="15"/>
  <c r="C69" i="15"/>
  <c r="C74" i="15"/>
  <c r="C85" i="15"/>
  <c r="S56" i="16"/>
  <c r="S41" i="16"/>
  <c r="S37" i="16"/>
  <c r="S59" i="16"/>
  <c r="S51" i="16"/>
  <c r="S46" i="16"/>
  <c r="S38" i="16"/>
  <c r="S62" i="16"/>
  <c r="S54" i="16"/>
  <c r="S47" i="16"/>
  <c r="S57" i="16"/>
  <c r="S48" i="16"/>
  <c r="S43" i="16"/>
  <c r="S42" i="16"/>
  <c r="S39" i="16"/>
  <c r="S60" i="16"/>
  <c r="S52" i="16"/>
  <c r="S49" i="16"/>
  <c r="T50" i="16"/>
  <c r="T61" i="16"/>
  <c r="T68" i="16"/>
  <c r="D19" i="35"/>
  <c r="F60" i="35"/>
  <c r="D21" i="35"/>
  <c r="C16" i="15"/>
  <c r="C39" i="15"/>
  <c r="E63" i="10"/>
  <c r="J18" i="39" s="1"/>
  <c r="T78" i="16"/>
  <c r="D76" i="35"/>
  <c r="F62" i="35"/>
  <c r="C13" i="15"/>
  <c r="C17" i="15"/>
  <c r="C21" i="15"/>
  <c r="C25" i="15"/>
  <c r="C29" i="15"/>
  <c r="C33" i="15"/>
  <c r="C40" i="15"/>
  <c r="C44" i="15"/>
  <c r="C48" i="15"/>
  <c r="C52" i="15"/>
  <c r="C56" i="15"/>
  <c r="C61" i="15"/>
  <c r="C65" i="15"/>
  <c r="E91" i="10"/>
  <c r="U34" i="16"/>
  <c r="U26" i="16"/>
  <c r="U19" i="16"/>
  <c r="U29" i="16"/>
  <c r="U20" i="16"/>
  <c r="U15" i="16"/>
  <c r="U14" i="16"/>
  <c r="U11" i="16"/>
  <c r="U32" i="16"/>
  <c r="U24" i="16"/>
  <c r="U21" i="16"/>
  <c r="U27" i="16"/>
  <c r="U16" i="16"/>
  <c r="U30" i="16"/>
  <c r="U22" i="16"/>
  <c r="U12" i="16"/>
  <c r="U23" i="16"/>
  <c r="S27" i="16"/>
  <c r="X27" i="16" s="1"/>
  <c r="Y27" i="16" s="1"/>
  <c r="Z27" i="16" s="1"/>
  <c r="S30" i="16"/>
  <c r="S33" i="16"/>
  <c r="T41" i="16"/>
  <c r="U46" i="16"/>
  <c r="S53" i="16"/>
  <c r="U61" i="16"/>
  <c r="X61" i="16" s="1"/>
  <c r="Y61" i="16" s="1"/>
  <c r="Z61" i="16" s="1"/>
  <c r="E37" i="15"/>
  <c r="E63" i="15" s="1"/>
  <c r="G35" i="12"/>
  <c r="V40" i="38" s="1"/>
  <c r="F38" i="35"/>
  <c r="F47" i="35"/>
  <c r="G63" i="35"/>
  <c r="C20" i="15"/>
  <c r="C59" i="15"/>
  <c r="T73" i="16"/>
  <c r="C37" i="15"/>
  <c r="C70" i="15"/>
  <c r="C81" i="15"/>
  <c r="T30" i="16"/>
  <c r="J35" i="16"/>
  <c r="T37" i="16"/>
  <c r="S40" i="16"/>
  <c r="S44" i="16"/>
  <c r="X44" i="16" s="1"/>
  <c r="Y44" i="16" s="1"/>
  <c r="Z44" i="16" s="1"/>
  <c r="S45" i="16"/>
  <c r="T53" i="16"/>
  <c r="D68" i="35"/>
  <c r="F55" i="35"/>
  <c r="F57" i="35"/>
  <c r="C47" i="15"/>
  <c r="D46" i="35"/>
  <c r="C10" i="15"/>
  <c r="C14" i="15"/>
  <c r="C18" i="15"/>
  <c r="C22" i="15"/>
  <c r="C26" i="15"/>
  <c r="C30" i="15"/>
  <c r="C34" i="15"/>
  <c r="C41" i="15"/>
  <c r="C45" i="15"/>
  <c r="C49" i="15"/>
  <c r="C53" i="15"/>
  <c r="C57" i="15"/>
  <c r="C62" i="15"/>
  <c r="S12" i="16"/>
  <c r="T31" i="16"/>
  <c r="T23" i="16"/>
  <c r="T18" i="16"/>
  <c r="T10" i="16"/>
  <c r="T34" i="16"/>
  <c r="T26" i="16"/>
  <c r="T19" i="16"/>
  <c r="T29" i="16"/>
  <c r="T20" i="16"/>
  <c r="T15" i="16"/>
  <c r="T14" i="16"/>
  <c r="T11" i="16"/>
  <c r="T32" i="16"/>
  <c r="T24" i="16"/>
  <c r="T21" i="16"/>
  <c r="T27" i="16"/>
  <c r="T16" i="16"/>
  <c r="U33" i="16"/>
  <c r="T40" i="16"/>
  <c r="T45" i="16"/>
  <c r="U53" i="16"/>
  <c r="T56" i="16"/>
  <c r="U59" i="16"/>
  <c r="T72" i="16"/>
  <c r="D18" i="35"/>
  <c r="D51" i="35"/>
  <c r="D62" i="35"/>
  <c r="D79" i="35"/>
  <c r="F11" i="35"/>
  <c r="F22" i="35"/>
  <c r="F31" i="35"/>
  <c r="F44" i="35"/>
  <c r="F46" i="35"/>
  <c r="F61" i="35"/>
  <c r="D12" i="35"/>
  <c r="D42" i="35"/>
  <c r="D44" i="35"/>
  <c r="D49" i="35"/>
  <c r="D60" i="35"/>
  <c r="D67" i="35"/>
  <c r="D70" i="35"/>
  <c r="F24" i="35"/>
  <c r="F33" i="35"/>
  <c r="F40" i="35"/>
  <c r="F42" i="35"/>
  <c r="F51" i="35"/>
  <c r="C78" i="15"/>
  <c r="C82" i="15"/>
  <c r="C86" i="15"/>
  <c r="C90" i="15"/>
  <c r="Q19" i="16"/>
  <c r="R20" i="16"/>
  <c r="X20" i="16" s="1"/>
  <c r="Y20" i="16" s="1"/>
  <c r="Z20" i="16" s="1"/>
  <c r="D20" i="15" s="1"/>
  <c r="V25" i="16"/>
  <c r="Q26" i="16"/>
  <c r="W28" i="16"/>
  <c r="R29" i="16"/>
  <c r="X29" i="16" s="1"/>
  <c r="Y29" i="16" s="1"/>
  <c r="Z29" i="16" s="1"/>
  <c r="D29" i="15" s="1"/>
  <c r="V33" i="16"/>
  <c r="Q34" i="16"/>
  <c r="V45" i="16"/>
  <c r="Q47" i="16"/>
  <c r="R48" i="16"/>
  <c r="X48" i="16" s="1"/>
  <c r="Y48" i="16" s="1"/>
  <c r="Z48" i="16" s="1"/>
  <c r="D48" i="15" s="1"/>
  <c r="V53" i="16"/>
  <c r="Q54" i="16"/>
  <c r="W56" i="16"/>
  <c r="R57" i="16"/>
  <c r="V61" i="16"/>
  <c r="Q62" i="16"/>
  <c r="V83" i="16"/>
  <c r="V89" i="16"/>
  <c r="D16" i="35"/>
  <c r="D32" i="35"/>
  <c r="D48" i="35"/>
  <c r="D74" i="35"/>
  <c r="F17" i="35"/>
  <c r="F19" i="35"/>
  <c r="F30" i="35"/>
  <c r="D31" i="35"/>
  <c r="F43" i="35"/>
  <c r="Q18" i="16"/>
  <c r="R19" i="16"/>
  <c r="V22" i="16"/>
  <c r="Q23" i="16"/>
  <c r="W25" i="16"/>
  <c r="R26" i="16"/>
  <c r="V30" i="16"/>
  <c r="Q31" i="16"/>
  <c r="W33" i="16"/>
  <c r="R34" i="16"/>
  <c r="V40" i="16"/>
  <c r="Q46" i="16"/>
  <c r="R47" i="16"/>
  <c r="V50" i="16"/>
  <c r="Q51" i="16"/>
  <c r="W53" i="16"/>
  <c r="R54" i="16"/>
  <c r="V58" i="16"/>
  <c r="Q59" i="16"/>
  <c r="W61" i="16"/>
  <c r="R62" i="16"/>
  <c r="V77" i="16"/>
  <c r="D13" i="35"/>
  <c r="H13" i="35" s="1"/>
  <c r="F13" i="15" s="1"/>
  <c r="D71" i="35"/>
  <c r="D84" i="35"/>
  <c r="F10" i="35"/>
  <c r="F12" i="35"/>
  <c r="F21" i="35"/>
  <c r="F32" i="35"/>
  <c r="F41" i="35"/>
  <c r="F48" i="35"/>
  <c r="F50" i="35"/>
  <c r="F59" i="35"/>
  <c r="V38" i="38"/>
  <c r="C67" i="15"/>
  <c r="C71" i="15"/>
  <c r="C75" i="15"/>
  <c r="C79" i="15"/>
  <c r="C83" i="15"/>
  <c r="C87" i="15"/>
  <c r="R18" i="16"/>
  <c r="W22" i="16"/>
  <c r="R23" i="16"/>
  <c r="V27" i="16"/>
  <c r="Q28" i="16"/>
  <c r="W30" i="16"/>
  <c r="R31" i="16"/>
  <c r="Q41" i="16"/>
  <c r="V44" i="16"/>
  <c r="R46" i="16"/>
  <c r="W50" i="16"/>
  <c r="W63" i="16" s="1"/>
  <c r="R51" i="16"/>
  <c r="X51" i="16" s="1"/>
  <c r="Y51" i="16" s="1"/>
  <c r="V55" i="16"/>
  <c r="Q56" i="16"/>
  <c r="R59" i="16"/>
  <c r="V82" i="16"/>
  <c r="V85" i="16"/>
  <c r="D50" i="35"/>
  <c r="D52" i="35"/>
  <c r="D57" i="35"/>
  <c r="F14" i="35"/>
  <c r="F23" i="35"/>
  <c r="F34" i="35"/>
  <c r="F39" i="35"/>
  <c r="F52" i="35"/>
  <c r="F54" i="35"/>
  <c r="Q17" i="16"/>
  <c r="V21" i="16"/>
  <c r="V24" i="16"/>
  <c r="Q25" i="16"/>
  <c r="W27" i="16"/>
  <c r="R28" i="16"/>
  <c r="V32" i="16"/>
  <c r="Q33" i="16"/>
  <c r="Q45" i="16"/>
  <c r="V49" i="16"/>
  <c r="V52" i="16"/>
  <c r="Q53" i="16"/>
  <c r="R56" i="16"/>
  <c r="X56" i="16" s="1"/>
  <c r="Y56" i="16" s="1"/>
  <c r="V60" i="16"/>
  <c r="Q61" i="16"/>
  <c r="V87" i="16"/>
  <c r="J91" i="16"/>
  <c r="D15" i="35"/>
  <c r="D17" i="35"/>
  <c r="D22" i="35"/>
  <c r="D33" i="35"/>
  <c r="D43" i="35"/>
  <c r="D59" i="35"/>
  <c r="D66" i="35"/>
  <c r="D73" i="35"/>
  <c r="D75" i="35"/>
  <c r="D81" i="35"/>
  <c r="F16" i="35"/>
  <c r="F25" i="35"/>
  <c r="F27" i="35"/>
  <c r="D20" i="35"/>
  <c r="C68" i="15"/>
  <c r="C72" i="15"/>
  <c r="C76" i="15"/>
  <c r="C80" i="15"/>
  <c r="C84" i="15"/>
  <c r="C88" i="15"/>
  <c r="Q22" i="16"/>
  <c r="R25" i="16"/>
  <c r="Q50" i="16"/>
  <c r="D10" i="35"/>
  <c r="H10" i="35" s="1"/>
  <c r="F10" i="15" s="1"/>
  <c r="D24" i="35"/>
  <c r="D40" i="35"/>
  <c r="H40" i="35" s="1"/>
  <c r="F40" i="15" s="1"/>
  <c r="D45" i="35"/>
  <c r="D56" i="35"/>
  <c r="F18" i="35"/>
  <c r="F20" i="35"/>
  <c r="F29" i="35"/>
  <c r="F45" i="35"/>
  <c r="F49" i="35"/>
  <c r="F56" i="35"/>
  <c r="F58" i="35"/>
  <c r="D34" i="35"/>
  <c r="E35" i="15"/>
  <c r="L21" i="39"/>
  <c r="L24" i="39" s="1"/>
  <c r="D85" i="35"/>
  <c r="I23" i="38"/>
  <c r="K23" i="38" s="1"/>
  <c r="D29" i="35"/>
  <c r="D28" i="35"/>
  <c r="H28" i="35" s="1"/>
  <c r="F28" i="15" s="1"/>
  <c r="D38" i="35"/>
  <c r="H38" i="35" s="1"/>
  <c r="F38" i="15" s="1"/>
  <c r="D39" i="35"/>
  <c r="E34" i="24"/>
  <c r="D34" i="22"/>
  <c r="D61" i="35"/>
  <c r="D55" i="35"/>
  <c r="D58" i="35"/>
  <c r="D54" i="35"/>
  <c r="H54" i="35" s="1"/>
  <c r="F54" i="15" s="1"/>
  <c r="E35" i="13"/>
  <c r="E91" i="13"/>
  <c r="D41" i="35"/>
  <c r="D53" i="35"/>
  <c r="E10" i="24"/>
  <c r="D10" i="22"/>
  <c r="D90" i="35"/>
  <c r="E27" i="24"/>
  <c r="D27" i="22"/>
  <c r="D89" i="35"/>
  <c r="E21" i="24"/>
  <c r="D21" i="22"/>
  <c r="D77" i="35"/>
  <c r="D78" i="35"/>
  <c r="D80" i="35"/>
  <c r="E63" i="13"/>
  <c r="E9" i="24"/>
  <c r="G35" i="19"/>
  <c r="E15" i="24"/>
  <c r="D15" i="22"/>
  <c r="E22" i="24"/>
  <c r="D22" i="22"/>
  <c r="E28" i="24"/>
  <c r="D28" i="22"/>
  <c r="E17" i="24"/>
  <c r="D17" i="22"/>
  <c r="E11" i="24"/>
  <c r="D11" i="22"/>
  <c r="E18" i="24"/>
  <c r="D18" i="22"/>
  <c r="E24" i="24"/>
  <c r="D24" i="22"/>
  <c r="E25" i="24"/>
  <c r="D25" i="22"/>
  <c r="E31" i="24"/>
  <c r="D31" i="22"/>
  <c r="D9" i="22"/>
  <c r="D23" i="22"/>
  <c r="E13" i="24"/>
  <c r="D13" i="22"/>
  <c r="E19" i="24"/>
  <c r="D19" i="22"/>
  <c r="E26" i="24"/>
  <c r="D26" i="22"/>
  <c r="E32" i="24"/>
  <c r="D32" i="22"/>
  <c r="D29" i="22"/>
  <c r="E14" i="24"/>
  <c r="D14" i="22"/>
  <c r="E20" i="24"/>
  <c r="D20" i="22"/>
  <c r="E33" i="24"/>
  <c r="D33" i="22"/>
  <c r="D30" i="22"/>
  <c r="F35" i="18"/>
  <c r="I16" i="28" s="1"/>
  <c r="I17" i="28" s="1"/>
  <c r="L14" i="39"/>
  <c r="R29" i="38"/>
  <c r="I20" i="38"/>
  <c r="K20" i="38" s="1"/>
  <c r="G13" i="29"/>
  <c r="D73" i="29"/>
  <c r="F103" i="29"/>
  <c r="F107" i="29"/>
  <c r="D116" i="29"/>
  <c r="E120" i="29"/>
  <c r="E162" i="29"/>
  <c r="F210" i="29"/>
  <c r="T42" i="38"/>
  <c r="D84" i="29"/>
  <c r="E104" i="29"/>
  <c r="D117" i="29"/>
  <c r="D121" i="29"/>
  <c r="G36" i="38"/>
  <c r="V7" i="38" s="1"/>
  <c r="X7" i="38" s="1"/>
  <c r="F220" i="29"/>
  <c r="G183" i="29"/>
  <c r="E173" i="29"/>
  <c r="D162" i="29"/>
  <c r="G128" i="29"/>
  <c r="G120" i="29"/>
  <c r="D119" i="29"/>
  <c r="F117" i="29"/>
  <c r="G108" i="29"/>
  <c r="D107" i="29"/>
  <c r="F105" i="29"/>
  <c r="E102" i="29"/>
  <c r="F77" i="29"/>
  <c r="D75" i="29"/>
  <c r="F73" i="29"/>
  <c r="G230" i="29"/>
  <c r="E220" i="29"/>
  <c r="G210" i="29"/>
  <c r="G206" i="29"/>
  <c r="G194" i="29"/>
  <c r="F183" i="29"/>
  <c r="G174" i="29"/>
  <c r="D173" i="29"/>
  <c r="G154" i="29"/>
  <c r="F128" i="29"/>
  <c r="F120" i="29"/>
  <c r="E117" i="29"/>
  <c r="F108" i="29"/>
  <c r="E105" i="29"/>
  <c r="G103" i="29"/>
  <c r="D102" i="29"/>
  <c r="G91" i="29"/>
  <c r="E77" i="29"/>
  <c r="E73" i="29"/>
  <c r="E13" i="29"/>
  <c r="R24" i="38"/>
  <c r="E8" i="38"/>
  <c r="F249" i="29"/>
  <c r="E230" i="29"/>
  <c r="F213" i="29"/>
  <c r="E210" i="29"/>
  <c r="E206" i="29"/>
  <c r="E194" i="29"/>
  <c r="D183" i="29"/>
  <c r="E174" i="29"/>
  <c r="G172" i="29"/>
  <c r="F169" i="29"/>
  <c r="E154" i="29"/>
  <c r="F133" i="29"/>
  <c r="D128" i="29"/>
  <c r="G121" i="29"/>
  <c r="D120" i="29"/>
  <c r="F118" i="29"/>
  <c r="G113" i="29"/>
  <c r="G109" i="29"/>
  <c r="D108" i="29"/>
  <c r="F106" i="29"/>
  <c r="E103" i="29"/>
  <c r="G101" i="29"/>
  <c r="E91" i="29"/>
  <c r="F74" i="29"/>
  <c r="E249" i="29"/>
  <c r="D230" i="29"/>
  <c r="E213" i="29"/>
  <c r="D210" i="29"/>
  <c r="D206" i="29"/>
  <c r="D194" i="29"/>
  <c r="G175" i="29"/>
  <c r="D174" i="29"/>
  <c r="F172" i="29"/>
  <c r="E169" i="29"/>
  <c r="D154" i="29"/>
  <c r="E133" i="29"/>
  <c r="F121" i="29"/>
  <c r="E118" i="29"/>
  <c r="G116" i="29"/>
  <c r="F113" i="29"/>
  <c r="F109" i="29"/>
  <c r="E106" i="29"/>
  <c r="G104" i="29"/>
  <c r="D103" i="29"/>
  <c r="F101" i="29"/>
  <c r="D91" i="29"/>
  <c r="G84" i="29"/>
  <c r="E74" i="29"/>
  <c r="W24" i="38"/>
  <c r="D249" i="29"/>
  <c r="D213" i="29"/>
  <c r="F175" i="29"/>
  <c r="E172" i="29"/>
  <c r="D169" i="29"/>
  <c r="G162" i="29"/>
  <c r="D133" i="29"/>
  <c r="E121" i="29"/>
  <c r="G119" i="29"/>
  <c r="D118" i="29"/>
  <c r="F116" i="29"/>
  <c r="E113" i="29"/>
  <c r="E109" i="29"/>
  <c r="G107" i="29"/>
  <c r="D106" i="29"/>
  <c r="F104" i="29"/>
  <c r="E101" i="29"/>
  <c r="F84" i="29"/>
  <c r="G75" i="29"/>
  <c r="D74" i="29"/>
  <c r="V24" i="38"/>
  <c r="U3" i="38"/>
  <c r="G74" i="29"/>
  <c r="E84" i="29"/>
  <c r="D105" i="29"/>
  <c r="D109" i="29"/>
  <c r="G117" i="29"/>
  <c r="G133" i="29"/>
  <c r="F174" i="29"/>
  <c r="G213" i="29"/>
  <c r="H36" i="38"/>
  <c r="W7" i="38" s="1"/>
  <c r="R42" i="38"/>
  <c r="E75" i="29"/>
  <c r="D101" i="29"/>
  <c r="G105" i="29"/>
  <c r="F154" i="29"/>
  <c r="D175" i="29"/>
  <c r="F230" i="29"/>
  <c r="F75" i="29"/>
  <c r="G118" i="29"/>
  <c r="G169" i="29"/>
  <c r="E175" i="29"/>
  <c r="F206" i="29"/>
  <c r="X11" i="38"/>
  <c r="D13" i="29"/>
  <c r="D77" i="29"/>
  <c r="F102" i="29"/>
  <c r="G106" i="29"/>
  <c r="D113" i="29"/>
  <c r="E119" i="29"/>
  <c r="E128" i="29"/>
  <c r="D220" i="29"/>
  <c r="B105" i="29"/>
  <c r="B120" i="29"/>
  <c r="B230" i="29"/>
  <c r="B116" i="29"/>
  <c r="B74" i="29"/>
  <c r="B106" i="29"/>
  <c r="B172" i="29"/>
  <c r="B91" i="29"/>
  <c r="B118" i="29"/>
  <c r="B210" i="29"/>
  <c r="B206" i="29"/>
  <c r="B73" i="29"/>
  <c r="B133" i="29"/>
  <c r="B249" i="29"/>
  <c r="B103" i="29"/>
  <c r="B75" i="29"/>
  <c r="B119" i="29"/>
  <c r="B220" i="29"/>
  <c r="B169" i="29"/>
  <c r="B162" i="29"/>
  <c r="B113" i="29"/>
  <c r="B173" i="29"/>
  <c r="B107" i="29"/>
  <c r="B213" i="29"/>
  <c r="B154" i="29"/>
  <c r="B109" i="29"/>
  <c r="B128" i="29"/>
  <c r="B121" i="29"/>
  <c r="B117" i="29"/>
  <c r="B102" i="29"/>
  <c r="B175" i="29"/>
  <c r="B108" i="29"/>
  <c r="B174" i="29"/>
  <c r="B194" i="29"/>
  <c r="B13" i="29"/>
  <c r="B101" i="29"/>
  <c r="B77" i="29"/>
  <c r="B84" i="29"/>
  <c r="B104" i="29"/>
  <c r="B183" i="29"/>
  <c r="V91" i="16" l="1"/>
  <c r="X45" i="16"/>
  <c r="Y45" i="16" s="1"/>
  <c r="Z45" i="16" s="1"/>
  <c r="T35" i="16"/>
  <c r="X43" i="16"/>
  <c r="Y43" i="16" s="1"/>
  <c r="Z43" i="16" s="1"/>
  <c r="D43" i="15" s="1"/>
  <c r="X50" i="16"/>
  <c r="Y50" i="16" s="1"/>
  <c r="Z50" i="16" s="1"/>
  <c r="V35" i="16"/>
  <c r="Z51" i="16"/>
  <c r="D51" i="15" s="1"/>
  <c r="U35" i="16"/>
  <c r="Q35" i="16"/>
  <c r="X40" i="16"/>
  <c r="Y40" i="16" s="1"/>
  <c r="Z40" i="16" s="1"/>
  <c r="X53" i="16"/>
  <c r="Y53" i="16" s="1"/>
  <c r="Z53" i="16" s="1"/>
  <c r="W35" i="16"/>
  <c r="V63" i="16"/>
  <c r="X22" i="16"/>
  <c r="Y22" i="16" s="1"/>
  <c r="Z22" i="16" s="1"/>
  <c r="X16" i="16"/>
  <c r="Y16" i="16" s="1"/>
  <c r="Z16" i="16" s="1"/>
  <c r="X49" i="16"/>
  <c r="Y49" i="16" s="1"/>
  <c r="Z49" i="16" s="1"/>
  <c r="D49" i="15" s="1"/>
  <c r="X41" i="16"/>
  <c r="Y41" i="16" s="1"/>
  <c r="Z41" i="16" s="1"/>
  <c r="X18" i="16"/>
  <c r="Y18" i="16" s="1"/>
  <c r="X58" i="16"/>
  <c r="Y58" i="16" s="1"/>
  <c r="Z58" i="16" s="1"/>
  <c r="X12" i="16"/>
  <c r="Y12" i="16" s="1"/>
  <c r="Z12" i="16" s="1"/>
  <c r="Q63" i="16"/>
  <c r="X54" i="16"/>
  <c r="Y54" i="16" s="1"/>
  <c r="Z54" i="16" s="1"/>
  <c r="D54" i="15" s="1"/>
  <c r="X33" i="16"/>
  <c r="Y33" i="16" s="1"/>
  <c r="Z33" i="16" s="1"/>
  <c r="Z56" i="16"/>
  <c r="D56" i="15" s="1"/>
  <c r="X59" i="16"/>
  <c r="Y59" i="16" s="1"/>
  <c r="Z59" i="16" s="1"/>
  <c r="D59" i="15" s="1"/>
  <c r="X31" i="16"/>
  <c r="Y31" i="16" s="1"/>
  <c r="X30" i="16"/>
  <c r="Y30" i="16" s="1"/>
  <c r="Z30" i="16" s="1"/>
  <c r="X39" i="16"/>
  <c r="Y39" i="16" s="1"/>
  <c r="Z39" i="16" s="1"/>
  <c r="D39" i="15" s="1"/>
  <c r="X38" i="16"/>
  <c r="Y38" i="16" s="1"/>
  <c r="Z38" i="16" s="1"/>
  <c r="D38" i="15" s="1"/>
  <c r="U63" i="16"/>
  <c r="B1" i="19"/>
  <c r="L11" i="16"/>
  <c r="H43" i="35"/>
  <c r="F43" i="15" s="1"/>
  <c r="H39" i="35"/>
  <c r="F39" i="15" s="1"/>
  <c r="H53" i="35"/>
  <c r="F53" i="15" s="1"/>
  <c r="H61" i="35"/>
  <c r="F61" i="15" s="1"/>
  <c r="H24" i="35"/>
  <c r="F24" i="15" s="1"/>
  <c r="H23" i="35"/>
  <c r="F23" i="15" s="1"/>
  <c r="H33" i="35"/>
  <c r="F33" i="15" s="1"/>
  <c r="H11" i="35"/>
  <c r="F11" i="15" s="1"/>
  <c r="H17" i="35"/>
  <c r="F17" i="15" s="1"/>
  <c r="H26" i="35"/>
  <c r="F26" i="15" s="1"/>
  <c r="H60" i="35"/>
  <c r="F60" i="15" s="1"/>
  <c r="H62" i="35"/>
  <c r="F62" i="15" s="1"/>
  <c r="H51" i="35"/>
  <c r="F51" i="15" s="1"/>
  <c r="H59" i="35"/>
  <c r="F59" i="15" s="1"/>
  <c r="H44" i="35"/>
  <c r="F44" i="15" s="1"/>
  <c r="H41" i="35"/>
  <c r="F41" i="15" s="1"/>
  <c r="H47" i="35"/>
  <c r="F47" i="15" s="1"/>
  <c r="H30" i="35"/>
  <c r="F30" i="15" s="1"/>
  <c r="H25" i="35"/>
  <c r="F25" i="15" s="1"/>
  <c r="M48" i="16"/>
  <c r="A37" i="15"/>
  <c r="A37" i="13"/>
  <c r="A37" i="35"/>
  <c r="AA37" i="16"/>
  <c r="F3" i="12"/>
  <c r="A37" i="10"/>
  <c r="A37" i="16"/>
  <c r="B1" i="6"/>
  <c r="B1" i="28"/>
  <c r="A65" i="15"/>
  <c r="A65" i="13"/>
  <c r="A65" i="35"/>
  <c r="AA65" i="16"/>
  <c r="A65" i="10"/>
  <c r="I3" i="12"/>
  <c r="A65" i="16"/>
  <c r="A9" i="15"/>
  <c r="A9" i="13"/>
  <c r="A9" i="35"/>
  <c r="C3" i="12"/>
  <c r="AA9" i="16"/>
  <c r="A9" i="16"/>
  <c r="A9" i="10"/>
  <c r="B1" i="24"/>
  <c r="D7" i="19"/>
  <c r="B1" i="18"/>
  <c r="L74" i="16"/>
  <c r="B1" i="12"/>
  <c r="L69" i="16"/>
  <c r="M49" i="16"/>
  <c r="M47" i="16"/>
  <c r="B1" i="22"/>
  <c r="B9" i="21"/>
  <c r="E7" i="19"/>
  <c r="B1" i="10"/>
  <c r="L66" i="16"/>
  <c r="B1" i="21"/>
  <c r="L39" i="16"/>
  <c r="B1" i="38"/>
  <c r="B1" i="13"/>
  <c r="L41" i="16"/>
  <c r="B1" i="15"/>
  <c r="B1" i="16"/>
  <c r="P1" i="16" s="1"/>
  <c r="M80" i="16"/>
  <c r="M82" i="16"/>
  <c r="C7" i="19"/>
  <c r="L10" i="16"/>
  <c r="B3" i="26"/>
  <c r="B1" i="39"/>
  <c r="L13" i="16"/>
  <c r="M81" i="16"/>
  <c r="B14" i="30"/>
  <c r="L67" i="16"/>
  <c r="B1" i="35"/>
  <c r="L38" i="16"/>
  <c r="M20" i="16"/>
  <c r="M21" i="16"/>
  <c r="M19" i="16"/>
  <c r="D45" i="15"/>
  <c r="D50" i="15"/>
  <c r="D33" i="15"/>
  <c r="D16" i="15"/>
  <c r="D27" i="15"/>
  <c r="D55" i="15"/>
  <c r="D30" i="15"/>
  <c r="K14" i="6"/>
  <c r="D12" i="15"/>
  <c r="D22" i="15"/>
  <c r="D44" i="15"/>
  <c r="G44" i="13"/>
  <c r="H44" i="13" s="1"/>
  <c r="I44" i="13" s="1"/>
  <c r="G44" i="15" s="1"/>
  <c r="H44" i="15" s="1"/>
  <c r="D16" i="19" s="1"/>
  <c r="D61" i="15"/>
  <c r="G61" i="13"/>
  <c r="H61" i="13" s="1"/>
  <c r="I61" i="13" s="1"/>
  <c r="G61" i="15" s="1"/>
  <c r="H61" i="15" s="1"/>
  <c r="D33" i="19" s="1"/>
  <c r="D58" i="15"/>
  <c r="D40" i="15"/>
  <c r="G40" i="13"/>
  <c r="H40" i="13" s="1"/>
  <c r="I40" i="13" s="1"/>
  <c r="G40" i="15" s="1"/>
  <c r="D53" i="15"/>
  <c r="Y9" i="16"/>
  <c r="D41" i="15"/>
  <c r="D13" i="15"/>
  <c r="G13" i="13"/>
  <c r="H13" i="13" s="1"/>
  <c r="I13" i="13" s="1"/>
  <c r="G13" i="15" s="1"/>
  <c r="H13" i="15" s="1"/>
  <c r="C13" i="19" s="1"/>
  <c r="I32" i="38"/>
  <c r="K32" i="38" s="1"/>
  <c r="E63" i="35"/>
  <c r="F37" i="35"/>
  <c r="F63" i="35" s="1"/>
  <c r="X25" i="16"/>
  <c r="Y25" i="16" s="1"/>
  <c r="Z25" i="16" s="1"/>
  <c r="H27" i="35"/>
  <c r="F27" i="15" s="1"/>
  <c r="I18" i="38"/>
  <c r="K18" i="38" s="1"/>
  <c r="X12" i="38"/>
  <c r="I31" i="38"/>
  <c r="K31" i="38" s="1"/>
  <c r="X27" i="38"/>
  <c r="H56" i="35"/>
  <c r="F56" i="15" s="1"/>
  <c r="E35" i="35"/>
  <c r="F9" i="35"/>
  <c r="F35" i="35" s="1"/>
  <c r="X23" i="16"/>
  <c r="Y23" i="16" s="1"/>
  <c r="Z23" i="16" s="1"/>
  <c r="V29" i="38"/>
  <c r="H16" i="35"/>
  <c r="F16" i="15" s="1"/>
  <c r="G35" i="35"/>
  <c r="H42" i="35"/>
  <c r="F42" i="15" s="1"/>
  <c r="T63" i="16"/>
  <c r="H21" i="35"/>
  <c r="F21" i="15" s="1"/>
  <c r="H19" i="35"/>
  <c r="F19" i="15" s="1"/>
  <c r="X60" i="16"/>
  <c r="Y60" i="16" s="1"/>
  <c r="Z60" i="16" s="1"/>
  <c r="T91" i="16"/>
  <c r="I14" i="38"/>
  <c r="K14" i="38" s="1"/>
  <c r="H29" i="35"/>
  <c r="F29" i="15" s="1"/>
  <c r="X46" i="16"/>
  <c r="Y46" i="16" s="1"/>
  <c r="Z46" i="16" s="1"/>
  <c r="R63" i="16"/>
  <c r="H46" i="35"/>
  <c r="F46" i="15" s="1"/>
  <c r="X36" i="38"/>
  <c r="I22" i="38"/>
  <c r="K22" i="38" s="1"/>
  <c r="I21" i="38"/>
  <c r="K21" i="38" s="1"/>
  <c r="I26" i="38"/>
  <c r="K26" i="38" s="1"/>
  <c r="E35" i="24"/>
  <c r="D86" i="35"/>
  <c r="Z18" i="16"/>
  <c r="X62" i="16"/>
  <c r="Y62" i="16" s="1"/>
  <c r="Z62" i="16" s="1"/>
  <c r="X47" i="16"/>
  <c r="Y47" i="16" s="1"/>
  <c r="Z47" i="16" s="1"/>
  <c r="H18" i="35"/>
  <c r="F18" i="15" s="1"/>
  <c r="C63" i="15"/>
  <c r="X42" i="16"/>
  <c r="Y42" i="16" s="1"/>
  <c r="Z42" i="16" s="1"/>
  <c r="X11" i="16"/>
  <c r="Y11" i="16" s="1"/>
  <c r="Z11" i="16" s="1"/>
  <c r="X10" i="16"/>
  <c r="Y10" i="16" s="1"/>
  <c r="Z10" i="16" s="1"/>
  <c r="X52" i="16"/>
  <c r="Y52" i="16" s="1"/>
  <c r="Z52" i="16" s="1"/>
  <c r="H15" i="35"/>
  <c r="F15" i="15" s="1"/>
  <c r="X26" i="16"/>
  <c r="Y26" i="16" s="1"/>
  <c r="Z26" i="16" s="1"/>
  <c r="X32" i="16"/>
  <c r="Y32" i="16" s="1"/>
  <c r="Z32" i="16" s="1"/>
  <c r="X33" i="38"/>
  <c r="D35" i="22"/>
  <c r="X8" i="38"/>
  <c r="X35" i="38"/>
  <c r="X34" i="38"/>
  <c r="X32" i="38"/>
  <c r="X31" i="38"/>
  <c r="X6" i="38"/>
  <c r="U38" i="38"/>
  <c r="U40" i="38"/>
  <c r="I30" i="38"/>
  <c r="K30" i="38" s="1"/>
  <c r="I29" i="38"/>
  <c r="K29" i="38" s="1"/>
  <c r="I27" i="38"/>
  <c r="K27" i="38" s="1"/>
  <c r="I15" i="38"/>
  <c r="K15" i="38" s="1"/>
  <c r="I12" i="38"/>
  <c r="K12" i="38" s="1"/>
  <c r="X9" i="38"/>
  <c r="X10" i="38" s="1"/>
  <c r="I13" i="38"/>
  <c r="K13" i="38" s="1"/>
  <c r="I35" i="38"/>
  <c r="K35" i="38" s="1"/>
  <c r="I16" i="38"/>
  <c r="K16" i="38" s="1"/>
  <c r="H58" i="35"/>
  <c r="F58" i="15" s="1"/>
  <c r="H57" i="35"/>
  <c r="F57" i="15" s="1"/>
  <c r="K18" i="39"/>
  <c r="N72" i="16"/>
  <c r="N74" i="16" s="1"/>
  <c r="H14" i="35"/>
  <c r="F14" i="15" s="1"/>
  <c r="X14" i="16"/>
  <c r="Y14" i="16" s="1"/>
  <c r="Z14" i="16" s="1"/>
  <c r="W38" i="38"/>
  <c r="I33" i="38"/>
  <c r="K33" i="38" s="1"/>
  <c r="X21" i="16"/>
  <c r="Y21" i="16" s="1"/>
  <c r="Z21" i="16" s="1"/>
  <c r="R35" i="16"/>
  <c r="D65" i="35"/>
  <c r="I10" i="38"/>
  <c r="I19" i="38"/>
  <c r="K19" i="38" s="1"/>
  <c r="I25" i="38"/>
  <c r="K25" i="38" s="1"/>
  <c r="I17" i="38"/>
  <c r="K17" i="38" s="1"/>
  <c r="H55" i="35"/>
  <c r="F55" i="15" s="1"/>
  <c r="H45" i="35"/>
  <c r="F45" i="15" s="1"/>
  <c r="Z31" i="16"/>
  <c r="H48" i="35"/>
  <c r="F48" i="15" s="1"/>
  <c r="H49" i="35"/>
  <c r="F49" i="15" s="1"/>
  <c r="H12" i="35"/>
  <c r="F12" i="15" s="1"/>
  <c r="G39" i="13"/>
  <c r="H39" i="13" s="1"/>
  <c r="I39" i="13" s="1"/>
  <c r="G39" i="15" s="1"/>
  <c r="H39" i="15" s="1"/>
  <c r="D11" i="19" s="1"/>
  <c r="X15" i="16"/>
  <c r="Y15" i="16" s="1"/>
  <c r="Z15" i="16" s="1"/>
  <c r="C35" i="15"/>
  <c r="S35" i="16"/>
  <c r="I34" i="38"/>
  <c r="K34" i="38" s="1"/>
  <c r="H50" i="35"/>
  <c r="F50" i="15" s="1"/>
  <c r="H31" i="35"/>
  <c r="F31" i="15" s="1"/>
  <c r="I28" i="38"/>
  <c r="K28" i="38" s="1"/>
  <c r="I24" i="38"/>
  <c r="K24" i="38" s="1"/>
  <c r="I11" i="38"/>
  <c r="K11" i="38" s="1"/>
  <c r="D82" i="35"/>
  <c r="H34" i="35"/>
  <c r="F34" i="15" s="1"/>
  <c r="H20" i="35"/>
  <c r="H22" i="35"/>
  <c r="F22" i="15" s="1"/>
  <c r="X28" i="16"/>
  <c r="Y28" i="16" s="1"/>
  <c r="Z28" i="16" s="1"/>
  <c r="H52" i="35"/>
  <c r="F52" i="15" s="1"/>
  <c r="X34" i="16"/>
  <c r="Y34" i="16" s="1"/>
  <c r="Z34" i="16" s="1"/>
  <c r="X19" i="16"/>
  <c r="Y19" i="16" s="1"/>
  <c r="Z19" i="16" s="1"/>
  <c r="H32" i="35"/>
  <c r="F32" i="15" s="1"/>
  <c r="X57" i="16"/>
  <c r="Y57" i="16" s="1"/>
  <c r="Z57" i="16" s="1"/>
  <c r="X37" i="16"/>
  <c r="C91" i="15"/>
  <c r="S63" i="16"/>
  <c r="G54" i="13"/>
  <c r="H54" i="13" s="1"/>
  <c r="I54" i="13" s="1"/>
  <c r="G54" i="15" s="1"/>
  <c r="H54" i="15" s="1"/>
  <c r="D26" i="19" s="1"/>
  <c r="G38" i="13"/>
  <c r="H38" i="13" s="1"/>
  <c r="I38" i="13" s="1"/>
  <c r="G38" i="15" s="1"/>
  <c r="H38" i="15" s="1"/>
  <c r="D10" i="19" s="1"/>
  <c r="H40" i="15" l="1"/>
  <c r="D12" i="19" s="1"/>
  <c r="G43" i="13"/>
  <c r="H43" i="13" s="1"/>
  <c r="I43" i="13" s="1"/>
  <c r="G43" i="15" s="1"/>
  <c r="H43" i="15" s="1"/>
  <c r="D15" i="19" s="1"/>
  <c r="G53" i="13"/>
  <c r="H53" i="13" s="1"/>
  <c r="I53" i="13" s="1"/>
  <c r="G53" i="15" s="1"/>
  <c r="H53" i="15" s="1"/>
  <c r="D25" i="19" s="1"/>
  <c r="G41" i="13"/>
  <c r="H41" i="13" s="1"/>
  <c r="I41" i="13" s="1"/>
  <c r="G41" i="15" s="1"/>
  <c r="H41" i="15" s="1"/>
  <c r="D13" i="19" s="1"/>
  <c r="G17" i="13"/>
  <c r="H17" i="13" s="1"/>
  <c r="I17" i="13" s="1"/>
  <c r="G17" i="15" s="1"/>
  <c r="H17" i="15" s="1"/>
  <c r="C17" i="19" s="1"/>
  <c r="G24" i="13"/>
  <c r="H24" i="13" s="1"/>
  <c r="I24" i="13" s="1"/>
  <c r="G24" i="15" s="1"/>
  <c r="H24" i="15" s="1"/>
  <c r="C24" i="19" s="1"/>
  <c r="G33" i="13"/>
  <c r="H33" i="13" s="1"/>
  <c r="I33" i="13" s="1"/>
  <c r="G33" i="15" s="1"/>
  <c r="H33" i="15" s="1"/>
  <c r="C33" i="19" s="1"/>
  <c r="G30" i="13"/>
  <c r="H30" i="13" s="1"/>
  <c r="I30" i="13" s="1"/>
  <c r="G30" i="15" s="1"/>
  <c r="H30" i="15" s="1"/>
  <c r="C30" i="19" s="1"/>
  <c r="G51" i="13"/>
  <c r="H51" i="13" s="1"/>
  <c r="I51" i="13" s="1"/>
  <c r="G51" i="15" s="1"/>
  <c r="H51" i="15" s="1"/>
  <c r="D23" i="19" s="1"/>
  <c r="G59" i="13"/>
  <c r="H59" i="13" s="1"/>
  <c r="I59" i="13" s="1"/>
  <c r="G59" i="15" s="1"/>
  <c r="H59" i="15" s="1"/>
  <c r="D31" i="19" s="1"/>
  <c r="G50" i="13"/>
  <c r="H50" i="13" s="1"/>
  <c r="I50" i="13" s="1"/>
  <c r="G50" i="15" s="1"/>
  <c r="H50" i="15" s="1"/>
  <c r="D22" i="19" s="1"/>
  <c r="G56" i="13"/>
  <c r="H56" i="13" s="1"/>
  <c r="I56" i="13" s="1"/>
  <c r="G56" i="15" s="1"/>
  <c r="H56" i="15" s="1"/>
  <c r="D28" i="19" s="1"/>
  <c r="G55" i="13"/>
  <c r="H55" i="13" s="1"/>
  <c r="I55" i="13" s="1"/>
  <c r="G55" i="15" s="1"/>
  <c r="H55" i="15" s="1"/>
  <c r="D27" i="19" s="1"/>
  <c r="G58" i="13"/>
  <c r="H58" i="13" s="1"/>
  <c r="I58" i="13" s="1"/>
  <c r="G58" i="15" s="1"/>
  <c r="H58" i="15" s="1"/>
  <c r="D30" i="19" s="1"/>
  <c r="G49" i="13"/>
  <c r="H49" i="13" s="1"/>
  <c r="I49" i="13" s="1"/>
  <c r="G49" i="15" s="1"/>
  <c r="H49" i="15" s="1"/>
  <c r="D21" i="19" s="1"/>
  <c r="G29" i="13"/>
  <c r="H29" i="13" s="1"/>
  <c r="I29" i="13" s="1"/>
  <c r="G29" i="15" s="1"/>
  <c r="H29" i="15" s="1"/>
  <c r="C29" i="19" s="1"/>
  <c r="G27" i="13"/>
  <c r="H27" i="13" s="1"/>
  <c r="I27" i="13" s="1"/>
  <c r="G27" i="15" s="1"/>
  <c r="H27" i="15" s="1"/>
  <c r="C27" i="19" s="1"/>
  <c r="X63" i="16"/>
  <c r="Y37" i="16"/>
  <c r="D31" i="15"/>
  <c r="G31" i="13"/>
  <c r="H31" i="13" s="1"/>
  <c r="I31" i="13" s="1"/>
  <c r="G31" i="15" s="1"/>
  <c r="D26" i="15"/>
  <c r="G26" i="13"/>
  <c r="H26" i="13" s="1"/>
  <c r="I26" i="13" s="1"/>
  <c r="G26" i="15" s="1"/>
  <c r="Y35" i="16"/>
  <c r="Z9" i="16"/>
  <c r="D28" i="15"/>
  <c r="G28" i="13"/>
  <c r="H28" i="13" s="1"/>
  <c r="I28" i="13" s="1"/>
  <c r="G28" i="15" s="1"/>
  <c r="G48" i="13"/>
  <c r="H48" i="13" s="1"/>
  <c r="I48" i="13" s="1"/>
  <c r="G48" i="15" s="1"/>
  <c r="H48" i="15" s="1"/>
  <c r="D20" i="19" s="1"/>
  <c r="D91" i="35"/>
  <c r="X38" i="38"/>
  <c r="D52" i="15"/>
  <c r="G52" i="13"/>
  <c r="H52" i="13" s="1"/>
  <c r="I52" i="13" s="1"/>
  <c r="G52" i="15" s="1"/>
  <c r="D18" i="15"/>
  <c r="G18" i="13"/>
  <c r="H18" i="13" s="1"/>
  <c r="I18" i="13" s="1"/>
  <c r="G18" i="15" s="1"/>
  <c r="D25" i="15"/>
  <c r="G25" i="13"/>
  <c r="H25" i="13" s="1"/>
  <c r="I25" i="13" s="1"/>
  <c r="G25" i="15" s="1"/>
  <c r="X35" i="16"/>
  <c r="G12" i="13"/>
  <c r="H12" i="13" s="1"/>
  <c r="I12" i="13" s="1"/>
  <c r="G12" i="15" s="1"/>
  <c r="H12" i="15" s="1"/>
  <c r="C12" i="19" s="1"/>
  <c r="D47" i="15"/>
  <c r="G47" i="13"/>
  <c r="H47" i="13" s="1"/>
  <c r="I47" i="13" s="1"/>
  <c r="G47" i="15" s="1"/>
  <c r="I36" i="38"/>
  <c r="K10" i="38"/>
  <c r="K36" i="38" s="1"/>
  <c r="D57" i="15"/>
  <c r="G57" i="13"/>
  <c r="H57" i="13" s="1"/>
  <c r="I57" i="13" s="1"/>
  <c r="G57" i="15" s="1"/>
  <c r="N81" i="16"/>
  <c r="N77" i="16"/>
  <c r="N83" i="16"/>
  <c r="N78" i="16"/>
  <c r="N79" i="16"/>
  <c r="R14" i="38"/>
  <c r="D10" i="15"/>
  <c r="G10" i="13"/>
  <c r="H10" i="13" s="1"/>
  <c r="I10" i="13" s="1"/>
  <c r="G10" i="15" s="1"/>
  <c r="D60" i="15"/>
  <c r="G60" i="13"/>
  <c r="H60" i="13" s="1"/>
  <c r="I60" i="13" s="1"/>
  <c r="G60" i="15" s="1"/>
  <c r="G45" i="13"/>
  <c r="H45" i="13" s="1"/>
  <c r="I45" i="13" s="1"/>
  <c r="G45" i="15" s="1"/>
  <c r="H45" i="15" s="1"/>
  <c r="D17" i="19" s="1"/>
  <c r="C91" i="35"/>
  <c r="U29" i="38"/>
  <c r="D46" i="15"/>
  <c r="G46" i="13"/>
  <c r="H46" i="13" s="1"/>
  <c r="I46" i="13" s="1"/>
  <c r="G46" i="15" s="1"/>
  <c r="D11" i="15"/>
  <c r="G11" i="13"/>
  <c r="H11" i="13" s="1"/>
  <c r="I11" i="13" s="1"/>
  <c r="G11" i="15" s="1"/>
  <c r="D37" i="35"/>
  <c r="C63" i="35"/>
  <c r="F20" i="15"/>
  <c r="G20" i="13"/>
  <c r="H20" i="13" s="1"/>
  <c r="I20" i="13" s="1"/>
  <c r="G20" i="15" s="1"/>
  <c r="D23" i="15"/>
  <c r="G23" i="13"/>
  <c r="H23" i="13" s="1"/>
  <c r="I23" i="13" s="1"/>
  <c r="G23" i="15" s="1"/>
  <c r="G16" i="13"/>
  <c r="H16" i="13" s="1"/>
  <c r="I16" i="13" s="1"/>
  <c r="G16" i="15" s="1"/>
  <c r="H16" i="15" s="1"/>
  <c r="C16" i="19" s="1"/>
  <c r="D34" i="15"/>
  <c r="G34" i="13"/>
  <c r="H34" i="13" s="1"/>
  <c r="I34" i="13" s="1"/>
  <c r="G34" i="15" s="1"/>
  <c r="D62" i="15"/>
  <c r="G62" i="13"/>
  <c r="H62" i="13" s="1"/>
  <c r="I62" i="13" s="1"/>
  <c r="G62" i="15" s="1"/>
  <c r="D14" i="15"/>
  <c r="G14" i="13"/>
  <c r="H14" i="13" s="1"/>
  <c r="I14" i="13" s="1"/>
  <c r="G14" i="15" s="1"/>
  <c r="D9" i="35"/>
  <c r="C35" i="35"/>
  <c r="D19" i="15"/>
  <c r="G19" i="13"/>
  <c r="H19" i="13" s="1"/>
  <c r="I19" i="13" s="1"/>
  <c r="G19" i="15" s="1"/>
  <c r="D15" i="15"/>
  <c r="G15" i="13"/>
  <c r="H15" i="13" s="1"/>
  <c r="I15" i="13" s="1"/>
  <c r="G15" i="15" s="1"/>
  <c r="D21" i="15"/>
  <c r="G21" i="13"/>
  <c r="H21" i="13" s="1"/>
  <c r="I21" i="13" s="1"/>
  <c r="G21" i="15" s="1"/>
  <c r="D32" i="15"/>
  <c r="G32" i="13"/>
  <c r="H32" i="13" s="1"/>
  <c r="I32" i="13" s="1"/>
  <c r="G32" i="15" s="1"/>
  <c r="D42" i="15"/>
  <c r="G42" i="13"/>
  <c r="H42" i="13" s="1"/>
  <c r="I42" i="13" s="1"/>
  <c r="G42" i="15" s="1"/>
  <c r="G22" i="13"/>
  <c r="H22" i="13" s="1"/>
  <c r="I22" i="13" s="1"/>
  <c r="G22" i="15" s="1"/>
  <c r="H22" i="15" s="1"/>
  <c r="C22" i="19" s="1"/>
  <c r="H60" i="15" l="1"/>
  <c r="D32" i="19" s="1"/>
  <c r="H47" i="15"/>
  <c r="D19" i="19" s="1"/>
  <c r="H52" i="15"/>
  <c r="D24" i="19" s="1"/>
  <c r="H25" i="15"/>
  <c r="C25" i="19" s="1"/>
  <c r="H18" i="15"/>
  <c r="C18" i="19" s="1"/>
  <c r="H34" i="15"/>
  <c r="C34" i="19" s="1"/>
  <c r="H46" i="15"/>
  <c r="D18" i="19" s="1"/>
  <c r="H10" i="15"/>
  <c r="C10" i="19" s="1"/>
  <c r="D35" i="35"/>
  <c r="H9" i="35"/>
  <c r="G9" i="13" s="1"/>
  <c r="H21" i="15"/>
  <c r="C21" i="19" s="1"/>
  <c r="H14" i="15"/>
  <c r="C14" i="19" s="1"/>
  <c r="H57" i="15"/>
  <c r="D29" i="19" s="1"/>
  <c r="Q89" i="16"/>
  <c r="Q77" i="16"/>
  <c r="Q72" i="16"/>
  <c r="Q68" i="16"/>
  <c r="Q83" i="16"/>
  <c r="Q88" i="16"/>
  <c r="Q86" i="16"/>
  <c r="Q78" i="16"/>
  <c r="Q73" i="16"/>
  <c r="Q69" i="16"/>
  <c r="Q65" i="16"/>
  <c r="Q74" i="16"/>
  <c r="Q66" i="16"/>
  <c r="Q84" i="16"/>
  <c r="Q79" i="16"/>
  <c r="Q81" i="16"/>
  <c r="Q76" i="16"/>
  <c r="Q75" i="16"/>
  <c r="Q90" i="16"/>
  <c r="Q82" i="16"/>
  <c r="Q67" i="16"/>
  <c r="Q87" i="16"/>
  <c r="Q85" i="16"/>
  <c r="Q71" i="16"/>
  <c r="Q80" i="16"/>
  <c r="Q70" i="16"/>
  <c r="H32" i="15"/>
  <c r="C32" i="19" s="1"/>
  <c r="D63" i="35"/>
  <c r="H37" i="35"/>
  <c r="D9" i="15"/>
  <c r="Z35" i="16"/>
  <c r="H20" i="15"/>
  <c r="C20" i="19" s="1"/>
  <c r="H15" i="15"/>
  <c r="C15" i="19" s="1"/>
  <c r="H62" i="15"/>
  <c r="D34" i="19" s="1"/>
  <c r="H23" i="15"/>
  <c r="C23" i="19" s="1"/>
  <c r="S89" i="16"/>
  <c r="S90" i="16"/>
  <c r="S88" i="16"/>
  <c r="S86" i="16"/>
  <c r="S78" i="16"/>
  <c r="S73" i="16"/>
  <c r="S69" i="16"/>
  <c r="S65" i="16"/>
  <c r="S74" i="16"/>
  <c r="S66" i="16"/>
  <c r="S84" i="16"/>
  <c r="S79" i="16"/>
  <c r="S87" i="16"/>
  <c r="S80" i="16"/>
  <c r="S70" i="16"/>
  <c r="S67" i="16"/>
  <c r="S81" i="16"/>
  <c r="S76" i="16"/>
  <c r="S75" i="16"/>
  <c r="S77" i="16"/>
  <c r="S72" i="16"/>
  <c r="S68" i="16"/>
  <c r="S85" i="16"/>
  <c r="S83" i="16"/>
  <c r="S71" i="16"/>
  <c r="S82" i="16"/>
  <c r="K38" i="38"/>
  <c r="H26" i="15"/>
  <c r="C26" i="19" s="1"/>
  <c r="Y63" i="16"/>
  <c r="Z37" i="16"/>
  <c r="R83" i="16"/>
  <c r="R88" i="16"/>
  <c r="R86" i="16"/>
  <c r="R78" i="16"/>
  <c r="R73" i="16"/>
  <c r="R69" i="16"/>
  <c r="R65" i="16"/>
  <c r="R74" i="16"/>
  <c r="R66" i="16"/>
  <c r="R84" i="16"/>
  <c r="R79" i="16"/>
  <c r="R87" i="16"/>
  <c r="R80" i="16"/>
  <c r="R70" i="16"/>
  <c r="R67" i="16"/>
  <c r="R90" i="16"/>
  <c r="X90" i="16" s="1"/>
  <c r="Y90" i="16" s="1"/>
  <c r="R85" i="16"/>
  <c r="R82" i="16"/>
  <c r="R71" i="16"/>
  <c r="R77" i="16"/>
  <c r="R72" i="16"/>
  <c r="R89" i="16"/>
  <c r="R75" i="16"/>
  <c r="R81" i="16"/>
  <c r="R68" i="16"/>
  <c r="R76" i="16"/>
  <c r="U87" i="16"/>
  <c r="U88" i="16"/>
  <c r="U84" i="16"/>
  <c r="U79" i="16"/>
  <c r="U80" i="16"/>
  <c r="U70" i="16"/>
  <c r="U67" i="16"/>
  <c r="U81" i="16"/>
  <c r="U76" i="16"/>
  <c r="U75" i="16"/>
  <c r="U85" i="16"/>
  <c r="U82" i="16"/>
  <c r="U71" i="16"/>
  <c r="U77" i="16"/>
  <c r="U72" i="16"/>
  <c r="U68" i="16"/>
  <c r="U86" i="16"/>
  <c r="U78" i="16"/>
  <c r="U73" i="16"/>
  <c r="U69" i="16"/>
  <c r="U74" i="16"/>
  <c r="U65" i="16"/>
  <c r="U89" i="16"/>
  <c r="U83" i="16"/>
  <c r="U90" i="16"/>
  <c r="U66" i="16"/>
  <c r="H42" i="15"/>
  <c r="D14" i="19" s="1"/>
  <c r="H19" i="15"/>
  <c r="C19" i="19" s="1"/>
  <c r="H11" i="15"/>
  <c r="C11" i="19" s="1"/>
  <c r="W87" i="16"/>
  <c r="W81" i="16"/>
  <c r="W76" i="16"/>
  <c r="W75" i="16"/>
  <c r="W85" i="16"/>
  <c r="W82" i="16"/>
  <c r="W71" i="16"/>
  <c r="W77" i="16"/>
  <c r="W72" i="16"/>
  <c r="W68" i="16"/>
  <c r="W89" i="16"/>
  <c r="W83" i="16"/>
  <c r="W90" i="16"/>
  <c r="W86" i="16"/>
  <c r="W78" i="16"/>
  <c r="W73" i="16"/>
  <c r="W69" i="16"/>
  <c r="W65" i="16"/>
  <c r="W84" i="16"/>
  <c r="W79" i="16"/>
  <c r="W66" i="16"/>
  <c r="W80" i="16"/>
  <c r="W70" i="16"/>
  <c r="W74" i="16"/>
  <c r="W67" i="16"/>
  <c r="W88" i="16"/>
  <c r="H28" i="15"/>
  <c r="C28" i="19" s="1"/>
  <c r="H31" i="15"/>
  <c r="C31" i="19" s="1"/>
  <c r="Z90" i="16" l="1"/>
  <c r="X89" i="16"/>
  <c r="Y89" i="16" s="1"/>
  <c r="Z89" i="16" s="1"/>
  <c r="X69" i="16"/>
  <c r="Y69" i="16" s="1"/>
  <c r="Z69" i="16" s="1"/>
  <c r="X72" i="16"/>
  <c r="Y72" i="16" s="1"/>
  <c r="X81" i="16"/>
  <c r="Y81" i="16" s="1"/>
  <c r="Z81" i="16" s="1"/>
  <c r="D81" i="15" s="1"/>
  <c r="X67" i="16"/>
  <c r="Y67" i="16" s="1"/>
  <c r="Z67" i="16" s="1"/>
  <c r="D67" i="15" s="1"/>
  <c r="X70" i="16"/>
  <c r="Y70" i="16" s="1"/>
  <c r="Z70" i="16" s="1"/>
  <c r="D70" i="15" s="1"/>
  <c r="Q91" i="16"/>
  <c r="X75" i="16"/>
  <c r="Y75" i="16" s="1"/>
  <c r="Z75" i="16" s="1"/>
  <c r="R91" i="16"/>
  <c r="X65" i="16"/>
  <c r="D37" i="15"/>
  <c r="Z63" i="16"/>
  <c r="G37" i="13"/>
  <c r="Z72" i="16"/>
  <c r="X80" i="16"/>
  <c r="Y80" i="16" s="1"/>
  <c r="Z80" i="16" s="1"/>
  <c r="X73" i="16"/>
  <c r="Y73" i="16" s="1"/>
  <c r="Z73" i="16" s="1"/>
  <c r="R15" i="38"/>
  <c r="S16" i="38" s="1"/>
  <c r="S20" i="38" s="1"/>
  <c r="L73" i="35" s="1"/>
  <c r="I19" i="39"/>
  <c r="I20" i="39" s="1"/>
  <c r="U39" i="38"/>
  <c r="X74" i="16"/>
  <c r="Y74" i="16" s="1"/>
  <c r="Z74" i="16" s="1"/>
  <c r="D89" i="15"/>
  <c r="X87" i="16"/>
  <c r="Y87" i="16" s="1"/>
  <c r="Z87" i="16" s="1"/>
  <c r="X78" i="16"/>
  <c r="Y78" i="16" s="1"/>
  <c r="Z78" i="16" s="1"/>
  <c r="D35" i="15"/>
  <c r="X79" i="16"/>
  <c r="Y79" i="16" s="1"/>
  <c r="Z79" i="16" s="1"/>
  <c r="X86" i="16"/>
  <c r="Y86" i="16" s="1"/>
  <c r="Z86" i="16" s="1"/>
  <c r="D90" i="15"/>
  <c r="D69" i="15"/>
  <c r="X77" i="16"/>
  <c r="Y77" i="16" s="1"/>
  <c r="Z77" i="16" s="1"/>
  <c r="X84" i="16"/>
  <c r="Y84" i="16" s="1"/>
  <c r="Z84" i="16" s="1"/>
  <c r="S91" i="16"/>
  <c r="F37" i="15"/>
  <c r="F63" i="15" s="1"/>
  <c r="H63" i="35"/>
  <c r="H9" i="13"/>
  <c r="I9" i="13" s="1"/>
  <c r="G35" i="13"/>
  <c r="H35" i="13" s="1"/>
  <c r="X71" i="16"/>
  <c r="Y71" i="16" s="1"/>
  <c r="Z71" i="16" s="1"/>
  <c r="W91" i="16"/>
  <c r="X76" i="16"/>
  <c r="Y76" i="16" s="1"/>
  <c r="Z76" i="16" s="1"/>
  <c r="X82" i="16"/>
  <c r="Y82" i="16" s="1"/>
  <c r="Z82" i="16" s="1"/>
  <c r="X88" i="16"/>
  <c r="Y88" i="16" s="1"/>
  <c r="Z88" i="16" s="1"/>
  <c r="U91" i="16"/>
  <c r="X68" i="16"/>
  <c r="Y68" i="16" s="1"/>
  <c r="Z68" i="16" s="1"/>
  <c r="X85" i="16"/>
  <c r="Y85" i="16" s="1"/>
  <c r="Z85" i="16" s="1"/>
  <c r="X66" i="16"/>
  <c r="Y66" i="16" s="1"/>
  <c r="Z66" i="16" s="1"/>
  <c r="X83" i="16"/>
  <c r="Y83" i="16" s="1"/>
  <c r="Z83" i="16" s="1"/>
  <c r="F9" i="15"/>
  <c r="F35" i="15" s="1"/>
  <c r="H35" i="35"/>
  <c r="W28" i="38" l="1"/>
  <c r="D85" i="15"/>
  <c r="D80" i="15"/>
  <c r="D71" i="15"/>
  <c r="D68" i="15"/>
  <c r="D72" i="15"/>
  <c r="G63" i="13"/>
  <c r="H63" i="13" s="1"/>
  <c r="H37" i="13"/>
  <c r="I37" i="13" s="1"/>
  <c r="D75" i="15"/>
  <c r="D88" i="15"/>
  <c r="D84" i="15"/>
  <c r="D86" i="15"/>
  <c r="D87" i="15"/>
  <c r="D63" i="15"/>
  <c r="U41" i="38"/>
  <c r="J19" i="39"/>
  <c r="J20" i="39" s="1"/>
  <c r="V39" i="38"/>
  <c r="V41" i="38" s="1"/>
  <c r="V42" i="38" s="1"/>
  <c r="D82" i="15"/>
  <c r="D77" i="15"/>
  <c r="D79" i="15"/>
  <c r="D83" i="15"/>
  <c r="G9" i="15"/>
  <c r="G35" i="15" s="1"/>
  <c r="I35" i="13"/>
  <c r="D78" i="15"/>
  <c r="D76" i="15"/>
  <c r="D66" i="15"/>
  <c r="D74" i="15"/>
  <c r="D73" i="15"/>
  <c r="X91" i="16"/>
  <c r="Y65" i="16"/>
  <c r="H9" i="15" l="1"/>
  <c r="C9" i="19" s="1"/>
  <c r="Z65" i="16"/>
  <c r="Y91" i="16"/>
  <c r="W29" i="38"/>
  <c r="X28" i="38"/>
  <c r="X29" i="38" s="1"/>
  <c r="I63" i="13"/>
  <c r="G37" i="15"/>
  <c r="U42" i="38"/>
  <c r="H35" i="15" l="1"/>
  <c r="D65" i="15"/>
  <c r="Z91" i="16"/>
  <c r="C35" i="19"/>
  <c r="C38" i="19" a="1"/>
  <c r="C38" i="19" s="1"/>
  <c r="G63" i="15"/>
  <c r="H37" i="15"/>
  <c r="D91" i="15" l="1"/>
  <c r="K19" i="39"/>
  <c r="K20" i="39" s="1"/>
  <c r="L20" i="39" s="1"/>
  <c r="L23" i="39" s="1"/>
  <c r="L26" i="39" s="1"/>
  <c r="J6" i="12" s="1"/>
  <c r="W39" i="38"/>
  <c r="D9" i="19"/>
  <c r="H63" i="15"/>
  <c r="D38" i="19" l="1" a="1"/>
  <c r="D38" i="19" s="1"/>
  <c r="D35" i="19"/>
  <c r="X39" i="38"/>
  <c r="J34" i="12"/>
  <c r="E90" i="15" s="1"/>
  <c r="J32" i="12"/>
  <c r="E88" i="15" s="1"/>
  <c r="J30" i="12"/>
  <c r="E86" i="15" s="1"/>
  <c r="J28" i="12"/>
  <c r="E84" i="15" s="1"/>
  <c r="J26" i="12"/>
  <c r="E82" i="15" s="1"/>
  <c r="J24" i="12"/>
  <c r="E80" i="15" s="1"/>
  <c r="J22" i="12"/>
  <c r="E78" i="15" s="1"/>
  <c r="J20" i="12"/>
  <c r="E76" i="15" s="1"/>
  <c r="J18" i="12"/>
  <c r="E74" i="15" s="1"/>
  <c r="J16" i="12"/>
  <c r="E72" i="15" s="1"/>
  <c r="J14" i="12"/>
  <c r="E70" i="15" s="1"/>
  <c r="J12" i="12"/>
  <c r="E68" i="15" s="1"/>
  <c r="J10" i="12"/>
  <c r="E66" i="15" s="1"/>
  <c r="J33" i="12"/>
  <c r="E89" i="15" s="1"/>
  <c r="J31" i="12"/>
  <c r="E87" i="15" s="1"/>
  <c r="J29" i="12"/>
  <c r="E85" i="15" s="1"/>
  <c r="J27" i="12"/>
  <c r="E83" i="15" s="1"/>
  <c r="J25" i="12"/>
  <c r="E81" i="15" s="1"/>
  <c r="J23" i="12"/>
  <c r="E79" i="15" s="1"/>
  <c r="J21" i="12"/>
  <c r="E77" i="15" s="1"/>
  <c r="J19" i="12"/>
  <c r="E75" i="15" s="1"/>
  <c r="J11" i="12"/>
  <c r="E67" i="15" s="1"/>
  <c r="J13" i="12"/>
  <c r="E69" i="15" s="1"/>
  <c r="J15" i="12"/>
  <c r="E71" i="15" s="1"/>
  <c r="J17" i="12"/>
  <c r="E73" i="15" s="1"/>
  <c r="J9" i="12"/>
  <c r="E65" i="15" l="1"/>
  <c r="J35" i="12"/>
  <c r="W40" i="38" s="1"/>
  <c r="E91" i="15" l="1"/>
  <c r="X40" i="38"/>
  <c r="W41" i="38"/>
  <c r="W42" i="38" l="1"/>
  <c r="X41" i="38"/>
  <c r="X42" i="38" s="1"/>
  <c r="S44" i="38" s="1"/>
  <c r="S48" i="38" s="1"/>
  <c r="L72" i="35" l="1"/>
  <c r="F77" i="35" l="1"/>
  <c r="H77" i="35" s="1"/>
  <c r="F70" i="35"/>
  <c r="H70" i="35" s="1"/>
  <c r="F78" i="35"/>
  <c r="H78" i="35" s="1"/>
  <c r="F86" i="35"/>
  <c r="H86" i="35" s="1"/>
  <c r="F69" i="35"/>
  <c r="H69" i="35" s="1"/>
  <c r="F85" i="35"/>
  <c r="H85" i="35" s="1"/>
  <c r="F71" i="35"/>
  <c r="H71" i="35" s="1"/>
  <c r="F79" i="35"/>
  <c r="H79" i="35" s="1"/>
  <c r="F87" i="35"/>
  <c r="H87" i="35" s="1"/>
  <c r="F80" i="35"/>
  <c r="H80" i="35" s="1"/>
  <c r="F73" i="35"/>
  <c r="H73" i="35" s="1"/>
  <c r="F81" i="35"/>
  <c r="H81" i="35" s="1"/>
  <c r="F89" i="35"/>
  <c r="H89" i="35" s="1"/>
  <c r="F66" i="35"/>
  <c r="H66" i="35" s="1"/>
  <c r="G91" i="35"/>
  <c r="F74" i="35"/>
  <c r="H74" i="35" s="1"/>
  <c r="F82" i="35"/>
  <c r="H82" i="35" s="1"/>
  <c r="F90" i="35"/>
  <c r="H90" i="35" s="1"/>
  <c r="F72" i="35"/>
  <c r="H72" i="35" s="1"/>
  <c r="F88" i="35"/>
  <c r="H88" i="35" s="1"/>
  <c r="F67" i="35"/>
  <c r="H67" i="35" s="1"/>
  <c r="F75" i="35"/>
  <c r="H75" i="35" s="1"/>
  <c r="F83" i="35"/>
  <c r="H83" i="35" s="1"/>
  <c r="F68" i="35"/>
  <c r="H68" i="35" s="1"/>
  <c r="F76" i="35"/>
  <c r="H76" i="35" s="1"/>
  <c r="F84" i="35"/>
  <c r="H84" i="35" s="1"/>
  <c r="F79" i="15" l="1"/>
  <c r="G79" i="13"/>
  <c r="H79" i="13" s="1"/>
  <c r="I79" i="13" s="1"/>
  <c r="G79" i="15" s="1"/>
  <c r="F74" i="15"/>
  <c r="G74" i="13"/>
  <c r="H74" i="13" s="1"/>
  <c r="I74" i="13" s="1"/>
  <c r="G74" i="15" s="1"/>
  <c r="F72" i="15"/>
  <c r="G72" i="13"/>
  <c r="H72" i="13" s="1"/>
  <c r="I72" i="13" s="1"/>
  <c r="G72" i="15" s="1"/>
  <c r="F73" i="15"/>
  <c r="G73" i="13"/>
  <c r="H73" i="13" s="1"/>
  <c r="I73" i="13" s="1"/>
  <c r="G73" i="15" s="1"/>
  <c r="F71" i="15"/>
  <c r="G71" i="13"/>
  <c r="H71" i="13" s="1"/>
  <c r="I71" i="13" s="1"/>
  <c r="G71" i="15" s="1"/>
  <c r="H71" i="15" s="1"/>
  <c r="E15" i="19" s="1"/>
  <c r="F15" i="19" s="1"/>
  <c r="F78" i="15"/>
  <c r="G78" i="13"/>
  <c r="H78" i="13" s="1"/>
  <c r="I78" i="13" s="1"/>
  <c r="G78" i="15" s="1"/>
  <c r="F86" i="15"/>
  <c r="G86" i="13"/>
  <c r="H86" i="13" s="1"/>
  <c r="I86" i="13" s="1"/>
  <c r="G86" i="15" s="1"/>
  <c r="F83" i="15"/>
  <c r="G83" i="13"/>
  <c r="H83" i="13" s="1"/>
  <c r="I83" i="13" s="1"/>
  <c r="G83" i="15" s="1"/>
  <c r="F76" i="15"/>
  <c r="G76" i="13"/>
  <c r="H76" i="13" s="1"/>
  <c r="I76" i="13" s="1"/>
  <c r="G76" i="15" s="1"/>
  <c r="H76" i="15" s="1"/>
  <c r="E20" i="19" s="1"/>
  <c r="F20" i="19" s="1"/>
  <c r="F81" i="15"/>
  <c r="G81" i="13"/>
  <c r="H81" i="13" s="1"/>
  <c r="I81" i="13" s="1"/>
  <c r="G81" i="15" s="1"/>
  <c r="H81" i="15" s="1"/>
  <c r="E25" i="19" s="1"/>
  <c r="F25" i="19" s="1"/>
  <c r="F66" i="15"/>
  <c r="G66" i="13"/>
  <c r="H66" i="13" s="1"/>
  <c r="I66" i="13" s="1"/>
  <c r="G66" i="15" s="1"/>
  <c r="F80" i="15"/>
  <c r="G80" i="13"/>
  <c r="H80" i="13" s="1"/>
  <c r="I80" i="13" s="1"/>
  <c r="G80" i="15" s="1"/>
  <c r="F85" i="15"/>
  <c r="G85" i="13"/>
  <c r="H85" i="13" s="1"/>
  <c r="I85" i="13" s="1"/>
  <c r="G85" i="15" s="1"/>
  <c r="H85" i="15" s="1"/>
  <c r="E29" i="19" s="1"/>
  <c r="F29" i="19" s="1"/>
  <c r="F70" i="15"/>
  <c r="G70" i="13"/>
  <c r="H70" i="13" s="1"/>
  <c r="I70" i="13" s="1"/>
  <c r="G70" i="15" s="1"/>
  <c r="H70" i="15" s="1"/>
  <c r="E14" i="19" s="1"/>
  <c r="F14" i="19" s="1"/>
  <c r="F65" i="35"/>
  <c r="E91" i="35"/>
  <c r="F90" i="15"/>
  <c r="G90" i="13"/>
  <c r="H90" i="13" s="1"/>
  <c r="I90" i="13" s="1"/>
  <c r="G90" i="15" s="1"/>
  <c r="F88" i="15"/>
  <c r="G88" i="13"/>
  <c r="H88" i="13" s="1"/>
  <c r="I88" i="13" s="1"/>
  <c r="G88" i="15" s="1"/>
  <c r="H88" i="15" s="1"/>
  <c r="E32" i="19" s="1"/>
  <c r="F32" i="19" s="1"/>
  <c r="F84" i="15"/>
  <c r="G84" i="13"/>
  <c r="H84" i="13" s="1"/>
  <c r="I84" i="13" s="1"/>
  <c r="G84" i="15" s="1"/>
  <c r="H84" i="15" s="1"/>
  <c r="E28" i="19" s="1"/>
  <c r="F28" i="19" s="1"/>
  <c r="F75" i="15"/>
  <c r="G75" i="13"/>
  <c r="H75" i="13" s="1"/>
  <c r="I75" i="13" s="1"/>
  <c r="G75" i="15" s="1"/>
  <c r="F68" i="15"/>
  <c r="G68" i="13"/>
  <c r="H68" i="13" s="1"/>
  <c r="I68" i="13" s="1"/>
  <c r="G68" i="15" s="1"/>
  <c r="F67" i="15"/>
  <c r="G67" i="13"/>
  <c r="H67" i="13" s="1"/>
  <c r="I67" i="13" s="1"/>
  <c r="G67" i="15" s="1"/>
  <c r="H67" i="15" s="1"/>
  <c r="E11" i="19" s="1"/>
  <c r="F11" i="19" s="1"/>
  <c r="F82" i="15"/>
  <c r="G82" i="13"/>
  <c r="H82" i="13" s="1"/>
  <c r="I82" i="13" s="1"/>
  <c r="G82" i="15" s="1"/>
  <c r="H82" i="15" s="1"/>
  <c r="E26" i="19" s="1"/>
  <c r="F26" i="19" s="1"/>
  <c r="F89" i="15"/>
  <c r="G89" i="13"/>
  <c r="H89" i="13" s="1"/>
  <c r="I89" i="13" s="1"/>
  <c r="G89" i="15" s="1"/>
  <c r="F87" i="15"/>
  <c r="G87" i="13"/>
  <c r="H87" i="13" s="1"/>
  <c r="I87" i="13" s="1"/>
  <c r="G87" i="15" s="1"/>
  <c r="F69" i="15"/>
  <c r="G69" i="13"/>
  <c r="H69" i="13" s="1"/>
  <c r="I69" i="13" s="1"/>
  <c r="G69" i="15" s="1"/>
  <c r="H69" i="15" s="1"/>
  <c r="E13" i="19" s="1"/>
  <c r="F13" i="19" s="1"/>
  <c r="F77" i="15"/>
  <c r="G77" i="13"/>
  <c r="H77" i="13" s="1"/>
  <c r="I77" i="13" s="1"/>
  <c r="G77" i="15" s="1"/>
  <c r="H77" i="15" s="1"/>
  <c r="E21" i="19" s="1"/>
  <c r="F21" i="19" s="1"/>
  <c r="H78" i="15" l="1"/>
  <c r="E22" i="19" s="1"/>
  <c r="F22" i="19" s="1"/>
  <c r="H22" i="19" s="1"/>
  <c r="H89" i="15"/>
  <c r="E33" i="19" s="1"/>
  <c r="F33" i="19" s="1"/>
  <c r="H33" i="19" s="1"/>
  <c r="H75" i="15"/>
  <c r="E19" i="19" s="1"/>
  <c r="F19" i="19" s="1"/>
  <c r="H19" i="19" s="1"/>
  <c r="H66" i="15"/>
  <c r="E10" i="19" s="1"/>
  <c r="F10" i="19" s="1"/>
  <c r="H10" i="19" s="1"/>
  <c r="H87" i="15"/>
  <c r="E31" i="19" s="1"/>
  <c r="F31" i="19" s="1"/>
  <c r="H31" i="19" s="1"/>
  <c r="H68" i="15"/>
  <c r="E12" i="19" s="1"/>
  <c r="F12" i="19" s="1"/>
  <c r="H12" i="19" s="1"/>
  <c r="H90" i="15"/>
  <c r="E34" i="19" s="1"/>
  <c r="F34" i="19" s="1"/>
  <c r="H34" i="19" s="1"/>
  <c r="H80" i="15"/>
  <c r="E24" i="19" s="1"/>
  <c r="F24" i="19" s="1"/>
  <c r="H24" i="19" s="1"/>
  <c r="H83" i="15"/>
  <c r="E27" i="19" s="1"/>
  <c r="F27" i="19" s="1"/>
  <c r="H27" i="19" s="1"/>
  <c r="H73" i="15"/>
  <c r="E17" i="19" s="1"/>
  <c r="F17" i="19" s="1"/>
  <c r="H17" i="19" s="1"/>
  <c r="H86" i="15"/>
  <c r="E30" i="19" s="1"/>
  <c r="F30" i="19" s="1"/>
  <c r="H72" i="15"/>
  <c r="E16" i="19" s="1"/>
  <c r="F16" i="19" s="1"/>
  <c r="F91" i="35"/>
  <c r="H65" i="35"/>
  <c r="H11" i="19"/>
  <c r="H21" i="19"/>
  <c r="H28" i="19"/>
  <c r="H14" i="19"/>
  <c r="H74" i="15"/>
  <c r="E18" i="19" s="1"/>
  <c r="F18" i="19" s="1"/>
  <c r="H26" i="19"/>
  <c r="H25" i="19"/>
  <c r="H13" i="19"/>
  <c r="H32" i="19"/>
  <c r="H29" i="19"/>
  <c r="H20" i="19"/>
  <c r="H15" i="19"/>
  <c r="H79" i="15"/>
  <c r="E23" i="19" s="1"/>
  <c r="F23" i="19" s="1"/>
  <c r="F65" i="15" l="1"/>
  <c r="H91" i="35"/>
  <c r="G65" i="13"/>
  <c r="H18" i="19"/>
  <c r="H23" i="19"/>
  <c r="H16" i="19"/>
  <c r="H30" i="19"/>
  <c r="G91" i="13" l="1"/>
  <c r="H91" i="13" s="1"/>
  <c r="H65" i="13"/>
  <c r="I65" i="13" s="1"/>
  <c r="F91" i="15"/>
  <c r="G65" i="15" l="1"/>
  <c r="I91" i="13"/>
  <c r="G91" i="15" l="1"/>
  <c r="H65" i="15"/>
  <c r="H91" i="15" l="1"/>
  <c r="E9" i="19"/>
  <c r="E35" i="19" l="1"/>
  <c r="E38" i="19" s="1" a="1"/>
  <c r="E38" i="19" s="1"/>
  <c r="F9" i="19"/>
  <c r="F35" i="19" l="1"/>
  <c r="H35" i="19" s="1"/>
  <c r="H9" i="19"/>
  <c r="I9" i="19" l="1"/>
  <c r="C9" i="24" s="1"/>
  <c r="C35" i="22"/>
  <c r="I18" i="28"/>
  <c r="I19" i="28" s="1"/>
  <c r="I10" i="19"/>
  <c r="I19" i="19"/>
  <c r="I22" i="19"/>
  <c r="I11" i="19"/>
  <c r="I15" i="19"/>
  <c r="I25" i="19"/>
  <c r="I24" i="19"/>
  <c r="I13" i="19"/>
  <c r="I34" i="19"/>
  <c r="I12" i="19"/>
  <c r="I27" i="19"/>
  <c r="I31" i="19"/>
  <c r="I21" i="19"/>
  <c r="I28" i="19"/>
  <c r="I32" i="19"/>
  <c r="I29" i="19"/>
  <c r="I17" i="19"/>
  <c r="I33" i="19"/>
  <c r="I20" i="19"/>
  <c r="I14" i="19"/>
  <c r="I26" i="19"/>
  <c r="I23" i="19"/>
  <c r="I30" i="19"/>
  <c r="I18" i="19"/>
  <c r="I16" i="19"/>
  <c r="C9" i="26" l="1"/>
  <c r="C9" i="6"/>
  <c r="D9" i="6" s="1"/>
  <c r="F9" i="6" s="1"/>
  <c r="G9" i="6" s="1"/>
  <c r="C9" i="22"/>
  <c r="E9" i="22" s="1"/>
  <c r="I38" i="19"/>
  <c r="C18" i="24"/>
  <c r="C18" i="22"/>
  <c r="E18" i="22" s="1"/>
  <c r="C18" i="6"/>
  <c r="C18" i="26"/>
  <c r="C32" i="24"/>
  <c r="C32" i="22"/>
  <c r="E32" i="22" s="1"/>
  <c r="C32" i="6"/>
  <c r="C32" i="26"/>
  <c r="D31" i="24"/>
  <c r="F31" i="24" s="1"/>
  <c r="D11" i="24"/>
  <c r="F11" i="24" s="1"/>
  <c r="D14" i="24"/>
  <c r="F14" i="24" s="1"/>
  <c r="D26" i="24"/>
  <c r="F26" i="24" s="1"/>
  <c r="D29" i="24"/>
  <c r="F29" i="24" s="1"/>
  <c r="D27" i="24"/>
  <c r="F27" i="24" s="1"/>
  <c r="D34" i="24"/>
  <c r="F34" i="24" s="1"/>
  <c r="D24" i="24"/>
  <c r="F24" i="24" s="1"/>
  <c r="D22" i="24"/>
  <c r="F22" i="24" s="1"/>
  <c r="D25" i="24"/>
  <c r="F25" i="24" s="1"/>
  <c r="D20" i="24"/>
  <c r="F20" i="24" s="1"/>
  <c r="D13" i="24"/>
  <c r="F13" i="24" s="1"/>
  <c r="D15" i="24"/>
  <c r="F15" i="24" s="1"/>
  <c r="D17" i="24"/>
  <c r="F17" i="24" s="1"/>
  <c r="D19" i="24"/>
  <c r="F19" i="24" s="1"/>
  <c r="D33" i="24"/>
  <c r="F33" i="24" s="1"/>
  <c r="D21" i="24"/>
  <c r="F21" i="24" s="1"/>
  <c r="D12" i="24"/>
  <c r="F12" i="24" s="1"/>
  <c r="D10" i="24"/>
  <c r="F10" i="24" s="1"/>
  <c r="D28" i="24"/>
  <c r="F28" i="24" s="1"/>
  <c r="D32" i="24"/>
  <c r="F32" i="24" s="1"/>
  <c r="D16" i="24"/>
  <c r="F16" i="24" s="1"/>
  <c r="D18" i="24"/>
  <c r="F18" i="24" s="1"/>
  <c r="D23" i="24"/>
  <c r="F23" i="24" s="1"/>
  <c r="D30" i="24"/>
  <c r="F30" i="24" s="1"/>
  <c r="D9" i="24"/>
  <c r="C15" i="24"/>
  <c r="C15" i="22"/>
  <c r="E15" i="22" s="1"/>
  <c r="C15" i="6"/>
  <c r="C15" i="26"/>
  <c r="C17" i="24"/>
  <c r="C17" i="22"/>
  <c r="E17" i="22" s="1"/>
  <c r="C17" i="6"/>
  <c r="C17" i="26"/>
  <c r="C29" i="24"/>
  <c r="C29" i="22"/>
  <c r="E29" i="22" s="1"/>
  <c r="C29" i="6"/>
  <c r="C29" i="26"/>
  <c r="C28" i="24"/>
  <c r="C28" i="22"/>
  <c r="E28" i="22" s="1"/>
  <c r="C28" i="6"/>
  <c r="C28" i="26"/>
  <c r="C26" i="24"/>
  <c r="C26" i="22"/>
  <c r="E26" i="22" s="1"/>
  <c r="C26" i="6"/>
  <c r="C26" i="26"/>
  <c r="C31" i="24"/>
  <c r="C31" i="22"/>
  <c r="E31" i="22" s="1"/>
  <c r="C31" i="6"/>
  <c r="C31" i="26"/>
  <c r="C34" i="22"/>
  <c r="E34" i="22" s="1"/>
  <c r="C34" i="24"/>
  <c r="C34" i="6"/>
  <c r="C34" i="26"/>
  <c r="C20" i="24"/>
  <c r="C20" i="6"/>
  <c r="C20" i="22"/>
  <c r="E20" i="22" s="1"/>
  <c r="C20" i="26"/>
  <c r="C22" i="24"/>
  <c r="C22" i="22"/>
  <c r="E22" i="22" s="1"/>
  <c r="C22" i="6"/>
  <c r="C22" i="26"/>
  <c r="C16" i="24"/>
  <c r="C16" i="22"/>
  <c r="E16" i="22" s="1"/>
  <c r="C16" i="6"/>
  <c r="C16" i="26"/>
  <c r="C10" i="24"/>
  <c r="C10" i="22"/>
  <c r="E10" i="22" s="1"/>
  <c r="C10" i="6"/>
  <c r="C10" i="26"/>
  <c r="C13" i="24"/>
  <c r="C13" i="22"/>
  <c r="E13" i="22" s="1"/>
  <c r="C13" i="6"/>
  <c r="C13" i="26"/>
  <c r="C30" i="22"/>
  <c r="E30" i="22" s="1"/>
  <c r="C30" i="24"/>
  <c r="C30" i="6"/>
  <c r="C30" i="26"/>
  <c r="C24" i="24"/>
  <c r="C24" i="22"/>
  <c r="E24" i="22" s="1"/>
  <c r="C24" i="6"/>
  <c r="C24" i="26"/>
  <c r="C23" i="24"/>
  <c r="C23" i="6"/>
  <c r="C23" i="22"/>
  <c r="E23" i="22" s="1"/>
  <c r="C23" i="26"/>
  <c r="C25" i="24"/>
  <c r="C25" i="22"/>
  <c r="E25" i="22" s="1"/>
  <c r="C25" i="6"/>
  <c r="C25" i="26"/>
  <c r="C21" i="24"/>
  <c r="C21" i="22"/>
  <c r="E21" i="22" s="1"/>
  <c r="C21" i="6"/>
  <c r="C21" i="26"/>
  <c r="C14" i="24"/>
  <c r="C14" i="22"/>
  <c r="E14" i="22" s="1"/>
  <c r="C14" i="6"/>
  <c r="C14" i="26"/>
  <c r="C11" i="24"/>
  <c r="C11" i="22"/>
  <c r="E11" i="22" s="1"/>
  <c r="C11" i="6"/>
  <c r="C11" i="26"/>
  <c r="C27" i="24"/>
  <c r="C27" i="22"/>
  <c r="E27" i="22" s="1"/>
  <c r="C27" i="6"/>
  <c r="C27" i="26"/>
  <c r="C33" i="24"/>
  <c r="C33" i="22"/>
  <c r="E33" i="22" s="1"/>
  <c r="C33" i="6"/>
  <c r="C33" i="26"/>
  <c r="C12" i="24"/>
  <c r="C12" i="22"/>
  <c r="E12" i="22" s="1"/>
  <c r="C12" i="6"/>
  <c r="C12" i="26"/>
  <c r="C19" i="24"/>
  <c r="C19" i="6"/>
  <c r="C19" i="22"/>
  <c r="E19" i="22" s="1"/>
  <c r="C19" i="26"/>
  <c r="E9" i="6" l="1"/>
  <c r="E35" i="22"/>
  <c r="C37" i="24"/>
  <c r="D11" i="6"/>
  <c r="F11" i="6" s="1"/>
  <c r="G11" i="6" s="1"/>
  <c r="D21" i="6"/>
  <c r="F21" i="6" s="1"/>
  <c r="G21" i="6" s="1"/>
  <c r="D30" i="6"/>
  <c r="F30" i="6" s="1"/>
  <c r="G30" i="6" s="1"/>
  <c r="E30" i="6"/>
  <c r="D10" i="6"/>
  <c r="F10" i="6" s="1"/>
  <c r="G10" i="6" s="1"/>
  <c r="D22" i="6"/>
  <c r="F22" i="6" s="1"/>
  <c r="G22" i="6" s="1"/>
  <c r="D34" i="6"/>
  <c r="F34" i="6" s="1"/>
  <c r="G34" i="6" s="1"/>
  <c r="D32" i="6"/>
  <c r="F32" i="6" s="1"/>
  <c r="G32" i="6" s="1"/>
  <c r="D23" i="6"/>
  <c r="F23" i="6" s="1"/>
  <c r="G23" i="6" s="1"/>
  <c r="D26" i="6"/>
  <c r="F26" i="6" s="1"/>
  <c r="G26" i="6" s="1"/>
  <c r="D29" i="6"/>
  <c r="F29" i="6" s="1"/>
  <c r="G29" i="6" s="1"/>
  <c r="E15" i="6"/>
  <c r="D15" i="6"/>
  <c r="F15" i="6" s="1"/>
  <c r="G15" i="6" s="1"/>
  <c r="D12" i="6"/>
  <c r="F12" i="6" s="1"/>
  <c r="G12" i="6" s="1"/>
  <c r="D27" i="6"/>
  <c r="F27" i="6" s="1"/>
  <c r="G27" i="6" s="1"/>
  <c r="D14" i="6"/>
  <c r="F14" i="6" s="1"/>
  <c r="G14" i="6" s="1"/>
  <c r="E14" i="6"/>
  <c r="D25" i="6"/>
  <c r="F25" i="6" s="1"/>
  <c r="G25" i="6" s="1"/>
  <c r="E24" i="6"/>
  <c r="D24" i="6"/>
  <c r="F24" i="6" s="1"/>
  <c r="G24" i="6" s="1"/>
  <c r="E13" i="6"/>
  <c r="D13" i="6"/>
  <c r="F13" i="6" s="1"/>
  <c r="G13" i="6" s="1"/>
  <c r="D16" i="6"/>
  <c r="F16" i="6" s="1"/>
  <c r="G16" i="6" s="1"/>
  <c r="D18" i="6"/>
  <c r="F18" i="6" s="1"/>
  <c r="G18" i="6" s="1"/>
  <c r="E20" i="6"/>
  <c r="D20" i="6"/>
  <c r="F20" i="6" s="1"/>
  <c r="G20" i="6" s="1"/>
  <c r="D35" i="24"/>
  <c r="F35" i="24" s="1"/>
  <c r="F9" i="24"/>
  <c r="E33" i="6"/>
  <c r="D33" i="6"/>
  <c r="F33" i="6" s="1"/>
  <c r="G33" i="6" s="1"/>
  <c r="D19" i="6"/>
  <c r="F19" i="6" s="1"/>
  <c r="G19" i="6" s="1"/>
  <c r="D31" i="6"/>
  <c r="F31" i="6" s="1"/>
  <c r="G31" i="6" s="1"/>
  <c r="D28" i="6"/>
  <c r="F28" i="6" s="1"/>
  <c r="G28" i="6" s="1"/>
  <c r="E17" i="6"/>
  <c r="D17" i="6"/>
  <c r="F17" i="6" s="1"/>
  <c r="G17" i="6" s="1"/>
  <c r="E34" i="6" l="1"/>
  <c r="E22" i="6"/>
  <c r="E18" i="6"/>
  <c r="E31" i="6"/>
  <c r="E26" i="6"/>
  <c r="E16" i="6"/>
  <c r="E32" i="6"/>
  <c r="E28" i="6"/>
  <c r="E10" i="6"/>
  <c r="E12" i="6"/>
  <c r="E23" i="6"/>
  <c r="E19" i="6"/>
  <c r="E25" i="6"/>
  <c r="E21" i="6"/>
  <c r="G35" i="6"/>
  <c r="F9" i="21" s="1"/>
  <c r="E27" i="6"/>
  <c r="E29" i="6"/>
  <c r="E11" i="6"/>
  <c r="E9" i="21" l="1"/>
  <c r="D9" i="21"/>
  <c r="G32" i="22" l="1"/>
  <c r="G33" i="22"/>
  <c r="G29" i="22"/>
  <c r="G31" i="22"/>
  <c r="G27" i="22"/>
  <c r="G23" i="22"/>
  <c r="G19" i="22"/>
  <c r="G15" i="22"/>
  <c r="G11" i="22"/>
  <c r="G28" i="22"/>
  <c r="G34" i="22"/>
  <c r="G25" i="22"/>
  <c r="G20" i="22"/>
  <c r="G16" i="22"/>
  <c r="G12" i="22"/>
  <c r="G30" i="22"/>
  <c r="G26" i="22"/>
  <c r="G24" i="22"/>
  <c r="G22" i="22"/>
  <c r="G18" i="22"/>
  <c r="G14" i="22"/>
  <c r="G10" i="22"/>
  <c r="G21" i="22"/>
  <c r="G17" i="22"/>
  <c r="G13" i="22"/>
  <c r="G9" i="22"/>
  <c r="G10" i="24" l="1"/>
  <c r="F10" i="22"/>
  <c r="D10" i="26"/>
  <c r="G20" i="24"/>
  <c r="F20" i="22"/>
  <c r="D20" i="26"/>
  <c r="G31" i="24"/>
  <c r="F31" i="22"/>
  <c r="D31" i="26"/>
  <c r="G15" i="24"/>
  <c r="F15" i="22"/>
  <c r="D15" i="26"/>
  <c r="G16" i="24"/>
  <c r="F16" i="22"/>
  <c r="D16" i="26"/>
  <c r="G27" i="24"/>
  <c r="F27" i="22"/>
  <c r="D27" i="26"/>
  <c r="G22" i="24"/>
  <c r="F22" i="22"/>
  <c r="D22" i="26"/>
  <c r="G34" i="24"/>
  <c r="F34" i="22"/>
  <c r="D34" i="26"/>
  <c r="F29" i="22"/>
  <c r="G29" i="24"/>
  <c r="D29" i="26"/>
  <c r="G30" i="24"/>
  <c r="F30" i="22"/>
  <c r="D30" i="26"/>
  <c r="G19" i="24"/>
  <c r="F19" i="22"/>
  <c r="D19" i="26"/>
  <c r="G18" i="24"/>
  <c r="F18" i="22"/>
  <c r="D18" i="26"/>
  <c r="G9" i="24"/>
  <c r="G35" i="22"/>
  <c r="F9" i="22"/>
  <c r="D9" i="26"/>
  <c r="F24" i="22"/>
  <c r="G24" i="24"/>
  <c r="D24" i="26"/>
  <c r="F28" i="22"/>
  <c r="G28" i="24"/>
  <c r="D28" i="26"/>
  <c r="F33" i="22"/>
  <c r="G33" i="24"/>
  <c r="D33" i="26"/>
  <c r="G17" i="24"/>
  <c r="F17" i="22"/>
  <c r="D17" i="26"/>
  <c r="G21" i="24"/>
  <c r="F21" i="22"/>
  <c r="D21" i="26"/>
  <c r="G12" i="24"/>
  <c r="F12" i="22"/>
  <c r="D12" i="26"/>
  <c r="G23" i="24"/>
  <c r="F23" i="22"/>
  <c r="D23" i="26"/>
  <c r="G14" i="24"/>
  <c r="F14" i="22"/>
  <c r="D14" i="26"/>
  <c r="F25" i="22"/>
  <c r="G25" i="24"/>
  <c r="D25" i="26"/>
  <c r="G13" i="24"/>
  <c r="F13" i="22"/>
  <c r="D13" i="26"/>
  <c r="G26" i="24"/>
  <c r="F26" i="22"/>
  <c r="D26" i="26"/>
  <c r="G11" i="24"/>
  <c r="F11" i="22"/>
  <c r="D11" i="26"/>
  <c r="F32" i="22"/>
  <c r="G32" i="24"/>
  <c r="D32" i="26"/>
  <c r="D35" i="26" l="1"/>
  <c r="E31" i="26"/>
  <c r="H31" i="24"/>
  <c r="I31" i="24" s="1"/>
  <c r="F31" i="26" s="1"/>
  <c r="E27" i="26"/>
  <c r="H27" i="24"/>
  <c r="I27" i="24" s="1"/>
  <c r="F27" i="26" s="1"/>
  <c r="E19" i="26"/>
  <c r="H19" i="24"/>
  <c r="I19" i="24" s="1"/>
  <c r="F19" i="26" s="1"/>
  <c r="E21" i="26"/>
  <c r="H21" i="24"/>
  <c r="I21" i="24" s="1"/>
  <c r="F21" i="26" s="1"/>
  <c r="E28" i="26"/>
  <c r="H28" i="24"/>
  <c r="I28" i="24" s="1"/>
  <c r="F28" i="26" s="1"/>
  <c r="E9" i="26"/>
  <c r="H9" i="24"/>
  <c r="I9" i="24" s="1"/>
  <c r="E16" i="26"/>
  <c r="H16" i="24"/>
  <c r="I16" i="24" s="1"/>
  <c r="F16" i="26" s="1"/>
  <c r="E34" i="26"/>
  <c r="H34" i="24"/>
  <c r="I34" i="24" s="1"/>
  <c r="F34" i="26" s="1"/>
  <c r="E13" i="26"/>
  <c r="H13" i="24"/>
  <c r="I13" i="24" s="1"/>
  <c r="F13" i="26" s="1"/>
  <c r="E30" i="26"/>
  <c r="H30" i="24"/>
  <c r="I30" i="24" s="1"/>
  <c r="F30" i="26" s="1"/>
  <c r="E20" i="26"/>
  <c r="H20" i="24"/>
  <c r="I20" i="24" s="1"/>
  <c r="F20" i="26" s="1"/>
  <c r="E33" i="26"/>
  <c r="H33" i="24"/>
  <c r="I33" i="24" s="1"/>
  <c r="F33" i="26" s="1"/>
  <c r="E26" i="26"/>
  <c r="H26" i="24"/>
  <c r="I26" i="24" s="1"/>
  <c r="F26" i="26" s="1"/>
  <c r="E23" i="26"/>
  <c r="H23" i="24"/>
  <c r="I23" i="24" s="1"/>
  <c r="F23" i="26" s="1"/>
  <c r="E22" i="26"/>
  <c r="H22" i="24"/>
  <c r="I22" i="24" s="1"/>
  <c r="F22" i="26" s="1"/>
  <c r="E12" i="26"/>
  <c r="H12" i="24"/>
  <c r="I12" i="24" s="1"/>
  <c r="F12" i="26" s="1"/>
  <c r="E32" i="26"/>
  <c r="H32" i="24"/>
  <c r="I32" i="24" s="1"/>
  <c r="F32" i="26" s="1"/>
  <c r="E11" i="26"/>
  <c r="H11" i="24"/>
  <c r="I11" i="24" s="1"/>
  <c r="F11" i="26" s="1"/>
  <c r="E25" i="26"/>
  <c r="H25" i="24"/>
  <c r="I25" i="24" s="1"/>
  <c r="F25" i="26" s="1"/>
  <c r="E17" i="26"/>
  <c r="H17" i="24"/>
  <c r="I17" i="24" s="1"/>
  <c r="F17" i="26" s="1"/>
  <c r="E24" i="26"/>
  <c r="H24" i="24"/>
  <c r="I24" i="24" s="1"/>
  <c r="F24" i="26" s="1"/>
  <c r="E18" i="26"/>
  <c r="H18" i="24"/>
  <c r="I18" i="24" s="1"/>
  <c r="F18" i="26" s="1"/>
  <c r="E29" i="26"/>
  <c r="H29" i="24"/>
  <c r="I29" i="24" s="1"/>
  <c r="F29" i="26" s="1"/>
  <c r="E15" i="26"/>
  <c r="H15" i="24"/>
  <c r="I15" i="24" s="1"/>
  <c r="F15" i="26" s="1"/>
  <c r="E14" i="26"/>
  <c r="H14" i="24"/>
  <c r="I14" i="24" s="1"/>
  <c r="F14" i="26" s="1"/>
  <c r="E10" i="26"/>
  <c r="H10" i="24"/>
  <c r="I10" i="24" s="1"/>
  <c r="F10" i="26" s="1"/>
  <c r="I37" i="24" l="1"/>
  <c r="F9" i="26"/>
</calcChain>
</file>

<file path=xl/sharedStrings.xml><?xml version="1.0" encoding="utf-8"?>
<sst xmlns="http://schemas.openxmlformats.org/spreadsheetml/2006/main" count="1805" uniqueCount="946">
  <si>
    <t>Massgebende Wohnbevölkerung</t>
  </si>
  <si>
    <t>Einheit</t>
  </si>
  <si>
    <t>Zürich</t>
  </si>
  <si>
    <t>Bern</t>
  </si>
  <si>
    <t>Luzern</t>
  </si>
  <si>
    <t>Uri</t>
  </si>
  <si>
    <t>Schwyz</t>
  </si>
  <si>
    <t>Obwalden</t>
  </si>
  <si>
    <t>Nidwalden</t>
  </si>
  <si>
    <t>Glarus</t>
  </si>
  <si>
    <t>Zug</t>
  </si>
  <si>
    <t>Freiburg</t>
  </si>
  <si>
    <t>Solothurn</t>
  </si>
  <si>
    <t>Basel-Stadt</t>
  </si>
  <si>
    <t>Basel-Landschaft</t>
  </si>
  <si>
    <t>Schaffhausen</t>
  </si>
  <si>
    <t>Appenzell A.Rh.</t>
  </si>
  <si>
    <t>Appenzell I.Rh.</t>
  </si>
  <si>
    <t>St. Gallen</t>
  </si>
  <si>
    <t>Graubünden</t>
  </si>
  <si>
    <t>Aargau</t>
  </si>
  <si>
    <t>Thurgau</t>
  </si>
  <si>
    <t>Tessin</t>
  </si>
  <si>
    <t>Waadt</t>
  </si>
  <si>
    <t>Wallis</t>
  </si>
  <si>
    <t>Neuenburg</t>
  </si>
  <si>
    <t>Genf</t>
  </si>
  <si>
    <t>Jura</t>
  </si>
  <si>
    <t>Total</t>
  </si>
  <si>
    <t>Spalte</t>
  </si>
  <si>
    <t>C</t>
  </si>
  <si>
    <t>D</t>
  </si>
  <si>
    <t>E</t>
  </si>
  <si>
    <t>H</t>
  </si>
  <si>
    <t>I</t>
  </si>
  <si>
    <t>J</t>
  </si>
  <si>
    <t>Formel</t>
  </si>
  <si>
    <t>CHF 1'000</t>
  </si>
  <si>
    <t>CHF</t>
  </si>
  <si>
    <t>in CHF 1'000</t>
  </si>
  <si>
    <t>Schweiz</t>
  </si>
  <si>
    <t>Minimum</t>
  </si>
  <si>
    <t>G</t>
  </si>
  <si>
    <t>F</t>
  </si>
  <si>
    <t>Reinvermögen</t>
  </si>
  <si>
    <t>Massgebende Steuerbemessungs-grundlage DBSt</t>
  </si>
  <si>
    <t>Saldo</t>
  </si>
  <si>
    <t>Erhalten von
anderen
Kantonen</t>
  </si>
  <si>
    <t>Zu Gunsten
anderer
Kantone</t>
  </si>
  <si>
    <t>T</t>
  </si>
  <si>
    <t>S</t>
  </si>
  <si>
    <t>R</t>
  </si>
  <si>
    <t>ASG Total</t>
  </si>
  <si>
    <t>Referenzjahr</t>
  </si>
  <si>
    <t>Kategorie</t>
  </si>
  <si>
    <t>A2</t>
  </si>
  <si>
    <t>D2</t>
  </si>
  <si>
    <t>F2</t>
  </si>
  <si>
    <t>F3</t>
  </si>
  <si>
    <t>I2</t>
  </si>
  <si>
    <t>U</t>
  </si>
  <si>
    <t>Y</t>
  </si>
  <si>
    <t>(C + D + E) / 3</t>
  </si>
  <si>
    <t>F / G * 1000</t>
  </si>
  <si>
    <t>Punkte</t>
  </si>
  <si>
    <t>Prozent</t>
  </si>
  <si>
    <t>γ</t>
  </si>
  <si>
    <t>Ausgleichszahlungen</t>
  </si>
  <si>
    <t>Pro Einwohner</t>
  </si>
  <si>
    <t>Berechnungsdatum</t>
  </si>
  <si>
    <t>Berechnungs-ID</t>
  </si>
  <si>
    <t>Q</t>
  </si>
  <si>
    <t>V</t>
  </si>
  <si>
    <t>W</t>
  </si>
  <si>
    <t>X</t>
  </si>
  <si>
    <t>(C - 100) * D</t>
  </si>
  <si>
    <t>G / D</t>
  </si>
  <si>
    <t>D / E</t>
  </si>
  <si>
    <t>F + G</t>
  </si>
  <si>
    <t>Holdinggesellschaften</t>
  </si>
  <si>
    <t>Domizilgesellschaften</t>
  </si>
  <si>
    <t>Gemischte Gesellschaften</t>
  </si>
  <si>
    <t>G / F</t>
  </si>
  <si>
    <t>H * E</t>
  </si>
  <si>
    <t>(1 - 0.125) γ</t>
  </si>
  <si>
    <t>(1 - 0.4) γ</t>
  </si>
  <si>
    <t xml:space="preserve">I </t>
  </si>
  <si>
    <t>Formel für Gewicht</t>
  </si>
  <si>
    <t>Zahlungen im</t>
  </si>
  <si>
    <t>H / H[Schweiz] * 100</t>
  </si>
  <si>
    <t>Anzahl</t>
  </si>
  <si>
    <t>Dotation/E[Schweiz]*E</t>
  </si>
  <si>
    <t>Index SSE
nach
Ausgleich</t>
  </si>
  <si>
    <t>H / F[Schweiz]</t>
  </si>
  <si>
    <t>Steuerpflichtige</t>
  </si>
  <si>
    <t>Mittlere ständige und nichtständige Wohnbevölkerung</t>
  </si>
  <si>
    <t>Bemessungsjahr</t>
  </si>
  <si>
    <t>D - (I / 1000 * C)</t>
  </si>
  <si>
    <t>Bruttoeinkommen</t>
  </si>
  <si>
    <t>Gewicht (ω)</t>
  </si>
  <si>
    <t>C * ω</t>
  </si>
  <si>
    <t>D * ω</t>
  </si>
  <si>
    <t>E * ω</t>
  </si>
  <si>
    <t>F * ω</t>
  </si>
  <si>
    <t>G * ω</t>
  </si>
  <si>
    <t>H * ω</t>
  </si>
  <si>
    <t>I * ω</t>
  </si>
  <si>
    <t>Z</t>
  </si>
  <si>
    <t>R+S+T+U+V+W</t>
  </si>
  <si>
    <t>X * Delta</t>
  </si>
  <si>
    <t>Ressourcen-
index</t>
  </si>
  <si>
    <t>A</t>
  </si>
  <si>
    <t>B</t>
  </si>
  <si>
    <t>Auszahlung
pro Einwohner</t>
  </si>
  <si>
    <t>Die Berechnung des Ressourcenausgleichs wird im technischen Bericht detailliert beschrieben:
www.efv.admin.ch → Themen  → Finanzausgleich  → Dokumentation</t>
  </si>
  <si>
    <t>(+) Einzahlungen; (-) Auszahlungen in CHF</t>
  </si>
  <si>
    <t>Progressionsmass p</t>
  </si>
  <si>
    <t>Beschriftung der Tabellen</t>
  </si>
  <si>
    <t>Sprache</t>
  </si>
  <si>
    <t>Auswahl der Sprache</t>
  </si>
  <si>
    <t>Deutsch</t>
  </si>
  <si>
    <t>Français</t>
  </si>
  <si>
    <t xml:space="preserve">Die Sprache wird über das Steuerelement auf dem </t>
  </si>
  <si>
    <t>Italiano</t>
  </si>
  <si>
    <t>Tabellenblatt "INTRO" ausgewählt.</t>
  </si>
  <si>
    <t>English</t>
  </si>
  <si>
    <t xml:space="preserve"> </t>
  </si>
  <si>
    <t>Eidgenössisches Finanzdepartement EFD</t>
  </si>
  <si>
    <t>Département fédéral des finances DFF</t>
  </si>
  <si>
    <t>Eidgenössische Finanzverwaltung EFV</t>
  </si>
  <si>
    <t>Administration fédérale des finances AFF</t>
  </si>
  <si>
    <t>Finanzausgleich zwischen Bund und Kantonen</t>
  </si>
  <si>
    <t>Péréquation financière entre la Confédération et les cantons</t>
  </si>
  <si>
    <t>Suisse</t>
  </si>
  <si>
    <t>Zurich</t>
  </si>
  <si>
    <t>Berne</t>
  </si>
  <si>
    <t>Lucerne</t>
  </si>
  <si>
    <t>Obwald</t>
  </si>
  <si>
    <t>Nidwald</t>
  </si>
  <si>
    <t>Glaris</t>
  </si>
  <si>
    <t>Zoug</t>
  </si>
  <si>
    <t>Fribourg</t>
  </si>
  <si>
    <t>Soleure</t>
  </si>
  <si>
    <t>Bâle-Ville</t>
  </si>
  <si>
    <t>Bâle-Campagne</t>
  </si>
  <si>
    <t>Schaffhouse</t>
  </si>
  <si>
    <t>Appenzell Rh.-Ext.</t>
  </si>
  <si>
    <t>Appenzell Rh.-Int.</t>
  </si>
  <si>
    <t>St-Gall</t>
  </si>
  <si>
    <t>Grisons</t>
  </si>
  <si>
    <t>Argovie</t>
  </si>
  <si>
    <t>Thurgovie</t>
  </si>
  <si>
    <t>Vaud</t>
  </si>
  <si>
    <t>Valais</t>
  </si>
  <si>
    <t>Neuchâtel</t>
  </si>
  <si>
    <t>Genève</t>
  </si>
  <si>
    <t>Wählen Sie Ihre Sprache</t>
  </si>
  <si>
    <t>Choisissez votre langue</t>
  </si>
  <si>
    <t>Selezionare la vostra lingua</t>
  </si>
  <si>
    <t>Choose your language</t>
  </si>
  <si>
    <t>TOTAL</t>
  </si>
  <si>
    <t>NP</t>
  </si>
  <si>
    <t>QS</t>
  </si>
  <si>
    <t>VERM</t>
  </si>
  <si>
    <t>JP</t>
  </si>
  <si>
    <t>REP</t>
  </si>
  <si>
    <t>ASG</t>
  </si>
  <si>
    <t>BEV</t>
  </si>
  <si>
    <t>RP</t>
  </si>
  <si>
    <t>DOT</t>
  </si>
  <si>
    <t>EINZ</t>
  </si>
  <si>
    <t>AUSZ</t>
  </si>
  <si>
    <t>SSE</t>
  </si>
  <si>
    <t>SST</t>
  </si>
  <si>
    <t>Einkommen natürlicher Personen</t>
  </si>
  <si>
    <t>Quellenbesteuerte Einkommen natürlicher Personen</t>
  </si>
  <si>
    <t>Vermögen natürlicher Personen</t>
  </si>
  <si>
    <t>Gewinne juristischer Personen</t>
  </si>
  <si>
    <t>Steuerrepartitionen</t>
  </si>
  <si>
    <t>Berechnung Ressourcenpotenzial und -index</t>
  </si>
  <si>
    <t>Einzahlungen der ressourcenstarken Kantone</t>
  </si>
  <si>
    <t>Auszahlungen an die ressourcenschwachen Kantone</t>
  </si>
  <si>
    <t>Ressourcen-
potenzial</t>
  </si>
  <si>
    <t>Grenzgänger
Total</t>
  </si>
  <si>
    <t>Revenu des personnes physiques</t>
  </si>
  <si>
    <t>Fortune des personnes physiques</t>
  </si>
  <si>
    <t>Bénéfice des personnes morales</t>
  </si>
  <si>
    <t>Répartitions fiscales</t>
  </si>
  <si>
    <t>Montants versés par les cantons à fort potentiel de ressources</t>
  </si>
  <si>
    <t>Montants reçus par les cantons à faible potentiel de ressources</t>
  </si>
  <si>
    <t>Taux fiscal standardisé</t>
  </si>
  <si>
    <t>Übersicht über die Zahlungen im Ressourcenausgleich</t>
  </si>
  <si>
    <t>Aggregierte Steuerbemessungsgrundlage</t>
  </si>
  <si>
    <t>Assiette fiscale agrégée</t>
  </si>
  <si>
    <t>Calcul du potentiel de ressources et de l'indice des ressources</t>
  </si>
  <si>
    <t>Standardisierter Steuerertrag</t>
  </si>
  <si>
    <t>Standardisierter Steuersatz</t>
  </si>
  <si>
    <t>Wealth</t>
  </si>
  <si>
    <t>Profit of legal entities</t>
  </si>
  <si>
    <t>Standardized tax revenue</t>
  </si>
  <si>
    <t>Standardized tax rate</t>
  </si>
  <si>
    <t>Ticino</t>
  </si>
  <si>
    <t>Geneva</t>
  </si>
  <si>
    <t>Switzerland</t>
  </si>
  <si>
    <t>Column</t>
  </si>
  <si>
    <t>Formula</t>
  </si>
  <si>
    <t>Category</t>
  </si>
  <si>
    <t>Unit</t>
  </si>
  <si>
    <t>CHF 1,000</t>
  </si>
  <si>
    <t>Points</t>
  </si>
  <si>
    <t>Reference year</t>
  </si>
  <si>
    <t>Assessment year</t>
  </si>
  <si>
    <t>Colonne</t>
  </si>
  <si>
    <t>Formule</t>
  </si>
  <si>
    <t>Catégorie</t>
  </si>
  <si>
    <t>Unité</t>
  </si>
  <si>
    <t>Nombre</t>
  </si>
  <si>
    <t>Année de référence</t>
  </si>
  <si>
    <t>Année de calcul</t>
  </si>
  <si>
    <t>Paiements compensatoires</t>
  </si>
  <si>
    <t>Par habitant</t>
  </si>
  <si>
    <t>Salaires bruts</t>
  </si>
  <si>
    <t>Formule pour pondération</t>
  </si>
  <si>
    <t>Pondération (ω)</t>
  </si>
  <si>
    <t>Revenu déterminant pour l'imposition à la source</t>
  </si>
  <si>
    <t>Fortune nette</t>
  </si>
  <si>
    <t>Sociétés holding</t>
  </si>
  <si>
    <t>Sociétés de domicile</t>
  </si>
  <si>
    <t>Sociétés mixtes</t>
  </si>
  <si>
    <t>Solde</t>
  </si>
  <si>
    <t>AFA totale</t>
  </si>
  <si>
    <t>H / H[Suisse] * 100</t>
  </si>
  <si>
    <t>Dotation/E[Suisse]*E</t>
  </si>
  <si>
    <t>H / F[Suisse]</t>
  </si>
  <si>
    <t>Relevant income taxed at source</t>
  </si>
  <si>
    <t>Net wealth</t>
  </si>
  <si>
    <t>Balance</t>
  </si>
  <si>
    <t>Total ATB</t>
  </si>
  <si>
    <t>Relevant resident population</t>
  </si>
  <si>
    <t>H / H[Switzerland] * 100</t>
  </si>
  <si>
    <t>H / F[Switzerland]</t>
  </si>
  <si>
    <t>Federal Department of Finance FDF</t>
  </si>
  <si>
    <t>AA</t>
  </si>
  <si>
    <t>Federal Finance Administration FFA</t>
  </si>
  <si>
    <t>Fiscal equalization between the Confederation and the cantons</t>
  </si>
  <si>
    <t>Overview of resource equalization payments</t>
  </si>
  <si>
    <t>Tax repartitions</t>
  </si>
  <si>
    <t>Aggregated tax base</t>
  </si>
  <si>
    <t>Resource potential and resource index calculation</t>
  </si>
  <si>
    <t>Inpayments of financially strong cantons</t>
  </si>
  <si>
    <t>Outpayments to financially weak cantons</t>
  </si>
  <si>
    <t>Basel Stadt</t>
  </si>
  <si>
    <t>Basel Landschaft</t>
  </si>
  <si>
    <t>Number</t>
  </si>
  <si>
    <t>Percent</t>
  </si>
  <si>
    <t>Calculation date</t>
  </si>
  <si>
    <t>Calculation ID</t>
  </si>
  <si>
    <t>Payments in</t>
  </si>
  <si>
    <t>(+) inpayments; (-) outpayments in CHF</t>
  </si>
  <si>
    <t>Equalization payments</t>
  </si>
  <si>
    <t>Per capita</t>
  </si>
  <si>
    <t>Gross income</t>
  </si>
  <si>
    <t>in CHF 1,000</t>
  </si>
  <si>
    <t>Weighting formula</t>
  </si>
  <si>
    <t>Weighting (ω)</t>
  </si>
  <si>
    <t>Holding companies</t>
  </si>
  <si>
    <t>Domiciliary companies</t>
  </si>
  <si>
    <t>Mixed companies</t>
  </si>
  <si>
    <t>Average permanent and non-permanent resident population</t>
  </si>
  <si>
    <t>Progression rate p</t>
  </si>
  <si>
    <t>Aperçu des paiements au titre de la péréquation des ressources</t>
  </si>
  <si>
    <t>Revenu pour l’imposition à la source des personnes physiques</t>
  </si>
  <si>
    <t>Population résidante déterminante</t>
  </si>
  <si>
    <t>Recettes fiscales standardisées</t>
  </si>
  <si>
    <t>Date de calcul</t>
  </si>
  <si>
    <t>Code de calcul</t>
  </si>
  <si>
    <t>Paiements au titre de la</t>
  </si>
  <si>
    <t>Contribuables</t>
  </si>
  <si>
    <t>Dipartimento federale delle finanze DFF</t>
  </si>
  <si>
    <t>Amministrazione federale delle finanze AFF</t>
  </si>
  <si>
    <t>Perequazione finanziaria tra Confederazione e Cantoni</t>
  </si>
  <si>
    <t>Panoramica dei pagamenti nella perequazione delle risorse</t>
  </si>
  <si>
    <t>Reddito delle persone fisiche</t>
  </si>
  <si>
    <t>Reddito tassato alla fonte delle persone fisiche</t>
  </si>
  <si>
    <t>Sostanza delle persone fisiche</t>
  </si>
  <si>
    <t>Utili delle persone giuridiche</t>
  </si>
  <si>
    <t>Riparti fiscali</t>
  </si>
  <si>
    <t>Base imponibile aggregata</t>
  </si>
  <si>
    <t>Popolazione residente determinante</t>
  </si>
  <si>
    <t>Calcolo del potenziale e dell'indice delle risorse</t>
  </si>
  <si>
    <t>Contributi dei Cantoni finanziariamente forti</t>
  </si>
  <si>
    <t>Versamenti ai Cantoni finanziariamente deboli</t>
  </si>
  <si>
    <t>Gettito fiscale standardizzato</t>
  </si>
  <si>
    <t>Aliquota d'imposizione standardizzata</t>
  </si>
  <si>
    <t>Zurigo</t>
  </si>
  <si>
    <t>Berna</t>
  </si>
  <si>
    <t>Lucerna</t>
  </si>
  <si>
    <t>Svitto</t>
  </si>
  <si>
    <t>Obvaldo</t>
  </si>
  <si>
    <t>Nidvaldo</t>
  </si>
  <si>
    <t>Glarona</t>
  </si>
  <si>
    <t>Zugo</t>
  </si>
  <si>
    <t>Friburgo</t>
  </si>
  <si>
    <t>Soletta</t>
  </si>
  <si>
    <t>Basilea Città</t>
  </si>
  <si>
    <t>Basilea Campagna</t>
  </si>
  <si>
    <t>Sciaffusa</t>
  </si>
  <si>
    <t>Appenzello Esterno</t>
  </si>
  <si>
    <t>Appenzello Interno</t>
  </si>
  <si>
    <t>San Gallo</t>
  </si>
  <si>
    <t>Grigioni</t>
  </si>
  <si>
    <t>Argovia</t>
  </si>
  <si>
    <t>Turgovia</t>
  </si>
  <si>
    <t>Vallese</t>
  </si>
  <si>
    <t>Ginevra</t>
  </si>
  <si>
    <t>Giura</t>
  </si>
  <si>
    <t>Svizzera</t>
  </si>
  <si>
    <t>Colonna</t>
  </si>
  <si>
    <t>Categoria</t>
  </si>
  <si>
    <t>Unità</t>
  </si>
  <si>
    <t>CHF 1000</t>
  </si>
  <si>
    <t>Numero</t>
  </si>
  <si>
    <t>Punti</t>
  </si>
  <si>
    <t>Percento</t>
  </si>
  <si>
    <t>Totale</t>
  </si>
  <si>
    <t>Anno di calcolo</t>
  </si>
  <si>
    <t>Pagamenti nella</t>
  </si>
  <si>
    <t>(+) Contributi; (-) Versamenti in CHF</t>
  </si>
  <si>
    <t>Versamenti di compensazione</t>
  </si>
  <si>
    <t>Per abitante</t>
  </si>
  <si>
    <t>Contribuenti</t>
  </si>
  <si>
    <t>Reddito lordo</t>
  </si>
  <si>
    <t>in CHF 1000</t>
  </si>
  <si>
    <t>Formula di ponderazione</t>
  </si>
  <si>
    <t>Ponderazione (ω)</t>
  </si>
  <si>
    <t>Reddito determinante tassato alla fonte</t>
  </si>
  <si>
    <t>Sostanza netta</t>
  </si>
  <si>
    <t>Società holding</t>
  </si>
  <si>
    <t>Società di domicilio</t>
  </si>
  <si>
    <t>Società miste</t>
  </si>
  <si>
    <t>Somma</t>
  </si>
  <si>
    <t>Totale BIA</t>
  </si>
  <si>
    <t>H / H[Svizzera] * 100</t>
  </si>
  <si>
    <t>Dotazione/E[Svizzera]*E</t>
  </si>
  <si>
    <t>H / F[Svizzera]</t>
  </si>
  <si>
    <t>Minimo</t>
  </si>
  <si>
    <t>Anno di riferimento</t>
  </si>
  <si>
    <t>Calcolato il</t>
  </si>
  <si>
    <t>Codice calcolo</t>
  </si>
  <si>
    <t>En CHF 1'000</t>
  </si>
  <si>
    <t>(+) Montants versés; (-) Montants reçus en francs</t>
  </si>
  <si>
    <t>%</t>
  </si>
  <si>
    <t>Steuerbares Einkommen
der Steuerpflichtigen</t>
  </si>
  <si>
    <t>Gebietsansässige
Ausländer und
ausländische
Verwaltungsräte</t>
  </si>
  <si>
    <t>Vollständig
besteuerte
Grenzgänger</t>
  </si>
  <si>
    <t>Begrenzt
besteuerte
Grenzgänger
aus Österreich</t>
  </si>
  <si>
    <t>Begrenzt
besteuerte
Grenzgänger
aus Deutschland</t>
  </si>
  <si>
    <t>Begrenzt besteuerte
Grenzgänger aus
Frankreich mit
Besteuerung durch
den Kanton Genf</t>
  </si>
  <si>
    <t>Begrenzt besteuerte
Grenzgänger aus
Frankreich mit
Besteuerung durch
Frankreich</t>
  </si>
  <si>
    <t>Begrenzt
besteuerte
Grenzgänger
aus Italien</t>
  </si>
  <si>
    <t>Ergebnis auf
der Basis der
Bruttolöhne
(Grenzgänger)</t>
  </si>
  <si>
    <t>Massgebende
quellenbesteuerte
Einkommen</t>
  </si>
  <si>
    <t>Massgebendes
Vermögen</t>
  </si>
  <si>
    <t>Gewichtungs-
faktor</t>
  </si>
  <si>
    <t>Massgebende
Steuerrepartitionen</t>
  </si>
  <si>
    <t>Massgebendes
Einkommen der
natürlichen
Personen</t>
  </si>
  <si>
    <t>Massgebendes
quellenbesteuertes
Einkommen</t>
  </si>
  <si>
    <t>Massgebender
Gewinn der
juristischen
Personen</t>
  </si>
  <si>
    <t>Massgebende
Steuer-
repartitionen</t>
  </si>
  <si>
    <t>Massgebende
Wohnbevölkerung</t>
  </si>
  <si>
    <t>Ressourcen-
potenzial pro
Einwohner</t>
  </si>
  <si>
    <t>Vertikaler
Ressourcenausgleich
(VRA)</t>
  </si>
  <si>
    <t>Ausgleich
Total</t>
  </si>
  <si>
    <t>Massgebende
Wohn-
bevölkerung</t>
  </si>
  <si>
    <t>Summe der
gewichteten
Abweichungen</t>
  </si>
  <si>
    <t>Einzahlung
pro Einwohner</t>
  </si>
  <si>
    <t>Standardisierter
Steuerertrag
(SSE)</t>
  </si>
  <si>
    <t>Standardisierter
Steuerertrag pro
Einwohner vor
Ausgleich</t>
  </si>
  <si>
    <t>Ressourcen-
ausgleich pro
Einwohner</t>
  </si>
  <si>
    <t>Standardisierter
Steuerertrag pro
Einwohner nach
Ausgleich</t>
  </si>
  <si>
    <t>In favor of
other cantons</t>
  </si>
  <si>
    <t>Received from
other cantons</t>
  </si>
  <si>
    <t>Relevant direct
federal tax base</t>
  </si>
  <si>
    <t>Revenu imposable
des contribuables</t>
  </si>
  <si>
    <t>Revenu
déterminant
des personnes
physiques</t>
  </si>
  <si>
    <t>Étrangers résidants
et conseillers
d'administration
étrangers</t>
  </si>
  <si>
    <t>Frontaliers
imposés de
façon illimitée</t>
  </si>
  <si>
    <t>Frontaliers
autrichiens
assujettis de
façon limitée</t>
  </si>
  <si>
    <t xml:space="preserve">Frontaliers
allemands
assujettis de
façon limitée </t>
  </si>
  <si>
    <t>Frontaliers français
assujettis de façon
limitée, imposés
par la France</t>
  </si>
  <si>
    <t xml:space="preserve">Frontaliers
italiens
assujettis de
façon limitée </t>
  </si>
  <si>
    <t>Frontaliers français
assujettis de façon
limitée, imposés
par le canton
de Genève</t>
  </si>
  <si>
    <t>Résultat sur
la base des
salaires bruts
(frontaliers)</t>
  </si>
  <si>
    <t>Revenu
déterminant
pour l'imposition
à la source</t>
  </si>
  <si>
    <t>Massgebende quellenbesteuerte Einkommen</t>
  </si>
  <si>
    <t>Fortune
déterminante</t>
  </si>
  <si>
    <t>Sostanza
determinante</t>
  </si>
  <si>
    <t>Relevant
wealth</t>
  </si>
  <si>
    <t>Au profit
d'autres cantons</t>
  </si>
  <si>
    <t>Reçu
d'autres cantons</t>
  </si>
  <si>
    <t>Assiette fiscale
déterminante
pour l'IFD</t>
  </si>
  <si>
    <t>Facteur de
pondération</t>
  </si>
  <si>
    <t>Répartitions
fiscales
déterminantes</t>
  </si>
  <si>
    <t>Bénéfice
déterminant
des personnes
morales</t>
  </si>
  <si>
    <t>Population
résidante
déterminante</t>
  </si>
  <si>
    <t>Potentiel de
ressources</t>
  </si>
  <si>
    <t>Potentiel de
ressources
par habitant</t>
  </si>
  <si>
    <t>Indice des
ressources</t>
  </si>
  <si>
    <t>Péréquation
verticale des
ressources (PVR)</t>
  </si>
  <si>
    <t>Péréquation
horizontale des
ressources (PHR)</t>
  </si>
  <si>
    <t>Péréquation
totale</t>
  </si>
  <si>
    <t>Somme
des écarts
pondérés</t>
  </si>
  <si>
    <t>Montant versé,
par habitant</t>
  </si>
  <si>
    <t>Montant
versé</t>
  </si>
  <si>
    <t>Montant reçu,
par habitant</t>
  </si>
  <si>
    <t>Montant
reçu</t>
  </si>
  <si>
    <t>Force de progression (p)</t>
  </si>
  <si>
    <t>Recettes fiscales
standardisées
(RFS)</t>
  </si>
  <si>
    <t>Recettes fiscales
standardisées par
habitant, avant
péréquation</t>
  </si>
  <si>
    <t>Péréquation
des ressources
par habitant</t>
  </si>
  <si>
    <t>Recettes fiscales
standardisées par
habitant, après
péréquation</t>
  </si>
  <si>
    <t>Indice RFS
après
péréquation</t>
  </si>
  <si>
    <t>Population résidante permanente
et non permanente moyenne</t>
  </si>
  <si>
    <t>Le calcul de la péréquation des ressources est décrit en détail dans la documentation technique:
www.efv.admin.ch → Thèmes  → Péréquation financière  → Documentation</t>
  </si>
  <si>
    <t>Indice delle
risorse</t>
  </si>
  <si>
    <t>Reddito imponibile
dei contribuenti</t>
  </si>
  <si>
    <t>Resource
index</t>
  </si>
  <si>
    <t>Il calcolo della perequazione delle risorse è descritto in modo dettagliato nel rapporto tecnico:
www.efv.admin.ch → Temi  → Perequazione finanziaria  → Documentazione</t>
  </si>
  <si>
    <t>The calculation of resource equalization is described in detail in the technical report:
www.efv.admin.ch → Topics → Fiscal equalization → Documentation</t>
  </si>
  <si>
    <t>Stranieri residenti
e consiglieri di
amministrazione
stranieri</t>
  </si>
  <si>
    <t xml:space="preserve">Frontalieri
tassati
integralmente </t>
  </si>
  <si>
    <t xml:space="preserve">Frontalieri
dell'Austria
tassati
limitatamente </t>
  </si>
  <si>
    <t>Frontalieri della
Francia tassati
limitatamente, con 
imposizione nel
Cantone di Ginevra</t>
  </si>
  <si>
    <t>Frontalieri della
Germania tassati
limitatamente</t>
  </si>
  <si>
    <t>Frontalieri della
Francia tassati
limitatamente, con
imposizione in
Francia</t>
  </si>
  <si>
    <t>Frontalieri
dell'Italia tassati
limitatamente</t>
  </si>
  <si>
    <t>Totale
frontalieri</t>
  </si>
  <si>
    <t>Risultato
sulla base dei
salari lordi
(frontalieri)</t>
  </si>
  <si>
    <t>Reddito
determinante
tassato alla fonte</t>
  </si>
  <si>
    <t>A favore di
altri Cantoni</t>
  </si>
  <si>
    <t>Ricevuto da
altri Cantoni</t>
  </si>
  <si>
    <t>Fattore di
ponderazione</t>
  </si>
  <si>
    <t>Riparti fiscali
determinanti</t>
  </si>
  <si>
    <t>Reddito
determinante
delle persone
fisiche</t>
  </si>
  <si>
    <t>Utile
determinante
delle persone
giuridiche</t>
  </si>
  <si>
    <t>Popolazione residente permanente
e non permanente media</t>
  </si>
  <si>
    <t>Popolazione
residente
determinante</t>
  </si>
  <si>
    <t>Potenziale
di risorse</t>
  </si>
  <si>
    <t>Potenziale
di risorse
per abitante</t>
  </si>
  <si>
    <t>Indice
delle risorse</t>
  </si>
  <si>
    <t>Perequazione
verticale delle
risorse (PVR)</t>
  </si>
  <si>
    <t>Perequazione
orizzontale delle
risorse (POR)</t>
  </si>
  <si>
    <t>Totale
perequazione</t>
  </si>
  <si>
    <t>Somma delle
divergenze
ponderate</t>
  </si>
  <si>
    <t>Contributo
per abitante</t>
  </si>
  <si>
    <t>Versamento
per abitante</t>
  </si>
  <si>
    <t>Gettito fiscale
standardizzato
(GFS)</t>
  </si>
  <si>
    <t>Gettito fiscale
standardizzato per
abitante prima della
compensazione</t>
  </si>
  <si>
    <t>Compensazione
delle risorse
per abitante</t>
  </si>
  <si>
    <t>Gettito fiscale
standardizzato per
abitante dopo la
compensazione</t>
  </si>
  <si>
    <t>Indice GFS
dopo la
compensazione</t>
  </si>
  <si>
    <t>Taxable income
of taxpayers</t>
  </si>
  <si>
    <t>Number
of taxpayers</t>
  </si>
  <si>
    <t>Resident foreigners
and foreign boards
of directors</t>
  </si>
  <si>
    <t>Fully taxed
cross-border
commuters</t>
  </si>
  <si>
    <t>Cross-border
commuters with
limited taxation
from Austria</t>
  </si>
  <si>
    <t>Cross-border
commuters with
limited taxation
from Germany</t>
  </si>
  <si>
    <t>Cross-border
commuters with
limited taxation from
France subject to
taxation by France</t>
  </si>
  <si>
    <t>Cross-border
commuters with
limited taxation from
France subject to
taxation by the
canton of Geneva</t>
  </si>
  <si>
    <t>Cross-border
commuters with
limited taxation
from Italy</t>
  </si>
  <si>
    <t>Total
cross-border
commuters</t>
  </si>
  <si>
    <t>Weighting
factor</t>
  </si>
  <si>
    <t>Relevant tax
repartitions</t>
  </si>
  <si>
    <t>Relevant profit
of legal entities</t>
  </si>
  <si>
    <t>Relevant resident
population</t>
  </si>
  <si>
    <t>Resource
potential</t>
  </si>
  <si>
    <t>Resource potential
per capita</t>
  </si>
  <si>
    <t>Vertical resource
equalization
(VRE)</t>
  </si>
  <si>
    <t>Horizontal resource
equalization
(HRE)</t>
  </si>
  <si>
    <t>Total
equalization</t>
  </si>
  <si>
    <t>Relevant
resident
population</t>
  </si>
  <si>
    <t>Sum of the
weighted
deviations</t>
  </si>
  <si>
    <t>Inpayment
per capita</t>
  </si>
  <si>
    <t>Endowm./E[Swi]*E</t>
  </si>
  <si>
    <t>Outpayment
per capita</t>
  </si>
  <si>
    <t>Standardized
tax revenue
(STR)</t>
  </si>
  <si>
    <t>Standardized tax
revenue per capita
before equalization</t>
  </si>
  <si>
    <t>Resource
equalization
per capita</t>
  </si>
  <si>
    <t>Standardized tax
revenue per capita
after equalization</t>
  </si>
  <si>
    <t>STR index
after
equalization</t>
  </si>
  <si>
    <t>Frontaliers,
total</t>
  </si>
  <si>
    <t>Base imponibile
aggregata deter-
minante per l'IFD</t>
  </si>
  <si>
    <t>L</t>
  </si>
  <si>
    <t>Horizontaler
Ressourcenausgleich
(HRA)</t>
  </si>
  <si>
    <t>Steuerpflichtige mit steuerbarem Einkommen
grösser oder gleich dem Freibetrag</t>
  </si>
  <si>
    <t>Freibetrag pro
steuerpflichtige Person</t>
  </si>
  <si>
    <t>Franchise par
contribuable</t>
  </si>
  <si>
    <t>Franchigia per
contribuente</t>
  </si>
  <si>
    <t>Contribuables dont le revenu imposable est
supérieur ou égal à la franchise</t>
  </si>
  <si>
    <t>Contribuenti con reddito imponibile
uguale o superiore alla franchigia</t>
  </si>
  <si>
    <t>Taxpayers whose taxable income is
equal to or higher than the threshold</t>
  </si>
  <si>
    <t>Threshold per
taxpayer</t>
  </si>
  <si>
    <t>Alpha</t>
  </si>
  <si>
    <t>alpha</t>
  </si>
  <si>
    <t>alfa</t>
  </si>
  <si>
    <t>Mittelwert</t>
  </si>
  <si>
    <t>T-9</t>
  </si>
  <si>
    <t>T-8</t>
  </si>
  <si>
    <t>T-7</t>
  </si>
  <si>
    <t>T-6</t>
  </si>
  <si>
    <t>T-5</t>
  </si>
  <si>
    <t>T-4</t>
  </si>
  <si>
    <t>Fiskaleinnahmen</t>
  </si>
  <si>
    <t>A + B + E</t>
  </si>
  <si>
    <t>Fiskaleinnahmen Einkommen</t>
  </si>
  <si>
    <t>Daten Finanzausgleich</t>
  </si>
  <si>
    <t>Massgebende Einkommen der natürlichen Personen</t>
  </si>
  <si>
    <t>H + I</t>
  </si>
  <si>
    <t>Massgebende Einkommen</t>
  </si>
  <si>
    <t>K</t>
  </si>
  <si>
    <t>F / J</t>
  </si>
  <si>
    <t>Ausschöpfung der Einkommen</t>
  </si>
  <si>
    <t>M</t>
  </si>
  <si>
    <t>G / K</t>
  </si>
  <si>
    <t>Ausschöpfung der Vermögen</t>
  </si>
  <si>
    <t>M / L</t>
  </si>
  <si>
    <t>C * D</t>
  </si>
  <si>
    <t>Einkommenssteuern natürliche Personen *</t>
  </si>
  <si>
    <t>Quellensteuern natürliche Personen *</t>
  </si>
  <si>
    <t>Vermögenssteuern natürliche Personen *</t>
  </si>
  <si>
    <t>* Fiskaleinnahmen der Kantone und Gemeinden</t>
  </si>
  <si>
    <t>Kantonsanteil</t>
  </si>
  <si>
    <t>Direkte Bundessteuer (DBSt) natürliche Personen</t>
  </si>
  <si>
    <t xml:space="preserve"> I</t>
  </si>
  <si>
    <t>N</t>
  </si>
  <si>
    <t>Steuereinnahmen der Kantone und Gemeinden</t>
  </si>
  <si>
    <t>Debitorenverluste auf Steuereinnahmen</t>
  </si>
  <si>
    <t>Einnahmen direkte Bundessteuer (DBSt)</t>
  </si>
  <si>
    <t>Anteil der Kantone an DBSt</t>
  </si>
  <si>
    <t>Standardisierte Steuererträge (SSE)</t>
  </si>
  <si>
    <t>Standardisierte Steuererträge pro Kopf</t>
  </si>
  <si>
    <t>Ressourcenpotenzial pro Kopf</t>
  </si>
  <si>
    <t>Standardisierter Steuersatz (SST)</t>
  </si>
  <si>
    <t>Recettes fiscales des cantons et communes</t>
  </si>
  <si>
    <t>Pertes sur débiteurs, recettes fiscales</t>
  </si>
  <si>
    <t>Recettes de l'impôt fédéral direct (IFD)</t>
  </si>
  <si>
    <t>Total des recettes fiscales standardisées (RFS)</t>
  </si>
  <si>
    <t>Recettes fiscales standardisées (RFS) par habitant</t>
  </si>
  <si>
    <t>Potentiel de ressources par habitant</t>
  </si>
  <si>
    <t>Taux fiscal standardisé (TFS)</t>
  </si>
  <si>
    <t>Entrate fiscali di Cantoni e Comuni</t>
  </si>
  <si>
    <t>Perdite su debitori in ambito di entrate fiscali</t>
  </si>
  <si>
    <t>Entrate dell'imposta federale diretta (IFD)</t>
  </si>
  <si>
    <t>Gettito fiscale standardizzato (GFS)</t>
  </si>
  <si>
    <t>Gettito fiscale standardizzato pro capite</t>
  </si>
  <si>
    <t>Potenziale di risorse pro capite</t>
  </si>
  <si>
    <t>Aliquota d'imposta standardizzata (AIS)</t>
  </si>
  <si>
    <t>Tax receipts of cantons and communes</t>
  </si>
  <si>
    <t>Losses on taxes assessed but unlikely to be collected</t>
  </si>
  <si>
    <t>Direct federal tax receipts</t>
  </si>
  <si>
    <t>Standardized tax revenue (STR)</t>
  </si>
  <si>
    <t>Standardized tax revenue per capita</t>
  </si>
  <si>
    <t>Resource potential per capita</t>
  </si>
  <si>
    <t>Standardized tax rate (STRate)</t>
  </si>
  <si>
    <t>Quota dei Cantoni</t>
  </si>
  <si>
    <t>Cantonal share</t>
  </si>
  <si>
    <t>Quota dei Cantoni all'IFD</t>
  </si>
  <si>
    <t>Cantonal share of direct federal tax</t>
  </si>
  <si>
    <t>A - B + E</t>
  </si>
  <si>
    <t>H / I</t>
  </si>
  <si>
    <t>Auszahlung in
Indexpunkten</t>
  </si>
  <si>
    <t>Garantierte Mindestausstattung</t>
  </si>
  <si>
    <t>Beginn Progression</t>
  </si>
  <si>
    <t>Maximale Grenzabschöpfung</t>
  </si>
  <si>
    <t>SSE pro Einwohner</t>
  </si>
  <si>
    <t>Dotationen im Ressourcenausgleich</t>
  </si>
  <si>
    <t>Dotations de la péréquation des ressources</t>
  </si>
  <si>
    <t>Dotazioni nella perequazione delle risorse</t>
  </si>
  <si>
    <t>Resource equalization endowments</t>
  </si>
  <si>
    <t>Anteile</t>
  </si>
  <si>
    <t>VRA in % des HRA</t>
  </si>
  <si>
    <t>PVR en % de la PHR</t>
  </si>
  <si>
    <t>PVR in % della POR</t>
  </si>
  <si>
    <t>VRE in % of HRE</t>
  </si>
  <si>
    <t>Progressionsmass t</t>
  </si>
  <si>
    <t>ASG-Index
Standardabweichung</t>
  </si>
  <si>
    <t>Ressourcenindex
Standardabweichung</t>
  </si>
  <si>
    <t>Indice delle risorse
Deviazione standard</t>
  </si>
  <si>
    <t>Resource index
Standard deviation</t>
  </si>
  <si>
    <t>Indice des ressources
Écart-type</t>
  </si>
  <si>
    <t>Indice de l’AFA
Écart-type</t>
  </si>
  <si>
    <t>Indice BIA
Deviazione standard</t>
  </si>
  <si>
    <t>ATB index
Standard deviation</t>
  </si>
  <si>
    <t>Tax receipts</t>
  </si>
  <si>
    <t>Tax receipts income</t>
  </si>
  <si>
    <t>Fiscal equalization data</t>
  </si>
  <si>
    <t>Relevant income</t>
  </si>
  <si>
    <t>* Tax receipts of cantons and communes</t>
  </si>
  <si>
    <t>Average</t>
  </si>
  <si>
    <t>Guaranteed minimum financing</t>
  </si>
  <si>
    <t>Start of progression</t>
  </si>
  <si>
    <t>Maximum marginal levy</t>
  </si>
  <si>
    <t>STR per capita</t>
  </si>
  <si>
    <t>Progression rate t</t>
  </si>
  <si>
    <t>Recettes fiscales</t>
  </si>
  <si>
    <t>Impôts sur le revenu, personnes physiques *</t>
  </si>
  <si>
    <t>Impôts à la source, personnes physiques *</t>
  </si>
  <si>
    <t>Impôt fédéral direct (IFD), personnes physiques</t>
  </si>
  <si>
    <t>Part des cantons</t>
  </si>
  <si>
    <t>Part des cantons à l'IFD, personnes physiques</t>
  </si>
  <si>
    <t>Recettes fiscales, revenu</t>
  </si>
  <si>
    <t>Impôts sur la fortune, personnes physiques *</t>
  </si>
  <si>
    <t>Données, péréquation financière</t>
  </si>
  <si>
    <t>Revenu déterminant des personnes physiques</t>
  </si>
  <si>
    <t>Revenu déterminant pour l’imposition à la source</t>
  </si>
  <si>
    <t xml:space="preserve">Revenu déterminant </t>
  </si>
  <si>
    <t>Exploitation du revenu</t>
  </si>
  <si>
    <t>Exploitation de la fortune</t>
  </si>
  <si>
    <t>* Recettes fiscales des cantons et des communes</t>
  </si>
  <si>
    <t>Moyenne</t>
  </si>
  <si>
    <t>Entrate fiscali</t>
  </si>
  <si>
    <t>Imposte sul reddito delle persone fisiche *</t>
  </si>
  <si>
    <t>Imposte alla fonte delle persone fisiche *</t>
  </si>
  <si>
    <t>Imposta federale diretta (IFD) delle persone fisiche</t>
  </si>
  <si>
    <t xml:space="preserve">Quota dei Cantoni all'IFD delle persone fisiche </t>
  </si>
  <si>
    <t>Entrate fiscali, reddito</t>
  </si>
  <si>
    <t>Imposte sulla sostanza delle persone fisiche *</t>
  </si>
  <si>
    <t>Dati perequazione finanziaria</t>
  </si>
  <si>
    <t>Redditi determinanti delle persone fisiche</t>
  </si>
  <si>
    <t>Redditi determinanti tassati alla fonte</t>
  </si>
  <si>
    <t>Redditi determinanti</t>
  </si>
  <si>
    <t xml:space="preserve">Sfruttamento dei redditi </t>
  </si>
  <si>
    <t>Sfruttamento della sostanza</t>
  </si>
  <si>
    <t>* Entrate fiscali dei Cantoni e dei Comuni</t>
  </si>
  <si>
    <t>Dotation minimale garantie</t>
  </si>
  <si>
    <t>Progression, début</t>
  </si>
  <si>
    <t>Taux d’écrêtage marginal maximal</t>
  </si>
  <si>
    <t>RFS par habitant</t>
  </si>
  <si>
    <t>Force de progression (t)</t>
  </si>
  <si>
    <t>Montant reçu
en points
d'indice</t>
  </si>
  <si>
    <t>Parts</t>
  </si>
  <si>
    <t>Dotazione minima garantita</t>
  </si>
  <si>
    <t>Inizio della progressione</t>
  </si>
  <si>
    <t xml:space="preserve">Prelievo marginale massimo </t>
  </si>
  <si>
    <t>GFS per abitante</t>
  </si>
  <si>
    <t>Grado di progressione p</t>
  </si>
  <si>
    <t>Grado di progressione t</t>
  </si>
  <si>
    <t>Quote</t>
  </si>
  <si>
    <t>Versamento in
punti di indice</t>
  </si>
  <si>
    <t>Alfa</t>
  </si>
  <si>
    <t>Outpayment
in index
points</t>
  </si>
  <si>
    <t>Gewinne juristischer Personen (betagewichtet)</t>
  </si>
  <si>
    <t>Gewinne juristischer Personen (zetagewichtet)</t>
  </si>
  <si>
    <t>ZETA</t>
  </si>
  <si>
    <t>Massgebender
Gewinn</t>
  </si>
  <si>
    <t>Zeta-1</t>
  </si>
  <si>
    <t>Zeta-2</t>
  </si>
  <si>
    <t>Zeta</t>
  </si>
  <si>
    <t>Beta</t>
  </si>
  <si>
    <t>Berechnung Zeta-2*</t>
  </si>
  <si>
    <t>Berechnung Zeta-2</t>
  </si>
  <si>
    <t>Berechnung Zeta-1</t>
  </si>
  <si>
    <t>Boxengewinne</t>
  </si>
  <si>
    <t>Zeta-2*</t>
  </si>
  <si>
    <t>Ordentliche Gewinne</t>
  </si>
  <si>
    <t>Ausschöpfung JP</t>
  </si>
  <si>
    <t>Zeta-2 (ohne Berücksichtigung der Bandbreiten)</t>
  </si>
  <si>
    <t>Bandbreite von Zeta-2</t>
  </si>
  <si>
    <t>Obere Grenze der Bandbreite (Art. 57d Abs. 2 Bst. b FiLaV)</t>
  </si>
  <si>
    <t>Untere Grenze der Bandbreite (Art. 57d Abs. 2 Bst. b FiLaV)</t>
  </si>
  <si>
    <t>Ausschöpfung natürlicher Personen</t>
  </si>
  <si>
    <t>Ausschöpfung NP</t>
  </si>
  <si>
    <t>Zeta-1 (ohne Berücksichtigung der Bandbreiten)</t>
  </si>
  <si>
    <t>Bandbreite von Zeta-1</t>
  </si>
  <si>
    <t>Obere Grenze der Bandbreite (Art. 57d Abs. 2 Bst. a FiLaV)</t>
  </si>
  <si>
    <t>Untere Grenze der Bandbreite (Art. 57d Abs. 2 Bst. a FiLaV)</t>
  </si>
  <si>
    <t>O</t>
  </si>
  <si>
    <t>Gewichtete
Boxen-
gewinne</t>
  </si>
  <si>
    <t>Fiskaleinnahmen juristische Personen</t>
  </si>
  <si>
    <t>D * E</t>
  </si>
  <si>
    <t>C + F</t>
  </si>
  <si>
    <t>(A + B) * C</t>
  </si>
  <si>
    <t>Berechnung</t>
  </si>
  <si>
    <t>P</t>
  </si>
  <si>
    <t>AB</t>
  </si>
  <si>
    <t>AC</t>
  </si>
  <si>
    <t>AD</t>
  </si>
  <si>
    <t>AE</t>
  </si>
  <si>
    <t>G / O</t>
  </si>
  <si>
    <t>R * E</t>
  </si>
  <si>
    <t>Q + S + T + U</t>
  </si>
  <si>
    <t>W + X + Y</t>
  </si>
  <si>
    <t>P / AA</t>
  </si>
  <si>
    <t>AD ≤ AB ≤ AC</t>
  </si>
  <si>
    <r>
      <t xml:space="preserve"> Z</t>
    </r>
    <r>
      <rPr>
        <vertAlign val="subscript"/>
        <sz val="9"/>
        <rFont val="Arial"/>
        <family val="2"/>
      </rPr>
      <t>2</t>
    </r>
  </si>
  <si>
    <t>K(Total) / I(Total)</t>
  </si>
  <si>
    <t>Bêta</t>
  </si>
  <si>
    <t>Zêta</t>
  </si>
  <si>
    <t>Zêta-1</t>
  </si>
  <si>
    <t>Zêta-2</t>
  </si>
  <si>
    <t>Bénéfices éligibles à la patent box</t>
  </si>
  <si>
    <t>Bénéfices ordinaires</t>
  </si>
  <si>
    <t>Calcolo zeta-2*</t>
  </si>
  <si>
    <t xml:space="preserve">Zeta-2* calculation </t>
  </si>
  <si>
    <t>Calcul de zêta-2*</t>
  </si>
  <si>
    <t>Calcul de zêta-2</t>
  </si>
  <si>
    <t>Calcolo zeta-2</t>
  </si>
  <si>
    <t xml:space="preserve">Zeta-2 calculation </t>
  </si>
  <si>
    <t>Calcul de zêta-1</t>
  </si>
  <si>
    <t xml:space="preserve">Zeta-1 calculation </t>
  </si>
  <si>
    <t>Calcolo zeta-1</t>
  </si>
  <si>
    <t>Zêta-2*</t>
  </si>
  <si>
    <t>Calcul</t>
  </si>
  <si>
    <t>Calcolo</t>
  </si>
  <si>
    <t>Calculation</t>
  </si>
  <si>
    <t>Utile determinante</t>
  </si>
  <si>
    <t>Relevant profits</t>
  </si>
  <si>
    <r>
      <t>Z</t>
    </r>
    <r>
      <rPr>
        <vertAlign val="subscript"/>
        <sz val="9"/>
        <color theme="1"/>
        <rFont val="Arial"/>
        <family val="2"/>
      </rPr>
      <t>1</t>
    </r>
  </si>
  <si>
    <t>X * delta</t>
  </si>
  <si>
    <t>L ≤ J ≤ K</t>
  </si>
  <si>
    <t>Minder-
gewichtung</t>
  </si>
  <si>
    <t>V / Z</t>
  </si>
  <si>
    <r>
      <t>(A + B * Z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*) * F</t>
    </r>
  </si>
  <si>
    <r>
      <t>(H * Z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* + I) / (H + I)</t>
    </r>
  </si>
  <si>
    <r>
      <t>A+B*Z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+N*(1-Z</t>
    </r>
    <r>
      <rPr>
        <vertAlign val="sub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)</t>
    </r>
  </si>
  <si>
    <t>(1 - J) * I</t>
  </si>
  <si>
    <t>Beta-Faktoren
Zeta-Faktoren
Umbuchungsfaktor</t>
  </si>
  <si>
    <t>Massgebendes Potenzial NP</t>
  </si>
  <si>
    <t>Gewinnsteuereinnahmen Kantone und Gemeinden</t>
  </si>
  <si>
    <t>Kantonsanteil an Gewinnsteuereinnahmen DBSt</t>
  </si>
  <si>
    <t xml:space="preserve">Gewinnsteuereinnahmen DBSt </t>
  </si>
  <si>
    <t>Kantonsanteil an DBSt</t>
  </si>
  <si>
    <t>Gewinnsteuereinnahmen total Kantone und Gemeinden</t>
  </si>
  <si>
    <t>Part des cantons à l'IFD</t>
  </si>
  <si>
    <t>Forschungs- und Entwicklungsaufwand</t>
  </si>
  <si>
    <t>Einkommenssteuern Kantone und Gemeinden</t>
  </si>
  <si>
    <t>Einkommenssteuern DBSt</t>
  </si>
  <si>
    <t>Kantonsanteil an Einkommenssteuern DBSt</t>
  </si>
  <si>
    <t>Vermögenssteuern Kantone und Gemeinden</t>
  </si>
  <si>
    <t>Quellensteuern Kantone und Gemeinden</t>
  </si>
  <si>
    <t>Fiskaleinnahmen NP total Kantone und Gemeinden</t>
  </si>
  <si>
    <t>Massgebende Vermögen</t>
  </si>
  <si>
    <t>Statusgesellschaften</t>
  </si>
  <si>
    <t xml:space="preserve">Umbuchung ehemalige </t>
  </si>
  <si>
    <t>Bénéfice déterminant</t>
  </si>
  <si>
    <t>Massgebender Gewinn ehemaliger Statusgesellschaften</t>
  </si>
  <si>
    <t>D + F + G</t>
  </si>
  <si>
    <t xml:space="preserve">Massgebender
Gewinn übriger
Unternehmen
</t>
  </si>
  <si>
    <t>Massgebender
Gewinn
juristischer
Personen</t>
  </si>
  <si>
    <t xml:space="preserve">Contributo
</t>
  </si>
  <si>
    <t xml:space="preserve">Einzahlung
</t>
  </si>
  <si>
    <t xml:space="preserve">Inpayment
</t>
  </si>
  <si>
    <t xml:space="preserve">Auszahlung
</t>
  </si>
  <si>
    <t xml:space="preserve">Versamento
</t>
  </si>
  <si>
    <t xml:space="preserve">Outpayment
</t>
  </si>
  <si>
    <t>Zetagewichtet (UF)</t>
  </si>
  <si>
    <t>Betagewichtet (1-UF)</t>
  </si>
  <si>
    <t>C * (1-UF)</t>
  </si>
  <si>
    <t>E * UF</t>
  </si>
  <si>
    <t>Ausschöpfung juristischer Personen (JP)</t>
  </si>
  <si>
    <t>Fiskaleinnahmen natürliche Personen (NP)</t>
  </si>
  <si>
    <t>A    Massgebendes Einkommen</t>
  </si>
  <si>
    <t>B    Primäreinkommen der privaten Haushalte</t>
  </si>
  <si>
    <t>A    Revenu déterminant</t>
  </si>
  <si>
    <t>B    Revenu primaire des ménages privés</t>
  </si>
  <si>
    <t>A    Reddito determinante</t>
  </si>
  <si>
    <t>B    Reddito primario delle economie domestiche private</t>
  </si>
  <si>
    <t>B    Primary income of households</t>
  </si>
  <si>
    <t>Kantonsanteil an DBSt natürliche Personen</t>
  </si>
  <si>
    <t>Q + Y</t>
  </si>
  <si>
    <t>Steueraufkommen
DBSt</t>
  </si>
  <si>
    <t>Entrées fiscales
IFD</t>
  </si>
  <si>
    <t>Direct federal
tax revenue</t>
  </si>
  <si>
    <t>Massgebendes Potenzial JP</t>
  </si>
  <si>
    <t>Calcul du facteur alpha</t>
  </si>
  <si>
    <t>Calcolo fattore alfa</t>
  </si>
  <si>
    <t>Berechnung Faktor Alpha</t>
  </si>
  <si>
    <t>Alpha factor calculation</t>
  </si>
  <si>
    <t>ALPHA</t>
  </si>
  <si>
    <t>Berechnung Faktoren Zeta</t>
  </si>
  <si>
    <r>
      <t>Z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* = </t>
    </r>
  </si>
  <si>
    <t>Calcul des facteurs zêta</t>
  </si>
  <si>
    <t>Calculation of the zeta factors for the profits of legal entities in the assessment year -4</t>
  </si>
  <si>
    <t>Box profits</t>
  </si>
  <si>
    <t>Under-
weighting</t>
  </si>
  <si>
    <t>Weighted
box profits</t>
  </si>
  <si>
    <t>K(total) / I(total)</t>
  </si>
  <si>
    <t>Tax receipts of legal entities</t>
  </si>
  <si>
    <t>Ordinary profits</t>
  </si>
  <si>
    <t>Profit tax receipts cantons and communes</t>
  </si>
  <si>
    <t xml:space="preserve">Profit tax receipts direct federal tax </t>
  </si>
  <si>
    <t>Cantonal share of profit tax receipts direct federal tax</t>
  </si>
  <si>
    <t>Total profit tax receipts cantons and communes</t>
  </si>
  <si>
    <t>Zeta-2 (without taking ranges into account)</t>
  </si>
  <si>
    <t>Zeta-2 range</t>
  </si>
  <si>
    <t>Upper bound of the range (Art 57d para. 2 lit. b FECCO)</t>
  </si>
  <si>
    <t>Lower bound of the range (Art 57d para. 2 lit. b FECCO)</t>
  </si>
  <si>
    <t>Research and development expenses</t>
  </si>
  <si>
    <t>Relevant potential LE</t>
  </si>
  <si>
    <t>Tax receipts of natural persons (NP)</t>
  </si>
  <si>
    <t>Income tax cantons and communes</t>
  </si>
  <si>
    <t>Income tax direct federal tax</t>
  </si>
  <si>
    <t>Cantonal share of income tax direct federal tax</t>
  </si>
  <si>
    <t>Wealth tax cantons and communes</t>
  </si>
  <si>
    <t>Withholding tax cantons and communes</t>
  </si>
  <si>
    <t>Total NP tax receipts cantons and communes</t>
  </si>
  <si>
    <t>Relevant wealth</t>
  </si>
  <si>
    <t>Relevant potential NP</t>
  </si>
  <si>
    <t>Zeta-1 (without taking ranges into account)</t>
  </si>
  <si>
    <t>Zeta-1 range</t>
  </si>
  <si>
    <t>Upper bound of the range (Art 57d para. 2 lit. a FECCO)</t>
  </si>
  <si>
    <t>Lower bound of the range (Art 57d para. 2 lit. a FECCO)</t>
  </si>
  <si>
    <t>Relevant profit of former status companies</t>
  </si>
  <si>
    <t xml:space="preserve">Reclassification of former </t>
  </si>
  <si>
    <t>status companies</t>
  </si>
  <si>
    <t>Beta factors
Zeta factors
Reclassification factor</t>
  </si>
  <si>
    <t>Calculation of the zeta factors</t>
  </si>
  <si>
    <t>Profit of legal entities (beta-weighted)</t>
  </si>
  <si>
    <t>Profit of legal entities (zeta-weighted)</t>
  </si>
  <si>
    <t xml:space="preserve">Utile determinante di società che godevano di statuto fiscale speciale </t>
  </si>
  <si>
    <t>ponderato con fattori beta</t>
  </si>
  <si>
    <t>ponderato con fattori zeta</t>
  </si>
  <si>
    <t>Fattori beta
Fattori zeta
Fattore di conversione</t>
  </si>
  <si>
    <t>ponderato con fattori zeta (UF)</t>
  </si>
  <si>
    <t>ponderato con fattori beta (1-UF)</t>
  </si>
  <si>
    <t>Zeta-weighted (UF)</t>
  </si>
  <si>
    <t>Beta-weighted (1-UF)</t>
  </si>
  <si>
    <t>Gettito IFD</t>
  </si>
  <si>
    <t>Conversione società senza</t>
  </si>
  <si>
    <t>più statuto speciale</t>
  </si>
  <si>
    <t>Relevant
profit of other
companies</t>
  </si>
  <si>
    <t>Relevant
profit of
legal entities</t>
  </si>
  <si>
    <t>Utile
determinante
delle rimanenti
imprese</t>
  </si>
  <si>
    <t>Calcolo dei fattori zeta</t>
  </si>
  <si>
    <t>Utili delle persone giuridiche (ponderati con i fattori zeta)</t>
  </si>
  <si>
    <t>Utili delle persone giuridiche (ponderati con i fattori beta)</t>
  </si>
  <si>
    <t>Utili rientranti nel patent box</t>
  </si>
  <si>
    <t>K(totale) / I(totale)</t>
  </si>
  <si>
    <t>Entrate fiscali delle persone giuridiche</t>
  </si>
  <si>
    <t xml:space="preserve">Utili ordinari </t>
  </si>
  <si>
    <t>Entrate dell’imposta sull’utile di Cantoni e Comuni</t>
  </si>
  <si>
    <t>Entrate dell’imposta sull’utile IFD</t>
  </si>
  <si>
    <t xml:space="preserve">Quota dei Cantoni alle entrate dell’imposta sull’utile IFD  </t>
  </si>
  <si>
    <t>Entrate dell'imposta sull'utile, totale di Cantoni e Comuni</t>
  </si>
  <si>
    <t>Zeta-2 (senza intervalli)</t>
  </si>
  <si>
    <t>Intervallo di zeta-2</t>
  </si>
  <si>
    <t>Limite superiore dell'intervallo (art. 57d cpv. 2 lett. b OPFC)</t>
  </si>
  <si>
    <t>Limite inferiore dell'intervallo (art. 57d cpv. 2 lett. b OPFC)</t>
  </si>
  <si>
    <t>Sfruttamento delle persone giuridiche (PG)</t>
  </si>
  <si>
    <t>Spese di ricerca e sviluppo</t>
  </si>
  <si>
    <t>Potenziale determinante PG</t>
  </si>
  <si>
    <t>Sfruttamento PG</t>
  </si>
  <si>
    <t>Entrate fiscali delle persone fisiche (PF)</t>
  </si>
  <si>
    <t>Imposte sul reddito di Cantoni e Comuni</t>
  </si>
  <si>
    <t>Imposte sul reddito IFD</t>
  </si>
  <si>
    <t>Quota dei Cantoni alle entrate dell’imposta sul reddito IFD</t>
  </si>
  <si>
    <t>Imposte cantonali e comunali sulla sostanza</t>
  </si>
  <si>
    <t>Imposte alla fonte cantonali e comunali</t>
  </si>
  <si>
    <t>Entrate fiscali PF, totale di Cantoni e Comuni</t>
  </si>
  <si>
    <t>Reddito determinante</t>
  </si>
  <si>
    <t>Sostanza determinante</t>
  </si>
  <si>
    <t>Potenziale determinante PF</t>
  </si>
  <si>
    <t>Sfruttamento PF</t>
  </si>
  <si>
    <t>Zeta-1 (senza intervalli)</t>
  </si>
  <si>
    <t>Intervallo di zeta-1</t>
  </si>
  <si>
    <t>Valore medio</t>
  </si>
  <si>
    <t>Ponderazione
ridotta</t>
  </si>
  <si>
    <t>Utili ponderati
rientranti nel
patent box</t>
  </si>
  <si>
    <t>Bénéfice déterminant des anciennes sociétés à statut fiscal</t>
  </si>
  <si>
    <t>Pondéré par les facteurs bêta</t>
  </si>
  <si>
    <t>Pondéré par les facteurs zêta</t>
  </si>
  <si>
    <t>Facteurs bêta
Facteurs zêta
Facteur de transfert comptable</t>
  </si>
  <si>
    <t>Pondération
réduite</t>
  </si>
  <si>
    <t>Bénéfices éligibles à la patent box pondérés</t>
  </si>
  <si>
    <t>Recettes fiscales des personnes morales</t>
  </si>
  <si>
    <t>Recettes de l'impôt sur le bénéfice cantons et communes</t>
  </si>
  <si>
    <t>Recettes de l'impôt sur le bénéfice IFD</t>
  </si>
  <si>
    <t>Part des cantons aux recettes de l'impôt sur le bénéfice IFD</t>
  </si>
  <si>
    <t>Total des recettes de l'impôt sur le bénéfice cantons et communes</t>
  </si>
  <si>
    <t>Zêta-2 (sans tenir compte de la fourchette)</t>
  </si>
  <si>
    <t>Fourchette pour zêta-2</t>
  </si>
  <si>
    <t>Valeur haute de la fourchette (art. 57d, al. 2, let. b, OPFCC)</t>
  </si>
  <si>
    <t>Valeur basse de la fourchette (art. 57d, al. 2, let. b, OPFCC)</t>
  </si>
  <si>
    <t>Dépenses de recherche et développement</t>
  </si>
  <si>
    <t>Impôt sur le revenu cantons et communes</t>
  </si>
  <si>
    <t>Impôt sur le revenu IFD</t>
  </si>
  <si>
    <t>Part des cantons à l'IFD, impôt sur le revenu</t>
  </si>
  <si>
    <t>Impôt sur la fortune cantons et communes</t>
  </si>
  <si>
    <t>Impôt à la source cantons et communes</t>
  </si>
  <si>
    <t>Exploitation des personnes physiques</t>
  </si>
  <si>
    <t>Revenu déterminant</t>
  </si>
  <si>
    <t>Fortunes déterminantes</t>
  </si>
  <si>
    <t>Zêta-1 (sans tenir compte de la fourchette)</t>
  </si>
  <si>
    <t>Fourchette pour zêta-1</t>
  </si>
  <si>
    <t>Valeur haute de la fourchette (art. 57d, al. 2 , let. a, OPFCC)</t>
  </si>
  <si>
    <t>Valeur basse de la fourchette (art. 57d, al. 2 , let. a, OPFCC)</t>
  </si>
  <si>
    <t>Bénéfices des personnes morales (pondérés par les facteurs bêta)</t>
  </si>
  <si>
    <t>Bénéfices des personnes morales (pondérés par les facteurs zêta)</t>
  </si>
  <si>
    <t>Transfert d'anciennes</t>
  </si>
  <si>
    <t>sociétés à statut fiscal</t>
  </si>
  <si>
    <t>Exploitation des personnes morales (PM)</t>
  </si>
  <si>
    <t>Exploitation PM</t>
  </si>
  <si>
    <t>Potentiel déterminant PM</t>
  </si>
  <si>
    <t>Recettes fiscales des personnes physiques (PP)</t>
  </si>
  <si>
    <t>Potentiel déterminant PP</t>
  </si>
  <si>
    <t>Exploitation PP</t>
  </si>
  <si>
    <t>Total des recettes fiscales PP cantons et communes</t>
  </si>
  <si>
    <t>Bénéfice
déterminant
des autres
entreprises</t>
  </si>
  <si>
    <t>vor
Umbuchung</t>
  </si>
  <si>
    <t>nach
Umbuchung</t>
  </si>
  <si>
    <t>avant
transfert</t>
  </si>
  <si>
    <t>après
transfert</t>
  </si>
  <si>
    <t>ante
conversione</t>
  </si>
  <si>
    <t>post
conversione</t>
  </si>
  <si>
    <t>before
reclassification</t>
  </si>
  <si>
    <t>after
reclassification</t>
  </si>
  <si>
    <t>Sfruttamento delle persone fisiche (PF)</t>
  </si>
  <si>
    <t>Result based on
gross wages
(cross-border
commuters)</t>
  </si>
  <si>
    <t xml:space="preserve">        Betagewichtet</t>
  </si>
  <si>
    <t xml:space="preserve">        Zetagewichtet</t>
  </si>
  <si>
    <t xml:space="preserve">        Beta-weighted</t>
  </si>
  <si>
    <t xml:space="preserve">        Zeta-weighted</t>
  </si>
  <si>
    <t>D - C</t>
  </si>
  <si>
    <t>Personal income tax *</t>
  </si>
  <si>
    <t>Withholding tax *</t>
  </si>
  <si>
    <t>Direct federal personal income tax</t>
  </si>
  <si>
    <t>Cantonal share of direct federal personal income tax</t>
  </si>
  <si>
    <t>Wealth tax *</t>
  </si>
  <si>
    <t>Relevant personal income</t>
  </si>
  <si>
    <t>Relevant personal income taxed at source</t>
  </si>
  <si>
    <t>Fiscal exploitation of income</t>
  </si>
  <si>
    <t>Fiscal exploitation of wealth</t>
  </si>
  <si>
    <t>Fiscal exploitation of legal entities (LE)</t>
  </si>
  <si>
    <t>Fiscal exploitation LE</t>
  </si>
  <si>
    <t>Fiscal exploitation of natural persons</t>
  </si>
  <si>
    <t>Fiscal exploitation NP</t>
  </si>
  <si>
    <t>Personal income</t>
  </si>
  <si>
    <t>Personal income taxed at source</t>
  </si>
  <si>
    <t>Proportion</t>
  </si>
  <si>
    <t>Relevant
personal income</t>
  </si>
  <si>
    <t>A    Relevant personal income</t>
  </si>
  <si>
    <t>Relevant
personal income
taxed at source</t>
  </si>
  <si>
    <t>21.05.2024</t>
  </si>
  <si>
    <t>FA2025-24142140215</t>
  </si>
  <si>
    <t>Pondéré par les facteurs zêta (UF)</t>
  </si>
  <si>
    <t>Pondéré par les facteurs bêta (1-UF)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</si>
</sst>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CHF&quot;\ #,##0;[Red]&quot;CHF&quot;\ \-#,##0"/>
    <numFmt numFmtId="164" formatCode="#,##0_ ;\-#,##0_ ;&quot;-&quot;??_ ;@_ "/>
    <numFmt numFmtId="165" formatCode="0.0_ ;\-0.0_ ;&quot;-&quot;??_ ;@_ "/>
    <numFmt numFmtId="166" formatCode="0.0%_ ;\-0.0%_ ;0.0%_ ;@_ "/>
    <numFmt numFmtId="167" formatCode="0.0%_ ;\-0.0%_ ;&quot;-&quot;??_ ;@_ "/>
    <numFmt numFmtId="168" formatCode="@_ "/>
    <numFmt numFmtId="169" formatCode="0.0%"/>
    <numFmt numFmtId="170" formatCode="_ * #,##0_ ;_ * \-#,##0_ ;_ * &quot;-&quot;??_ ;_ @_ "/>
    <numFmt numFmtId="171" formatCode="0.0_ ;\-0.0_ ;0.0_ ;@_ "/>
    <numFmt numFmtId="172" formatCode="_ @"/>
    <numFmt numFmtId="173" formatCode="_(* #,##0.00_);_(* \(#,##0.00\);_(* &quot;-&quot;??_);_(@_)"/>
    <numFmt numFmtId="174" formatCode="0_ ;\-0_ ;0_ ;@_ "/>
    <numFmt numFmtId="175" formatCode="0.0_ ;\-0.0_ ;\-_ \ \ ;@_ "/>
    <numFmt numFmtId="176" formatCode="0.00000_ ;\-0.00000_ \ "/>
    <numFmt numFmtId="177" formatCode="0;;"/>
  </numFmts>
  <fonts count="50" x14ac:knownFonts="1">
    <font>
      <sz val="10"/>
      <name val="Arial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.5"/>
      <color rgb="FF000000"/>
      <name val="Arial"/>
      <family val="2"/>
    </font>
    <font>
      <b/>
      <sz val="14"/>
      <color rgb="FF000000"/>
      <name val="Arial"/>
      <family val="2"/>
    </font>
    <font>
      <sz val="10"/>
      <color rgb="FF0070C0"/>
      <name val="Arial"/>
      <family val="2"/>
    </font>
    <font>
      <sz val="10"/>
      <color rgb="FF000000"/>
      <name val="Arial"/>
      <family val="2"/>
    </font>
    <font>
      <b/>
      <sz val="10"/>
      <color rgb="FF0070C0"/>
      <name val="Arial"/>
      <family val="2"/>
    </font>
    <font>
      <sz val="8"/>
      <color rgb="FF0000FF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i/>
      <sz val="8"/>
      <color rgb="FF000000"/>
      <name val="Arial"/>
      <family val="2"/>
    </font>
    <font>
      <b/>
      <sz val="18"/>
      <color rgb="FF000000"/>
      <name val="Arial"/>
      <family val="2"/>
    </font>
    <font>
      <b/>
      <sz val="22"/>
      <color rgb="FF000000"/>
      <name val="Arial"/>
      <family val="2"/>
    </font>
    <font>
      <sz val="10"/>
      <color rgb="FF000000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  <font>
      <sz val="10"/>
      <color rgb="FF0000FF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1"/>
      <color rgb="FF000000"/>
      <name val="Arial"/>
      <family val="2"/>
    </font>
    <font>
      <i/>
      <sz val="10"/>
      <color rgb="FF000000"/>
      <name val="Arial"/>
      <family val="2"/>
    </font>
    <font>
      <sz val="10"/>
      <color theme="9" tint="0.59999389629810485"/>
      <name val="Arial"/>
      <family val="2"/>
    </font>
    <font>
      <b/>
      <sz val="8"/>
      <color rgb="FF0000FF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FF"/>
      <name val="Arial"/>
      <family val="2"/>
    </font>
    <font>
      <sz val="11"/>
      <color theme="1"/>
      <name val="Arial"/>
      <family val="2"/>
    </font>
    <font>
      <i/>
      <sz val="10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i/>
      <sz val="8"/>
      <color theme="1"/>
      <name val="Arial"/>
      <family val="2"/>
    </font>
    <font>
      <b/>
      <sz val="14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8"/>
      <color theme="0" tint="-0.499984740745262"/>
      <name val="Arial"/>
      <family val="2"/>
    </font>
    <font>
      <sz val="8"/>
      <color rgb="FFC00000"/>
      <name val="Arial"/>
      <family val="2"/>
    </font>
    <font>
      <b/>
      <sz val="9"/>
      <color theme="0"/>
      <name val="Arial"/>
      <family val="2"/>
    </font>
    <font>
      <vertAlign val="subscript"/>
      <sz val="9"/>
      <name val="Arial"/>
      <family val="2"/>
    </font>
    <font>
      <vertAlign val="subscript"/>
      <sz val="9"/>
      <color theme="1"/>
      <name val="Arial"/>
      <family val="2"/>
    </font>
    <font>
      <vertAlign val="subscript"/>
      <sz val="8"/>
      <color theme="1"/>
      <name val="Arial"/>
      <family val="2"/>
    </font>
    <font>
      <vertAlign val="subscript"/>
      <sz val="10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0EDF8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399FF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7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vertical="center" indent="1"/>
    </xf>
    <xf numFmtId="0" fontId="6" fillId="0" borderId="0" xfId="0" applyFont="1" applyAlignment="1">
      <alignment horizontal="left" vertical="center" indent="1"/>
    </xf>
    <xf numFmtId="0" fontId="6" fillId="0" borderId="1" xfId="0" applyFont="1" applyBorder="1"/>
    <xf numFmtId="0" fontId="5" fillId="2" borderId="2" xfId="0" applyFont="1" applyFill="1" applyBorder="1" applyAlignment="1">
      <alignment horizontal="left" vertical="center" indent="1"/>
    </xf>
    <xf numFmtId="0" fontId="7" fillId="2" borderId="2" xfId="0" applyFont="1" applyFill="1" applyBorder="1" applyAlignment="1">
      <alignment horizontal="left" vertical="center" indent="1"/>
    </xf>
    <xf numFmtId="1" fontId="8" fillId="0" borderId="0" xfId="0" applyNumberFormat="1" applyFont="1" applyAlignment="1">
      <alignment horizontal="right"/>
    </xf>
    <xf numFmtId="0" fontId="1" fillId="0" borderId="0" xfId="0" applyFont="1"/>
    <xf numFmtId="49" fontId="8" fillId="0" borderId="0" xfId="0" applyNumberFormat="1" applyFont="1" applyAlignment="1">
      <alignment horizontal="right"/>
    </xf>
    <xf numFmtId="14" fontId="8" fillId="0" borderId="0" xfId="0" applyNumberFormat="1" applyFont="1" applyAlignment="1">
      <alignment horizontal="right"/>
    </xf>
    <xf numFmtId="0" fontId="10" fillId="0" borderId="0" xfId="0" applyFont="1"/>
    <xf numFmtId="0" fontId="9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11" fillId="0" borderId="0" xfId="0" applyFont="1"/>
    <xf numFmtId="0" fontId="6" fillId="3" borderId="4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top"/>
    </xf>
    <xf numFmtId="164" fontId="10" fillId="0" borderId="5" xfId="0" applyNumberFormat="1" applyFont="1" applyBorder="1" applyAlignment="1">
      <alignment horizontal="right" vertical="center"/>
    </xf>
    <xf numFmtId="164" fontId="10" fillId="3" borderId="5" xfId="0" applyNumberFormat="1" applyFont="1" applyFill="1" applyBorder="1" applyAlignment="1">
      <alignment horizontal="right" vertical="center"/>
    </xf>
    <xf numFmtId="0" fontId="9" fillId="0" borderId="6" xfId="0" applyFont="1" applyBorder="1" applyAlignment="1">
      <alignment horizontal="right" vertical="center"/>
    </xf>
    <xf numFmtId="165" fontId="6" fillId="0" borderId="4" xfId="0" applyNumberFormat="1" applyFont="1" applyBorder="1" applyAlignment="1">
      <alignment horizontal="right" vertical="center"/>
    </xf>
    <xf numFmtId="165" fontId="6" fillId="3" borderId="4" xfId="0" applyNumberFormat="1" applyFont="1" applyFill="1" applyBorder="1" applyAlignment="1">
      <alignment horizontal="right" vertical="center"/>
    </xf>
    <xf numFmtId="165" fontId="9" fillId="0" borderId="3" xfId="0" applyNumberFormat="1" applyFont="1" applyBorder="1" applyAlignment="1">
      <alignment horizontal="right" vertical="center"/>
    </xf>
    <xf numFmtId="164" fontId="9" fillId="0" borderId="7" xfId="0" applyNumberFormat="1" applyFont="1" applyBorder="1" applyAlignment="1">
      <alignment horizontal="right" vertical="center"/>
    </xf>
    <xf numFmtId="0" fontId="6" fillId="0" borderId="3" xfId="0" applyFont="1" applyBorder="1" applyAlignment="1">
      <alignment horizontal="center" vertical="center" wrapText="1"/>
    </xf>
    <xf numFmtId="164" fontId="14" fillId="0" borderId="8" xfId="0" applyNumberFormat="1" applyFont="1" applyBorder="1" applyAlignment="1">
      <alignment horizontal="right" vertical="center"/>
    </xf>
    <xf numFmtId="164" fontId="6" fillId="3" borderId="9" xfId="0" applyNumberFormat="1" applyFont="1" applyFill="1" applyBorder="1" applyAlignment="1">
      <alignment horizontal="right" vertical="center"/>
    </xf>
    <xf numFmtId="164" fontId="6" fillId="0" borderId="9" xfId="0" applyNumberFormat="1" applyFont="1" applyBorder="1" applyAlignment="1">
      <alignment horizontal="right" vertical="center"/>
    </xf>
    <xf numFmtId="0" fontId="15" fillId="0" borderId="3" xfId="0" applyFont="1" applyBorder="1" applyAlignment="1">
      <alignment horizontal="right" vertical="center"/>
    </xf>
    <xf numFmtId="0" fontId="16" fillId="0" borderId="11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5" fillId="0" borderId="11" xfId="0" applyFont="1" applyBorder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7" fillId="0" borderId="11" xfId="0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0" fontId="11" fillId="2" borderId="7" xfId="0" applyFont="1" applyFill="1" applyBorder="1" applyAlignment="1">
      <alignment horizontal="right"/>
    </xf>
    <xf numFmtId="0" fontId="11" fillId="2" borderId="6" xfId="0" applyFont="1" applyFill="1" applyBorder="1" applyAlignment="1">
      <alignment horizontal="right"/>
    </xf>
    <xf numFmtId="0" fontId="9" fillId="0" borderId="0" xfId="0" applyFont="1"/>
    <xf numFmtId="1" fontId="6" fillId="2" borderId="7" xfId="0" applyNumberFormat="1" applyFont="1" applyFill="1" applyBorder="1" applyAlignment="1">
      <alignment vertical="center"/>
    </xf>
    <xf numFmtId="0" fontId="6" fillId="0" borderId="0" xfId="0" applyFont="1"/>
    <xf numFmtId="0" fontId="6" fillId="4" borderId="0" xfId="0" applyFont="1" applyFill="1"/>
    <xf numFmtId="3" fontId="9" fillId="0" borderId="0" xfId="0" applyNumberFormat="1" applyFont="1"/>
    <xf numFmtId="0" fontId="9" fillId="4" borderId="0" xfId="0" applyFont="1" applyFill="1"/>
    <xf numFmtId="0" fontId="6" fillId="5" borderId="0" xfId="0" applyFont="1" applyFill="1"/>
    <xf numFmtId="0" fontId="16" fillId="0" borderId="4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 wrapText="1"/>
    </xf>
    <xf numFmtId="0" fontId="9" fillId="5" borderId="0" xfId="0" applyFont="1" applyFill="1"/>
    <xf numFmtId="0" fontId="6" fillId="6" borderId="0" xfId="0" applyFont="1" applyFill="1"/>
    <xf numFmtId="164" fontId="6" fillId="3" borderId="4" xfId="0" applyNumberFormat="1" applyFont="1" applyFill="1" applyBorder="1" applyAlignment="1">
      <alignment horizontal="right" vertical="center"/>
    </xf>
    <xf numFmtId="164" fontId="6" fillId="0" borderId="4" xfId="0" applyNumberFormat="1" applyFont="1" applyBorder="1" applyAlignment="1">
      <alignment horizontal="right" vertical="center"/>
    </xf>
    <xf numFmtId="164" fontId="9" fillId="0" borderId="3" xfId="0" applyNumberFormat="1" applyFont="1" applyBorder="1" applyAlignment="1">
      <alignment horizontal="right" vertical="center"/>
    </xf>
    <xf numFmtId="0" fontId="9" fillId="6" borderId="0" xfId="0" applyFont="1" applyFill="1"/>
    <xf numFmtId="164" fontId="18" fillId="0" borderId="10" xfId="0" applyNumberFormat="1" applyFont="1" applyBorder="1" applyAlignment="1">
      <alignment horizontal="right" vertical="center"/>
    </xf>
    <xf numFmtId="164" fontId="6" fillId="0" borderId="12" xfId="0" applyNumberFormat="1" applyFont="1" applyBorder="1" applyAlignment="1">
      <alignment horizontal="right" vertical="center"/>
    </xf>
    <xf numFmtId="164" fontId="18" fillId="3" borderId="0" xfId="0" applyNumberFormat="1" applyFont="1" applyFill="1" applyAlignment="1">
      <alignment horizontal="right" vertical="center"/>
    </xf>
    <xf numFmtId="164" fontId="18" fillId="0" borderId="0" xfId="0" applyNumberFormat="1" applyFont="1" applyAlignment="1">
      <alignment horizontal="right" vertical="center"/>
    </xf>
    <xf numFmtId="164" fontId="9" fillId="0" borderId="11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164" fontId="18" fillId="2" borderId="6" xfId="0" applyNumberFormat="1" applyFont="1" applyFill="1" applyBorder="1" applyAlignment="1">
      <alignment vertical="center"/>
    </xf>
    <xf numFmtId="0" fontId="6" fillId="0" borderId="0" xfId="0" applyFont="1" applyAlignment="1">
      <alignment horizontal="right" wrapText="1"/>
    </xf>
    <xf numFmtId="0" fontId="9" fillId="0" borderId="4" xfId="0" applyFont="1" applyBorder="1" applyAlignment="1">
      <alignment horizontal="right" wrapText="1"/>
    </xf>
    <xf numFmtId="0" fontId="21" fillId="0" borderId="0" xfId="0" applyFont="1"/>
    <xf numFmtId="0" fontId="19" fillId="0" borderId="0" xfId="0" applyFont="1"/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1" fontId="6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 indent="2"/>
    </xf>
    <xf numFmtId="164" fontId="18" fillId="0" borderId="0" xfId="0" applyNumberFormat="1" applyFont="1" applyAlignment="1">
      <alignment vertical="center"/>
    </xf>
    <xf numFmtId="167" fontId="18" fillId="0" borderId="0" xfId="0" applyNumberFormat="1" applyFont="1" applyAlignment="1">
      <alignment vertical="center"/>
    </xf>
    <xf numFmtId="167" fontId="6" fillId="0" borderId="0" xfId="0" applyNumberFormat="1" applyFont="1" applyAlignment="1">
      <alignment horizontal="right" vertical="center"/>
    </xf>
    <xf numFmtId="168" fontId="9" fillId="0" borderId="0" xfId="0" applyNumberFormat="1" applyFont="1" applyAlignment="1">
      <alignment horizontal="right" vertical="center"/>
    </xf>
    <xf numFmtId="0" fontId="23" fillId="4" borderId="0" xfId="0" applyFont="1" applyFill="1"/>
    <xf numFmtId="164" fontId="6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8" xfId="0" applyNumberFormat="1" applyFont="1" applyBorder="1" applyAlignment="1">
      <alignment horizontal="right" vertical="center"/>
    </xf>
    <xf numFmtId="164" fontId="6" fillId="0" borderId="10" xfId="0" applyNumberFormat="1" applyFont="1" applyBorder="1" applyAlignment="1">
      <alignment horizontal="right" vertical="center"/>
    </xf>
    <xf numFmtId="164" fontId="6" fillId="3" borderId="0" xfId="0" applyNumberFormat="1" applyFont="1" applyFill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0" fontId="10" fillId="4" borderId="0" xfId="0" applyFont="1" applyFill="1"/>
    <xf numFmtId="9" fontId="18" fillId="4" borderId="0" xfId="0" applyNumberFormat="1" applyFont="1" applyFill="1" applyAlignment="1">
      <alignment horizontal="center"/>
    </xf>
    <xf numFmtId="0" fontId="10" fillId="5" borderId="0" xfId="0" applyFont="1" applyFill="1"/>
    <xf numFmtId="9" fontId="6" fillId="5" borderId="0" xfId="0" applyNumberFormat="1" applyFont="1" applyFill="1" applyAlignment="1">
      <alignment horizontal="center"/>
    </xf>
    <xf numFmtId="0" fontId="10" fillId="6" borderId="0" xfId="0" applyFont="1" applyFill="1"/>
    <xf numFmtId="0" fontId="1" fillId="0" borderId="3" xfId="0" applyFont="1" applyBorder="1" applyAlignment="1">
      <alignment horizontal="right" vertical="center" wrapText="1"/>
    </xf>
    <xf numFmtId="0" fontId="6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wrapText="1"/>
    </xf>
    <xf numFmtId="0" fontId="6" fillId="0" borderId="11" xfId="0" applyFont="1" applyBorder="1" applyAlignment="1">
      <alignment horizontal="right" wrapText="1"/>
    </xf>
    <xf numFmtId="0" fontId="9" fillId="0" borderId="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6" fillId="0" borderId="7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right" vertical="center"/>
    </xf>
    <xf numFmtId="0" fontId="17" fillId="0" borderId="7" xfId="0" applyFont="1" applyBorder="1" applyAlignment="1">
      <alignment horizontal="right" vertical="center"/>
    </xf>
    <xf numFmtId="3" fontId="9" fillId="4" borderId="0" xfId="0" applyNumberFormat="1" applyFont="1" applyFill="1" applyAlignment="1">
      <alignment vertical="center"/>
    </xf>
    <xf numFmtId="3" fontId="9" fillId="5" borderId="0" xfId="0" applyNumberFormat="1" applyFont="1" applyFill="1" applyAlignment="1">
      <alignment vertical="center"/>
    </xf>
    <xf numFmtId="0" fontId="2" fillId="0" borderId="3" xfId="0" applyFont="1" applyBorder="1" applyAlignment="1">
      <alignment horizontal="right" vertical="center" wrapText="1"/>
    </xf>
    <xf numFmtId="9" fontId="10" fillId="0" borderId="0" xfId="0" applyNumberFormat="1" applyFont="1"/>
    <xf numFmtId="169" fontId="24" fillId="0" borderId="6" xfId="0" applyNumberFormat="1" applyFont="1" applyBorder="1" applyAlignment="1">
      <alignment horizontal="center"/>
    </xf>
    <xf numFmtId="169" fontId="2" fillId="0" borderId="6" xfId="0" applyNumberFormat="1" applyFont="1" applyBorder="1" applyAlignment="1">
      <alignment horizontal="center"/>
    </xf>
    <xf numFmtId="164" fontId="6" fillId="0" borderId="5" xfId="0" applyNumberFormat="1" applyFont="1" applyBorder="1" applyAlignment="1">
      <alignment horizontal="right" vertical="center"/>
    </xf>
    <xf numFmtId="164" fontId="6" fillId="3" borderId="5" xfId="0" applyNumberFormat="1" applyFont="1" applyFill="1" applyBorder="1" applyAlignment="1">
      <alignment horizontal="right" vertical="center"/>
    </xf>
    <xf numFmtId="164" fontId="9" fillId="0" borderId="6" xfId="0" applyNumberFormat="1" applyFont="1" applyBorder="1" applyAlignment="1">
      <alignment horizontal="right" vertical="center"/>
    </xf>
    <xf numFmtId="164" fontId="18" fillId="0" borderId="9" xfId="0" applyNumberFormat="1" applyFont="1" applyBorder="1" applyAlignment="1">
      <alignment horizontal="right" vertical="center"/>
    </xf>
    <xf numFmtId="164" fontId="18" fillId="3" borderId="9" xfId="0" applyNumberFormat="1" applyFont="1" applyFill="1" applyBorder="1" applyAlignment="1">
      <alignment horizontal="right" vertical="center"/>
    </xf>
    <xf numFmtId="3" fontId="9" fillId="0" borderId="0" xfId="0" applyNumberFormat="1" applyFont="1" applyAlignment="1">
      <alignment vertical="center"/>
    </xf>
    <xf numFmtId="0" fontId="6" fillId="0" borderId="7" xfId="0" applyFont="1" applyBorder="1" applyAlignment="1">
      <alignment horizontal="right" wrapText="1"/>
    </xf>
    <xf numFmtId="0" fontId="9" fillId="0" borderId="6" xfId="0" applyFont="1" applyBorder="1" applyAlignment="1">
      <alignment horizontal="right" wrapText="1"/>
    </xf>
    <xf numFmtId="0" fontId="15" fillId="0" borderId="0" xfId="0" applyFont="1"/>
    <xf numFmtId="0" fontId="6" fillId="2" borderId="8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15" xfId="0" applyFont="1" applyFill="1" applyBorder="1" applyAlignment="1">
      <alignment vertical="center"/>
    </xf>
    <xf numFmtId="0" fontId="6" fillId="8" borderId="0" xfId="0" applyFont="1" applyFill="1"/>
    <xf numFmtId="170" fontId="6" fillId="0" borderId="0" xfId="0" applyNumberFormat="1" applyFont="1"/>
    <xf numFmtId="0" fontId="9" fillId="8" borderId="0" xfId="0" applyFont="1" applyFill="1"/>
    <xf numFmtId="0" fontId="6" fillId="9" borderId="0" xfId="0" applyFont="1" applyFill="1"/>
    <xf numFmtId="0" fontId="9" fillId="9" borderId="0" xfId="0" applyFont="1" applyFill="1"/>
    <xf numFmtId="0" fontId="6" fillId="10" borderId="0" xfId="0" applyFont="1" applyFill="1"/>
    <xf numFmtId="0" fontId="9" fillId="10" borderId="0" xfId="0" applyFont="1" applyFill="1"/>
    <xf numFmtId="164" fontId="18" fillId="0" borderId="14" xfId="0" applyNumberFormat="1" applyFont="1" applyBorder="1" applyAlignment="1">
      <alignment horizontal="right" vertical="center"/>
    </xf>
    <xf numFmtId="164" fontId="6" fillId="0" borderId="14" xfId="0" applyNumberFormat="1" applyFont="1" applyBorder="1" applyAlignment="1">
      <alignment horizontal="right" vertical="center"/>
    </xf>
    <xf numFmtId="167" fontId="18" fillId="2" borderId="5" xfId="0" applyNumberFormat="1" applyFont="1" applyFill="1" applyBorder="1" applyAlignment="1">
      <alignment horizontal="right" vertical="center"/>
    </xf>
    <xf numFmtId="0" fontId="6" fillId="0" borderId="4" xfId="0" applyFont="1" applyBorder="1"/>
    <xf numFmtId="0" fontId="6" fillId="0" borderId="9" xfId="0" applyFont="1" applyBorder="1" applyAlignment="1">
      <alignment horizontal="right" wrapText="1"/>
    </xf>
    <xf numFmtId="0" fontId="6" fillId="0" borderId="1" xfId="0" applyFont="1" applyBorder="1" applyAlignment="1">
      <alignment horizontal="right" wrapText="1"/>
    </xf>
    <xf numFmtId="164" fontId="18" fillId="0" borderId="8" xfId="0" applyNumberFormat="1" applyFont="1" applyBorder="1" applyAlignment="1">
      <alignment horizontal="right" vertical="center"/>
    </xf>
    <xf numFmtId="164" fontId="6" fillId="7" borderId="0" xfId="0" applyNumberFormat="1" applyFont="1" applyFill="1" applyAlignment="1">
      <alignment horizontal="right" vertical="center"/>
    </xf>
    <xf numFmtId="0" fontId="6" fillId="0" borderId="16" xfId="0" applyFont="1" applyBorder="1" applyAlignment="1">
      <alignment horizontal="right" wrapText="1"/>
    </xf>
    <xf numFmtId="0" fontId="15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6" fillId="2" borderId="14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0" borderId="13" xfId="0" applyFont="1" applyBorder="1" applyAlignment="1">
      <alignment horizontal="left" vertical="top" wrapText="1"/>
    </xf>
    <xf numFmtId="0" fontId="15" fillId="0" borderId="12" xfId="0" applyFont="1" applyBorder="1" applyAlignment="1">
      <alignment horizontal="right" vertical="center"/>
    </xf>
    <xf numFmtId="166" fontId="18" fillId="2" borderId="5" xfId="0" applyNumberFormat="1" applyFont="1" applyFill="1" applyBorder="1" applyAlignment="1">
      <alignment horizontal="right" vertical="center"/>
    </xf>
    <xf numFmtId="167" fontId="6" fillId="2" borderId="5" xfId="0" applyNumberFormat="1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right" vertical="center"/>
    </xf>
    <xf numFmtId="166" fontId="6" fillId="2" borderId="16" xfId="0" applyNumberFormat="1" applyFont="1" applyFill="1" applyBorder="1" applyAlignment="1">
      <alignment horizontal="right" vertical="center"/>
    </xf>
    <xf numFmtId="171" fontId="6" fillId="0" borderId="0" xfId="0" applyNumberFormat="1" applyFont="1" applyAlignment="1">
      <alignment horizontal="right" vertical="center"/>
    </xf>
    <xf numFmtId="171" fontId="6" fillId="3" borderId="0" xfId="0" applyNumberFormat="1" applyFont="1" applyFill="1" applyAlignment="1">
      <alignment horizontal="right" vertical="center"/>
    </xf>
    <xf numFmtId="171" fontId="9" fillId="0" borderId="11" xfId="0" applyNumberFormat="1" applyFont="1" applyBorder="1" applyAlignment="1">
      <alignment horizontal="right" vertical="center"/>
    </xf>
    <xf numFmtId="171" fontId="6" fillId="0" borderId="10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right" wrapText="1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0" fontId="22" fillId="0" borderId="0" xfId="0" applyFont="1" applyAlignment="1">
      <alignment horizontal="right"/>
    </xf>
    <xf numFmtId="0" fontId="15" fillId="0" borderId="11" xfId="0" applyFont="1" applyBorder="1" applyAlignment="1">
      <alignment horizontal="right" vertical="center"/>
    </xf>
    <xf numFmtId="0" fontId="1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right" vertical="center" wrapText="1"/>
    </xf>
    <xf numFmtId="0" fontId="9" fillId="0" borderId="12" xfId="0" applyFont="1" applyBorder="1" applyAlignment="1">
      <alignment horizontal="right" vertical="center" wrapText="1"/>
    </xf>
    <xf numFmtId="0" fontId="12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11" fillId="0" borderId="0" xfId="0" applyFont="1" applyAlignment="1">
      <alignment horizontal="right"/>
    </xf>
    <xf numFmtId="0" fontId="2" fillId="0" borderId="12" xfId="0" applyFont="1" applyBorder="1" applyAlignment="1">
      <alignment horizontal="right" vertical="center" wrapText="1"/>
    </xf>
    <xf numFmtId="0" fontId="2" fillId="0" borderId="13" xfId="0" applyFont="1" applyBorder="1" applyAlignment="1">
      <alignment horizontal="right" vertical="center" wrapText="1"/>
    </xf>
    <xf numFmtId="0" fontId="17" fillId="0" borderId="0" xfId="0" applyFont="1"/>
    <xf numFmtId="1" fontId="9" fillId="0" borderId="13" xfId="0" applyNumberFormat="1" applyFont="1" applyBorder="1" applyAlignment="1">
      <alignment horizontal="right" vertical="center"/>
    </xf>
    <xf numFmtId="1" fontId="6" fillId="0" borderId="1" xfId="0" applyNumberFormat="1" applyFont="1" applyBorder="1" applyAlignment="1">
      <alignment horizontal="right" vertical="center"/>
    </xf>
    <xf numFmtId="0" fontId="12" fillId="0" borderId="0" xfId="0" applyFont="1" applyAlignment="1">
      <alignment vertical="top" wrapText="1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171" fontId="26" fillId="0" borderId="7" xfId="0" applyNumberFormat="1" applyFont="1" applyBorder="1" applyAlignment="1">
      <alignment vertical="center"/>
    </xf>
    <xf numFmtId="171" fontId="26" fillId="0" borderId="11" xfId="0" applyNumberFormat="1" applyFont="1" applyBorder="1" applyAlignment="1">
      <alignment vertical="center"/>
    </xf>
    <xf numFmtId="171" fontId="26" fillId="0" borderId="6" xfId="0" applyNumberFormat="1" applyFont="1" applyBorder="1" applyAlignment="1">
      <alignment vertical="center"/>
    </xf>
    <xf numFmtId="0" fontId="1" fillId="0" borderId="6" xfId="0" applyFont="1" applyBorder="1" applyAlignment="1">
      <alignment vertical="center" wrapText="1"/>
    </xf>
    <xf numFmtId="171" fontId="26" fillId="0" borderId="3" xfId="0" applyNumberFormat="1" applyFont="1" applyBorder="1" applyAlignment="1">
      <alignment vertical="center"/>
    </xf>
    <xf numFmtId="3" fontId="9" fillId="4" borderId="0" xfId="0" applyNumberFormat="1" applyFont="1" applyFill="1"/>
    <xf numFmtId="3" fontId="9" fillId="5" borderId="0" xfId="0" applyNumberFormat="1" applyFont="1" applyFill="1"/>
    <xf numFmtId="3" fontId="9" fillId="6" borderId="0" xfId="0" applyNumberFormat="1" applyFont="1" applyFill="1"/>
    <xf numFmtId="0" fontId="1" fillId="0" borderId="4" xfId="0" applyFont="1" applyBorder="1" applyAlignment="1">
      <alignment horizontal="right" vertical="center"/>
    </xf>
    <xf numFmtId="171" fontId="6" fillId="0" borderId="5" xfId="0" applyNumberFormat="1" applyFont="1" applyBorder="1" applyAlignment="1">
      <alignment horizontal="right" vertical="center"/>
    </xf>
    <xf numFmtId="171" fontId="6" fillId="3" borderId="5" xfId="0" applyNumberFormat="1" applyFont="1" applyFill="1" applyBorder="1" applyAlignment="1">
      <alignment horizontal="right" vertical="center"/>
    </xf>
    <xf numFmtId="171" fontId="9" fillId="0" borderId="6" xfId="0" applyNumberFormat="1" applyFont="1" applyBorder="1" applyAlignment="1">
      <alignment horizontal="right" vertical="center"/>
    </xf>
    <xf numFmtId="0" fontId="9" fillId="0" borderId="0" xfId="0" applyFont="1" applyAlignment="1">
      <alignment horizontal="right" wrapText="1"/>
    </xf>
    <xf numFmtId="0" fontId="9" fillId="0" borderId="5" xfId="0" applyFont="1" applyBorder="1" applyAlignment="1">
      <alignment horizontal="right" wrapText="1"/>
    </xf>
    <xf numFmtId="0" fontId="6" fillId="4" borderId="0" xfId="0" applyFont="1" applyFill="1" applyAlignment="1">
      <alignment horizontal="right" wrapText="1"/>
    </xf>
    <xf numFmtId="0" fontId="6" fillId="5" borderId="0" xfId="0" applyFont="1" applyFill="1" applyAlignment="1">
      <alignment horizontal="right" wrapText="1"/>
    </xf>
    <xf numFmtId="0" fontId="6" fillId="6" borderId="0" xfId="0" applyFont="1" applyFill="1" applyAlignment="1">
      <alignment horizontal="right" wrapText="1"/>
    </xf>
    <xf numFmtId="0" fontId="11" fillId="0" borderId="11" xfId="0" applyFont="1" applyBorder="1" applyAlignment="1">
      <alignment horizontal="right" vertical="center"/>
    </xf>
    <xf numFmtId="0" fontId="6" fillId="0" borderId="7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170" fontId="6" fillId="0" borderId="4" xfId="0" applyNumberFormat="1" applyFont="1" applyBorder="1" applyAlignment="1">
      <alignment horizontal="right" vertical="center"/>
    </xf>
    <xf numFmtId="170" fontId="6" fillId="0" borderId="13" xfId="0" applyNumberFormat="1" applyFont="1" applyBorder="1" applyAlignment="1">
      <alignment horizontal="right" vertical="center"/>
    </xf>
    <xf numFmtId="0" fontId="6" fillId="3" borderId="11" xfId="0" applyFont="1" applyFill="1" applyBorder="1" applyAlignment="1">
      <alignment vertical="center"/>
    </xf>
    <xf numFmtId="0" fontId="1" fillId="0" borderId="11" xfId="0" applyFont="1" applyBorder="1" applyAlignment="1">
      <alignment horizontal="right" vertical="center"/>
    </xf>
    <xf numFmtId="0" fontId="6" fillId="3" borderId="1" xfId="0" applyFont="1" applyFill="1" applyBorder="1" applyAlignment="1">
      <alignment vertical="center"/>
    </xf>
    <xf numFmtId="166" fontId="9" fillId="3" borderId="16" xfId="0" applyNumberFormat="1" applyFont="1" applyFill="1" applyBorder="1" applyAlignment="1">
      <alignment horizontal="right" vertical="center"/>
    </xf>
    <xf numFmtId="172" fontId="6" fillId="0" borderId="7" xfId="0" applyNumberFormat="1" applyFont="1" applyBorder="1" applyAlignment="1">
      <alignment vertical="center"/>
    </xf>
    <xf numFmtId="172" fontId="6" fillId="3" borderId="7" xfId="0" applyNumberFormat="1" applyFont="1" applyFill="1" applyBorder="1" applyAlignment="1">
      <alignment vertical="center"/>
    </xf>
    <xf numFmtId="172" fontId="6" fillId="0" borderId="11" xfId="0" applyNumberFormat="1" applyFont="1" applyBorder="1" applyAlignment="1">
      <alignment vertical="center"/>
    </xf>
    <xf numFmtId="172" fontId="6" fillId="3" borderId="15" xfId="0" applyNumberFormat="1" applyFont="1" applyFill="1" applyBorder="1" applyAlignment="1">
      <alignment vertical="center"/>
    </xf>
    <xf numFmtId="173" fontId="6" fillId="0" borderId="0" xfId="0" applyNumberFormat="1" applyFont="1"/>
    <xf numFmtId="164" fontId="6" fillId="0" borderId="7" xfId="0" applyNumberFormat="1" applyFont="1" applyBorder="1" applyAlignment="1">
      <alignment horizontal="right" vertical="center"/>
    </xf>
    <xf numFmtId="164" fontId="6" fillId="0" borderId="11" xfId="0" applyNumberFormat="1" applyFont="1" applyBorder="1" applyAlignment="1">
      <alignment horizontal="right" vertical="center"/>
    </xf>
    <xf numFmtId="164" fontId="6" fillId="0" borderId="6" xfId="0" applyNumberFormat="1" applyFont="1" applyBorder="1" applyAlignment="1">
      <alignment horizontal="right" vertical="center"/>
    </xf>
    <xf numFmtId="164" fontId="9" fillId="3" borderId="7" xfId="0" applyNumberFormat="1" applyFont="1" applyFill="1" applyBorder="1" applyAlignment="1">
      <alignment horizontal="right" vertical="center"/>
    </xf>
    <xf numFmtId="164" fontId="9" fillId="3" borderId="11" xfId="0" applyNumberFormat="1" applyFont="1" applyFill="1" applyBorder="1" applyAlignment="1">
      <alignment horizontal="right" vertical="center"/>
    </xf>
    <xf numFmtId="164" fontId="9" fillId="3" borderId="6" xfId="0" applyNumberFormat="1" applyFont="1" applyFill="1" applyBorder="1" applyAlignment="1">
      <alignment horizontal="right" vertical="center"/>
    </xf>
    <xf numFmtId="0" fontId="6" fillId="0" borderId="11" xfId="0" applyFont="1" applyBorder="1" applyAlignment="1">
      <alignment horizontal="right" vertical="center"/>
    </xf>
    <xf numFmtId="0" fontId="6" fillId="3" borderId="11" xfId="0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right" vertical="center"/>
    </xf>
    <xf numFmtId="164" fontId="18" fillId="0" borderId="7" xfId="0" applyNumberFormat="1" applyFont="1" applyBorder="1" applyAlignment="1">
      <alignment horizontal="right" vertical="center"/>
    </xf>
    <xf numFmtId="164" fontId="18" fillId="0" borderId="11" xfId="0" applyNumberFormat="1" applyFont="1" applyBorder="1" applyAlignment="1">
      <alignment horizontal="right" vertical="center"/>
    </xf>
    <xf numFmtId="164" fontId="18" fillId="0" borderId="6" xfId="0" applyNumberFormat="1" applyFont="1" applyBorder="1" applyAlignment="1">
      <alignment horizontal="right" vertical="center"/>
    </xf>
    <xf numFmtId="168" fontId="1" fillId="0" borderId="3" xfId="0" applyNumberFormat="1" applyFont="1" applyBorder="1" applyAlignment="1">
      <alignment horizontal="right" vertical="center"/>
    </xf>
    <xf numFmtId="168" fontId="11" fillId="0" borderId="3" xfId="0" applyNumberFormat="1" applyFont="1" applyBorder="1" applyAlignment="1">
      <alignment horizontal="right" vertical="center"/>
    </xf>
    <xf numFmtId="168" fontId="11" fillId="3" borderId="3" xfId="0" applyNumberFormat="1" applyFont="1" applyFill="1" applyBorder="1" applyAlignment="1">
      <alignment horizontal="right" vertical="center"/>
    </xf>
    <xf numFmtId="168" fontId="1" fillId="3" borderId="3" xfId="0" applyNumberFormat="1" applyFont="1" applyFill="1" applyBorder="1" applyAlignment="1">
      <alignment horizontal="right" vertical="center"/>
    </xf>
    <xf numFmtId="168" fontId="11" fillId="3" borderId="13" xfId="0" applyNumberFormat="1" applyFont="1" applyFill="1" applyBorder="1" applyAlignment="1">
      <alignment horizontal="right" vertical="center"/>
    </xf>
    <xf numFmtId="168" fontId="1" fillId="3" borderId="13" xfId="0" applyNumberFormat="1" applyFont="1" applyFill="1" applyBorder="1" applyAlignment="1">
      <alignment horizontal="right" vertical="center"/>
    </xf>
    <xf numFmtId="167" fontId="18" fillId="0" borderId="7" xfId="0" applyNumberFormat="1" applyFont="1" applyBorder="1" applyAlignment="1">
      <alignment horizontal="right" vertical="center"/>
    </xf>
    <xf numFmtId="167" fontId="18" fillId="0" borderId="11" xfId="0" applyNumberFormat="1" applyFont="1" applyBorder="1" applyAlignment="1">
      <alignment horizontal="right" vertical="center"/>
    </xf>
    <xf numFmtId="167" fontId="18" fillId="0" borderId="6" xfId="0" applyNumberFormat="1" applyFont="1" applyBorder="1" applyAlignment="1">
      <alignment horizontal="right" vertical="center"/>
    </xf>
    <xf numFmtId="174" fontId="9" fillId="0" borderId="7" xfId="0" applyNumberFormat="1" applyFont="1" applyBorder="1" applyAlignment="1">
      <alignment horizontal="right" vertical="center"/>
    </xf>
    <xf numFmtId="174" fontId="9" fillId="0" borderId="11" xfId="0" applyNumberFormat="1" applyFont="1" applyBorder="1" applyAlignment="1">
      <alignment horizontal="right" vertical="center"/>
    </xf>
    <xf numFmtId="174" fontId="9" fillId="0" borderId="6" xfId="0" applyNumberFormat="1" applyFont="1" applyBorder="1" applyAlignment="1">
      <alignment horizontal="right" vertical="center"/>
    </xf>
    <xf numFmtId="174" fontId="9" fillId="0" borderId="3" xfId="0" applyNumberFormat="1" applyFont="1" applyBorder="1" applyAlignment="1">
      <alignment horizontal="right" vertical="center"/>
    </xf>
    <xf numFmtId="170" fontId="9" fillId="0" borderId="11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/>
    </xf>
    <xf numFmtId="0" fontId="6" fillId="3" borderId="4" xfId="0" applyFont="1" applyFill="1" applyBorder="1" applyAlignment="1">
      <alignment vertical="center" wrapText="1"/>
    </xf>
    <xf numFmtId="172" fontId="6" fillId="2" borderId="9" xfId="0" applyNumberFormat="1" applyFont="1" applyFill="1" applyBorder="1" applyAlignment="1">
      <alignment vertical="center"/>
    </xf>
    <xf numFmtId="0" fontId="6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2" borderId="10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168" fontId="11" fillId="2" borderId="0" xfId="0" applyNumberFormat="1" applyFont="1" applyFill="1" applyAlignment="1">
      <alignment horizontal="right" vertical="center"/>
    </xf>
    <xf numFmtId="0" fontId="9" fillId="0" borderId="7" xfId="0" applyFont="1" applyBorder="1" applyAlignment="1">
      <alignment horizontal="right" wrapText="1"/>
    </xf>
    <xf numFmtId="0" fontId="6" fillId="2" borderId="16" xfId="0" applyFont="1" applyFill="1" applyBorder="1" applyAlignment="1">
      <alignment vertical="center"/>
    </xf>
    <xf numFmtId="165" fontId="6" fillId="0" borderId="0" xfId="0" applyNumberFormat="1" applyFont="1" applyAlignment="1">
      <alignment horizontal="right" vertical="center"/>
    </xf>
    <xf numFmtId="165" fontId="6" fillId="3" borderId="0" xfId="0" applyNumberFormat="1" applyFont="1" applyFill="1" applyAlignment="1">
      <alignment horizontal="right" vertical="center"/>
    </xf>
    <xf numFmtId="170" fontId="9" fillId="0" borderId="7" xfId="0" applyNumberFormat="1" applyFont="1" applyBorder="1" applyAlignment="1">
      <alignment horizontal="right" vertical="center"/>
    </xf>
    <xf numFmtId="175" fontId="18" fillId="2" borderId="5" xfId="0" applyNumberFormat="1" applyFont="1" applyFill="1" applyBorder="1" applyAlignment="1">
      <alignment horizontal="right" vertical="center"/>
    </xf>
    <xf numFmtId="164" fontId="6" fillId="2" borderId="5" xfId="0" applyNumberFormat="1" applyFont="1" applyFill="1" applyBorder="1" applyAlignment="1">
      <alignment horizontal="right" vertical="center"/>
    </xf>
    <xf numFmtId="176" fontId="6" fillId="2" borderId="5" xfId="0" applyNumberFormat="1" applyFont="1" applyFill="1" applyBorder="1" applyAlignment="1">
      <alignment horizontal="right" vertical="center"/>
    </xf>
    <xf numFmtId="171" fontId="6" fillId="0" borderId="9" xfId="0" applyNumberFormat="1" applyFont="1" applyBorder="1" applyAlignment="1">
      <alignment horizontal="right" vertical="center"/>
    </xf>
    <xf numFmtId="171" fontId="6" fillId="3" borderId="9" xfId="0" applyNumberFormat="1" applyFont="1" applyFill="1" applyBorder="1" applyAlignment="1">
      <alignment horizontal="right" vertical="center"/>
    </xf>
    <xf numFmtId="171" fontId="9" fillId="0" borderId="7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vertical="center" wrapText="1"/>
    </xf>
    <xf numFmtId="172" fontId="9" fillId="0" borderId="3" xfId="0" applyNumberFormat="1" applyFont="1" applyBorder="1" applyAlignment="1">
      <alignment vertical="center"/>
    </xf>
    <xf numFmtId="172" fontId="6" fillId="0" borderId="13" xfId="0" applyNumberFormat="1" applyFont="1" applyBorder="1" applyAlignment="1">
      <alignment vertical="center"/>
    </xf>
    <xf numFmtId="0" fontId="6" fillId="0" borderId="7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0" fontId="9" fillId="0" borderId="6" xfId="0" applyFont="1" applyBorder="1" applyAlignment="1">
      <alignment horizontal="right" vertical="center" wrapText="1"/>
    </xf>
    <xf numFmtId="0" fontId="1" fillId="0" borderId="7" xfId="0" applyFont="1" applyBorder="1" applyAlignment="1">
      <alignment horizontal="right"/>
    </xf>
    <xf numFmtId="0" fontId="11" fillId="0" borderId="3" xfId="0" applyFont="1" applyBorder="1" applyAlignment="1">
      <alignment horizontal="right" vertical="center"/>
    </xf>
    <xf numFmtId="172" fontId="6" fillId="0" borderId="7" xfId="0" applyNumberFormat="1" applyFont="1" applyBorder="1" applyAlignment="1">
      <alignment horizontal="left" vertical="center"/>
    </xf>
    <xf numFmtId="166" fontId="18" fillId="0" borderId="6" xfId="0" applyNumberFormat="1" applyFont="1" applyBorder="1" applyAlignment="1">
      <alignment vertical="center"/>
    </xf>
    <xf numFmtId="166" fontId="6" fillId="0" borderId="15" xfId="0" applyNumberFormat="1" applyFont="1" applyBorder="1" applyAlignment="1">
      <alignment horizontal="right" vertical="center"/>
    </xf>
    <xf numFmtId="166" fontId="6" fillId="0" borderId="16" xfId="0" applyNumberFormat="1" applyFont="1" applyBorder="1" applyAlignment="1">
      <alignment horizontal="right" vertical="center"/>
    </xf>
    <xf numFmtId="0" fontId="6" fillId="0" borderId="7" xfId="0" applyFont="1" applyBorder="1"/>
    <xf numFmtId="0" fontId="15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5" fillId="0" borderId="0" xfId="0" applyFont="1" applyAlignment="1">
      <alignment horizontal="right"/>
    </xf>
    <xf numFmtId="0" fontId="11" fillId="0" borderId="6" xfId="0" applyFont="1" applyBorder="1" applyAlignment="1">
      <alignment horizontal="right" vertical="center" wrapText="1"/>
    </xf>
    <xf numFmtId="0" fontId="11" fillId="0" borderId="11" xfId="0" applyFont="1" applyBorder="1" applyAlignment="1">
      <alignment horizontal="right" vertical="center" wrapText="1"/>
    </xf>
    <xf numFmtId="170" fontId="6" fillId="0" borderId="11" xfId="0" applyNumberFormat="1" applyFont="1" applyBorder="1" applyAlignment="1">
      <alignment horizontal="right" vertical="center"/>
    </xf>
    <xf numFmtId="0" fontId="9" fillId="0" borderId="0" xfId="0" applyFont="1" applyAlignment="1">
      <alignment horizontal="right" vertical="center" wrapText="1"/>
    </xf>
    <xf numFmtId="0" fontId="6" fillId="7" borderId="4" xfId="0" applyFont="1" applyFill="1" applyBorder="1" applyAlignment="1">
      <alignment vertical="center" wrapText="1"/>
    </xf>
    <xf numFmtId="3" fontId="6" fillId="0" borderId="0" xfId="0" applyNumberFormat="1" applyFont="1"/>
    <xf numFmtId="0" fontId="6" fillId="0" borderId="6" xfId="0" applyFont="1" applyBorder="1" applyAlignment="1">
      <alignment horizontal="right" wrapText="1"/>
    </xf>
    <xf numFmtId="171" fontId="6" fillId="7" borderId="0" xfId="0" applyNumberFormat="1" applyFont="1" applyFill="1" applyAlignment="1">
      <alignment horizontal="right" vertical="center"/>
    </xf>
    <xf numFmtId="171" fontId="6" fillId="7" borderId="5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171" fontId="6" fillId="0" borderId="11" xfId="0" applyNumberFormat="1" applyFont="1" applyBorder="1" applyAlignment="1">
      <alignment horizontal="right" vertical="center"/>
    </xf>
    <xf numFmtId="171" fontId="6" fillId="0" borderId="6" xfId="0" applyNumberFormat="1" applyFont="1" applyBorder="1" applyAlignment="1">
      <alignment horizontal="right" vertical="center"/>
    </xf>
    <xf numFmtId="0" fontId="11" fillId="0" borderId="0" xfId="0" applyFont="1" applyAlignment="1">
      <alignment horizontal="right" wrapText="1"/>
    </xf>
    <xf numFmtId="0" fontId="6" fillId="0" borderId="3" xfId="0" applyFont="1" applyBorder="1" applyAlignment="1">
      <alignment vertical="center"/>
    </xf>
    <xf numFmtId="170" fontId="9" fillId="0" borderId="0" xfId="0" applyNumberFormat="1" applyFont="1" applyAlignment="1">
      <alignment horizontal="right" vertical="center"/>
    </xf>
    <xf numFmtId="0" fontId="10" fillId="0" borderId="8" xfId="0" applyFont="1" applyBorder="1"/>
    <xf numFmtId="0" fontId="1" fillId="0" borderId="9" xfId="0" applyFont="1" applyBorder="1"/>
    <xf numFmtId="0" fontId="27" fillId="0" borderId="0" xfId="0" applyFont="1" applyAlignment="1">
      <alignment horizontal="left" vertical="center"/>
    </xf>
    <xf numFmtId="0" fontId="27" fillId="0" borderId="11" xfId="0" applyFont="1" applyBorder="1" applyAlignment="1">
      <alignment horizontal="left" vertical="center"/>
    </xf>
    <xf numFmtId="172" fontId="27" fillId="0" borderId="8" xfId="0" applyNumberFormat="1" applyFont="1" applyBorder="1" applyAlignment="1">
      <alignment horizontal="left" vertical="center"/>
    </xf>
    <xf numFmtId="0" fontId="28" fillId="0" borderId="10" xfId="0" applyFont="1" applyBorder="1" applyAlignment="1">
      <alignment vertical="center"/>
    </xf>
    <xf numFmtId="0" fontId="27" fillId="0" borderId="10" xfId="0" applyFont="1" applyBorder="1" applyAlignment="1">
      <alignment horizontal="center" vertical="center"/>
    </xf>
    <xf numFmtId="172" fontId="27" fillId="0" borderId="9" xfId="0" applyNumberFormat="1" applyFont="1" applyBorder="1" applyAlignment="1">
      <alignment horizontal="left" vertical="center"/>
    </xf>
    <xf numFmtId="0" fontId="27" fillId="0" borderId="10" xfId="0" applyFont="1" applyBorder="1" applyAlignment="1">
      <alignment horizontal="left" vertical="center"/>
    </xf>
    <xf numFmtId="172" fontId="27" fillId="0" borderId="15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/>
    </xf>
    <xf numFmtId="172" fontId="27" fillId="0" borderId="7" xfId="0" applyNumberFormat="1" applyFont="1" applyBorder="1" applyAlignment="1">
      <alignment horizontal="left" vertical="center"/>
    </xf>
    <xf numFmtId="172" fontId="27" fillId="0" borderId="0" xfId="0" applyNumberFormat="1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0" borderId="10" xfId="0" applyFont="1" applyBorder="1" applyAlignment="1">
      <alignment vertical="center"/>
    </xf>
    <xf numFmtId="0" fontId="27" fillId="0" borderId="1" xfId="0" applyFont="1" applyBorder="1" applyAlignment="1">
      <alignment vertical="center"/>
    </xf>
    <xf numFmtId="0" fontId="27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172" fontId="27" fillId="3" borderId="7" xfId="0" applyNumberFormat="1" applyFont="1" applyFill="1" applyBorder="1" applyAlignment="1">
      <alignment horizontal="left" vertical="center"/>
    </xf>
    <xf numFmtId="0" fontId="28" fillId="3" borderId="11" xfId="0" applyFont="1" applyFill="1" applyBorder="1" applyAlignment="1">
      <alignment horizontal="left" vertical="center"/>
    </xf>
    <xf numFmtId="0" fontId="28" fillId="3" borderId="11" xfId="0" applyFont="1" applyFill="1" applyBorder="1" applyAlignment="1">
      <alignment vertical="center"/>
    </xf>
    <xf numFmtId="0" fontId="11" fillId="0" borderId="12" xfId="0" applyFont="1" applyBorder="1" applyAlignment="1">
      <alignment horizontal="right"/>
    </xf>
    <xf numFmtId="0" fontId="11" fillId="0" borderId="12" xfId="0" applyFont="1" applyBorder="1" applyAlignment="1">
      <alignment horizontal="right" vertical="center"/>
    </xf>
    <xf numFmtId="0" fontId="27" fillId="0" borderId="12" xfId="0" applyFont="1" applyBorder="1" applyAlignment="1">
      <alignment vertical="center"/>
    </xf>
    <xf numFmtId="3" fontId="27" fillId="0" borderId="4" xfId="0" applyNumberFormat="1" applyFont="1" applyBorder="1" applyAlignment="1">
      <alignment vertical="center"/>
    </xf>
    <xf numFmtId="3" fontId="27" fillId="0" borderId="12" xfId="0" applyNumberFormat="1" applyFont="1" applyBorder="1" applyAlignment="1">
      <alignment vertical="center"/>
    </xf>
    <xf numFmtId="0" fontId="27" fillId="0" borderId="4" xfId="0" applyFont="1" applyBorder="1" applyAlignment="1">
      <alignment vertical="center"/>
    </xf>
    <xf numFmtId="3" fontId="27" fillId="0" borderId="13" xfId="0" applyNumberFormat="1" applyFont="1" applyBorder="1" applyAlignment="1">
      <alignment vertical="center"/>
    </xf>
    <xf numFmtId="0" fontId="10" fillId="0" borderId="14" xfId="0" applyFont="1" applyBorder="1"/>
    <xf numFmtId="0" fontId="27" fillId="0" borderId="10" xfId="0" applyFont="1" applyBorder="1" applyAlignment="1">
      <alignment horizontal="right" vertical="center"/>
    </xf>
    <xf numFmtId="164" fontId="29" fillId="0" borderId="0" xfId="0" applyNumberFormat="1" applyFont="1" applyAlignment="1">
      <alignment horizontal="right" vertical="center"/>
    </xf>
    <xf numFmtId="164" fontId="29" fillId="0" borderId="10" xfId="0" applyNumberFormat="1" applyFont="1" applyBorder="1" applyAlignment="1">
      <alignment horizontal="right" vertical="center"/>
    </xf>
    <xf numFmtId="164" fontId="27" fillId="0" borderId="1" xfId="0" applyNumberFormat="1" applyFont="1" applyBorder="1" applyAlignment="1">
      <alignment horizontal="right" vertical="center"/>
    </xf>
    <xf numFmtId="164" fontId="29" fillId="0" borderId="7" xfId="0" applyNumberFormat="1" applyFont="1" applyBorder="1" applyAlignment="1">
      <alignment horizontal="right" vertical="center"/>
    </xf>
    <xf numFmtId="164" fontId="29" fillId="0" borderId="11" xfId="0" applyNumberFormat="1" applyFont="1" applyBorder="1" applyAlignment="1">
      <alignment horizontal="right" vertical="center"/>
    </xf>
    <xf numFmtId="164" fontId="29" fillId="0" borderId="6" xfId="0" applyNumberFormat="1" applyFont="1" applyBorder="1" applyAlignment="1">
      <alignment horizontal="right" vertical="center"/>
    </xf>
    <xf numFmtId="164" fontId="27" fillId="0" borderId="3" xfId="0" applyNumberFormat="1" applyFont="1" applyBorder="1" applyAlignment="1">
      <alignment horizontal="right" vertical="center"/>
    </xf>
    <xf numFmtId="164" fontId="27" fillId="0" borderId="0" xfId="0" applyNumberFormat="1" applyFont="1" applyAlignment="1">
      <alignment horizontal="right" vertical="center"/>
    </xf>
    <xf numFmtId="164" fontId="27" fillId="0" borderId="11" xfId="0" applyNumberFormat="1" applyFont="1" applyBorder="1" applyAlignment="1">
      <alignment horizontal="right" vertical="center"/>
    </xf>
    <xf numFmtId="164" fontId="29" fillId="0" borderId="1" xfId="0" applyNumberFormat="1" applyFont="1" applyBorder="1" applyAlignment="1">
      <alignment horizontal="right" vertical="center"/>
    </xf>
    <xf numFmtId="164" fontId="27" fillId="0" borderId="13" xfId="0" applyNumberFormat="1" applyFont="1" applyBorder="1" applyAlignment="1">
      <alignment horizontal="right" vertical="center"/>
    </xf>
    <xf numFmtId="167" fontId="27" fillId="0" borderId="14" xfId="0" applyNumberFormat="1" applyFont="1" applyBorder="1" applyAlignment="1">
      <alignment horizontal="right" vertical="center"/>
    </xf>
    <xf numFmtId="167" fontId="27" fillId="0" borderId="16" xfId="0" applyNumberFormat="1" applyFont="1" applyBorder="1" applyAlignment="1">
      <alignment horizontal="right" vertical="center"/>
    </xf>
    <xf numFmtId="167" fontId="28" fillId="3" borderId="6" xfId="0" applyNumberFormat="1" applyFont="1" applyFill="1" applyBorder="1" applyAlignment="1">
      <alignment horizontal="right" vertical="center"/>
    </xf>
    <xf numFmtId="167" fontId="29" fillId="0" borderId="0" xfId="0" applyNumberFormat="1" applyFont="1" applyAlignment="1">
      <alignment horizontal="right" vertical="center"/>
    </xf>
    <xf numFmtId="174" fontId="27" fillId="0" borderId="10" xfId="0" applyNumberFormat="1" applyFont="1" applyBorder="1" applyAlignment="1">
      <alignment horizontal="right"/>
    </xf>
    <xf numFmtId="174" fontId="1" fillId="0" borderId="0" xfId="0" applyNumberFormat="1" applyFont="1" applyAlignment="1">
      <alignment horizontal="right"/>
    </xf>
    <xf numFmtId="168" fontId="1" fillId="0" borderId="4" xfId="0" applyNumberFormat="1" applyFont="1" applyBorder="1" applyAlignment="1">
      <alignment horizontal="right"/>
    </xf>
    <xf numFmtId="168" fontId="11" fillId="0" borderId="12" xfId="0" applyNumberFormat="1" applyFont="1" applyBorder="1" applyAlignment="1">
      <alignment horizontal="right" vertical="center"/>
    </xf>
    <xf numFmtId="168" fontId="11" fillId="0" borderId="4" xfId="0" applyNumberFormat="1" applyFont="1" applyBorder="1" applyAlignment="1">
      <alignment horizontal="right" vertical="center"/>
    </xf>
    <xf numFmtId="168" fontId="11" fillId="0" borderId="13" xfId="0" applyNumberFormat="1" applyFont="1" applyBorder="1" applyAlignment="1">
      <alignment horizontal="right" vertical="center"/>
    </xf>
    <xf numFmtId="168" fontId="27" fillId="0" borderId="12" xfId="0" applyNumberFormat="1" applyFont="1" applyBorder="1" applyAlignment="1">
      <alignment horizontal="right"/>
    </xf>
    <xf numFmtId="168" fontId="27" fillId="0" borderId="4" xfId="0" applyNumberFormat="1" applyFont="1" applyBorder="1" applyAlignment="1">
      <alignment horizontal="right"/>
    </xf>
    <xf numFmtId="0" fontId="30" fillId="0" borderId="0" xfId="0" applyFont="1"/>
    <xf numFmtId="6" fontId="17" fillId="0" borderId="6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vertical="center"/>
    </xf>
    <xf numFmtId="170" fontId="9" fillId="0" borderId="6" xfId="0" applyNumberFormat="1" applyFont="1" applyBorder="1" applyAlignment="1">
      <alignment vertical="center"/>
    </xf>
    <xf numFmtId="0" fontId="30" fillId="0" borderId="10" xfId="0" applyFont="1" applyBorder="1"/>
    <xf numFmtId="0" fontId="31" fillId="0" borderId="0" xfId="0" applyFont="1" applyAlignment="1">
      <alignment vertical="center"/>
    </xf>
    <xf numFmtId="0" fontId="32" fillId="0" borderId="7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1" fontId="6" fillId="0" borderId="15" xfId="0" applyNumberFormat="1" applyFont="1" applyBorder="1" applyAlignment="1">
      <alignment horizontal="right" vertical="center" wrapText="1"/>
    </xf>
    <xf numFmtId="1" fontId="6" fillId="0" borderId="1" xfId="0" applyNumberFormat="1" applyFont="1" applyBorder="1" applyAlignment="1">
      <alignment horizontal="right" vertical="center" wrapText="1"/>
    </xf>
    <xf numFmtId="1" fontId="6" fillId="0" borderId="16" xfId="0" applyNumberFormat="1" applyFont="1" applyBorder="1" applyAlignment="1">
      <alignment horizontal="right" vertical="center" wrapText="1"/>
    </xf>
    <xf numFmtId="6" fontId="17" fillId="0" borderId="6" xfId="0" applyNumberFormat="1" applyFont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34" fillId="0" borderId="0" xfId="0" applyFont="1" applyAlignment="1">
      <alignment horizontal="right" vertical="center"/>
    </xf>
    <xf numFmtId="170" fontId="33" fillId="0" borderId="0" xfId="0" applyNumberFormat="1" applyFont="1" applyAlignment="1">
      <alignment horizontal="right" vertical="center"/>
    </xf>
    <xf numFmtId="0" fontId="30" fillId="0" borderId="0" xfId="0" applyFont="1" applyAlignment="1">
      <alignment vertical="center"/>
    </xf>
    <xf numFmtId="0" fontId="33" fillId="0" borderId="1" xfId="0" applyFont="1" applyBorder="1" applyAlignment="1">
      <alignment vertical="center"/>
    </xf>
    <xf numFmtId="169" fontId="33" fillId="0" borderId="0" xfId="0" applyNumberFormat="1" applyFont="1" applyAlignment="1">
      <alignment vertical="center"/>
    </xf>
    <xf numFmtId="0" fontId="30" fillId="0" borderId="10" xfId="0" applyFont="1" applyBorder="1" applyAlignment="1">
      <alignment vertical="center"/>
    </xf>
    <xf numFmtId="0" fontId="30" fillId="0" borderId="8" xfId="0" applyFont="1" applyBorder="1" applyAlignment="1">
      <alignment vertical="center"/>
    </xf>
    <xf numFmtId="0" fontId="30" fillId="0" borderId="10" xfId="0" applyFont="1" applyBorder="1" applyAlignment="1">
      <alignment vertical="center" wrapText="1"/>
    </xf>
    <xf numFmtId="0" fontId="1" fillId="0" borderId="12" xfId="0" applyFont="1" applyBorder="1" applyAlignment="1">
      <alignment horizontal="right" vertical="center"/>
    </xf>
    <xf numFmtId="0" fontId="30" fillId="0" borderId="1" xfId="0" applyFont="1" applyBorder="1"/>
    <xf numFmtId="0" fontId="30" fillId="0" borderId="15" xfId="0" applyFont="1" applyBorder="1"/>
    <xf numFmtId="0" fontId="35" fillId="0" borderId="0" xfId="0" applyFont="1" applyAlignment="1">
      <alignment vertical="top"/>
    </xf>
    <xf numFmtId="0" fontId="30" fillId="0" borderId="0" xfId="0" applyFont="1" applyAlignment="1">
      <alignment vertical="top"/>
    </xf>
    <xf numFmtId="0" fontId="30" fillId="0" borderId="0" xfId="0" applyFont="1" applyAlignment="1">
      <alignment horizontal="right" vertical="top"/>
    </xf>
    <xf numFmtId="0" fontId="30" fillId="0" borderId="14" xfId="0" applyFont="1" applyBorder="1" applyAlignment="1">
      <alignment vertical="center"/>
    </xf>
    <xf numFmtId="170" fontId="30" fillId="0" borderId="0" xfId="0" applyNumberFormat="1" applyFont="1" applyAlignment="1">
      <alignment vertical="center"/>
    </xf>
    <xf numFmtId="172" fontId="28" fillId="0" borderId="8" xfId="0" applyNumberFormat="1" applyFont="1" applyBorder="1" applyAlignment="1">
      <alignment vertical="center"/>
    </xf>
    <xf numFmtId="0" fontId="36" fillId="0" borderId="10" xfId="0" applyFont="1" applyBorder="1" applyAlignment="1">
      <alignment vertical="center"/>
    </xf>
    <xf numFmtId="0" fontId="36" fillId="0" borderId="10" xfId="0" applyFont="1" applyBorder="1" applyAlignment="1">
      <alignment vertical="center" wrapText="1"/>
    </xf>
    <xf numFmtId="172" fontId="27" fillId="0" borderId="9" xfId="0" applyNumberFormat="1" applyFont="1" applyBorder="1" applyAlignment="1">
      <alignment vertical="center"/>
    </xf>
    <xf numFmtId="0" fontId="36" fillId="0" borderId="0" xfId="0" applyFont="1" applyAlignment="1">
      <alignment vertical="center"/>
    </xf>
    <xf numFmtId="0" fontId="36" fillId="0" borderId="5" xfId="0" applyFont="1" applyBorder="1" applyAlignment="1">
      <alignment vertical="center" wrapText="1"/>
    </xf>
    <xf numFmtId="0" fontId="36" fillId="0" borderId="5" xfId="0" applyFont="1" applyBorder="1" applyAlignment="1">
      <alignment vertical="center"/>
    </xf>
    <xf numFmtId="172" fontId="27" fillId="0" borderId="15" xfId="0" applyNumberFormat="1" applyFont="1" applyBorder="1" applyAlignment="1">
      <alignment vertical="center"/>
    </xf>
    <xf numFmtId="0" fontId="36" fillId="0" borderId="1" xfId="0" applyFont="1" applyBorder="1" applyAlignment="1">
      <alignment vertical="center"/>
    </xf>
    <xf numFmtId="0" fontId="36" fillId="0" borderId="16" xfId="0" applyFont="1" applyBorder="1" applyAlignment="1">
      <alignment vertical="center"/>
    </xf>
    <xf numFmtId="172" fontId="27" fillId="0" borderId="8" xfId="0" applyNumberFormat="1" applyFont="1" applyBorder="1" applyAlignment="1">
      <alignment vertical="center"/>
    </xf>
    <xf numFmtId="0" fontId="36" fillId="0" borderId="14" xfId="0" applyFont="1" applyBorder="1" applyAlignment="1">
      <alignment vertical="center"/>
    </xf>
    <xf numFmtId="1" fontId="28" fillId="0" borderId="10" xfId="0" applyNumberFormat="1" applyFont="1" applyBorder="1" applyAlignment="1">
      <alignment vertical="center"/>
    </xf>
    <xf numFmtId="1" fontId="28" fillId="0" borderId="14" xfId="0" applyNumberFormat="1" applyFont="1" applyBorder="1" applyAlignment="1">
      <alignment vertical="center"/>
    </xf>
    <xf numFmtId="170" fontId="29" fillId="0" borderId="0" xfId="0" applyNumberFormat="1" applyFont="1" applyAlignment="1">
      <alignment horizontal="right" vertical="center"/>
    </xf>
    <xf numFmtId="170" fontId="36" fillId="0" borderId="1" xfId="0" applyNumberFormat="1" applyFont="1" applyBorder="1" applyAlignment="1">
      <alignment horizontal="right" vertical="center"/>
    </xf>
    <xf numFmtId="0" fontId="37" fillId="0" borderId="10" xfId="0" applyFont="1" applyBorder="1"/>
    <xf numFmtId="0" fontId="36" fillId="0" borderId="10" xfId="0" applyFont="1" applyBorder="1"/>
    <xf numFmtId="0" fontId="36" fillId="0" borderId="0" xfId="0" applyFont="1" applyAlignment="1">
      <alignment vertical="center" wrapText="1"/>
    </xf>
    <xf numFmtId="0" fontId="36" fillId="0" borderId="1" xfId="0" applyFont="1" applyBorder="1" applyAlignment="1">
      <alignment vertical="center" wrapText="1"/>
    </xf>
    <xf numFmtId="0" fontId="36" fillId="0" borderId="14" xfId="0" applyFont="1" applyBorder="1"/>
    <xf numFmtId="0" fontId="38" fillId="0" borderId="10" xfId="0" applyFont="1" applyBorder="1" applyAlignment="1">
      <alignment horizontal="right" vertical="center"/>
    </xf>
    <xf numFmtId="0" fontId="36" fillId="0" borderId="8" xfId="0" applyFont="1" applyBorder="1" applyAlignment="1">
      <alignment vertical="center"/>
    </xf>
    <xf numFmtId="0" fontId="36" fillId="0" borderId="15" xfId="0" applyFont="1" applyBorder="1"/>
    <xf numFmtId="0" fontId="36" fillId="0" borderId="1" xfId="0" applyFont="1" applyBorder="1"/>
    <xf numFmtId="0" fontId="38" fillId="0" borderId="0" xfId="0" applyFont="1" applyAlignment="1">
      <alignment vertical="center"/>
    </xf>
    <xf numFmtId="1" fontId="28" fillId="0" borderId="12" xfId="0" applyNumberFormat="1" applyFont="1" applyBorder="1" applyAlignment="1">
      <alignment vertical="center"/>
    </xf>
    <xf numFmtId="1" fontId="28" fillId="0" borderId="8" xfId="0" applyNumberFormat="1" applyFont="1" applyBorder="1" applyAlignment="1">
      <alignment vertical="center"/>
    </xf>
    <xf numFmtId="0" fontId="33" fillId="3" borderId="7" xfId="0" applyFont="1" applyFill="1" applyBorder="1" applyAlignment="1">
      <alignment vertical="center"/>
    </xf>
    <xf numFmtId="172" fontId="27" fillId="3" borderId="7" xfId="0" applyNumberFormat="1" applyFont="1" applyFill="1" applyBorder="1" applyAlignment="1">
      <alignment vertical="center"/>
    </xf>
    <xf numFmtId="0" fontId="36" fillId="3" borderId="11" xfId="0" applyFont="1" applyFill="1" applyBorder="1" applyAlignment="1">
      <alignment vertical="center"/>
    </xf>
    <xf numFmtId="0" fontId="39" fillId="3" borderId="11" xfId="0" applyFont="1" applyFill="1" applyBorder="1" applyAlignment="1">
      <alignment vertical="center"/>
    </xf>
    <xf numFmtId="0" fontId="40" fillId="3" borderId="11" xfId="0" applyFont="1" applyFill="1" applyBorder="1" applyAlignment="1">
      <alignment vertical="center"/>
    </xf>
    <xf numFmtId="0" fontId="27" fillId="3" borderId="11" xfId="0" applyFont="1" applyFill="1" applyBorder="1" applyAlignment="1">
      <alignment vertical="center"/>
    </xf>
    <xf numFmtId="169" fontId="39" fillId="3" borderId="11" xfId="0" applyNumberFormat="1" applyFont="1" applyFill="1" applyBorder="1" applyAlignment="1">
      <alignment vertical="center"/>
    </xf>
    <xf numFmtId="0" fontId="37" fillId="3" borderId="11" xfId="0" applyFont="1" applyFill="1" applyBorder="1" applyAlignment="1">
      <alignment horizontal="left" vertical="center"/>
    </xf>
    <xf numFmtId="0" fontId="6" fillId="3" borderId="4" xfId="0" applyFont="1" applyFill="1" applyBorder="1"/>
    <xf numFmtId="0" fontId="28" fillId="0" borderId="12" xfId="0" applyFont="1" applyBorder="1" applyAlignment="1">
      <alignment horizontal="center" vertical="center"/>
    </xf>
    <xf numFmtId="3" fontId="36" fillId="0" borderId="0" xfId="0" applyNumberFormat="1" applyFont="1"/>
    <xf numFmtId="0" fontId="36" fillId="0" borderId="0" xfId="0" applyFont="1" applyAlignment="1">
      <alignment horizontal="right"/>
    </xf>
    <xf numFmtId="0" fontId="36" fillId="0" borderId="12" xfId="0" applyFont="1" applyBorder="1" applyAlignment="1">
      <alignment horizontal="right" vertical="center"/>
    </xf>
    <xf numFmtId="0" fontId="41" fillId="0" borderId="0" xfId="0" applyFont="1"/>
    <xf numFmtId="0" fontId="36" fillId="0" borderId="1" xfId="0" applyFont="1" applyBorder="1" applyAlignment="1">
      <alignment horizontal="left" vertical="center"/>
    </xf>
    <xf numFmtId="0" fontId="37" fillId="0" borderId="1" xfId="0" applyFont="1" applyBorder="1" applyAlignment="1">
      <alignment vertical="center" wrapText="1"/>
    </xf>
    <xf numFmtId="0" fontId="33" fillId="3" borderId="11" xfId="0" applyFont="1" applyFill="1" applyBorder="1" applyAlignment="1">
      <alignment horizontal="right" vertical="center"/>
    </xf>
    <xf numFmtId="0" fontId="33" fillId="3" borderId="11" xfId="0" applyFont="1" applyFill="1" applyBorder="1" applyAlignment="1">
      <alignment horizontal="left" vertical="center"/>
    </xf>
    <xf numFmtId="1" fontId="2" fillId="0" borderId="4" xfId="0" applyNumberFormat="1" applyFont="1" applyBorder="1" applyAlignment="1">
      <alignment horizontal="right" vertical="center" wrapText="1"/>
    </xf>
    <xf numFmtId="177" fontId="11" fillId="0" borderId="7" xfId="0" applyNumberFormat="1" applyFont="1" applyBorder="1" applyAlignment="1">
      <alignment horizontal="right" vertical="center"/>
    </xf>
    <xf numFmtId="177" fontId="11" fillId="0" borderId="11" xfId="0" applyNumberFormat="1" applyFont="1" applyBorder="1" applyAlignment="1">
      <alignment horizontal="right" vertical="center"/>
    </xf>
    <xf numFmtId="164" fontId="9" fillId="11" borderId="6" xfId="0" applyNumberFormat="1" applyFont="1" applyFill="1" applyBorder="1" applyAlignment="1">
      <alignment horizontal="right" vertical="center"/>
    </xf>
    <xf numFmtId="164" fontId="9" fillId="11" borderId="3" xfId="0" applyNumberFormat="1" applyFont="1" applyFill="1" applyBorder="1" applyAlignment="1">
      <alignment horizontal="right" vertical="center"/>
    </xf>
    <xf numFmtId="167" fontId="18" fillId="0" borderId="5" xfId="0" applyNumberFormat="1" applyFont="1" applyBorder="1" applyAlignment="1">
      <alignment horizontal="right" vertical="center"/>
    </xf>
    <xf numFmtId="167" fontId="18" fillId="3" borderId="5" xfId="0" applyNumberFormat="1" applyFont="1" applyFill="1" applyBorder="1" applyAlignment="1">
      <alignment horizontal="right" vertical="center"/>
    </xf>
    <xf numFmtId="164" fontId="29" fillId="0" borderId="9" xfId="0" applyNumberFormat="1" applyFont="1" applyBorder="1" applyAlignment="1">
      <alignment horizontal="right" vertical="center"/>
    </xf>
    <xf numFmtId="164" fontId="36" fillId="0" borderId="0" xfId="0" applyNumberFormat="1" applyFont="1" applyAlignment="1">
      <alignment horizontal="right" vertical="center"/>
    </xf>
    <xf numFmtId="164" fontId="36" fillId="0" borderId="5" xfId="0" applyNumberFormat="1" applyFont="1" applyBorder="1" applyAlignment="1">
      <alignment horizontal="right" vertical="center"/>
    </xf>
    <xf numFmtId="164" fontId="36" fillId="0" borderId="4" xfId="0" applyNumberFormat="1" applyFont="1" applyBorder="1" applyAlignment="1">
      <alignment horizontal="right" vertical="center"/>
    </xf>
    <xf numFmtId="164" fontId="29" fillId="0" borderId="15" xfId="0" applyNumberFormat="1" applyFont="1" applyBorder="1" applyAlignment="1">
      <alignment horizontal="right" vertical="center"/>
    </xf>
    <xf numFmtId="164" fontId="36" fillId="0" borderId="13" xfId="0" applyNumberFormat="1" applyFont="1" applyBorder="1" applyAlignment="1">
      <alignment horizontal="right" vertical="center"/>
    </xf>
    <xf numFmtId="164" fontId="29" fillId="0" borderId="8" xfId="0" applyNumberFormat="1" applyFont="1" applyBorder="1" applyAlignment="1">
      <alignment horizontal="right" vertical="center"/>
    </xf>
    <xf numFmtId="164" fontId="29" fillId="0" borderId="14" xfId="0" applyNumberFormat="1" applyFont="1" applyBorder="1" applyAlignment="1">
      <alignment horizontal="right" vertical="center"/>
    </xf>
    <xf numFmtId="164" fontId="36" fillId="0" borderId="1" xfId="0" applyNumberFormat="1" applyFont="1" applyBorder="1" applyAlignment="1">
      <alignment horizontal="right" vertical="center"/>
    </xf>
    <xf numFmtId="164" fontId="36" fillId="0" borderId="16" xfId="0" applyNumberFormat="1" applyFont="1" applyBorder="1" applyAlignment="1">
      <alignment horizontal="right" vertical="center"/>
    </xf>
    <xf numFmtId="164" fontId="36" fillId="0" borderId="7" xfId="0" applyNumberFormat="1" applyFont="1" applyBorder="1" applyAlignment="1">
      <alignment horizontal="right" vertical="center"/>
    </xf>
    <xf numFmtId="164" fontId="36" fillId="0" borderId="11" xfId="0" applyNumberFormat="1" applyFont="1" applyBorder="1" applyAlignment="1">
      <alignment horizontal="right" vertical="center"/>
    </xf>
    <xf numFmtId="164" fontId="36" fillId="0" borderId="6" xfId="0" applyNumberFormat="1" applyFont="1" applyBorder="1" applyAlignment="1">
      <alignment horizontal="right" vertical="center"/>
    </xf>
    <xf numFmtId="164" fontId="27" fillId="0" borderId="4" xfId="0" applyNumberFormat="1" applyFont="1" applyBorder="1" applyAlignment="1">
      <alignment horizontal="right" vertical="center"/>
    </xf>
    <xf numFmtId="164" fontId="36" fillId="0" borderId="9" xfId="0" applyNumberFormat="1" applyFont="1" applyBorder="1" applyAlignment="1">
      <alignment horizontal="right" vertical="center"/>
    </xf>
    <xf numFmtId="164" fontId="27" fillId="0" borderId="15" xfId="0" applyNumberFormat="1" applyFont="1" applyBorder="1" applyAlignment="1">
      <alignment horizontal="right" vertical="center"/>
    </xf>
    <xf numFmtId="164" fontId="27" fillId="0" borderId="9" xfId="0" applyNumberFormat="1" applyFont="1" applyBorder="1" applyAlignment="1">
      <alignment horizontal="right" vertical="center"/>
    </xf>
    <xf numFmtId="167" fontId="29" fillId="0" borderId="9" xfId="0" applyNumberFormat="1" applyFont="1" applyBorder="1" applyAlignment="1">
      <alignment horizontal="right" vertical="center"/>
    </xf>
    <xf numFmtId="167" fontId="29" fillId="0" borderId="5" xfId="0" applyNumberFormat="1" applyFont="1" applyBorder="1" applyAlignment="1">
      <alignment horizontal="right" vertical="center"/>
    </xf>
    <xf numFmtId="167" fontId="36" fillId="0" borderId="4" xfId="0" applyNumberFormat="1" applyFont="1" applyBorder="1" applyAlignment="1">
      <alignment horizontal="right" vertical="center"/>
    </xf>
    <xf numFmtId="167" fontId="27" fillId="0" borderId="15" xfId="0" applyNumberFormat="1" applyFont="1" applyBorder="1" applyAlignment="1">
      <alignment horizontal="right" vertical="center"/>
    </xf>
    <xf numFmtId="167" fontId="27" fillId="0" borderId="1" xfId="0" applyNumberFormat="1" applyFont="1" applyBorder="1" applyAlignment="1">
      <alignment horizontal="right" vertical="center"/>
    </xf>
    <xf numFmtId="167" fontId="27" fillId="0" borderId="13" xfId="0" applyNumberFormat="1" applyFont="1" applyBorder="1" applyAlignment="1">
      <alignment horizontal="right" vertical="center"/>
    </xf>
    <xf numFmtId="166" fontId="29" fillId="0" borderId="5" xfId="0" applyNumberFormat="1" applyFont="1" applyBorder="1" applyAlignment="1">
      <alignment horizontal="right" vertical="center"/>
    </xf>
    <xf numFmtId="166" fontId="29" fillId="0" borderId="16" xfId="0" applyNumberFormat="1" applyFont="1" applyBorder="1" applyAlignment="1">
      <alignment horizontal="right" vertical="center"/>
    </xf>
    <xf numFmtId="167" fontId="10" fillId="3" borderId="6" xfId="0" applyNumberFormat="1" applyFont="1" applyFill="1" applyBorder="1" applyAlignment="1">
      <alignment horizontal="right" vertical="center"/>
    </xf>
    <xf numFmtId="167" fontId="36" fillId="0" borderId="16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167" fontId="36" fillId="3" borderId="6" xfId="0" applyNumberFormat="1" applyFont="1" applyFill="1" applyBorder="1" applyAlignment="1">
      <alignment horizontal="right" vertical="center"/>
    </xf>
    <xf numFmtId="168" fontId="37" fillId="0" borderId="13" xfId="0" applyNumberFormat="1" applyFont="1" applyBorder="1" applyAlignment="1">
      <alignment horizontal="right"/>
    </xf>
    <xf numFmtId="168" fontId="34" fillId="0" borderId="12" xfId="0" applyNumberFormat="1" applyFont="1" applyBorder="1" applyAlignment="1">
      <alignment vertical="center"/>
    </xf>
    <xf numFmtId="168" fontId="42" fillId="0" borderId="12" xfId="0" applyNumberFormat="1" applyFont="1" applyBorder="1" applyAlignment="1">
      <alignment horizontal="right" vertical="center"/>
    </xf>
    <xf numFmtId="168" fontId="34" fillId="0" borderId="4" xfId="0" applyNumberFormat="1" applyFont="1" applyBorder="1" applyAlignment="1">
      <alignment horizontal="right" vertical="center"/>
    </xf>
    <xf numFmtId="168" fontId="37" fillId="0" borderId="4" xfId="0" applyNumberFormat="1" applyFont="1" applyBorder="1" applyAlignment="1">
      <alignment horizontal="right" vertical="center"/>
    </xf>
    <xf numFmtId="168" fontId="34" fillId="0" borderId="13" xfId="0" applyNumberFormat="1" applyFont="1" applyBorder="1" applyAlignment="1">
      <alignment horizontal="right" vertical="center"/>
    </xf>
    <xf numFmtId="168" fontId="37" fillId="0" borderId="13" xfId="0" applyNumberFormat="1" applyFont="1" applyBorder="1" applyAlignment="1">
      <alignment horizontal="right" vertical="center"/>
    </xf>
    <xf numFmtId="168" fontId="34" fillId="0" borderId="12" xfId="0" applyNumberFormat="1" applyFont="1" applyBorder="1" applyAlignment="1">
      <alignment horizontal="right" vertical="center"/>
    </xf>
    <xf numFmtId="168" fontId="37" fillId="0" borderId="12" xfId="0" applyNumberFormat="1" applyFont="1" applyBorder="1" applyAlignment="1">
      <alignment horizontal="right" vertical="center"/>
    </xf>
    <xf numFmtId="168" fontId="37" fillId="0" borderId="3" xfId="0" applyNumberFormat="1" applyFont="1" applyBorder="1" applyAlignment="1">
      <alignment horizontal="right" vertical="center"/>
    </xf>
    <xf numFmtId="168" fontId="37" fillId="0" borderId="12" xfId="0" applyNumberFormat="1" applyFont="1" applyBorder="1" applyAlignment="1">
      <alignment horizontal="right"/>
    </xf>
    <xf numFmtId="168" fontId="37" fillId="0" borderId="4" xfId="0" applyNumberFormat="1" applyFont="1" applyBorder="1" applyAlignment="1">
      <alignment vertical="center" wrapText="1"/>
    </xf>
    <xf numFmtId="168" fontId="37" fillId="0" borderId="13" xfId="0" applyNumberFormat="1" applyFont="1" applyBorder="1" applyAlignment="1">
      <alignment vertical="center" wrapText="1"/>
    </xf>
    <xf numFmtId="168" fontId="37" fillId="3" borderId="3" xfId="0" applyNumberFormat="1" applyFont="1" applyFill="1" applyBorder="1" applyAlignment="1">
      <alignment horizontal="right" vertical="center"/>
    </xf>
    <xf numFmtId="168" fontId="30" fillId="0" borderId="12" xfId="0" applyNumberFormat="1" applyFont="1" applyBorder="1" applyAlignment="1">
      <alignment vertical="center"/>
    </xf>
    <xf numFmtId="168" fontId="33" fillId="0" borderId="4" xfId="0" applyNumberFormat="1" applyFont="1" applyBorder="1" applyAlignment="1">
      <alignment vertical="center"/>
    </xf>
    <xf numFmtId="168" fontId="33" fillId="0" borderId="13" xfId="0" applyNumberFormat="1" applyFont="1" applyBorder="1" applyAlignment="1">
      <alignment vertical="center"/>
    </xf>
    <xf numFmtId="174" fontId="27" fillId="0" borderId="10" xfId="0" applyNumberFormat="1" applyFont="1" applyBorder="1" applyAlignment="1">
      <alignment horizontal="right" vertical="center"/>
    </xf>
    <xf numFmtId="174" fontId="27" fillId="0" borderId="14" xfId="0" applyNumberFormat="1" applyFont="1" applyBorder="1" applyAlignment="1">
      <alignment horizontal="right" vertical="center"/>
    </xf>
    <xf numFmtId="174" fontId="36" fillId="0" borderId="1" xfId="0" applyNumberFormat="1" applyFont="1" applyBorder="1" applyAlignment="1">
      <alignment horizontal="right"/>
    </xf>
    <xf numFmtId="174" fontId="36" fillId="0" borderId="16" xfId="0" applyNumberFormat="1" applyFont="1" applyBorder="1" applyAlignment="1">
      <alignment horizontal="right"/>
    </xf>
    <xf numFmtId="174" fontId="27" fillId="0" borderId="8" xfId="0" applyNumberFormat="1" applyFont="1" applyBorder="1" applyAlignment="1">
      <alignment horizontal="right" vertical="center"/>
    </xf>
    <xf numFmtId="174" fontId="36" fillId="0" borderId="15" xfId="0" applyNumberFormat="1" applyFont="1" applyBorder="1" applyAlignment="1">
      <alignment horizontal="right"/>
    </xf>
    <xf numFmtId="0" fontId="1" fillId="0" borderId="0" xfId="0" applyFont="1" applyAlignment="1">
      <alignment horizontal="left"/>
    </xf>
    <xf numFmtId="0" fontId="2" fillId="0" borderId="0" xfId="0" applyFont="1"/>
    <xf numFmtId="0" fontId="43" fillId="0" borderId="0" xfId="0" applyFont="1"/>
    <xf numFmtId="1" fontId="1" fillId="12" borderId="3" xfId="0" applyNumberFormat="1" applyFont="1" applyFill="1" applyBorder="1" applyAlignment="1">
      <alignment horizontal="left"/>
    </xf>
    <xf numFmtId="0" fontId="1" fillId="12" borderId="4" xfId="0" applyFont="1" applyFill="1" applyBorder="1"/>
    <xf numFmtId="0" fontId="1" fillId="12" borderId="12" xfId="0" applyFont="1" applyFill="1" applyBorder="1"/>
    <xf numFmtId="0" fontId="1" fillId="12" borderId="13" xfId="0" applyFont="1" applyFill="1" applyBorder="1"/>
    <xf numFmtId="0" fontId="2" fillId="12" borderId="4" xfId="0" applyFont="1" applyFill="1" applyBorder="1"/>
    <xf numFmtId="0" fontId="2" fillId="12" borderId="12" xfId="0" applyFont="1" applyFill="1" applyBorder="1"/>
    <xf numFmtId="0" fontId="44" fillId="0" borderId="0" xfId="0" applyFont="1" applyAlignment="1">
      <alignment horizontal="left"/>
    </xf>
    <xf numFmtId="0" fontId="2" fillId="13" borderId="3" xfId="0" applyFont="1" applyFill="1" applyBorder="1" applyAlignment="1">
      <alignment vertical="center"/>
    </xf>
    <xf numFmtId="0" fontId="1" fillId="14" borderId="12" xfId="0" applyFont="1" applyFill="1" applyBorder="1"/>
    <xf numFmtId="0" fontId="1" fillId="14" borderId="4" xfId="0" applyFont="1" applyFill="1" applyBorder="1"/>
    <xf numFmtId="0" fontId="1" fillId="14" borderId="13" xfId="0" applyFont="1" applyFill="1" applyBorder="1"/>
    <xf numFmtId="0" fontId="2" fillId="14" borderId="3" xfId="0" applyFont="1" applyFill="1" applyBorder="1"/>
    <xf numFmtId="0" fontId="2" fillId="14" borderId="3" xfId="0" applyFont="1" applyFill="1" applyBorder="1" applyAlignment="1">
      <alignment horizontal="left"/>
    </xf>
    <xf numFmtId="0" fontId="1" fillId="15" borderId="3" xfId="0" applyFont="1" applyFill="1" applyBorder="1" applyAlignment="1">
      <alignment horizontal="left"/>
    </xf>
    <xf numFmtId="0" fontId="45" fillId="16" borderId="0" xfId="0" applyFont="1" applyFill="1"/>
    <xf numFmtId="164" fontId="18" fillId="0" borderId="4" xfId="0" applyNumberFormat="1" applyFont="1" applyBorder="1" applyAlignment="1">
      <alignment horizontal="right" vertical="center"/>
    </xf>
    <xf numFmtId="164" fontId="18" fillId="3" borderId="4" xfId="0" applyNumberFormat="1" applyFont="1" applyFill="1" applyBorder="1" applyAlignment="1">
      <alignment horizontal="right" vertical="center"/>
    </xf>
    <xf numFmtId="164" fontId="18" fillId="0" borderId="12" xfId="0" applyNumberFormat="1" applyFont="1" applyBorder="1" applyAlignment="1">
      <alignment horizontal="right" vertical="center"/>
    </xf>
    <xf numFmtId="164" fontId="18" fillId="3" borderId="1" xfId="0" applyNumberFormat="1" applyFont="1" applyFill="1" applyBorder="1" applyAlignment="1">
      <alignment horizontal="right" vertical="center"/>
    </xf>
    <xf numFmtId="164" fontId="29" fillId="0" borderId="5" xfId="0" applyNumberFormat="1" applyFont="1" applyBorder="1" applyAlignment="1">
      <alignment horizontal="right" vertical="center"/>
    </xf>
    <xf numFmtId="0" fontId="6" fillId="2" borderId="2" xfId="0" applyFont="1" applyFill="1" applyBorder="1" applyAlignment="1">
      <alignment horizontal="left" vertical="center" indent="1"/>
    </xf>
    <xf numFmtId="0" fontId="9" fillId="2" borderId="2" xfId="0" applyFont="1" applyFill="1" applyBorder="1" applyAlignment="1">
      <alignment horizontal="left" vertical="center" inden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" fillId="0" borderId="10" xfId="0" applyFont="1" applyBorder="1" applyAlignment="1">
      <alignment horizontal="center" wrapText="1"/>
    </xf>
    <xf numFmtId="0" fontId="9" fillId="0" borderId="1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2" borderId="8" xfId="0" applyFont="1" applyFill="1" applyBorder="1" applyAlignment="1">
      <alignment horizontal="right" wrapText="1"/>
    </xf>
    <xf numFmtId="0" fontId="10" fillId="2" borderId="14" xfId="0" applyFont="1" applyFill="1" applyBorder="1" applyAlignment="1">
      <alignment horizontal="right" wrapText="1"/>
    </xf>
    <xf numFmtId="0" fontId="10" fillId="2" borderId="15" xfId="0" applyFont="1" applyFill="1" applyBorder="1" applyAlignment="1">
      <alignment horizontal="right" wrapText="1"/>
    </xf>
    <xf numFmtId="0" fontId="10" fillId="2" borderId="16" xfId="0" applyFont="1" applyFill="1" applyBorder="1" applyAlignment="1">
      <alignment horizontal="right" wrapText="1"/>
    </xf>
    <xf numFmtId="0" fontId="9" fillId="0" borderId="4" xfId="0" applyFont="1" applyBorder="1" applyAlignment="1">
      <alignment horizontal="right" wrapText="1"/>
    </xf>
    <xf numFmtId="0" fontId="19" fillId="4" borderId="0" xfId="0" applyFont="1" applyFill="1" applyAlignment="1">
      <alignment horizontal="center" vertical="center" textRotation="90"/>
    </xf>
    <xf numFmtId="0" fontId="19" fillId="5" borderId="0" xfId="0" applyFont="1" applyFill="1" applyAlignment="1">
      <alignment horizontal="center" vertical="center" textRotation="90"/>
    </xf>
    <xf numFmtId="0" fontId="19" fillId="6" borderId="0" xfId="0" applyFont="1" applyFill="1" applyAlignment="1">
      <alignment horizontal="center" vertical="center" textRotation="90"/>
    </xf>
    <xf numFmtId="0" fontId="20" fillId="0" borderId="0" xfId="0" applyFont="1" applyAlignment="1">
      <alignment horizontal="center" wrapText="1"/>
    </xf>
    <xf numFmtId="0" fontId="6" fillId="0" borderId="4" xfId="0" applyFont="1" applyBorder="1" applyAlignment="1">
      <alignment horizontal="right"/>
    </xf>
    <xf numFmtId="0" fontId="6" fillId="2" borderId="7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19" fillId="8" borderId="5" xfId="0" applyFont="1" applyFill="1" applyBorder="1" applyAlignment="1">
      <alignment horizontal="center" vertical="center" textRotation="90"/>
    </xf>
    <xf numFmtId="0" fontId="19" fillId="9" borderId="5" xfId="0" applyFont="1" applyFill="1" applyBorder="1" applyAlignment="1">
      <alignment horizontal="center" vertical="center" textRotation="90"/>
    </xf>
    <xf numFmtId="0" fontId="19" fillId="10" borderId="5" xfId="0" applyFont="1" applyFill="1" applyBorder="1" applyAlignment="1">
      <alignment horizontal="center" vertical="center" textRotation="90"/>
    </xf>
    <xf numFmtId="0" fontId="9" fillId="0" borderId="12" xfId="0" applyFont="1" applyBorder="1" applyAlignment="1">
      <alignment horizontal="right" wrapText="1"/>
    </xf>
    <xf numFmtId="0" fontId="9" fillId="0" borderId="13" xfId="0" applyFont="1" applyBorder="1" applyAlignment="1">
      <alignment horizontal="right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9" fillId="0" borderId="8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25" fillId="0" borderId="12" xfId="0" applyFont="1" applyBorder="1" applyAlignment="1">
      <alignment horizontal="right" wrapText="1"/>
    </xf>
    <xf numFmtId="0" fontId="25" fillId="0" borderId="4" xfId="0" applyFont="1" applyBorder="1" applyAlignment="1">
      <alignment horizontal="right" wrapText="1"/>
    </xf>
    <xf numFmtId="0" fontId="25" fillId="0" borderId="13" xfId="0" applyFont="1" applyBorder="1" applyAlignment="1">
      <alignment horizontal="right" wrapText="1"/>
    </xf>
    <xf numFmtId="0" fontId="6" fillId="0" borderId="1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wrapText="1"/>
    </xf>
    <xf numFmtId="0" fontId="9" fillId="0" borderId="10" xfId="0" applyFont="1" applyBorder="1" applyAlignment="1">
      <alignment horizontal="center" wrapText="1"/>
    </xf>
    <xf numFmtId="0" fontId="9" fillId="0" borderId="14" xfId="0" applyFont="1" applyBorder="1" applyAlignment="1">
      <alignment horizontal="center" wrapText="1"/>
    </xf>
    <xf numFmtId="0" fontId="9" fillId="0" borderId="9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164" fontId="36" fillId="0" borderId="0" xfId="0" applyNumberFormat="1" applyFont="1" applyAlignment="1">
      <alignment horizontal="right" vertical="center"/>
    </xf>
    <xf numFmtId="164" fontId="36" fillId="0" borderId="5" xfId="0" applyNumberFormat="1" applyFont="1" applyBorder="1" applyAlignment="1">
      <alignment horizontal="right" vertical="center"/>
    </xf>
    <xf numFmtId="0" fontId="6" fillId="0" borderId="12" xfId="0" applyFont="1" applyBorder="1" applyAlignment="1">
      <alignment horizontal="right" wrapText="1"/>
    </xf>
    <xf numFmtId="0" fontId="6" fillId="0" borderId="4" xfId="0" applyFont="1" applyBorder="1" applyAlignment="1">
      <alignment horizontal="right" wrapText="1"/>
    </xf>
  </cellXfs>
  <cellStyles count="1">
    <cellStyle name="Standard" xfId="0" builtinId="0"/>
  </cellStyles>
  <dxfs count="44"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numFmt numFmtId="178" formatCode="\-_ \ \ \ \ "/>
    </dxf>
    <dxf>
      <numFmt numFmtId="178" formatCode="\-_ \ \ \ \ "/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numFmt numFmtId="179" formatCode="\-_ "/>
    </dxf>
    <dxf>
      <numFmt numFmtId="179" formatCode="\-_ "/>
    </dxf>
    <dxf>
      <numFmt numFmtId="179" formatCode="\-_ "/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4" dropStyle="combo" dx="22" fmlaLink="DFIE!$D$7" fmlaRange="DFIE!$D$3:$D$6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6</xdr:row>
      <xdr:rowOff>38100</xdr:rowOff>
    </xdr:from>
    <xdr:to>
      <xdr:col>3</xdr:col>
      <xdr:colOff>857250</xdr:colOff>
      <xdr:row>7</xdr:row>
      <xdr:rowOff>114300</xdr:rowOff>
    </xdr:to>
    <xdr:sp macro="" textlink="">
      <xdr:nvSpPr>
        <xdr:cNvPr id="2049" name="Drop Down 1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</xdr:colOff>
      <xdr:row>0</xdr:row>
      <xdr:rowOff>123825</xdr:rowOff>
    </xdr:from>
    <xdr:to>
      <xdr:col>2</xdr:col>
      <xdr:colOff>977900</xdr:colOff>
      <xdr:row>3</xdr:row>
      <xdr:rowOff>79375</xdr:rowOff>
    </xdr:to>
    <xdr:pic>
      <xdr:nvPicPr>
        <xdr:cNvPr id="3" name="Picture 37" descr="Logo_CMYK_po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123825"/>
          <a:ext cx="1997075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632460</xdr:colOff>
          <xdr:row>6</xdr:row>
          <xdr:rowOff>38100</xdr:rowOff>
        </xdr:from>
        <xdr:to>
          <xdr:col>3</xdr:col>
          <xdr:colOff>861060</xdr:colOff>
          <xdr:row>7</xdr:row>
          <xdr:rowOff>114300</xdr:rowOff>
        </xdr:to>
        <xdr:sp macro="" textlink="">
          <xdr:nvSpPr>
            <xdr:cNvPr id="2" name="Drop Down 1025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E43"/>
  <sheetViews>
    <sheetView showGridLines="0" showRowColHeaders="0" tabSelected="1" zoomScaleNormal="100" workbookViewId="0">
      <selection activeCell="A60" sqref="A60"/>
    </sheetView>
  </sheetViews>
  <sheetFormatPr baseColWidth="10" defaultColWidth="9.109375" defaultRowHeight="13.2" x14ac:dyDescent="0.25"/>
  <cols>
    <col min="1" max="1" width="2.6640625" customWidth="1"/>
    <col min="2" max="3" width="15.6640625" customWidth="1"/>
    <col min="4" max="4" width="17.6640625" customWidth="1"/>
    <col min="5" max="5" width="38.109375" customWidth="1"/>
  </cols>
  <sheetData>
    <row r="1" spans="2:5" ht="18" customHeight="1" x14ac:dyDescent="0.25">
      <c r="E1" s="1" t="str">
        <f ca="1">DFIE!$B$10</f>
        <v>Eidgenössisches Finanzdepartement EFD</v>
      </c>
    </row>
    <row r="2" spans="2:5" x14ac:dyDescent="0.25">
      <c r="E2" s="2" t="str">
        <f ca="1">DFIE!$B$11</f>
        <v>Eidgenössische Finanzverwaltung EFV</v>
      </c>
    </row>
    <row r="7" spans="2:5" x14ac:dyDescent="0.25">
      <c r="B7" s="3" t="s">
        <v>156</v>
      </c>
    </row>
    <row r="8" spans="2:5" x14ac:dyDescent="0.25">
      <c r="B8" s="3" t="s">
        <v>157</v>
      </c>
    </row>
    <row r="9" spans="2:5" x14ac:dyDescent="0.25">
      <c r="B9" s="3" t="s">
        <v>158</v>
      </c>
    </row>
    <row r="10" spans="2:5" x14ac:dyDescent="0.25">
      <c r="B10" s="3" t="s">
        <v>159</v>
      </c>
    </row>
    <row r="13" spans="2:5" ht="21" customHeight="1" x14ac:dyDescent="0.3">
      <c r="B13" s="4" t="str">
        <f ca="1">DFIE!$B$12</f>
        <v>Finanzausgleich zwischen Bund und Kantonen</v>
      </c>
    </row>
    <row r="14" spans="2:5" ht="21" customHeight="1" x14ac:dyDescent="0.3">
      <c r="B14" s="4" t="str">
        <f ca="1">DFIE!$B$13</f>
        <v>Ressourcenausgleich 2025</v>
      </c>
    </row>
    <row r="15" spans="2:5" ht="15" customHeight="1" x14ac:dyDescent="0.25"/>
    <row r="16" spans="2:5" ht="15" customHeight="1" x14ac:dyDescent="0.25"/>
    <row r="17" spans="2:5" ht="20.25" customHeight="1" x14ac:dyDescent="0.25">
      <c r="B17" s="9" t="s">
        <v>160</v>
      </c>
      <c r="C17" s="508" t="str">
        <f ca="1">DFIE!$B$14</f>
        <v>Übersicht über die Zahlungen im Ressourcenausgleich</v>
      </c>
      <c r="D17" s="508"/>
      <c r="E17" s="508"/>
    </row>
    <row r="18" spans="2:5" ht="16.5" customHeight="1" x14ac:dyDescent="0.25">
      <c r="B18" s="5"/>
      <c r="C18" s="6"/>
    </row>
    <row r="19" spans="2:5" ht="20.25" customHeight="1" x14ac:dyDescent="0.25">
      <c r="B19" s="8" t="s">
        <v>161</v>
      </c>
      <c r="C19" s="507" t="str">
        <f ca="1">DFIE!$B$15</f>
        <v>Einkommen natürlicher Personen</v>
      </c>
      <c r="D19" s="507"/>
      <c r="E19" s="507"/>
    </row>
    <row r="20" spans="2:5" ht="20.25" customHeight="1" x14ac:dyDescent="0.25">
      <c r="B20" s="8" t="s">
        <v>162</v>
      </c>
      <c r="C20" s="507" t="str">
        <f ca="1">DFIE!$B$16</f>
        <v>Quellenbesteuerte Einkommen natürlicher Personen</v>
      </c>
      <c r="D20" s="507"/>
      <c r="E20" s="507"/>
    </row>
    <row r="21" spans="2:5" ht="20.25" customHeight="1" x14ac:dyDescent="0.25">
      <c r="B21" s="8" t="s">
        <v>163</v>
      </c>
      <c r="C21" s="507" t="str">
        <f ca="1">DFIE!$B$17</f>
        <v>Vermögen natürlicher Personen</v>
      </c>
      <c r="D21" s="507"/>
      <c r="E21" s="507"/>
    </row>
    <row r="22" spans="2:5" ht="20.25" customHeight="1" x14ac:dyDescent="0.25">
      <c r="B22" s="8" t="s">
        <v>164</v>
      </c>
      <c r="C22" s="507" t="str">
        <f ca="1">DFIE!$B$20</f>
        <v>Gewinne juristischer Personen</v>
      </c>
      <c r="D22" s="507"/>
      <c r="E22" s="507"/>
    </row>
    <row r="23" spans="2:5" ht="20.25" customHeight="1" x14ac:dyDescent="0.25">
      <c r="B23" s="8" t="s">
        <v>165</v>
      </c>
      <c r="C23" s="507" t="str">
        <f ca="1">DFIE!$B$21</f>
        <v>Steuerrepartitionen</v>
      </c>
      <c r="D23" s="507"/>
      <c r="E23" s="507"/>
    </row>
    <row r="24" spans="2:5" ht="20.25" customHeight="1" x14ac:dyDescent="0.25">
      <c r="B24" s="8" t="s">
        <v>166</v>
      </c>
      <c r="C24" s="507" t="str">
        <f ca="1">DFIE!$B$22</f>
        <v>Aggregierte Steuerbemessungsgrundlage</v>
      </c>
      <c r="D24" s="507"/>
      <c r="E24" s="507"/>
    </row>
    <row r="25" spans="2:5" ht="20.25" customHeight="1" x14ac:dyDescent="0.25">
      <c r="B25" s="8" t="s">
        <v>167</v>
      </c>
      <c r="C25" s="507" t="str">
        <f ca="1">DFIE!$B$23</f>
        <v>Massgebende Wohnbevölkerung</v>
      </c>
      <c r="D25" s="507"/>
      <c r="E25" s="507"/>
    </row>
    <row r="26" spans="2:5" ht="20.25" customHeight="1" x14ac:dyDescent="0.25">
      <c r="B26" s="8" t="s">
        <v>168</v>
      </c>
      <c r="C26" s="507" t="str">
        <f ca="1">DFIE!$B$24</f>
        <v>Berechnung Ressourcenpotenzial und -index</v>
      </c>
      <c r="D26" s="507"/>
      <c r="E26" s="507"/>
    </row>
    <row r="27" spans="2:5" ht="20.25" customHeight="1" x14ac:dyDescent="0.25">
      <c r="B27" s="8" t="s">
        <v>173</v>
      </c>
      <c r="C27" s="507" t="str">
        <f ca="1">DFIE!$B$25</f>
        <v>Standardisierter Steuersatz</v>
      </c>
      <c r="D27" s="507"/>
      <c r="E27" s="507"/>
    </row>
    <row r="28" spans="2:5" ht="20.25" customHeight="1" x14ac:dyDescent="0.25">
      <c r="B28" s="8" t="s">
        <v>171</v>
      </c>
      <c r="C28" s="507" t="str">
        <f ca="1">DFIE!$B$26</f>
        <v>Auszahlungen an die ressourcenschwachen Kantone</v>
      </c>
      <c r="D28" s="507"/>
      <c r="E28" s="507"/>
    </row>
    <row r="29" spans="2:5" ht="20.25" customHeight="1" x14ac:dyDescent="0.25">
      <c r="B29" s="8" t="s">
        <v>169</v>
      </c>
      <c r="C29" s="507" t="str">
        <f ca="1">DFIE!$B$27</f>
        <v>Dotationen im Ressourcenausgleich</v>
      </c>
      <c r="D29" s="507"/>
      <c r="E29" s="507"/>
    </row>
    <row r="30" spans="2:5" ht="20.25" customHeight="1" x14ac:dyDescent="0.25">
      <c r="B30" s="8" t="s">
        <v>170</v>
      </c>
      <c r="C30" s="507" t="str">
        <f ca="1">DFIE!$B$28</f>
        <v>Einzahlungen der ressourcenstarken Kantone</v>
      </c>
      <c r="D30" s="507"/>
      <c r="E30" s="507"/>
    </row>
    <row r="31" spans="2:5" ht="20.25" customHeight="1" x14ac:dyDescent="0.25">
      <c r="B31" s="8" t="s">
        <v>172</v>
      </c>
      <c r="C31" s="507" t="str">
        <f ca="1">DFIE!$B$29</f>
        <v>Standardisierter Steuerertrag</v>
      </c>
      <c r="D31" s="507"/>
      <c r="E31" s="507"/>
    </row>
    <row r="32" spans="2:5" ht="20.25" customHeight="1" x14ac:dyDescent="0.25">
      <c r="B32" s="8" t="s">
        <v>778</v>
      </c>
      <c r="C32" s="507" t="str">
        <f ca="1">DFIE!$B$30</f>
        <v>Berechnung Faktor Alpha</v>
      </c>
      <c r="D32" s="507"/>
      <c r="E32" s="507"/>
    </row>
    <row r="33" spans="2:5" ht="20.25" customHeight="1" x14ac:dyDescent="0.25">
      <c r="B33" s="8" t="s">
        <v>653</v>
      </c>
      <c r="C33" s="507" t="str">
        <f ca="1">DFIE!$B$31</f>
        <v>Berechnung Faktoren Zeta</v>
      </c>
      <c r="D33" s="507"/>
      <c r="E33" s="507"/>
    </row>
    <row r="34" spans="2:5" ht="20.25" customHeight="1" x14ac:dyDescent="0.25"/>
    <row r="35" spans="2:5" ht="20.25" customHeight="1" x14ac:dyDescent="0.25"/>
    <row r="36" spans="2:5" ht="20.25" customHeight="1" x14ac:dyDescent="0.25"/>
    <row r="37" spans="2:5" ht="20.25" customHeight="1" x14ac:dyDescent="0.25"/>
    <row r="38" spans="2:5" ht="20.25" customHeight="1" x14ac:dyDescent="0.25"/>
    <row r="39" spans="2:5" ht="20.25" customHeight="1" x14ac:dyDescent="0.25">
      <c r="B39" s="7"/>
      <c r="C39" s="7"/>
      <c r="D39" s="7"/>
      <c r="E39" s="7"/>
    </row>
    <row r="41" spans="2:5" x14ac:dyDescent="0.25">
      <c r="B41" s="11"/>
      <c r="C41" s="11" t="str">
        <f ca="1">DFIE!$B$69</f>
        <v>Referenzjahr</v>
      </c>
      <c r="D41" s="10">
        <v>2025</v>
      </c>
    </row>
    <row r="42" spans="2:5" x14ac:dyDescent="0.25">
      <c r="B42" s="11"/>
      <c r="C42" s="11" t="str">
        <f ca="1">DFIE!$B$70</f>
        <v>Berechnungsdatum</v>
      </c>
      <c r="D42" s="13" t="s">
        <v>942</v>
      </c>
    </row>
    <row r="43" spans="2:5" x14ac:dyDescent="0.25">
      <c r="B43" s="11"/>
      <c r="C43" s="11" t="str">
        <f ca="1">DFIE!$B$71</f>
        <v>Berechnungs-ID</v>
      </c>
      <c r="D43" s="12" t="s">
        <v>943</v>
      </c>
    </row>
  </sheetData>
  <mergeCells count="16">
    <mergeCell ref="C17:E17"/>
    <mergeCell ref="C27:E27"/>
    <mergeCell ref="C19:E19"/>
    <mergeCell ref="C20:E20"/>
    <mergeCell ref="C21:E21"/>
    <mergeCell ref="C22:E22"/>
    <mergeCell ref="C23:E23"/>
    <mergeCell ref="C24:E24"/>
    <mergeCell ref="C25:E25"/>
    <mergeCell ref="C26:E26"/>
    <mergeCell ref="C31:E31"/>
    <mergeCell ref="C29:E29"/>
    <mergeCell ref="C30:E30"/>
    <mergeCell ref="C28:E28"/>
    <mergeCell ref="C33:E33"/>
    <mergeCell ref="C32:E32"/>
  </mergeCells>
  <conditionalFormatting sqref="D41:D43">
    <cfRule type="expression" dxfId="43" priority="1" stopIfTrue="1">
      <formula>ISBLANK(D41)</formula>
    </cfRule>
  </conditionalFormatting>
  <hyperlinks>
    <hyperlink ref="B17" location="TOTAL!A1" display="TOTAL" xr:uid="{00000000-0004-0000-0000-000000000000}"/>
    <hyperlink ref="B30" location="EINZ!A1" display="EINZ" xr:uid="{00000000-0004-0000-0000-000001000000}"/>
    <hyperlink ref="B29" location="DOT!A1" display="DOT" xr:uid="{00000000-0004-0000-0000-000002000000}"/>
    <hyperlink ref="B31" location="SSE!A1" display="SSE" xr:uid="{00000000-0004-0000-0000-000003000000}"/>
    <hyperlink ref="B28" location="AUSZ!A1" display="AUSZ" xr:uid="{00000000-0004-0000-0000-000004000000}"/>
    <hyperlink ref="B26" location="RP!A1" display="RP" xr:uid="{00000000-0004-0000-0000-000005000000}"/>
    <hyperlink ref="B25" location="BEV!A1" display="BEV" xr:uid="{00000000-0004-0000-0000-000006000000}"/>
    <hyperlink ref="B24" location="ASG!A1" display="ASG" xr:uid="{00000000-0004-0000-0000-000007000000}"/>
    <hyperlink ref="B23" location="REP!A1" display="REP" xr:uid="{00000000-0004-0000-0000-000008000000}"/>
    <hyperlink ref="B22" location="JP!A1" display="JP" xr:uid="{00000000-0004-0000-0000-000009000000}"/>
    <hyperlink ref="B21" location="VERM!A1" display="VERM" xr:uid="{00000000-0004-0000-0000-00000A000000}"/>
    <hyperlink ref="B20" location="QS!A1" display="QS" xr:uid="{00000000-0004-0000-0000-00000B000000}"/>
    <hyperlink ref="B19" location="NP!A1" display="NP" xr:uid="{00000000-0004-0000-0000-00000C000000}"/>
    <hyperlink ref="B27" location="SST!A1" display="SST" xr:uid="{00000000-0004-0000-0000-00000D000000}"/>
    <hyperlink ref="B33" location="ZETA!A1" display="ZETA" xr:uid="{00000000-0004-0000-0000-00000E000000}"/>
    <hyperlink ref="B32" location="SSE!A1" display="ALPHA" xr:uid="{00000000-0004-0000-0000-000011000000}"/>
  </hyperlinks>
  <pageMargins left="0.7" right="0.54" top="0.78740157499999996" bottom="0.78740157499999996" header="0.3" footer="0.3"/>
  <pageSetup paperSize="9" orientation="portrait"/>
  <customProperties>
    <customPr name="EpmWorksheetKeyString_GUID" r:id="rId1"/>
  </customPropertie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Drop Down 1025">
              <controlPr defaultSize="0" autoLine="0" autoPict="0">
                <anchor moveWithCells="1">
                  <from>
                    <xdr:col>2</xdr:col>
                    <xdr:colOff>632460</xdr:colOff>
                    <xdr:row>6</xdr:row>
                    <xdr:rowOff>38100</xdr:rowOff>
                  </from>
                  <to>
                    <xdr:col>3</xdr:col>
                    <xdr:colOff>861060</xdr:colOff>
                    <xdr:row>7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0"/>
  <dimension ref="A1:I38"/>
  <sheetViews>
    <sheetView showGridLines="0" zoomScaleNormal="100" workbookViewId="0">
      <selection activeCell="A50" sqref="A50"/>
    </sheetView>
  </sheetViews>
  <sheetFormatPr baseColWidth="10" defaultColWidth="9.109375" defaultRowHeight="13.2" x14ac:dyDescent="0.25"/>
  <cols>
    <col min="1" max="1" width="1.6640625" customWidth="1"/>
    <col min="2" max="2" width="17.33203125" customWidth="1"/>
    <col min="3" max="6" width="16.6640625" customWidth="1"/>
    <col min="7" max="9" width="17.6640625" customWidth="1"/>
  </cols>
  <sheetData>
    <row r="1" spans="1:9" ht="22.5" customHeight="1" x14ac:dyDescent="0.3">
      <c r="B1" s="4" t="str">
        <f ca="1">DFIE!$B$172</f>
        <v>Berechnung Ressourcenpotenzial und -index 2025</v>
      </c>
      <c r="C1" s="171"/>
      <c r="D1" s="171"/>
      <c r="E1" s="179"/>
      <c r="F1" s="173"/>
      <c r="G1" s="44"/>
      <c r="H1" s="44"/>
      <c r="I1" s="44"/>
    </row>
    <row r="2" spans="1:9" ht="12.75" customHeight="1" x14ac:dyDescent="0.25">
      <c r="A2" s="164"/>
      <c r="B2" s="44"/>
      <c r="C2" s="164"/>
      <c r="D2" s="164"/>
      <c r="E2" s="165"/>
      <c r="F2" s="166"/>
    </row>
    <row r="3" spans="1:9" ht="0.75" customHeight="1" x14ac:dyDescent="0.25">
      <c r="A3" s="164"/>
      <c r="B3" s="44"/>
      <c r="C3" s="165"/>
      <c r="D3" s="165"/>
      <c r="E3" s="165"/>
      <c r="F3" s="165"/>
      <c r="G3" s="165"/>
      <c r="H3" s="165"/>
      <c r="I3" s="166"/>
    </row>
    <row r="4" spans="1:9" ht="0.75" customHeight="1" x14ac:dyDescent="0.25">
      <c r="A4" s="164"/>
      <c r="B4" s="44"/>
      <c r="C4" s="165"/>
      <c r="D4" s="165"/>
      <c r="E4" s="165"/>
      <c r="F4" s="165"/>
      <c r="G4" s="165"/>
      <c r="H4" s="165"/>
      <c r="I4" s="166"/>
    </row>
    <row r="5" spans="1:9" ht="12" customHeight="1" x14ac:dyDescent="0.25">
      <c r="A5" s="127"/>
      <c r="B5" s="32" t="str">
        <f ca="1">DFIE!$B$59</f>
        <v>Spalte</v>
      </c>
      <c r="C5" s="33" t="s">
        <v>30</v>
      </c>
      <c r="D5" s="33" t="s">
        <v>31</v>
      </c>
      <c r="E5" s="33" t="s">
        <v>32</v>
      </c>
      <c r="F5" s="33" t="s">
        <v>43</v>
      </c>
      <c r="G5" s="109" t="s">
        <v>42</v>
      </c>
      <c r="H5" s="33" t="s">
        <v>33</v>
      </c>
      <c r="I5" s="107" t="s">
        <v>34</v>
      </c>
    </row>
    <row r="6" spans="1:9" ht="12" customHeight="1" x14ac:dyDescent="0.25">
      <c r="A6" s="127"/>
      <c r="B6" s="32" t="str">
        <f ca="1">DFIE!$B$60</f>
        <v>Formel</v>
      </c>
      <c r="C6" s="147"/>
      <c r="D6" s="147"/>
      <c r="E6" s="147"/>
      <c r="F6" s="105" t="s">
        <v>62</v>
      </c>
      <c r="G6" s="180"/>
      <c r="H6" s="105" t="s">
        <v>63</v>
      </c>
      <c r="I6" s="181" t="str">
        <f ca="1">DFIE!$B$180</f>
        <v>H / H[Schweiz] * 100</v>
      </c>
    </row>
    <row r="7" spans="1:9" ht="38.25" customHeight="1" x14ac:dyDescent="0.25">
      <c r="B7" s="191"/>
      <c r="C7" s="197" t="str">
        <f ca="1">DFIE!B173</f>
        <v>ASG 2019</v>
      </c>
      <c r="D7" s="198" t="str">
        <f ca="1">DFIE!$B$174</f>
        <v>ASG 2020</v>
      </c>
      <c r="E7" s="199" t="str">
        <f ca="1">DFIE!$B$175</f>
        <v>ASG 2021</v>
      </c>
      <c r="F7" s="195" t="str">
        <f ca="1">DFIE!$B$176</f>
        <v>Ressourcen-
potenzial</v>
      </c>
      <c r="G7" s="142" t="str">
        <f ca="1">DFIE!$B$177</f>
        <v>Massgebende
Wohnbevölkerung</v>
      </c>
      <c r="H7" s="67" t="str">
        <f ca="1">DFIE!$B$178</f>
        <v>Ressourcen-
potenzial pro
Einwohner</v>
      </c>
      <c r="I7" s="196" t="str">
        <f ca="1">DFIE!$B$179</f>
        <v>Ressourcen-
index</v>
      </c>
    </row>
    <row r="8" spans="1:9" ht="12.75" customHeight="1" x14ac:dyDescent="0.25">
      <c r="B8" s="32" t="str">
        <f ca="1">DFIE!$B$62</f>
        <v>Einheit</v>
      </c>
      <c r="C8" s="38" t="str">
        <f ca="1">DFIE!$B$64</f>
        <v>CHF 1'000</v>
      </c>
      <c r="D8" s="38" t="str">
        <f ca="1">DFIE!$B$64</f>
        <v>CHF 1'000</v>
      </c>
      <c r="E8" s="38" t="str">
        <f ca="1">DFIE!$B$64</f>
        <v>CHF 1'000</v>
      </c>
      <c r="F8" s="38" t="str">
        <f ca="1">DFIE!$B$64</f>
        <v>CHF 1'000</v>
      </c>
      <c r="G8" s="112" t="str">
        <f ca="1">DFIE!$B$65</f>
        <v>Anzahl</v>
      </c>
      <c r="H8" s="38" t="str">
        <f ca="1">DFIE!$B$63</f>
        <v>CHF</v>
      </c>
      <c r="I8" s="111" t="str">
        <f ca="1">DFIE!$B$66</f>
        <v>Punkte</v>
      </c>
    </row>
    <row r="9" spans="1:9" x14ac:dyDescent="0.25">
      <c r="B9" s="16" t="str">
        <f ca="1">DFIE!$B$32</f>
        <v>Zürich</v>
      </c>
      <c r="C9" s="94">
        <f>ASG!H9</f>
        <v>71045505.876445785</v>
      </c>
      <c r="D9" s="94">
        <f>ASG!H37</f>
        <v>58832570.801965505</v>
      </c>
      <c r="E9" s="94">
        <f>ASG!H65</f>
        <v>63244071.362420812</v>
      </c>
      <c r="F9" s="94">
        <f>AVERAGE(C9:E9)</f>
        <v>64374049.346944034</v>
      </c>
      <c r="G9" s="31">
        <f>BEV!F9</f>
        <v>1554506.6666666667</v>
      </c>
      <c r="H9" s="94">
        <f t="shared" ref="H9:H35" si="0">F9/G9*1000</f>
        <v>41411.240445164192</v>
      </c>
      <c r="I9" s="192">
        <f>H9/$H$35*100</f>
        <v>118.95371559857108</v>
      </c>
    </row>
    <row r="10" spans="1:9" x14ac:dyDescent="0.25">
      <c r="B10" s="18" t="str">
        <f ca="1">DFIE!$B$33</f>
        <v>Bern</v>
      </c>
      <c r="C10" s="93">
        <f>ASG!H10</f>
        <v>29378503.719544716</v>
      </c>
      <c r="D10" s="93">
        <f>ASG!H38</f>
        <v>24646649.798618019</v>
      </c>
      <c r="E10" s="93">
        <f>ASG!H66</f>
        <v>26455459.037312523</v>
      </c>
      <c r="F10" s="93">
        <f t="shared" ref="F10:F34" si="1">AVERAGE(C10:E10)</f>
        <v>26826870.851825088</v>
      </c>
      <c r="G10" s="30">
        <f>BEV!F10</f>
        <v>1046974</v>
      </c>
      <c r="H10" s="93">
        <f t="shared" si="0"/>
        <v>25623.244561780033</v>
      </c>
      <c r="I10" s="193">
        <f t="shared" ref="I10:I34" si="2">H10/$H$35*100</f>
        <v>73.60272509466796</v>
      </c>
    </row>
    <row r="11" spans="1:9" x14ac:dyDescent="0.25">
      <c r="B11" s="16" t="str">
        <f ca="1">DFIE!$B$34</f>
        <v>Luzern</v>
      </c>
      <c r="C11" s="94">
        <f>ASG!H11</f>
        <v>14837734.547669882</v>
      </c>
      <c r="D11" s="94">
        <f>ASG!H39</f>
        <v>12085796.008271122</v>
      </c>
      <c r="E11" s="94">
        <f>ASG!H67</f>
        <v>13389195.750967566</v>
      </c>
      <c r="F11" s="94">
        <f t="shared" si="1"/>
        <v>13437575.435636191</v>
      </c>
      <c r="G11" s="31">
        <f>BEV!F11</f>
        <v>417391.5</v>
      </c>
      <c r="H11" s="94">
        <f t="shared" si="0"/>
        <v>32194.176056858345</v>
      </c>
      <c r="I11" s="192">
        <f t="shared" si="2"/>
        <v>92.477714297617922</v>
      </c>
    </row>
    <row r="12" spans="1:9" x14ac:dyDescent="0.25">
      <c r="B12" s="18" t="str">
        <f ca="1">DFIE!$B$35</f>
        <v>Uri</v>
      </c>
      <c r="C12" s="93">
        <f>ASG!H12</f>
        <v>983578.76231148792</v>
      </c>
      <c r="D12" s="93">
        <f>ASG!H40</f>
        <v>831459.04546564445</v>
      </c>
      <c r="E12" s="93">
        <f>ASG!H68</f>
        <v>915563.04937701684</v>
      </c>
      <c r="F12" s="93">
        <f t="shared" si="1"/>
        <v>910200.28571804974</v>
      </c>
      <c r="G12" s="30">
        <f>BEV!F12</f>
        <v>37056.166666666664</v>
      </c>
      <c r="H12" s="93">
        <f t="shared" si="0"/>
        <v>24562.72106895523</v>
      </c>
      <c r="I12" s="193">
        <f t="shared" si="2"/>
        <v>70.55637322027448</v>
      </c>
    </row>
    <row r="13" spans="1:9" x14ac:dyDescent="0.25">
      <c r="B13" s="16" t="str">
        <f ca="1">DFIE!$B$36</f>
        <v>Schwyz</v>
      </c>
      <c r="C13" s="94">
        <f>ASG!H13</f>
        <v>10856295.342529844</v>
      </c>
      <c r="D13" s="94">
        <f>ASG!H41</f>
        <v>9476951.1251544058</v>
      </c>
      <c r="E13" s="94">
        <f>ASG!H69</f>
        <v>10886353.633394273</v>
      </c>
      <c r="F13" s="94">
        <f t="shared" si="1"/>
        <v>10406533.367026174</v>
      </c>
      <c r="G13" s="31">
        <f>BEV!F13</f>
        <v>162029.33333333334</v>
      </c>
      <c r="H13" s="94">
        <f t="shared" si="0"/>
        <v>64226.230849308195</v>
      </c>
      <c r="I13" s="192">
        <f t="shared" si="2"/>
        <v>184.48973554736722</v>
      </c>
    </row>
    <row r="14" spans="1:9" x14ac:dyDescent="0.25">
      <c r="B14" s="18" t="str">
        <f ca="1">DFIE!$B$37</f>
        <v>Obwalden</v>
      </c>
      <c r="C14" s="93">
        <f>ASG!H14</f>
        <v>1658125.0333158316</v>
      </c>
      <c r="D14" s="93">
        <f>ASG!H42</f>
        <v>1393044.3679813852</v>
      </c>
      <c r="E14" s="93">
        <f>ASG!H70</f>
        <v>1392475.9359934586</v>
      </c>
      <c r="F14" s="93">
        <f t="shared" si="1"/>
        <v>1481215.1124302251</v>
      </c>
      <c r="G14" s="30">
        <f>BEV!F14</f>
        <v>38368.166666666664</v>
      </c>
      <c r="H14" s="93">
        <f t="shared" si="0"/>
        <v>38605.313756548836</v>
      </c>
      <c r="I14" s="193">
        <f t="shared" si="2"/>
        <v>110.89369610338187</v>
      </c>
    </row>
    <row r="15" spans="1:9" x14ac:dyDescent="0.25">
      <c r="B15" s="16" t="str">
        <f ca="1">DFIE!$B$38</f>
        <v>Nidwalden</v>
      </c>
      <c r="C15" s="94">
        <f>ASG!H15</f>
        <v>2664009.8086425452</v>
      </c>
      <c r="D15" s="94">
        <f>ASG!H43</f>
        <v>2238946.8883375651</v>
      </c>
      <c r="E15" s="94">
        <f>ASG!H71</f>
        <v>2372690.9926860696</v>
      </c>
      <c r="F15" s="94">
        <f t="shared" si="1"/>
        <v>2425215.8965553935</v>
      </c>
      <c r="G15" s="31">
        <f>BEV!F15</f>
        <v>43583.833333333336</v>
      </c>
      <c r="H15" s="94">
        <f t="shared" si="0"/>
        <v>55644.850649255881</v>
      </c>
      <c r="I15" s="192">
        <f t="shared" si="2"/>
        <v>159.83973596302889</v>
      </c>
    </row>
    <row r="16" spans="1:9" x14ac:dyDescent="0.25">
      <c r="B16" s="18" t="str">
        <f ca="1">DFIE!$B$39</f>
        <v>Glarus</v>
      </c>
      <c r="C16" s="93">
        <f>ASG!H16</f>
        <v>1127185.2594263367</v>
      </c>
      <c r="D16" s="93">
        <f>ASG!H44</f>
        <v>961017.53524680086</v>
      </c>
      <c r="E16" s="93">
        <f>ASG!H72</f>
        <v>1004033.269795859</v>
      </c>
      <c r="F16" s="93">
        <f t="shared" si="1"/>
        <v>1030745.3548229989</v>
      </c>
      <c r="G16" s="30">
        <f>BEV!F16</f>
        <v>41057.833333333336</v>
      </c>
      <c r="H16" s="93">
        <f t="shared" si="0"/>
        <v>25104.718664883243</v>
      </c>
      <c r="I16" s="193">
        <f t="shared" si="2"/>
        <v>72.11326036463575</v>
      </c>
    </row>
    <row r="17" spans="2:9" x14ac:dyDescent="0.25">
      <c r="B17" s="16" t="str">
        <f ca="1">DFIE!$B$40</f>
        <v>Zug</v>
      </c>
      <c r="C17" s="94">
        <f>ASG!H17</f>
        <v>13670871.494344467</v>
      </c>
      <c r="D17" s="94">
        <f>ASG!H45</f>
        <v>10721901.606300887</v>
      </c>
      <c r="E17" s="94">
        <f>ASG!H73</f>
        <v>13654925.456813032</v>
      </c>
      <c r="F17" s="94">
        <f t="shared" si="1"/>
        <v>12682566.185819462</v>
      </c>
      <c r="G17" s="31">
        <f>BEV!F17</f>
        <v>129802.66666666667</v>
      </c>
      <c r="H17" s="94">
        <f t="shared" si="0"/>
        <v>97706.514908420941</v>
      </c>
      <c r="I17" s="192">
        <f t="shared" si="2"/>
        <v>280.66179282734032</v>
      </c>
    </row>
    <row r="18" spans="2:9" x14ac:dyDescent="0.25">
      <c r="B18" s="18" t="str">
        <f ca="1">DFIE!$B$41</f>
        <v>Freiburg</v>
      </c>
      <c r="C18" s="93">
        <f>ASG!H18</f>
        <v>8683750.1957878582</v>
      </c>
      <c r="D18" s="93">
        <f>ASG!H46</f>
        <v>7761121.4544741558</v>
      </c>
      <c r="E18" s="93">
        <f>ASG!H74</f>
        <v>8001782.6390892286</v>
      </c>
      <c r="F18" s="93">
        <f t="shared" si="1"/>
        <v>8148884.7631170796</v>
      </c>
      <c r="G18" s="30">
        <f>BEV!F18</f>
        <v>325469.66666666669</v>
      </c>
      <c r="H18" s="93">
        <f t="shared" si="0"/>
        <v>25037.309456745315</v>
      </c>
      <c r="I18" s="193">
        <f t="shared" si="2"/>
        <v>71.919627532405542</v>
      </c>
    </row>
    <row r="19" spans="2:9" x14ac:dyDescent="0.25">
      <c r="B19" s="16" t="str">
        <f ca="1">DFIE!$B$42</f>
        <v>Solothurn</v>
      </c>
      <c r="C19" s="94">
        <f>ASG!H19</f>
        <v>7382094.722369533</v>
      </c>
      <c r="D19" s="94">
        <f>ASG!H47</f>
        <v>6590602.3883869462</v>
      </c>
      <c r="E19" s="94">
        <f>ASG!H75</f>
        <v>6896682.9120877637</v>
      </c>
      <c r="F19" s="94">
        <f t="shared" si="1"/>
        <v>6956460.0076147476</v>
      </c>
      <c r="G19" s="31">
        <f>BEV!F19</f>
        <v>278409.83333333331</v>
      </c>
      <c r="H19" s="94">
        <f t="shared" si="0"/>
        <v>24986.401968374252</v>
      </c>
      <c r="I19" s="192">
        <f t="shared" si="2"/>
        <v>71.773395861283589</v>
      </c>
    </row>
    <row r="20" spans="2:9" x14ac:dyDescent="0.25">
      <c r="B20" s="18" t="str">
        <f ca="1">DFIE!$B$43</f>
        <v>Basel-Stadt</v>
      </c>
      <c r="C20" s="93">
        <f>ASG!H20</f>
        <v>13052353.680552149</v>
      </c>
      <c r="D20" s="93">
        <f>ASG!H48</f>
        <v>9673988.9909124561</v>
      </c>
      <c r="E20" s="93">
        <f>ASG!H76</f>
        <v>10610614.008412685</v>
      </c>
      <c r="F20" s="93">
        <f t="shared" si="1"/>
        <v>11112318.893292431</v>
      </c>
      <c r="G20" s="30">
        <f>BEV!F20</f>
        <v>198795.16666666666</v>
      </c>
      <c r="H20" s="93">
        <f t="shared" si="0"/>
        <v>55898.335355030082</v>
      </c>
      <c r="I20" s="193">
        <f t="shared" si="2"/>
        <v>160.56787033609069</v>
      </c>
    </row>
    <row r="21" spans="2:9" x14ac:dyDescent="0.25">
      <c r="B21" s="16" t="str">
        <f ca="1">DFIE!$B$44</f>
        <v>Basel-Landschaft</v>
      </c>
      <c r="C21" s="94">
        <f>ASG!H21</f>
        <v>10767341.259528251</v>
      </c>
      <c r="D21" s="94">
        <f>ASG!H49</f>
        <v>9512317.6369927786</v>
      </c>
      <c r="E21" s="94">
        <f>ASG!H77</f>
        <v>9838173.0948754959</v>
      </c>
      <c r="F21" s="94">
        <f t="shared" si="1"/>
        <v>10039277.330465509</v>
      </c>
      <c r="G21" s="31">
        <f>BEV!F21</f>
        <v>291882.33333333331</v>
      </c>
      <c r="H21" s="94">
        <f t="shared" si="0"/>
        <v>34394.946812353068</v>
      </c>
      <c r="I21" s="192">
        <f t="shared" si="2"/>
        <v>98.79942443555565</v>
      </c>
    </row>
    <row r="22" spans="2:9" x14ac:dyDescent="0.25">
      <c r="B22" s="18" t="str">
        <f ca="1">DFIE!$B$45</f>
        <v>Schaffhausen</v>
      </c>
      <c r="C22" s="93">
        <f>ASG!H22</f>
        <v>3166559.2676084354</v>
      </c>
      <c r="D22" s="93">
        <f>ASG!H50</f>
        <v>2747380.0130300461</v>
      </c>
      <c r="E22" s="93">
        <f>ASG!H78</f>
        <v>3101867.7672517123</v>
      </c>
      <c r="F22" s="93">
        <f t="shared" si="1"/>
        <v>3005269.0159633979</v>
      </c>
      <c r="G22" s="30">
        <f>BEV!F22</f>
        <v>83477</v>
      </c>
      <c r="H22" s="93">
        <f t="shared" si="0"/>
        <v>36001.16218794875</v>
      </c>
      <c r="I22" s="193">
        <f t="shared" si="2"/>
        <v>103.4132752867917</v>
      </c>
    </row>
    <row r="23" spans="2:9" x14ac:dyDescent="0.25">
      <c r="B23" s="16" t="str">
        <f ca="1">DFIE!$B$46</f>
        <v>Appenzell A.Rh.</v>
      </c>
      <c r="C23" s="94">
        <f>ASG!H23</f>
        <v>1787029.7189977241</v>
      </c>
      <c r="D23" s="94">
        <f>ASG!H51</f>
        <v>1528896.531762088</v>
      </c>
      <c r="E23" s="94">
        <f>ASG!H79</f>
        <v>1653668.7764537199</v>
      </c>
      <c r="F23" s="94">
        <f t="shared" si="1"/>
        <v>1656531.6757378441</v>
      </c>
      <c r="G23" s="31">
        <f>BEV!F23</f>
        <v>55486</v>
      </c>
      <c r="H23" s="94">
        <f t="shared" si="0"/>
        <v>29854.948558876906</v>
      </c>
      <c r="I23" s="192">
        <f t="shared" si="2"/>
        <v>85.758287409555805</v>
      </c>
    </row>
    <row r="24" spans="2:9" x14ac:dyDescent="0.25">
      <c r="B24" s="18" t="str">
        <f ca="1">DFIE!$B$47</f>
        <v>Appenzell I.Rh.</v>
      </c>
      <c r="C24" s="93">
        <f>ASG!H24</f>
        <v>656390.9254052008</v>
      </c>
      <c r="D24" s="93">
        <f>ASG!H52</f>
        <v>551996.10617583175</v>
      </c>
      <c r="E24" s="93">
        <f>ASG!H80</f>
        <v>584084.72516724735</v>
      </c>
      <c r="F24" s="93">
        <f t="shared" si="1"/>
        <v>597490.58558276005</v>
      </c>
      <c r="G24" s="30">
        <f>BEV!F24</f>
        <v>16283.5</v>
      </c>
      <c r="H24" s="93">
        <f t="shared" si="0"/>
        <v>36693.007374505483</v>
      </c>
      <c r="I24" s="193">
        <f t="shared" si="2"/>
        <v>105.40059937260087</v>
      </c>
    </row>
    <row r="25" spans="2:9" x14ac:dyDescent="0.25">
      <c r="B25" s="16" t="str">
        <f ca="1">DFIE!$B$48</f>
        <v>St. Gallen</v>
      </c>
      <c r="C25" s="94">
        <f>ASG!H25</f>
        <v>16144665.311732588</v>
      </c>
      <c r="D25" s="94">
        <f>ASG!H53</f>
        <v>13257784.122999175</v>
      </c>
      <c r="E25" s="94">
        <f>ASG!H81</f>
        <v>14038518.756678324</v>
      </c>
      <c r="F25" s="94">
        <f t="shared" si="1"/>
        <v>14480322.73047003</v>
      </c>
      <c r="G25" s="31">
        <f>BEV!F25</f>
        <v>515449.5</v>
      </c>
      <c r="H25" s="94">
        <f t="shared" si="0"/>
        <v>28092.611847465232</v>
      </c>
      <c r="I25" s="192">
        <f t="shared" si="2"/>
        <v>80.695978294817237</v>
      </c>
    </row>
    <row r="26" spans="2:9" x14ac:dyDescent="0.25">
      <c r="B26" s="18" t="str">
        <f ca="1">DFIE!$B$49</f>
        <v>Graubünden</v>
      </c>
      <c r="C26" s="93">
        <f>ASG!H26</f>
        <v>6528416.8819321385</v>
      </c>
      <c r="D26" s="93">
        <f>ASG!H54</f>
        <v>6165282.5695939995</v>
      </c>
      <c r="E26" s="93">
        <f>ASG!H82</f>
        <v>6626267.4184083315</v>
      </c>
      <c r="F26" s="93">
        <f t="shared" si="1"/>
        <v>6439988.9566448228</v>
      </c>
      <c r="G26" s="30">
        <f>BEV!F26</f>
        <v>206403.5</v>
      </c>
      <c r="H26" s="93">
        <f t="shared" si="0"/>
        <v>31200.967796790381</v>
      </c>
      <c r="I26" s="193">
        <f t="shared" si="2"/>
        <v>89.624725311337201</v>
      </c>
    </row>
    <row r="27" spans="2:9" x14ac:dyDescent="0.25">
      <c r="B27" s="16" t="str">
        <f ca="1">DFIE!$B$50</f>
        <v>Aargau</v>
      </c>
      <c r="C27" s="94">
        <f>ASG!H27</f>
        <v>20840927.102990963</v>
      </c>
      <c r="D27" s="94">
        <f>ASG!H55</f>
        <v>18581999.521270987</v>
      </c>
      <c r="E27" s="94">
        <f>ASG!H83</f>
        <v>19181101.07101978</v>
      </c>
      <c r="F27" s="94">
        <f t="shared" si="1"/>
        <v>19534675.898427244</v>
      </c>
      <c r="G27" s="31">
        <f>BEV!F27</f>
        <v>694709.83333333337</v>
      </c>
      <c r="H27" s="94">
        <f t="shared" si="0"/>
        <v>28119.187265129989</v>
      </c>
      <c r="I27" s="192">
        <f t="shared" si="2"/>
        <v>80.772316135481375</v>
      </c>
    </row>
    <row r="28" spans="2:9" x14ac:dyDescent="0.25">
      <c r="B28" s="18" t="str">
        <f ca="1">DFIE!$B$51</f>
        <v>Thurgau</v>
      </c>
      <c r="C28" s="93">
        <f>ASG!H28</f>
        <v>8622444.2197109442</v>
      </c>
      <c r="D28" s="93">
        <f>ASG!H56</f>
        <v>7641023.5621762322</v>
      </c>
      <c r="E28" s="93">
        <f>ASG!H84</f>
        <v>7857562.6647311188</v>
      </c>
      <c r="F28" s="93">
        <f t="shared" si="1"/>
        <v>8040343.4822060987</v>
      </c>
      <c r="G28" s="30">
        <f>BEV!F28</f>
        <v>283002.5</v>
      </c>
      <c r="H28" s="93">
        <f t="shared" si="0"/>
        <v>28410.856731675864</v>
      </c>
      <c r="I28" s="193">
        <f t="shared" si="2"/>
        <v>81.610136166934595</v>
      </c>
    </row>
    <row r="29" spans="2:9" x14ac:dyDescent="0.25">
      <c r="B29" s="16" t="str">
        <f ca="1">DFIE!$B$52</f>
        <v>Tessin</v>
      </c>
      <c r="C29" s="94">
        <f>ASG!H29</f>
        <v>11992346.61518237</v>
      </c>
      <c r="D29" s="94">
        <f>ASG!H57</f>
        <v>10435836.459749712</v>
      </c>
      <c r="E29" s="94">
        <f>ASG!H85</f>
        <v>11034088.61282903</v>
      </c>
      <c r="F29" s="94">
        <f t="shared" si="1"/>
        <v>11154090.562587038</v>
      </c>
      <c r="G29" s="31">
        <f>BEV!F29</f>
        <v>354246.66666666669</v>
      </c>
      <c r="H29" s="94">
        <f t="shared" si="0"/>
        <v>31486.790454637172</v>
      </c>
      <c r="I29" s="192">
        <f t="shared" si="2"/>
        <v>90.445750395049828</v>
      </c>
    </row>
    <row r="30" spans="2:9" x14ac:dyDescent="0.25">
      <c r="B30" s="18" t="str">
        <f ca="1">DFIE!$B$53</f>
        <v>Waadt</v>
      </c>
      <c r="C30" s="93">
        <f>ASG!H30</f>
        <v>30104246.965882231</v>
      </c>
      <c r="D30" s="93">
        <f>ASG!H58</f>
        <v>26844548.983855065</v>
      </c>
      <c r="E30" s="93">
        <f>ASG!H86</f>
        <v>28587120.148551747</v>
      </c>
      <c r="F30" s="93">
        <f t="shared" si="1"/>
        <v>28511972.032763015</v>
      </c>
      <c r="G30" s="30">
        <f>BEV!F30</f>
        <v>818813.16666666663</v>
      </c>
      <c r="H30" s="93">
        <f t="shared" si="0"/>
        <v>34821.096183435031</v>
      </c>
      <c r="I30" s="193">
        <f t="shared" si="2"/>
        <v>100.02353775709014</v>
      </c>
    </row>
    <row r="31" spans="2:9" x14ac:dyDescent="0.25">
      <c r="B31" s="16" t="str">
        <f ca="1">DFIE!$B$54</f>
        <v>Wallis</v>
      </c>
      <c r="C31" s="94">
        <f>ASG!H31</f>
        <v>8478560.4166752808</v>
      </c>
      <c r="D31" s="94">
        <f>ASG!H59</f>
        <v>7767111.4815336596</v>
      </c>
      <c r="E31" s="94">
        <f>ASG!H87</f>
        <v>8390859.3264775146</v>
      </c>
      <c r="F31" s="94">
        <f t="shared" si="1"/>
        <v>8212177.0748954853</v>
      </c>
      <c r="G31" s="31">
        <f>BEV!F31</f>
        <v>355492.33333333331</v>
      </c>
      <c r="H31" s="94">
        <f t="shared" si="0"/>
        <v>23100.855644037758</v>
      </c>
      <c r="I31" s="192">
        <f t="shared" si="2"/>
        <v>66.357167349364047</v>
      </c>
    </row>
    <row r="32" spans="2:9" x14ac:dyDescent="0.25">
      <c r="B32" s="18" t="str">
        <f ca="1">DFIE!$B$55</f>
        <v>Neuenburg</v>
      </c>
      <c r="C32" s="93">
        <f>ASG!H32</f>
        <v>4987327.3062072601</v>
      </c>
      <c r="D32" s="93">
        <f>ASG!H60</f>
        <v>4381962.9821399171</v>
      </c>
      <c r="E32" s="93">
        <f>ASG!H88</f>
        <v>4283464.569890975</v>
      </c>
      <c r="F32" s="93">
        <f t="shared" si="1"/>
        <v>4550918.2860793844</v>
      </c>
      <c r="G32" s="30">
        <f>BEV!F32</f>
        <v>177571.66666666666</v>
      </c>
      <c r="H32" s="93">
        <f t="shared" si="0"/>
        <v>25628.628550422185</v>
      </c>
      <c r="I32" s="193">
        <f t="shared" si="2"/>
        <v>73.618190592606197</v>
      </c>
    </row>
    <row r="33" spans="1:9" x14ac:dyDescent="0.25">
      <c r="B33" s="16" t="str">
        <f ca="1">DFIE!$B$56</f>
        <v>Genf</v>
      </c>
      <c r="C33" s="94">
        <f>ASG!H33</f>
        <v>26784973.452536978</v>
      </c>
      <c r="D33" s="94">
        <f>ASG!H61</f>
        <v>23292543.136109039</v>
      </c>
      <c r="E33" s="94">
        <f>ASG!H89</f>
        <v>26296836.661086231</v>
      </c>
      <c r="F33" s="94">
        <f t="shared" si="1"/>
        <v>25458117.749910753</v>
      </c>
      <c r="G33" s="31">
        <f>BEV!F33</f>
        <v>508151.33333333331</v>
      </c>
      <c r="H33" s="94">
        <f t="shared" si="0"/>
        <v>50099.480371157319</v>
      </c>
      <c r="I33" s="192">
        <f t="shared" si="2"/>
        <v>143.91066955838474</v>
      </c>
    </row>
    <row r="34" spans="1:9" x14ac:dyDescent="0.25">
      <c r="B34" s="18" t="str">
        <f ca="1">DFIE!$B$57</f>
        <v>Jura</v>
      </c>
      <c r="C34" s="93">
        <f>ASG!H34</f>
        <v>1897857.2172632895</v>
      </c>
      <c r="D34" s="93">
        <f>ASG!H62</f>
        <v>1520282.7986650201</v>
      </c>
      <c r="E34" s="93">
        <f>ASG!H90</f>
        <v>1639224.2083682911</v>
      </c>
      <c r="F34" s="93">
        <f t="shared" si="1"/>
        <v>1685788.0747655334</v>
      </c>
      <c r="G34" s="30">
        <f>BEV!F34</f>
        <v>73840</v>
      </c>
      <c r="H34" s="93">
        <f t="shared" si="0"/>
        <v>22830.282702675155</v>
      </c>
      <c r="I34" s="193">
        <f t="shared" si="2"/>
        <v>65.579947049524549</v>
      </c>
    </row>
    <row r="35" spans="1:9" x14ac:dyDescent="0.25">
      <c r="A35" s="42"/>
      <c r="B35" s="15" t="str">
        <f ca="1">DFIE!$B$58</f>
        <v>Schweiz</v>
      </c>
      <c r="C35" s="61">
        <f>SUM(C9:C34)</f>
        <v>328099095.10459405</v>
      </c>
      <c r="D35" s="61">
        <f>SUM(D9:D34)</f>
        <v>279443015.9171685</v>
      </c>
      <c r="E35" s="61">
        <f>SUM(E9:E34)</f>
        <v>301936685.85013986</v>
      </c>
      <c r="F35" s="61">
        <f>SUM(F9:F34)</f>
        <v>303159598.9573009</v>
      </c>
      <c r="G35" s="27">
        <f>SUM(G9:G34)</f>
        <v>8708254.1666666679</v>
      </c>
      <c r="H35" s="61">
        <f t="shared" si="0"/>
        <v>34812.902007124561</v>
      </c>
      <c r="I35" s="194">
        <v>100</v>
      </c>
    </row>
    <row r="36" spans="1:9" ht="10.5" customHeight="1" x14ac:dyDescent="0.25">
      <c r="C36" s="188"/>
      <c r="D36" s="189"/>
      <c r="E36" s="190"/>
    </row>
    <row r="38" spans="1:9" ht="22.5" customHeight="1" x14ac:dyDescent="0.25">
      <c r="B38" s="182" t="str">
        <f ca="1">DFIE!$B$181</f>
        <v>ASG-Index
Standardabweichung</v>
      </c>
      <c r="C38" s="183">
        <f t="array" ref="C38">_xlfn.STDEV.P(100*(C9:C34/$G9:$G34)/(C$35/$G$35))</f>
        <v>47.215557198502886</v>
      </c>
      <c r="D38" s="184">
        <f t="array" ref="D38">_xlfn.STDEV.P(100*(D9:D34/$G9:$G34)/(D$35/$G$35))</f>
        <v>42.749485716968628</v>
      </c>
      <c r="E38" s="185">
        <f t="array" ref="E38">_xlfn.STDEV.P(100*(E9:E34/$G9:$G34)/(E$35/$G$35))</f>
        <v>50.893559031680212</v>
      </c>
      <c r="F38" s="183"/>
      <c r="G38" s="184"/>
      <c r="H38" s="186" t="str">
        <f ca="1">DFIE!$B$182</f>
        <v>Ressourcenindex
Standardabweichung</v>
      </c>
      <c r="I38" s="187">
        <f>_xlfn.STDEV.P(I9:I34)</f>
        <v>46.930280310871304</v>
      </c>
    </row>
  </sheetData>
  <pageMargins left="0.78740157480314965" right="0.70866141732283472" top="0.9055118110236221" bottom="0.59055118110236227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1"/>
  <dimension ref="A1:I23"/>
  <sheetViews>
    <sheetView showGridLines="0" zoomScaleNormal="100" workbookViewId="0">
      <selection activeCell="A50" sqref="A50"/>
    </sheetView>
  </sheetViews>
  <sheetFormatPr baseColWidth="10" defaultColWidth="9.109375" defaultRowHeight="13.2" x14ac:dyDescent="0.25"/>
  <cols>
    <col min="1" max="1" width="1.6640625" customWidth="1"/>
    <col min="2" max="2" width="3.6640625" customWidth="1"/>
    <col min="3" max="3" width="45.44140625" customWidth="1"/>
    <col min="4" max="5" width="12.5546875" customWidth="1"/>
    <col min="6" max="9" width="15.6640625" customWidth="1"/>
  </cols>
  <sheetData>
    <row r="1" spans="1:9" ht="22.5" customHeight="1" x14ac:dyDescent="0.3">
      <c r="B1" s="4" t="str">
        <f ca="1">DFIE!$B$183</f>
        <v>Standardisierter Steuersatz (SST) 2025</v>
      </c>
      <c r="C1" s="171"/>
      <c r="D1" s="179"/>
      <c r="E1" s="173"/>
      <c r="F1" s="44"/>
      <c r="G1" s="44"/>
      <c r="H1" s="44"/>
      <c r="I1" s="44"/>
    </row>
    <row r="2" spans="1:9" ht="12.75" customHeight="1" x14ac:dyDescent="0.25">
      <c r="A2" s="164"/>
      <c r="B2" s="44"/>
      <c r="C2" s="164"/>
      <c r="D2" s="165"/>
      <c r="E2" s="166"/>
    </row>
    <row r="3" spans="1:9" ht="0.75" customHeight="1" x14ac:dyDescent="0.25">
      <c r="A3" s="164"/>
      <c r="B3" s="44"/>
      <c r="C3" s="164"/>
      <c r="D3" s="165"/>
      <c r="E3" s="166"/>
    </row>
    <row r="4" spans="1:9" ht="0.75" customHeight="1" x14ac:dyDescent="0.25">
      <c r="A4" s="164"/>
      <c r="B4" s="44"/>
      <c r="C4" s="164"/>
      <c r="D4" s="165"/>
      <c r="E4" s="166"/>
    </row>
    <row r="5" spans="1:9" ht="0.75" customHeight="1" x14ac:dyDescent="0.25">
      <c r="A5" s="164"/>
      <c r="B5" s="44"/>
      <c r="C5" s="164"/>
      <c r="D5" s="165"/>
      <c r="E5" s="166"/>
    </row>
    <row r="6" spans="1:9" ht="0.75" customHeight="1" x14ac:dyDescent="0.25">
      <c r="A6" s="164"/>
      <c r="B6" s="44"/>
      <c r="C6" s="164"/>
      <c r="D6" s="165"/>
      <c r="E6" s="166"/>
    </row>
    <row r="7" spans="1:9" ht="0.75" customHeight="1" x14ac:dyDescent="0.25">
      <c r="A7" s="164"/>
      <c r="B7" s="44"/>
      <c r="C7" s="164"/>
      <c r="D7" s="165"/>
      <c r="E7" s="166"/>
    </row>
    <row r="8" spans="1:9" ht="15" customHeight="1" x14ac:dyDescent="0.25">
      <c r="B8" s="201"/>
      <c r="C8" s="202"/>
      <c r="D8" s="226" t="str">
        <f ca="1">DFIE!$B$62</f>
        <v>Einheit</v>
      </c>
      <c r="E8" s="226" t="str">
        <f ca="1">DFIE!B60</f>
        <v>Formel</v>
      </c>
      <c r="F8" s="235">
        <f>DFIE!$G$3-6</f>
        <v>2019</v>
      </c>
      <c r="G8" s="236">
        <f>DFIE!$G$3-5</f>
        <v>2020</v>
      </c>
      <c r="H8" s="237">
        <f>DFIE!$G$3-4</f>
        <v>2021</v>
      </c>
      <c r="I8" s="238" t="str">
        <f>F8 &amp; " - " &amp; H8</f>
        <v>2019 - 2021</v>
      </c>
    </row>
    <row r="9" spans="1:9" ht="15" customHeight="1" x14ac:dyDescent="0.25">
      <c r="B9" s="209" t="s">
        <v>111</v>
      </c>
      <c r="C9" s="202" t="str">
        <f ca="1">DFIE!$B$184</f>
        <v>Steuereinnahmen der Kantone und Gemeinden</v>
      </c>
      <c r="D9" s="227" t="str">
        <f ca="1">DFIE!$B$64</f>
        <v>CHF 1'000</v>
      </c>
      <c r="E9" s="226"/>
      <c r="F9" s="223">
        <v>79995485.378999993</v>
      </c>
      <c r="G9" s="224">
        <v>80100998.74639</v>
      </c>
      <c r="H9" s="225">
        <v>82557925.620440006</v>
      </c>
      <c r="I9" s="203"/>
    </row>
    <row r="10" spans="1:9" ht="15" customHeight="1" x14ac:dyDescent="0.25">
      <c r="B10" s="209" t="s">
        <v>112</v>
      </c>
      <c r="C10" s="202" t="str">
        <f ca="1">DFIE!$B$185</f>
        <v>Debitorenverluste auf Steuereinnahmen</v>
      </c>
      <c r="D10" s="227" t="str">
        <f ca="1">DFIE!$B$64</f>
        <v>CHF 1'000</v>
      </c>
      <c r="E10" s="226"/>
      <c r="F10" s="144">
        <v>709480.11083999998</v>
      </c>
      <c r="G10" s="57">
        <v>605935.85225</v>
      </c>
      <c r="H10" s="138">
        <v>657523.17438999994</v>
      </c>
      <c r="I10" s="203"/>
    </row>
    <row r="11" spans="1:9" ht="15" customHeight="1" x14ac:dyDescent="0.25">
      <c r="B11" s="209" t="s">
        <v>30</v>
      </c>
      <c r="C11" s="202" t="str">
        <f ca="1">DFIE!$B$186</f>
        <v>Einnahmen direkte Bundessteuer (DBSt)</v>
      </c>
      <c r="D11" s="227" t="str">
        <f ca="1">DFIE!$B$64</f>
        <v>CHF 1'000</v>
      </c>
      <c r="E11" s="226"/>
      <c r="F11" s="223">
        <v>23338402.570939999</v>
      </c>
      <c r="G11" s="224">
        <v>24214238.703499999</v>
      </c>
      <c r="H11" s="225">
        <v>25462611.000259999</v>
      </c>
      <c r="I11" s="203"/>
    </row>
    <row r="12" spans="1:9" ht="15" customHeight="1" x14ac:dyDescent="0.25">
      <c r="B12" s="209" t="s">
        <v>31</v>
      </c>
      <c r="C12" s="202" t="str">
        <f ca="1">DFIE!$B$187</f>
        <v>Kantonsanteil</v>
      </c>
      <c r="D12" s="227" t="str">
        <f ca="1">DFIE!$B$67</f>
        <v>Prozent</v>
      </c>
      <c r="E12" s="226"/>
      <c r="F12" s="232">
        <v>0.17</v>
      </c>
      <c r="G12" s="233">
        <v>0.21199999999999999</v>
      </c>
      <c r="H12" s="234">
        <v>0.21199999999999999</v>
      </c>
      <c r="I12" s="203"/>
    </row>
    <row r="13" spans="1:9" ht="15" customHeight="1" x14ac:dyDescent="0.25">
      <c r="B13" s="209" t="s">
        <v>32</v>
      </c>
      <c r="C13" s="202" t="str">
        <f ca="1">DFIE!$B$188</f>
        <v>Anteil der Kantone an DBSt</v>
      </c>
      <c r="D13" s="227" t="str">
        <f ca="1">DFIE!$B$64</f>
        <v>CHF 1'000</v>
      </c>
      <c r="E13" s="226" t="s">
        <v>526</v>
      </c>
      <c r="F13" s="214">
        <f>F12*F11</f>
        <v>3967528.4370598001</v>
      </c>
      <c r="G13" s="215">
        <f>G12*G11</f>
        <v>5133418.6051419992</v>
      </c>
      <c r="H13" s="216">
        <f>H12*H11</f>
        <v>5398073.53205512</v>
      </c>
      <c r="I13" s="204"/>
    </row>
    <row r="14" spans="1:9" ht="15.75" customHeight="1" x14ac:dyDescent="0.25">
      <c r="B14" s="210" t="s">
        <v>43</v>
      </c>
      <c r="C14" s="205" t="str">
        <f ca="1">DFIE!$B$189</f>
        <v>Standardisierte Steuererträge (SSE)</v>
      </c>
      <c r="D14" s="228" t="str">
        <f ca="1">DFIE!$B$64</f>
        <v>CHF 1'000</v>
      </c>
      <c r="E14" s="229" t="s">
        <v>568</v>
      </c>
      <c r="F14" s="217">
        <f>F9-F10+F13</f>
        <v>83253533.705219805</v>
      </c>
      <c r="G14" s="218">
        <f t="shared" ref="G14:H14" si="0">G9-G10+G13</f>
        <v>84628481.499282002</v>
      </c>
      <c r="H14" s="219">
        <f t="shared" si="0"/>
        <v>87298475.978105128</v>
      </c>
      <c r="I14" s="219">
        <f>AVERAGE(F14:H14)</f>
        <v>85060163.72753565</v>
      </c>
    </row>
    <row r="15" spans="1:9" ht="15.75" customHeight="1" x14ac:dyDescent="0.25">
      <c r="B15" s="211"/>
      <c r="C15" s="202"/>
      <c r="D15" s="200"/>
      <c r="E15" s="206"/>
      <c r="F15" s="239"/>
      <c r="G15" s="239"/>
      <c r="H15" s="239"/>
      <c r="I15" s="239"/>
    </row>
    <row r="16" spans="1:9" ht="15" customHeight="1" x14ac:dyDescent="0.25">
      <c r="B16" s="209" t="s">
        <v>42</v>
      </c>
      <c r="C16" s="202" t="str">
        <f ca="1">DFIE!$B$190</f>
        <v>Massgebende Wohnbevölkerung</v>
      </c>
      <c r="D16" s="227" t="str">
        <f ca="1">DFIE!$B$65</f>
        <v>Anzahl</v>
      </c>
      <c r="E16" s="226"/>
      <c r="F16" s="220"/>
      <c r="G16" s="220"/>
      <c r="H16" s="220"/>
      <c r="I16" s="216">
        <f>BEV!F35</f>
        <v>8708254.1666666679</v>
      </c>
    </row>
    <row r="17" spans="1:9" ht="15.75" customHeight="1" x14ac:dyDescent="0.25">
      <c r="B17" s="210" t="s">
        <v>33</v>
      </c>
      <c r="C17" s="205" t="str">
        <f ca="1">DFIE!$B$191</f>
        <v>Standardisierte Steuererträge pro Kopf</v>
      </c>
      <c r="D17" s="228" t="str">
        <f ca="1">DFIE!$B$63</f>
        <v>CHF</v>
      </c>
      <c r="E17" s="229" t="s">
        <v>63</v>
      </c>
      <c r="F17" s="221"/>
      <c r="G17" s="221"/>
      <c r="H17" s="221"/>
      <c r="I17" s="219">
        <f>I14/I16*1000</f>
        <v>9767.763101486833</v>
      </c>
    </row>
    <row r="18" spans="1:9" ht="15" customHeight="1" x14ac:dyDescent="0.25">
      <c r="B18" s="209" t="s">
        <v>533</v>
      </c>
      <c r="C18" s="202" t="str">
        <f ca="1">DFIE!$B$192</f>
        <v>Ressourcenpotenzial pro Kopf</v>
      </c>
      <c r="D18" s="227" t="str">
        <f ca="1">DFIE!$B$63</f>
        <v>CHF</v>
      </c>
      <c r="E18" s="226"/>
      <c r="F18" s="220"/>
      <c r="G18" s="220"/>
      <c r="H18" s="220"/>
      <c r="I18" s="216">
        <f>RP!H35</f>
        <v>34812.902007124561</v>
      </c>
    </row>
    <row r="19" spans="1:9" ht="15.75" customHeight="1" x14ac:dyDescent="0.25">
      <c r="B19" s="212" t="s">
        <v>35</v>
      </c>
      <c r="C19" s="207" t="str">
        <f ca="1">DFIE!$B$193</f>
        <v>Standardisierter Steuersatz (SST)</v>
      </c>
      <c r="D19" s="230" t="str">
        <f ca="1">DFIE!$B$67</f>
        <v>Prozent</v>
      </c>
      <c r="E19" s="231" t="s">
        <v>569</v>
      </c>
      <c r="F19" s="222"/>
      <c r="G19" s="222"/>
      <c r="H19" s="222"/>
      <c r="I19" s="208">
        <f>I17/I18</f>
        <v>0.28057882389373434</v>
      </c>
    </row>
    <row r="23" spans="1:9" x14ac:dyDescent="0.25">
      <c r="A23" s="44"/>
      <c r="B23" s="213"/>
    </row>
  </sheetData>
  <conditionalFormatting sqref="F9:H12">
    <cfRule type="expression" dxfId="12" priority="1">
      <formula>ISBLANK(F9)</formula>
    </cfRule>
  </conditionalFormatting>
  <pageMargins left="0.78740157480314965" right="0.70866141732283472" top="0.9055118110236221" bottom="0.98425196850393704" header="0.51181102362204722" footer="0.51181102362204722"/>
  <pageSetup paperSize="9" scale="94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2"/>
  <dimension ref="A1:K35"/>
  <sheetViews>
    <sheetView showGridLines="0" workbookViewId="0">
      <selection activeCell="A50" sqref="A50"/>
    </sheetView>
  </sheetViews>
  <sheetFormatPr baseColWidth="10" defaultColWidth="9.109375" defaultRowHeight="13.2" x14ac:dyDescent="0.25"/>
  <cols>
    <col min="1" max="1" width="1.88671875" customWidth="1"/>
    <col min="2" max="2" width="17.33203125" customWidth="1"/>
    <col min="3" max="6" width="14.33203125" customWidth="1"/>
    <col min="7" max="7" width="14.6640625" customWidth="1"/>
    <col min="8" max="8" width="3.44140625" customWidth="1"/>
    <col min="9" max="9" width="30" customWidth="1"/>
    <col min="10" max="10" width="7.109375" customWidth="1"/>
    <col min="11" max="11" width="9.5546875" customWidth="1"/>
  </cols>
  <sheetData>
    <row r="1" spans="1:11" ht="22.5" customHeight="1" x14ac:dyDescent="0.3">
      <c r="B1" s="4" t="str">
        <f ca="1">DFIE!$B$194</f>
        <v>Auszahlungen an die ressourcenschwachen Kantone 2025</v>
      </c>
      <c r="C1" s="171"/>
      <c r="D1" s="171"/>
      <c r="E1" s="179"/>
      <c r="F1" s="173"/>
      <c r="J1" s="244"/>
    </row>
    <row r="2" spans="1:11" ht="12.75" customHeight="1" x14ac:dyDescent="0.25">
      <c r="A2" s="164"/>
      <c r="B2" s="44"/>
      <c r="C2" s="164"/>
      <c r="D2" s="164"/>
      <c r="E2" s="165"/>
      <c r="F2" s="166"/>
      <c r="J2" s="244"/>
    </row>
    <row r="3" spans="1:11" ht="0.75" customHeight="1" x14ac:dyDescent="0.25">
      <c r="A3" s="164"/>
      <c r="B3" s="164"/>
      <c r="C3" s="164"/>
      <c r="D3" s="164"/>
      <c r="E3" s="164"/>
      <c r="F3" s="164"/>
      <c r="G3" s="164"/>
      <c r="J3" s="244"/>
    </row>
    <row r="4" spans="1:11" ht="0.75" customHeight="1" x14ac:dyDescent="0.25">
      <c r="A4" s="164"/>
      <c r="B4" s="164"/>
      <c r="C4" s="164"/>
      <c r="D4" s="164"/>
      <c r="E4" s="164"/>
      <c r="F4" s="164"/>
      <c r="G4" s="164"/>
      <c r="J4" s="244"/>
    </row>
    <row r="5" spans="1:11" ht="0.75" customHeight="1" x14ac:dyDescent="0.25">
      <c r="A5" s="164"/>
      <c r="B5" s="164"/>
      <c r="C5" s="164"/>
      <c r="D5" s="164"/>
      <c r="E5" s="164"/>
      <c r="F5" s="164"/>
      <c r="G5" s="164"/>
      <c r="J5" s="244"/>
    </row>
    <row r="6" spans="1:11" ht="12" customHeight="1" x14ac:dyDescent="0.25">
      <c r="B6" s="32" t="str">
        <f ca="1">DFIE!$B$59</f>
        <v>Spalte</v>
      </c>
      <c r="C6" s="240" t="s">
        <v>30</v>
      </c>
      <c r="D6" s="33" t="s">
        <v>31</v>
      </c>
      <c r="E6" s="33" t="s">
        <v>32</v>
      </c>
      <c r="F6" s="109" t="s">
        <v>43</v>
      </c>
      <c r="G6" s="107" t="s">
        <v>42</v>
      </c>
      <c r="J6" s="1"/>
    </row>
    <row r="7" spans="1:11" ht="45" customHeight="1" x14ac:dyDescent="0.25">
      <c r="B7" s="75"/>
      <c r="C7" s="125" t="str">
        <f ca="1">DFIE!$B$195</f>
        <v>Ressourcen-
index</v>
      </c>
      <c r="D7" s="103" t="str">
        <f ca="1">DFIE!$B$196</f>
        <v>Auszahlung in
Indexpunkten</v>
      </c>
      <c r="E7" s="103" t="str">
        <f ca="1">DFIE!$B$197</f>
        <v>Index SSE
nach
Ausgleich</v>
      </c>
      <c r="F7" s="250" t="str">
        <f ca="1">DFIE!$B$198</f>
        <v>Auszahlung
pro Einwohner</v>
      </c>
      <c r="G7" s="126" t="str">
        <f ca="1">DFIE!$B$199</f>
        <v xml:space="preserve">Auszahlung
</v>
      </c>
    </row>
    <row r="8" spans="1:11" x14ac:dyDescent="0.25">
      <c r="B8" s="32" t="str">
        <f ca="1">DFIE!$B$62</f>
        <v>Einheit</v>
      </c>
      <c r="C8" s="241" t="str">
        <f ca="1">DFIE!$B$66</f>
        <v>Punkte</v>
      </c>
      <c r="D8" s="38" t="str">
        <f ca="1">DFIE!$B$66</f>
        <v>Punkte</v>
      </c>
      <c r="E8" s="38" t="str">
        <f ca="1">DFIE!$B$66</f>
        <v>Punkte</v>
      </c>
      <c r="F8" s="112" t="str">
        <f ca="1">DFIE!$B$63</f>
        <v>CHF</v>
      </c>
      <c r="G8" s="111" t="str">
        <f ca="1">DFIE!$B$63</f>
        <v>CHF</v>
      </c>
      <c r="J8" s="245"/>
    </row>
    <row r="9" spans="1:11" ht="12.75" customHeight="1" x14ac:dyDescent="0.25">
      <c r="B9" s="261" t="str">
        <f ca="1">DFIE!$B$32</f>
        <v>Zürich</v>
      </c>
      <c r="C9" s="258">
        <f>RP!$I9</f>
        <v>118.95371559857108</v>
      </c>
      <c r="D9" s="252">
        <f>IF(C9&lt;$K$11,$K$10-C9,IF(C9&lt;100,$K$16*(100-C9)^$K$15,0))</f>
        <v>0</v>
      </c>
      <c r="E9" s="252">
        <f>IF(C9&lt;100,C9+D9,0)</f>
        <v>0</v>
      </c>
      <c r="F9" s="31">
        <f>D9*$K$14/100</f>
        <v>0</v>
      </c>
      <c r="G9" s="119">
        <f>F9*BEV!$F9</f>
        <v>0</v>
      </c>
      <c r="I9" s="128"/>
      <c r="J9" s="246"/>
      <c r="K9" s="150"/>
    </row>
    <row r="10" spans="1:11" x14ac:dyDescent="0.25">
      <c r="B10" s="242" t="str">
        <f ca="1">DFIE!$B$33</f>
        <v>Bern</v>
      </c>
      <c r="C10" s="259">
        <f>RP!$I10</f>
        <v>73.60272509466796</v>
      </c>
      <c r="D10" s="253">
        <f t="shared" ref="D10:D34" si="0">IF(C10&lt;$K$11,$K$10-C10,IF(C10&lt;100,$K$16*(100-C10)^$K$15,0))</f>
        <v>13.38332569124398</v>
      </c>
      <c r="E10" s="253">
        <f t="shared" ref="E10:E34" si="1">IF(C10&lt;100,C10+D10,0)</f>
        <v>86.986050785911942</v>
      </c>
      <c r="F10" s="30">
        <f t="shared" ref="F10:F34" si="2">D10*$K$14/100</f>
        <v>1307.2515486211371</v>
      </c>
      <c r="G10" s="120">
        <f>F10*BEV!$F10</f>
        <v>1368658382.8660665</v>
      </c>
      <c r="I10" s="243" t="str">
        <f ca="1">DFIE!$B$200</f>
        <v>Garantierte Mindestausstattung</v>
      </c>
      <c r="J10" s="249" t="str">
        <f ca="1">DFIE!$B$66</f>
        <v>Punkte</v>
      </c>
      <c r="K10" s="255">
        <v>86.5</v>
      </c>
    </row>
    <row r="11" spans="1:11" x14ac:dyDescent="0.25">
      <c r="B11" s="261" t="str">
        <f ca="1">DFIE!$B$34</f>
        <v>Luzern</v>
      </c>
      <c r="C11" s="258">
        <f>RP!$I11</f>
        <v>92.477714297617922</v>
      </c>
      <c r="D11" s="252">
        <f t="shared" si="0"/>
        <v>1.7155501637798061</v>
      </c>
      <c r="E11" s="252">
        <f t="shared" si="1"/>
        <v>94.193264461397732</v>
      </c>
      <c r="F11" s="31">
        <f t="shared" si="2"/>
        <v>167.57087588518084</v>
      </c>
      <c r="G11" s="119">
        <f>F11*BEV!$F11</f>
        <v>69942659.242029458</v>
      </c>
      <c r="I11" s="243" t="str">
        <f ca="1">DFIE!$B$201</f>
        <v>Beginn Progression</v>
      </c>
      <c r="J11" s="249" t="str">
        <f ca="1">DFIE!$B$66</f>
        <v>Punkte</v>
      </c>
      <c r="K11" s="255">
        <v>70</v>
      </c>
    </row>
    <row r="12" spans="1:11" x14ac:dyDescent="0.25">
      <c r="B12" s="242" t="str">
        <f ca="1">DFIE!$B$35</f>
        <v>Uri</v>
      </c>
      <c r="C12" s="259">
        <f>RP!$I12</f>
        <v>70.55637322027448</v>
      </c>
      <c r="D12" s="253">
        <f t="shared" si="0"/>
        <v>16.00222559297428</v>
      </c>
      <c r="E12" s="253">
        <f t="shared" si="1"/>
        <v>86.558598813248764</v>
      </c>
      <c r="F12" s="30">
        <f t="shared" si="2"/>
        <v>1563.0594868872242</v>
      </c>
      <c r="G12" s="120">
        <f>F12*BEV!$F12</f>
        <v>57920992.856007457</v>
      </c>
      <c r="I12" s="243" t="str">
        <f ca="1">DFIE!$B$202</f>
        <v>Maximale Grenzabschöpfung</v>
      </c>
      <c r="J12" s="249" t="str">
        <f ca="1">DFIE!$B$67</f>
        <v>Prozent</v>
      </c>
      <c r="K12" s="155">
        <v>0.9</v>
      </c>
    </row>
    <row r="13" spans="1:11" x14ac:dyDescent="0.25">
      <c r="B13" s="261" t="str">
        <f ca="1">DFIE!$B$36</f>
        <v>Schwyz</v>
      </c>
      <c r="C13" s="258">
        <f>RP!$I13</f>
        <v>184.48973554736722</v>
      </c>
      <c r="D13" s="252">
        <f t="shared" si="0"/>
        <v>0</v>
      </c>
      <c r="E13" s="252">
        <f t="shared" si="1"/>
        <v>0</v>
      </c>
      <c r="F13" s="31">
        <f t="shared" si="2"/>
        <v>0</v>
      </c>
      <c r="G13" s="119">
        <f>F13*BEV!$F13</f>
        <v>0</v>
      </c>
      <c r="I13" s="243"/>
      <c r="J13" s="249"/>
      <c r="K13" s="157"/>
    </row>
    <row r="14" spans="1:11" x14ac:dyDescent="0.25">
      <c r="B14" s="242" t="str">
        <f ca="1">DFIE!$B$37</f>
        <v>Obwalden</v>
      </c>
      <c r="C14" s="259">
        <f>RP!$I14</f>
        <v>110.89369610338187</v>
      </c>
      <c r="D14" s="253">
        <f t="shared" si="0"/>
        <v>0</v>
      </c>
      <c r="E14" s="253">
        <f t="shared" si="1"/>
        <v>0</v>
      </c>
      <c r="F14" s="30">
        <f t="shared" si="2"/>
        <v>0</v>
      </c>
      <c r="G14" s="120">
        <f>F14*BEV!$F14</f>
        <v>0</v>
      </c>
      <c r="I14" s="243" t="str">
        <f ca="1">DFIE!$B$203</f>
        <v>SSE pro Einwohner</v>
      </c>
      <c r="J14" s="249" t="str">
        <f ca="1">DFIE!$B$63</f>
        <v>CHF</v>
      </c>
      <c r="K14" s="256">
        <f>SST!$I$17</f>
        <v>9767.763101486833</v>
      </c>
    </row>
    <row r="15" spans="1:11" x14ac:dyDescent="0.25">
      <c r="B15" s="261" t="str">
        <f ca="1">DFIE!$B$38</f>
        <v>Nidwalden</v>
      </c>
      <c r="C15" s="258">
        <f>RP!$I15</f>
        <v>159.83973596302889</v>
      </c>
      <c r="D15" s="252">
        <f t="shared" si="0"/>
        <v>0</v>
      </c>
      <c r="E15" s="252">
        <f t="shared" si="1"/>
        <v>0</v>
      </c>
      <c r="F15" s="31">
        <f t="shared" si="2"/>
        <v>0</v>
      </c>
      <c r="G15" s="119">
        <f>F15*BEV!$F15</f>
        <v>0</v>
      </c>
      <c r="I15" s="243" t="str">
        <f ca="1">DFIE!$B$204</f>
        <v>Progressionsmass p</v>
      </c>
      <c r="J15" s="249"/>
      <c r="K15" s="257">
        <f>K12*(100-K11) / (K10-K11)</f>
        <v>1.6363636363636365</v>
      </c>
    </row>
    <row r="16" spans="1:11" x14ac:dyDescent="0.25">
      <c r="B16" s="242" t="str">
        <f ca="1">DFIE!$B$39</f>
        <v>Glarus</v>
      </c>
      <c r="C16" s="259">
        <f>RP!$I16</f>
        <v>72.11326036463575</v>
      </c>
      <c r="D16" s="253">
        <f t="shared" si="0"/>
        <v>14.641067451217411</v>
      </c>
      <c r="E16" s="253">
        <f t="shared" si="1"/>
        <v>86.754327815853159</v>
      </c>
      <c r="F16" s="30">
        <f t="shared" si="2"/>
        <v>1430.1047841638131</v>
      </c>
      <c r="G16" s="120">
        <f>F16*BEV!$F16</f>
        <v>58717003.87740048</v>
      </c>
      <c r="I16" s="243" t="str">
        <f ca="1">DFIE!$B$205</f>
        <v>Progressionsmass t</v>
      </c>
      <c r="J16" s="249"/>
      <c r="K16" s="257">
        <f>(K10-K11)/(100-K11)^K15</f>
        <v>6.3150448091571998E-2</v>
      </c>
    </row>
    <row r="17" spans="2:11" x14ac:dyDescent="0.25">
      <c r="B17" s="261" t="str">
        <f ca="1">DFIE!$B$40</f>
        <v>Zug</v>
      </c>
      <c r="C17" s="258">
        <f>RP!$I17</f>
        <v>280.66179282734032</v>
      </c>
      <c r="D17" s="252">
        <f t="shared" si="0"/>
        <v>0</v>
      </c>
      <c r="E17" s="252">
        <f t="shared" si="1"/>
        <v>0</v>
      </c>
      <c r="F17" s="31">
        <f t="shared" si="2"/>
        <v>0</v>
      </c>
      <c r="G17" s="119">
        <f>F17*BEV!$F17</f>
        <v>0</v>
      </c>
      <c r="I17" s="130"/>
      <c r="J17" s="247"/>
      <c r="K17" s="251"/>
    </row>
    <row r="18" spans="2:11" x14ac:dyDescent="0.25">
      <c r="B18" s="242" t="str">
        <f ca="1">DFIE!$B$41</f>
        <v>Freiburg</v>
      </c>
      <c r="C18" s="259">
        <f>RP!$I18</f>
        <v>71.919627532405542</v>
      </c>
      <c r="D18" s="253">
        <f t="shared" si="0"/>
        <v>14.807788888697685</v>
      </c>
      <c r="E18" s="253">
        <f t="shared" si="1"/>
        <v>86.727416421103229</v>
      </c>
      <c r="F18" s="30">
        <f t="shared" si="2"/>
        <v>1446.3897392162796</v>
      </c>
      <c r="G18" s="120">
        <f>F18*BEV!$F18</f>
        <v>470755986.29280949</v>
      </c>
      <c r="J18" s="248"/>
    </row>
    <row r="19" spans="2:11" x14ac:dyDescent="0.25">
      <c r="B19" s="261" t="str">
        <f ca="1">DFIE!$B$42</f>
        <v>Solothurn</v>
      </c>
      <c r="C19" s="258">
        <f>RP!$I19</f>
        <v>71.773395861283589</v>
      </c>
      <c r="D19" s="252">
        <f t="shared" si="0"/>
        <v>14.934183097776307</v>
      </c>
      <c r="E19" s="252">
        <f t="shared" si="1"/>
        <v>86.707578959059902</v>
      </c>
      <c r="F19" s="31">
        <f t="shared" si="2"/>
        <v>1458.7356261330774</v>
      </c>
      <c r="G19" s="119">
        <f>F19*BEV!$F19</f>
        <v>406126342.5491057</v>
      </c>
      <c r="J19" s="248"/>
    </row>
    <row r="20" spans="2:11" x14ac:dyDescent="0.25">
      <c r="B20" s="242" t="str">
        <f ca="1">DFIE!$B$43</f>
        <v>Basel-Stadt</v>
      </c>
      <c r="C20" s="259">
        <f>RP!$I20</f>
        <v>160.56787033609069</v>
      </c>
      <c r="D20" s="253">
        <f t="shared" si="0"/>
        <v>0</v>
      </c>
      <c r="E20" s="253">
        <f t="shared" si="1"/>
        <v>0</v>
      </c>
      <c r="F20" s="30">
        <f t="shared" si="2"/>
        <v>0</v>
      </c>
      <c r="G20" s="120">
        <f>F20*BEV!$F20</f>
        <v>0</v>
      </c>
      <c r="J20" s="248"/>
    </row>
    <row r="21" spans="2:11" x14ac:dyDescent="0.25">
      <c r="B21" s="261" t="str">
        <f ca="1">DFIE!$B$44</f>
        <v>Basel-Landschaft</v>
      </c>
      <c r="C21" s="258">
        <f>RP!$I21</f>
        <v>98.79942443555565</v>
      </c>
      <c r="D21" s="252">
        <f t="shared" si="0"/>
        <v>8.516997644141415E-2</v>
      </c>
      <c r="E21" s="252">
        <f t="shared" si="1"/>
        <v>98.884594411997071</v>
      </c>
      <c r="F21" s="31">
        <f t="shared" si="2"/>
        <v>8.3192015323894797</v>
      </c>
      <c r="G21" s="119">
        <f>F21*BEV!$F21</f>
        <v>2428227.9547440833</v>
      </c>
      <c r="J21" s="248"/>
    </row>
    <row r="22" spans="2:11" x14ac:dyDescent="0.25">
      <c r="B22" s="242" t="str">
        <f ca="1">DFIE!$B$45</f>
        <v>Schaffhausen</v>
      </c>
      <c r="C22" s="259">
        <f>RP!$I22</f>
        <v>103.4132752867917</v>
      </c>
      <c r="D22" s="253">
        <f t="shared" si="0"/>
        <v>0</v>
      </c>
      <c r="E22" s="253">
        <f t="shared" si="1"/>
        <v>0</v>
      </c>
      <c r="F22" s="30">
        <f t="shared" si="2"/>
        <v>0</v>
      </c>
      <c r="G22" s="120">
        <f>F22*BEV!$F22</f>
        <v>0</v>
      </c>
      <c r="J22" s="248"/>
    </row>
    <row r="23" spans="2:11" x14ac:dyDescent="0.25">
      <c r="B23" s="261" t="str">
        <f ca="1">DFIE!$B$46</f>
        <v>Appenzell A.Rh.</v>
      </c>
      <c r="C23" s="258">
        <f>RP!$I23</f>
        <v>85.758287409555805</v>
      </c>
      <c r="D23" s="252">
        <f t="shared" si="0"/>
        <v>4.8755509681518197</v>
      </c>
      <c r="E23" s="252">
        <f t="shared" si="1"/>
        <v>90.633838377707619</v>
      </c>
      <c r="F23" s="31">
        <f t="shared" si="2"/>
        <v>476.23226846131752</v>
      </c>
      <c r="G23" s="119">
        <f>F23*BEV!$F23</f>
        <v>26424223.647844665</v>
      </c>
      <c r="J23" s="248"/>
    </row>
    <row r="24" spans="2:11" x14ac:dyDescent="0.25">
      <c r="B24" s="242" t="str">
        <f ca="1">DFIE!$B$47</f>
        <v>Appenzell I.Rh.</v>
      </c>
      <c r="C24" s="259">
        <f>RP!$I24</f>
        <v>105.40059937260087</v>
      </c>
      <c r="D24" s="253">
        <f t="shared" si="0"/>
        <v>0</v>
      </c>
      <c r="E24" s="253">
        <f t="shared" si="1"/>
        <v>0</v>
      </c>
      <c r="F24" s="30">
        <f t="shared" si="2"/>
        <v>0</v>
      </c>
      <c r="G24" s="120">
        <f>F24*BEV!$F24</f>
        <v>0</v>
      </c>
      <c r="J24" s="248"/>
    </row>
    <row r="25" spans="2:11" x14ac:dyDescent="0.25">
      <c r="B25" s="261" t="str">
        <f ca="1">DFIE!$B$48</f>
        <v>St. Gallen</v>
      </c>
      <c r="C25" s="258">
        <f>RP!$I25</f>
        <v>80.695978294817237</v>
      </c>
      <c r="D25" s="252">
        <f t="shared" si="0"/>
        <v>8.0198037516663288</v>
      </c>
      <c r="E25" s="252">
        <f t="shared" si="1"/>
        <v>88.715782046483568</v>
      </c>
      <c r="F25" s="31">
        <f t="shared" si="2"/>
        <v>783.35543166692037</v>
      </c>
      <c r="G25" s="119">
        <f>F25*BEV!$F25</f>
        <v>403780165.57499826</v>
      </c>
      <c r="J25" s="248"/>
    </row>
    <row r="26" spans="2:11" x14ac:dyDescent="0.25">
      <c r="B26" s="242" t="str">
        <f ca="1">DFIE!$B$49</f>
        <v>Graubünden</v>
      </c>
      <c r="C26" s="259">
        <f>RP!$I26</f>
        <v>89.624725311337201</v>
      </c>
      <c r="D26" s="253">
        <f t="shared" si="0"/>
        <v>2.9034960691912794</v>
      </c>
      <c r="E26" s="253">
        <f t="shared" si="1"/>
        <v>92.528221380528478</v>
      </c>
      <c r="F26" s="30">
        <f t="shared" si="2"/>
        <v>283.60661769958637</v>
      </c>
      <c r="G26" s="120">
        <f>F26*BEV!$F26</f>
        <v>58537398.516356573</v>
      </c>
      <c r="J26" s="248"/>
    </row>
    <row r="27" spans="2:11" x14ac:dyDescent="0.25">
      <c r="B27" s="261" t="str">
        <f ca="1">DFIE!$B$50</f>
        <v>Aargau</v>
      </c>
      <c r="C27" s="258">
        <f>RP!$I27</f>
        <v>80.772316135481375</v>
      </c>
      <c r="D27" s="252">
        <f t="shared" si="0"/>
        <v>7.9679728723810319</v>
      </c>
      <c r="E27" s="252">
        <f t="shared" si="1"/>
        <v>88.740289007862401</v>
      </c>
      <c r="F27" s="31">
        <f t="shared" si="2"/>
        <v>778.29271416491497</v>
      </c>
      <c r="G27" s="119">
        <f>F27*BEV!$F27</f>
        <v>540687601.74205577</v>
      </c>
      <c r="J27" s="248"/>
    </row>
    <row r="28" spans="2:11" x14ac:dyDescent="0.25">
      <c r="B28" s="242" t="str">
        <f ca="1">DFIE!$B$51</f>
        <v>Thurgau</v>
      </c>
      <c r="C28" s="259">
        <f>RP!$I28</f>
        <v>81.610136166934595</v>
      </c>
      <c r="D28" s="253">
        <f t="shared" si="0"/>
        <v>7.4077570651229054</v>
      </c>
      <c r="E28" s="253">
        <f t="shared" si="1"/>
        <v>89.017893232057503</v>
      </c>
      <c r="F28" s="30">
        <f t="shared" si="2"/>
        <v>723.57216125485911</v>
      </c>
      <c r="G28" s="120">
        <f>F28*BEV!$F28</f>
        <v>204772730.56552827</v>
      </c>
      <c r="J28" s="248"/>
    </row>
    <row r="29" spans="2:11" x14ac:dyDescent="0.25">
      <c r="B29" s="261" t="str">
        <f ca="1">DFIE!$B$52</f>
        <v>Tessin</v>
      </c>
      <c r="C29" s="258">
        <f>RP!$I29</f>
        <v>90.445750395049828</v>
      </c>
      <c r="D29" s="252">
        <f t="shared" si="0"/>
        <v>2.5370818678118976</v>
      </c>
      <c r="E29" s="252">
        <f t="shared" si="1"/>
        <v>92.98283226286172</v>
      </c>
      <c r="F29" s="31">
        <f t="shared" si="2"/>
        <v>247.81614653864347</v>
      </c>
      <c r="G29" s="119">
        <f>F29*BEV!$F29</f>
        <v>87788043.857492656</v>
      </c>
      <c r="J29" s="248"/>
    </row>
    <row r="30" spans="2:11" x14ac:dyDescent="0.25">
      <c r="B30" s="242" t="str">
        <f ca="1">DFIE!$B$53</f>
        <v>Waadt</v>
      </c>
      <c r="C30" s="259">
        <f>RP!$I30</f>
        <v>100.02353775709014</v>
      </c>
      <c r="D30" s="253">
        <f t="shared" si="0"/>
        <v>0</v>
      </c>
      <c r="E30" s="253">
        <f t="shared" si="1"/>
        <v>0</v>
      </c>
      <c r="F30" s="30">
        <f t="shared" si="2"/>
        <v>0</v>
      </c>
      <c r="G30" s="120">
        <f>F30*BEV!$F30</f>
        <v>0</v>
      </c>
      <c r="J30" s="248"/>
    </row>
    <row r="31" spans="2:11" x14ac:dyDescent="0.25">
      <c r="B31" s="261" t="str">
        <f ca="1">DFIE!$B$54</f>
        <v>Wallis</v>
      </c>
      <c r="C31" s="258">
        <f>RP!$I31</f>
        <v>66.357167349364047</v>
      </c>
      <c r="D31" s="252">
        <f t="shared" si="0"/>
        <v>20.142832650635953</v>
      </c>
      <c r="E31" s="252">
        <f t="shared" si="1"/>
        <v>86.5</v>
      </c>
      <c r="F31" s="31">
        <f t="shared" si="2"/>
        <v>1967.5041752430607</v>
      </c>
      <c r="G31" s="119">
        <f>F31*BEV!$F31</f>
        <v>699432650.10023117</v>
      </c>
      <c r="J31" s="248"/>
    </row>
    <row r="32" spans="2:11" x14ac:dyDescent="0.25">
      <c r="B32" s="242" t="str">
        <f ca="1">DFIE!$B$55</f>
        <v>Neuenburg</v>
      </c>
      <c r="C32" s="259">
        <f>RP!$I32</f>
        <v>73.618190592606197</v>
      </c>
      <c r="D32" s="253">
        <f t="shared" si="0"/>
        <v>13.370497432622756</v>
      </c>
      <c r="E32" s="253">
        <f t="shared" si="1"/>
        <v>86.988688025228953</v>
      </c>
      <c r="F32" s="30">
        <f t="shared" si="2"/>
        <v>1305.9985147089699</v>
      </c>
      <c r="G32" s="120">
        <f>F32*BEV!$F32</f>
        <v>231908332.92106295</v>
      </c>
      <c r="J32" s="248"/>
    </row>
    <row r="33" spans="2:11" x14ac:dyDescent="0.25">
      <c r="B33" s="261" t="str">
        <f ca="1">DFIE!$B$56</f>
        <v>Genf</v>
      </c>
      <c r="C33" s="258">
        <f>RP!$I33</f>
        <v>143.91066955838474</v>
      </c>
      <c r="D33" s="252">
        <f t="shared" si="0"/>
        <v>0</v>
      </c>
      <c r="E33" s="252">
        <f t="shared" si="1"/>
        <v>0</v>
      </c>
      <c r="F33" s="31">
        <f t="shared" si="2"/>
        <v>0</v>
      </c>
      <c r="G33" s="119">
        <f>F33*BEV!$F33</f>
        <v>0</v>
      </c>
      <c r="J33" s="248"/>
    </row>
    <row r="34" spans="2:11" x14ac:dyDescent="0.25">
      <c r="B34" s="242" t="str">
        <f ca="1">DFIE!$B$57</f>
        <v>Jura</v>
      </c>
      <c r="C34" s="259">
        <f>RP!$I34</f>
        <v>65.579947049524549</v>
      </c>
      <c r="D34" s="253">
        <f t="shared" si="0"/>
        <v>20.920052950475451</v>
      </c>
      <c r="E34" s="253">
        <f t="shared" si="1"/>
        <v>86.5</v>
      </c>
      <c r="F34" s="30">
        <f t="shared" si="2"/>
        <v>2043.4212129080488</v>
      </c>
      <c r="G34" s="120">
        <f>F34*BEV!$F34</f>
        <v>150886222.36113033</v>
      </c>
      <c r="J34" s="248"/>
    </row>
    <row r="35" spans="2:11" x14ac:dyDescent="0.25">
      <c r="B35" s="15" t="str">
        <f ca="1">DFIE!$B$58</f>
        <v>Schweiz</v>
      </c>
      <c r="C35" s="260">
        <f>RP!$I35</f>
        <v>100</v>
      </c>
      <c r="D35" s="239"/>
      <c r="E35" s="239"/>
      <c r="F35" s="254"/>
      <c r="G35" s="121">
        <f>SUM(G9:G34)</f>
        <v>4838766964.9248629</v>
      </c>
      <c r="I35" s="76"/>
      <c r="J35" s="248"/>
      <c r="K35" s="76"/>
    </row>
  </sheetData>
  <conditionalFormatting sqref="K10:K12">
    <cfRule type="expression" dxfId="11" priority="1" stopIfTrue="1">
      <formula>ISBLANK(K10)</formula>
    </cfRule>
  </conditionalFormatting>
  <pageMargins left="0.78740157480314965" right="0.70866141732283472" top="0.9055118110236221" bottom="0.98425196850393704" header="0.51181102362204722" footer="0.51181102362204722"/>
  <pageSetup paperSize="9" scale="94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3"/>
  <dimension ref="A1:F12"/>
  <sheetViews>
    <sheetView showGridLines="0" workbookViewId="0">
      <selection activeCell="A50" sqref="A50"/>
    </sheetView>
  </sheetViews>
  <sheetFormatPr baseColWidth="10" defaultColWidth="9.109375" defaultRowHeight="13.2" x14ac:dyDescent="0.25"/>
  <cols>
    <col min="1" max="1" width="1.6640625" customWidth="1"/>
    <col min="2" max="2" width="23.33203125" customWidth="1"/>
    <col min="3" max="3" width="12.88671875" customWidth="1"/>
    <col min="4" max="6" width="20.6640625" customWidth="1"/>
    <col min="10" max="10" width="2.44140625" customWidth="1"/>
    <col min="12" max="12" width="30.88671875" customWidth="1"/>
    <col min="13" max="15" width="19.5546875" customWidth="1"/>
  </cols>
  <sheetData>
    <row r="1" spans="1:6" ht="22.5" customHeight="1" x14ac:dyDescent="0.3">
      <c r="B1" s="4" t="str">
        <f ca="1">DFIE!$B$206</f>
        <v>Dotationen im Ressourcenausgleich 2025</v>
      </c>
      <c r="C1" s="4"/>
    </row>
    <row r="2" spans="1:6" ht="22.5" customHeight="1" x14ac:dyDescent="0.25">
      <c r="B2" s="17"/>
      <c r="C2" s="17"/>
    </row>
    <row r="3" spans="1:6" ht="0.75" customHeight="1" x14ac:dyDescent="0.25">
      <c r="B3" s="17"/>
      <c r="C3" s="17"/>
    </row>
    <row r="4" spans="1:6" ht="0.75" customHeight="1" x14ac:dyDescent="0.25">
      <c r="B4" s="17"/>
      <c r="C4" s="17"/>
    </row>
    <row r="5" spans="1:6" ht="0.75" customHeight="1" x14ac:dyDescent="0.25">
      <c r="B5" s="17"/>
      <c r="C5" s="17"/>
    </row>
    <row r="6" spans="1:6" ht="0.75" customHeight="1" x14ac:dyDescent="0.25">
      <c r="B6" s="17"/>
      <c r="C6" s="17"/>
    </row>
    <row r="7" spans="1:6" ht="0.75" customHeight="1" x14ac:dyDescent="0.25">
      <c r="B7" s="17"/>
      <c r="C7" s="17"/>
    </row>
    <row r="8" spans="1:6" ht="45" customHeight="1" x14ac:dyDescent="0.25">
      <c r="B8" s="273"/>
      <c r="C8" s="267" t="str">
        <f ca="1">DFIE!$B$62</f>
        <v>Einheit</v>
      </c>
      <c r="D8" s="264" t="str">
        <f ca="1">DFIE!$B$207</f>
        <v>Vertikaler
Ressourcenausgleich
(VRA)</v>
      </c>
      <c r="E8" s="265" t="str">
        <f ca="1">DFIE!$B$208</f>
        <v>Horizontaler
Ressourcenausgleich
(HRA)</v>
      </c>
      <c r="F8" s="266" t="str">
        <f ca="1">DFIE!$B$209</f>
        <v>Ausgleich
Total</v>
      </c>
    </row>
    <row r="9" spans="1:6" ht="24" customHeight="1" x14ac:dyDescent="0.25">
      <c r="A9" s="77"/>
      <c r="B9" s="262" t="str">
        <f ca="1">DFIE!$B$210</f>
        <v>Dotation 2025</v>
      </c>
      <c r="C9" s="241" t="str">
        <f ca="1">DFIE!$B$63</f>
        <v>CHF</v>
      </c>
      <c r="D9" s="27">
        <f>D10*F9</f>
        <v>2903260178.9549174</v>
      </c>
      <c r="E9" s="121">
        <f>E10*F9</f>
        <v>1935506785.9699452</v>
      </c>
      <c r="F9" s="121">
        <f>AUSZ!$G$35</f>
        <v>4838766964.9248629</v>
      </c>
    </row>
    <row r="10" spans="1:6" ht="18" customHeight="1" x14ac:dyDescent="0.25">
      <c r="A10" s="78"/>
      <c r="B10" s="263" t="str">
        <f ca="1">DFIE!$B$211</f>
        <v>Anteile</v>
      </c>
      <c r="C10" s="241" t="str">
        <f ca="1">DFIE!$B$67</f>
        <v>Prozent</v>
      </c>
      <c r="D10" s="271">
        <f>D12/(1+D12)</f>
        <v>0.6</v>
      </c>
      <c r="E10" s="272">
        <f>1/(1+D12)</f>
        <v>0.4</v>
      </c>
      <c r="F10" s="272">
        <v>1</v>
      </c>
    </row>
    <row r="12" spans="1:6" ht="18" customHeight="1" x14ac:dyDescent="0.25">
      <c r="A12" s="78"/>
      <c r="B12" s="269" t="str">
        <f ca="1">DFIE!$B$212</f>
        <v>VRA in % des HRA</v>
      </c>
      <c r="C12" s="268" t="str">
        <f ca="1">DFIE!$B$67</f>
        <v>Prozent</v>
      </c>
      <c r="D12" s="270">
        <v>1.5</v>
      </c>
      <c r="E12" s="78"/>
      <c r="F12" s="78"/>
    </row>
  </sheetData>
  <conditionalFormatting sqref="D12">
    <cfRule type="expression" dxfId="10" priority="1" stopIfTrue="1">
      <formula>ISBLANK(D12)</formula>
    </cfRule>
  </conditionalFormatting>
  <pageMargins left="0.78740157480314965" right="0.78740157480314965" top="0.9055118110236221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4"/>
  <dimension ref="A1:G35"/>
  <sheetViews>
    <sheetView showGridLines="0" workbookViewId="0">
      <selection activeCell="A50" sqref="A50"/>
    </sheetView>
  </sheetViews>
  <sheetFormatPr baseColWidth="10" defaultColWidth="9.109375" defaultRowHeight="13.2" x14ac:dyDescent="0.25"/>
  <cols>
    <col min="1" max="1" width="1.6640625" customWidth="1"/>
    <col min="2" max="2" width="17.33203125" customWidth="1"/>
    <col min="3" max="5" width="16.6640625" customWidth="1"/>
    <col min="6" max="7" width="17.44140625" customWidth="1"/>
  </cols>
  <sheetData>
    <row r="1" spans="1:7" ht="22.5" customHeight="1" x14ac:dyDescent="0.3">
      <c r="B1" s="4" t="str">
        <f ca="1">DFIE!$B$213</f>
        <v>Einzahlungen der ressourcenstarken Kantone 2025</v>
      </c>
      <c r="C1" s="171"/>
      <c r="D1" s="171"/>
      <c r="E1" s="179"/>
      <c r="F1" s="173"/>
      <c r="G1" s="44"/>
    </row>
    <row r="2" spans="1:7" ht="12.75" customHeight="1" x14ac:dyDescent="0.25">
      <c r="A2" s="164"/>
      <c r="B2" s="44"/>
      <c r="C2" s="164"/>
      <c r="D2" s="164"/>
      <c r="E2" s="165"/>
      <c r="F2" s="166"/>
    </row>
    <row r="3" spans="1:7" ht="0.75" customHeight="1" x14ac:dyDescent="0.25">
      <c r="A3" s="164"/>
      <c r="B3" s="164"/>
      <c r="C3" s="164"/>
      <c r="D3" s="164"/>
      <c r="E3" s="164"/>
      <c r="F3" s="164"/>
      <c r="G3" s="44"/>
    </row>
    <row r="4" spans="1:7" ht="0.75" customHeight="1" x14ac:dyDescent="0.25">
      <c r="A4" s="164"/>
      <c r="B4" s="164"/>
      <c r="C4" s="164"/>
      <c r="D4" s="164"/>
      <c r="E4" s="164"/>
      <c r="F4" s="164"/>
      <c r="G4" s="44"/>
    </row>
    <row r="5" spans="1:7" ht="12" customHeight="1" x14ac:dyDescent="0.25">
      <c r="B5" s="32" t="str">
        <f ca="1">DFIE!$B$59</f>
        <v>Spalte</v>
      </c>
      <c r="C5" s="71" t="s">
        <v>30</v>
      </c>
      <c r="D5" s="33" t="s">
        <v>31</v>
      </c>
      <c r="E5" s="33" t="s">
        <v>32</v>
      </c>
      <c r="F5" s="109" t="s">
        <v>43</v>
      </c>
      <c r="G5" s="107" t="s">
        <v>42</v>
      </c>
    </row>
    <row r="6" spans="1:7" ht="12" customHeight="1" x14ac:dyDescent="0.25">
      <c r="B6" s="32" t="str">
        <f ca="1">DFIE!$B$60</f>
        <v>Formel</v>
      </c>
      <c r="C6" s="73"/>
      <c r="D6" s="147"/>
      <c r="E6" s="147" t="s">
        <v>75</v>
      </c>
      <c r="F6" s="274" t="s">
        <v>76</v>
      </c>
      <c r="G6" s="275" t="str">
        <f ca="1">DFIE!$B$219</f>
        <v>Dotation/E[Schweiz]*E</v>
      </c>
    </row>
    <row r="7" spans="1:7" ht="42.75" customHeight="1" x14ac:dyDescent="0.25">
      <c r="B7" s="75"/>
      <c r="C7" s="103" t="str">
        <f ca="1">DFIE!$B$214</f>
        <v>Ressourcen-
index</v>
      </c>
      <c r="D7" s="103" t="str">
        <f ca="1">DFIE!$B$215</f>
        <v>Massgebende
Wohn-
bevölkerung</v>
      </c>
      <c r="E7" s="103" t="str">
        <f ca="1">DFIE!$B$216</f>
        <v>Summe der
gewichteten
Abweichungen</v>
      </c>
      <c r="F7" s="250" t="str">
        <f ca="1">DFIE!$B$217</f>
        <v>Einzahlung
pro Einwohner</v>
      </c>
      <c r="G7" s="126" t="str">
        <f ca="1">DFIE!$B$218</f>
        <v xml:space="preserve">Einzahlung
</v>
      </c>
    </row>
    <row r="8" spans="1:7" x14ac:dyDescent="0.25">
      <c r="B8" s="32" t="str">
        <f ca="1">DFIE!$B$62</f>
        <v>Einheit</v>
      </c>
      <c r="C8" s="200" t="str">
        <f ca="1">DFIE!$B$66</f>
        <v>Punkte</v>
      </c>
      <c r="D8" s="38" t="str">
        <f ca="1">DFIE!$B$65</f>
        <v>Anzahl</v>
      </c>
      <c r="E8" s="38"/>
      <c r="F8" s="112" t="str">
        <f ca="1">DFIE!$B$63</f>
        <v>CHF</v>
      </c>
      <c r="G8" s="111" t="str">
        <f ca="1">DFIE!$B$63</f>
        <v>CHF</v>
      </c>
    </row>
    <row r="9" spans="1:7" ht="12.75" customHeight="1" x14ac:dyDescent="0.25">
      <c r="B9" s="261" t="str">
        <f ca="1">DFIE!$B$32</f>
        <v>Zürich</v>
      </c>
      <c r="C9" s="159">
        <f>RP!I9</f>
        <v>118.95371559857108</v>
      </c>
      <c r="D9" s="94">
        <f>RP!G9</f>
        <v>1554506.6666666667</v>
      </c>
      <c r="E9" s="94">
        <f t="shared" ref="E9:E34" si="0">IF(C9&gt;100,(C9-100)*D9,0)</f>
        <v>29463677.256082736</v>
      </c>
      <c r="F9" s="31">
        <f>G9/D9</f>
        <v>351.47045488282436</v>
      </c>
      <c r="G9" s="119">
        <f>DOT!$E$9/$E$35*E9</f>
        <v>546363165.25171638</v>
      </c>
    </row>
    <row r="10" spans="1:7" ht="12.75" customHeight="1" x14ac:dyDescent="0.25">
      <c r="B10" s="242" t="str">
        <f ca="1">DFIE!$B$33</f>
        <v>Bern</v>
      </c>
      <c r="C10" s="160">
        <f>RP!I10</f>
        <v>73.60272509466796</v>
      </c>
      <c r="D10" s="93">
        <f>RP!G10</f>
        <v>1046974</v>
      </c>
      <c r="E10" s="93">
        <f t="shared" si="0"/>
        <v>0</v>
      </c>
      <c r="F10" s="30">
        <f t="shared" ref="F10:F34" si="1">G10/D10</f>
        <v>0</v>
      </c>
      <c r="G10" s="120">
        <f>DOT!$E$9/$E$35*E10</f>
        <v>0</v>
      </c>
    </row>
    <row r="11" spans="1:7" ht="12.75" customHeight="1" x14ac:dyDescent="0.25">
      <c r="B11" s="261" t="str">
        <f ca="1">DFIE!$B$34</f>
        <v>Luzern</v>
      </c>
      <c r="C11" s="159">
        <f>RP!I11</f>
        <v>92.477714297617922</v>
      </c>
      <c r="D11" s="94">
        <f>RP!G11</f>
        <v>417391.5</v>
      </c>
      <c r="E11" s="94">
        <f t="shared" si="0"/>
        <v>0</v>
      </c>
      <c r="F11" s="31">
        <f t="shared" si="1"/>
        <v>0</v>
      </c>
      <c r="G11" s="119">
        <f>DOT!$E$9/$E$35*E11</f>
        <v>0</v>
      </c>
    </row>
    <row r="12" spans="1:7" ht="12.75" customHeight="1" x14ac:dyDescent="0.25">
      <c r="B12" s="242" t="str">
        <f ca="1">DFIE!$B$35</f>
        <v>Uri</v>
      </c>
      <c r="C12" s="160">
        <f>RP!I12</f>
        <v>70.55637322027448</v>
      </c>
      <c r="D12" s="93">
        <f>RP!G12</f>
        <v>37056.166666666664</v>
      </c>
      <c r="E12" s="93">
        <f t="shared" si="0"/>
        <v>0</v>
      </c>
      <c r="F12" s="30">
        <f t="shared" si="1"/>
        <v>0</v>
      </c>
      <c r="G12" s="120">
        <f>DOT!$E$9/$E$35*E12</f>
        <v>0</v>
      </c>
    </row>
    <row r="13" spans="1:7" ht="12.75" customHeight="1" x14ac:dyDescent="0.25">
      <c r="B13" s="261" t="str">
        <f ca="1">DFIE!$B$36</f>
        <v>Schwyz</v>
      </c>
      <c r="C13" s="159">
        <f>RP!I13</f>
        <v>184.48973554736722</v>
      </c>
      <c r="D13" s="94">
        <f>RP!G13</f>
        <v>162029.33333333334</v>
      </c>
      <c r="E13" s="94">
        <f t="shared" si="0"/>
        <v>13689815.524249546</v>
      </c>
      <c r="F13" s="31">
        <f t="shared" si="1"/>
        <v>1566.7453503418321</v>
      </c>
      <c r="G13" s="119">
        <f>DOT!$E$9/$E$35*E13</f>
        <v>253858704.61898685</v>
      </c>
    </row>
    <row r="14" spans="1:7" ht="12.75" customHeight="1" x14ac:dyDescent="0.25">
      <c r="B14" s="242" t="str">
        <f ca="1">DFIE!$B$37</f>
        <v>Obwalden</v>
      </c>
      <c r="C14" s="160">
        <f>RP!I14</f>
        <v>110.89369610338187</v>
      </c>
      <c r="D14" s="93">
        <f>RP!G14</f>
        <v>38368.166666666664</v>
      </c>
      <c r="E14" s="93">
        <f t="shared" si="0"/>
        <v>417971.14771057281</v>
      </c>
      <c r="F14" s="30">
        <f t="shared" si="1"/>
        <v>202.00853520771048</v>
      </c>
      <c r="G14" s="120">
        <f>DOT!$E$9/$E$35*E14</f>
        <v>7750697.1469386369</v>
      </c>
    </row>
    <row r="15" spans="1:7" ht="12.75" customHeight="1" x14ac:dyDescent="0.25">
      <c r="B15" s="261" t="str">
        <f ca="1">DFIE!$B$38</f>
        <v>Nidwalden</v>
      </c>
      <c r="C15" s="159">
        <f>RP!I15</f>
        <v>159.83973596302889</v>
      </c>
      <c r="D15" s="94">
        <f>RP!G15</f>
        <v>43583.833333333336</v>
      </c>
      <c r="E15" s="94">
        <f t="shared" si="0"/>
        <v>2608045.0789233241</v>
      </c>
      <c r="F15" s="31">
        <f t="shared" si="1"/>
        <v>1109.6451832684174</v>
      </c>
      <c r="G15" s="119">
        <f>DOT!$E$9/$E$35*E15</f>
        <v>48362590.726706833</v>
      </c>
    </row>
    <row r="16" spans="1:7" ht="12.75" customHeight="1" x14ac:dyDescent="0.25">
      <c r="B16" s="242" t="str">
        <f ca="1">DFIE!$B$39</f>
        <v>Glarus</v>
      </c>
      <c r="C16" s="160">
        <f>RP!I16</f>
        <v>72.11326036463575</v>
      </c>
      <c r="D16" s="93">
        <f>RP!G16</f>
        <v>41057.833333333336</v>
      </c>
      <c r="E16" s="93">
        <f t="shared" si="0"/>
        <v>0</v>
      </c>
      <c r="F16" s="30">
        <f t="shared" si="1"/>
        <v>0</v>
      </c>
      <c r="G16" s="120">
        <f>DOT!$E$9/$E$35*E16</f>
        <v>0</v>
      </c>
    </row>
    <row r="17" spans="2:7" ht="12.75" customHeight="1" x14ac:dyDescent="0.25">
      <c r="B17" s="261" t="str">
        <f ca="1">DFIE!$B$40</f>
        <v>Zug</v>
      </c>
      <c r="C17" s="159">
        <f>RP!I17</f>
        <v>280.66179282734032</v>
      </c>
      <c r="D17" s="94">
        <f>RP!G17</f>
        <v>129802.66666666667</v>
      </c>
      <c r="E17" s="94">
        <f t="shared" si="0"/>
        <v>23450382.473769646</v>
      </c>
      <c r="F17" s="31">
        <f t="shared" si="1"/>
        <v>3350.1232080193786</v>
      </c>
      <c r="G17" s="119">
        <f>DOT!$E$9/$E$35*E17</f>
        <v>434854926.06280339</v>
      </c>
    </row>
    <row r="18" spans="2:7" ht="12.75" customHeight="1" x14ac:dyDescent="0.25">
      <c r="B18" s="242" t="str">
        <f ca="1">DFIE!$B$41</f>
        <v>Freiburg</v>
      </c>
      <c r="C18" s="160">
        <f>RP!I18</f>
        <v>71.919627532405542</v>
      </c>
      <c r="D18" s="93">
        <f>RP!G18</f>
        <v>325469.66666666669</v>
      </c>
      <c r="E18" s="93">
        <f t="shared" si="0"/>
        <v>0</v>
      </c>
      <c r="F18" s="30">
        <f t="shared" si="1"/>
        <v>0</v>
      </c>
      <c r="G18" s="120">
        <f>DOT!$E$9/$E$35*E18</f>
        <v>0</v>
      </c>
    </row>
    <row r="19" spans="2:7" ht="12.75" customHeight="1" x14ac:dyDescent="0.25">
      <c r="B19" s="261" t="str">
        <f ca="1">DFIE!$B$42</f>
        <v>Solothurn</v>
      </c>
      <c r="C19" s="159">
        <f>RP!I19</f>
        <v>71.773395861283589</v>
      </c>
      <c r="D19" s="94">
        <f>RP!G19</f>
        <v>278409.83333333331</v>
      </c>
      <c r="E19" s="94">
        <f t="shared" si="0"/>
        <v>0</v>
      </c>
      <c r="F19" s="31">
        <f t="shared" si="1"/>
        <v>0</v>
      </c>
      <c r="G19" s="119">
        <f>DOT!$E$9/$E$35*E19</f>
        <v>0</v>
      </c>
    </row>
    <row r="20" spans="2:7" ht="12.75" customHeight="1" x14ac:dyDescent="0.25">
      <c r="B20" s="242" t="str">
        <f ca="1">DFIE!$B$43</f>
        <v>Basel-Stadt</v>
      </c>
      <c r="C20" s="160">
        <f>RP!I20</f>
        <v>160.56787033609069</v>
      </c>
      <c r="D20" s="93">
        <f>RP!G20</f>
        <v>198795.16666666666</v>
      </c>
      <c r="E20" s="93">
        <f t="shared" si="0"/>
        <v>12040599.878108205</v>
      </c>
      <c r="F20" s="30">
        <f t="shared" si="1"/>
        <v>1123.1474286716959</v>
      </c>
      <c r="G20" s="120">
        <f>DOT!$E$9/$E$35*E20</f>
        <v>223276280.27402788</v>
      </c>
    </row>
    <row r="21" spans="2:7" ht="12.75" customHeight="1" x14ac:dyDescent="0.25">
      <c r="B21" s="261" t="str">
        <f ca="1">DFIE!$B$44</f>
        <v>Basel-Landschaft</v>
      </c>
      <c r="C21" s="159">
        <f>RP!I21</f>
        <v>98.79942443555565</v>
      </c>
      <c r="D21" s="94">
        <f>RP!G21</f>
        <v>291882.33333333331</v>
      </c>
      <c r="E21" s="94">
        <f t="shared" si="0"/>
        <v>0</v>
      </c>
      <c r="F21" s="31">
        <f t="shared" si="1"/>
        <v>0</v>
      </c>
      <c r="G21" s="119">
        <f>DOT!$E$9/$E$35*E21</f>
        <v>0</v>
      </c>
    </row>
    <row r="22" spans="2:7" ht="12.75" customHeight="1" x14ac:dyDescent="0.25">
      <c r="B22" s="242" t="str">
        <f ca="1">DFIE!$B$45</f>
        <v>Schaffhausen</v>
      </c>
      <c r="C22" s="160">
        <f>RP!I22</f>
        <v>103.4132752867917</v>
      </c>
      <c r="D22" s="93">
        <f>RP!G22</f>
        <v>83477</v>
      </c>
      <c r="E22" s="93">
        <f t="shared" si="0"/>
        <v>284929.98111551092</v>
      </c>
      <c r="F22" s="30">
        <f t="shared" si="1"/>
        <v>63.294471812135093</v>
      </c>
      <c r="G22" s="120">
        <f>DOT!$E$9/$E$35*E22</f>
        <v>5283632.6234616013</v>
      </c>
    </row>
    <row r="23" spans="2:7" ht="12.75" customHeight="1" x14ac:dyDescent="0.25">
      <c r="B23" s="261" t="str">
        <f ca="1">DFIE!$B$46</f>
        <v>Appenzell A.Rh.</v>
      </c>
      <c r="C23" s="159">
        <f>RP!I23</f>
        <v>85.758287409555805</v>
      </c>
      <c r="D23" s="94">
        <f>RP!G23</f>
        <v>55486</v>
      </c>
      <c r="E23" s="94">
        <f t="shared" si="0"/>
        <v>0</v>
      </c>
      <c r="F23" s="31">
        <f t="shared" si="1"/>
        <v>0</v>
      </c>
      <c r="G23" s="119">
        <f>DOT!$E$9/$E$35*E23</f>
        <v>0</v>
      </c>
    </row>
    <row r="24" spans="2:7" ht="12.75" customHeight="1" x14ac:dyDescent="0.25">
      <c r="B24" s="242" t="str">
        <f ca="1">DFIE!$B$47</f>
        <v>Appenzell I.Rh.</v>
      </c>
      <c r="C24" s="160">
        <f>RP!I24</f>
        <v>105.40059937260087</v>
      </c>
      <c r="D24" s="93">
        <f>RP!G24</f>
        <v>16283.5</v>
      </c>
      <c r="E24" s="93">
        <f t="shared" si="0"/>
        <v>87940.659883746193</v>
      </c>
      <c r="F24" s="30">
        <f t="shared" si="1"/>
        <v>100.14664978253784</v>
      </c>
      <c r="G24" s="120">
        <f>DOT!$E$9/$E$35*E24</f>
        <v>1630737.9717339547</v>
      </c>
    </row>
    <row r="25" spans="2:7" ht="12.75" customHeight="1" x14ac:dyDescent="0.25">
      <c r="B25" s="261" t="str">
        <f ca="1">DFIE!$B$48</f>
        <v>St. Gallen</v>
      </c>
      <c r="C25" s="159">
        <f>RP!I25</f>
        <v>80.695978294817237</v>
      </c>
      <c r="D25" s="94">
        <f>RP!G25</f>
        <v>515449.5</v>
      </c>
      <c r="E25" s="94">
        <f t="shared" si="0"/>
        <v>0</v>
      </c>
      <c r="F25" s="31">
        <f t="shared" si="1"/>
        <v>0</v>
      </c>
      <c r="G25" s="119">
        <f>DOT!$E$9/$E$35*E25</f>
        <v>0</v>
      </c>
    </row>
    <row r="26" spans="2:7" ht="12.75" customHeight="1" x14ac:dyDescent="0.25">
      <c r="B26" s="242" t="str">
        <f ca="1">DFIE!$B$49</f>
        <v>Graubünden</v>
      </c>
      <c r="C26" s="160">
        <f>RP!I26</f>
        <v>89.624725311337201</v>
      </c>
      <c r="D26" s="93">
        <f>RP!G26</f>
        <v>206403.5</v>
      </c>
      <c r="E26" s="93">
        <f t="shared" si="0"/>
        <v>0</v>
      </c>
      <c r="F26" s="30">
        <f t="shared" si="1"/>
        <v>0</v>
      </c>
      <c r="G26" s="120">
        <f>DOT!$E$9/$E$35*E26</f>
        <v>0</v>
      </c>
    </row>
    <row r="27" spans="2:7" ht="12.75" customHeight="1" x14ac:dyDescent="0.25">
      <c r="B27" s="261" t="str">
        <f ca="1">DFIE!$B$50</f>
        <v>Aargau</v>
      </c>
      <c r="C27" s="159">
        <f>RP!I27</f>
        <v>80.772316135481375</v>
      </c>
      <c r="D27" s="94">
        <f>RP!G27</f>
        <v>694709.83333333337</v>
      </c>
      <c r="E27" s="94">
        <f t="shared" si="0"/>
        <v>0</v>
      </c>
      <c r="F27" s="31">
        <f t="shared" si="1"/>
        <v>0</v>
      </c>
      <c r="G27" s="119">
        <f>DOT!$E$9/$E$35*E27</f>
        <v>0</v>
      </c>
    </row>
    <row r="28" spans="2:7" ht="12.75" customHeight="1" x14ac:dyDescent="0.25">
      <c r="B28" s="242" t="str">
        <f ca="1">DFIE!$B$51</f>
        <v>Thurgau</v>
      </c>
      <c r="C28" s="160">
        <f>RP!I28</f>
        <v>81.610136166934595</v>
      </c>
      <c r="D28" s="93">
        <f>RP!G28</f>
        <v>283002.5</v>
      </c>
      <c r="E28" s="93">
        <f t="shared" si="0"/>
        <v>0</v>
      </c>
      <c r="F28" s="30">
        <f t="shared" si="1"/>
        <v>0</v>
      </c>
      <c r="G28" s="120">
        <f>DOT!$E$9/$E$35*E28</f>
        <v>0</v>
      </c>
    </row>
    <row r="29" spans="2:7" ht="12.75" customHeight="1" x14ac:dyDescent="0.25">
      <c r="B29" s="261" t="str">
        <f ca="1">DFIE!$B$52</f>
        <v>Tessin</v>
      </c>
      <c r="C29" s="159">
        <f>RP!I29</f>
        <v>90.445750395049828</v>
      </c>
      <c r="D29" s="94">
        <f>RP!G29</f>
        <v>354246.66666666669</v>
      </c>
      <c r="E29" s="94">
        <f t="shared" si="0"/>
        <v>0</v>
      </c>
      <c r="F29" s="31">
        <f t="shared" si="1"/>
        <v>0</v>
      </c>
      <c r="G29" s="119">
        <f>DOT!$E$9/$E$35*E29</f>
        <v>0</v>
      </c>
    </row>
    <row r="30" spans="2:7" ht="12.75" customHeight="1" x14ac:dyDescent="0.25">
      <c r="B30" s="242" t="str">
        <f ca="1">DFIE!$B$53</f>
        <v>Waadt</v>
      </c>
      <c r="C30" s="160">
        <f>RP!I30</f>
        <v>100.02353775709014</v>
      </c>
      <c r="D30" s="93">
        <f>RP!G30</f>
        <v>818813.16666666663</v>
      </c>
      <c r="E30" s="93">
        <f t="shared" si="0"/>
        <v>19273.025419207635</v>
      </c>
      <c r="F30" s="30">
        <f t="shared" si="1"/>
        <v>0.43647516754004295</v>
      </c>
      <c r="G30" s="120">
        <f>DOT!$E$9/$E$35*E30</f>
        <v>357391.61410482641</v>
      </c>
    </row>
    <row r="31" spans="2:7" ht="12.75" customHeight="1" x14ac:dyDescent="0.25">
      <c r="B31" s="261" t="str">
        <f ca="1">DFIE!$B$54</f>
        <v>Wallis</v>
      </c>
      <c r="C31" s="159">
        <f>RP!I31</f>
        <v>66.357167349364047</v>
      </c>
      <c r="D31" s="94">
        <f>RP!G31</f>
        <v>355492.33333333331</v>
      </c>
      <c r="E31" s="94">
        <f t="shared" si="0"/>
        <v>0</v>
      </c>
      <c r="F31" s="31">
        <f t="shared" si="1"/>
        <v>0</v>
      </c>
      <c r="G31" s="119">
        <f>DOT!$E$9/$E$35*E31</f>
        <v>0</v>
      </c>
    </row>
    <row r="32" spans="2:7" ht="12.75" customHeight="1" x14ac:dyDescent="0.25">
      <c r="B32" s="242" t="str">
        <f ca="1">DFIE!$B$55</f>
        <v>Neuenburg</v>
      </c>
      <c r="C32" s="160">
        <f>RP!I32</f>
        <v>73.618190592606197</v>
      </c>
      <c r="D32" s="93">
        <f>RP!G32</f>
        <v>177571.66666666666</v>
      </c>
      <c r="E32" s="93">
        <f t="shared" si="0"/>
        <v>0</v>
      </c>
      <c r="F32" s="30">
        <f t="shared" si="1"/>
        <v>0</v>
      </c>
      <c r="G32" s="120">
        <f>DOT!$E$9/$E$35*E32</f>
        <v>0</v>
      </c>
    </row>
    <row r="33" spans="2:7" ht="12.75" customHeight="1" x14ac:dyDescent="0.25">
      <c r="B33" s="261" t="str">
        <f ca="1">DFIE!$B$56</f>
        <v>Genf</v>
      </c>
      <c r="C33" s="159">
        <f>RP!I33</f>
        <v>143.91066955838474</v>
      </c>
      <c r="D33" s="94">
        <f>RP!G33</f>
        <v>508151.33333333331</v>
      </c>
      <c r="E33" s="94">
        <f t="shared" si="0"/>
        <v>22313265.283652615</v>
      </c>
      <c r="F33" s="31">
        <f t="shared" si="1"/>
        <v>814.26266652742174</v>
      </c>
      <c r="G33" s="119">
        <f>DOT!$E$9/$E$35*E33</f>
        <v>413768659.6794647</v>
      </c>
    </row>
    <row r="34" spans="2:7" ht="12.75" customHeight="1" x14ac:dyDescent="0.25">
      <c r="B34" s="242" t="str">
        <f ca="1">DFIE!$B$57</f>
        <v>Jura</v>
      </c>
      <c r="C34" s="160">
        <f>RP!I34</f>
        <v>65.579947049524549</v>
      </c>
      <c r="D34" s="93">
        <f>RP!G34</f>
        <v>73840</v>
      </c>
      <c r="E34" s="93">
        <f t="shared" si="0"/>
        <v>0</v>
      </c>
      <c r="F34" s="30">
        <f t="shared" si="1"/>
        <v>0</v>
      </c>
      <c r="G34" s="120">
        <f>DOT!$E$9/$E$35*E34</f>
        <v>0</v>
      </c>
    </row>
    <row r="35" spans="2:7" ht="12.75" customHeight="1" x14ac:dyDescent="0.25">
      <c r="B35" s="15" t="str">
        <f ca="1">DFIE!$B$58</f>
        <v>Schweiz</v>
      </c>
      <c r="C35" s="161">
        <f>RP!H35/RP!H$35*100</f>
        <v>100</v>
      </c>
      <c r="D35" s="61">
        <f>SUM(D9:D34)</f>
        <v>8708254.1666666679</v>
      </c>
      <c r="E35" s="61">
        <f>SUM(E9:E34)</f>
        <v>104375900.30891511</v>
      </c>
      <c r="F35" s="27"/>
      <c r="G35" s="121">
        <f>SUM(G9:G34)</f>
        <v>1935506785.969945</v>
      </c>
    </row>
  </sheetData>
  <pageMargins left="0.78740157480314965" right="0.78740157480314965" top="0.9055118110236221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15"/>
  <dimension ref="A1:J38"/>
  <sheetViews>
    <sheetView showGridLines="0" zoomScaleNormal="100" workbookViewId="0">
      <selection activeCell="A50" sqref="A50"/>
    </sheetView>
  </sheetViews>
  <sheetFormatPr baseColWidth="10" defaultColWidth="9.109375" defaultRowHeight="13.2" x14ac:dyDescent="0.25"/>
  <cols>
    <col min="1" max="1" width="1.6640625" customWidth="1"/>
    <col min="2" max="2" width="17.33203125" customWidth="1"/>
    <col min="3" max="3" width="15.33203125" customWidth="1"/>
    <col min="4" max="4" width="17.44140625" customWidth="1"/>
    <col min="5" max="5" width="16.6640625" customWidth="1"/>
    <col min="6" max="6" width="19.109375" customWidth="1"/>
    <col min="7" max="7" width="15.109375" customWidth="1"/>
    <col min="8" max="8" width="18.5546875" customWidth="1"/>
    <col min="9" max="9" width="15.6640625" customWidth="1"/>
    <col min="10" max="10" width="13.44140625" customWidth="1"/>
  </cols>
  <sheetData>
    <row r="1" spans="1:10" ht="22.5" customHeight="1" x14ac:dyDescent="0.3">
      <c r="B1" s="4" t="str">
        <f ca="1">DFIE!$B$220</f>
        <v>Standardisierter Steuerertrag (SSE) 2025</v>
      </c>
      <c r="C1" s="171"/>
      <c r="D1" s="171"/>
      <c r="E1" s="179"/>
      <c r="F1" s="173"/>
      <c r="G1" s="44"/>
      <c r="H1" s="44"/>
      <c r="I1" s="44"/>
      <c r="J1" s="44"/>
    </row>
    <row r="2" spans="1:10" ht="12.75" customHeight="1" x14ac:dyDescent="0.25">
      <c r="A2" s="164"/>
      <c r="B2" s="44"/>
      <c r="C2" s="164"/>
      <c r="D2" s="164"/>
      <c r="E2" s="165"/>
      <c r="F2" s="166"/>
    </row>
    <row r="3" spans="1:10" ht="0.75" customHeight="1" x14ac:dyDescent="0.25">
      <c r="A3" s="164"/>
      <c r="B3" s="44"/>
      <c r="C3" s="164"/>
      <c r="D3" s="164"/>
      <c r="E3" s="164"/>
      <c r="F3" s="164"/>
      <c r="G3" s="165"/>
      <c r="H3" s="165"/>
      <c r="I3" s="165"/>
      <c r="J3" s="166"/>
    </row>
    <row r="4" spans="1:10" ht="0.75" customHeight="1" x14ac:dyDescent="0.25">
      <c r="A4" s="164"/>
      <c r="B4" s="44"/>
      <c r="C4" s="164"/>
      <c r="D4" s="164"/>
      <c r="E4" s="164"/>
      <c r="F4" s="164"/>
      <c r="G4" s="165"/>
      <c r="H4" s="165"/>
      <c r="I4" s="165"/>
      <c r="J4" s="166"/>
    </row>
    <row r="5" spans="1:10" ht="12" customHeight="1" x14ac:dyDescent="0.25">
      <c r="B5" s="32" t="str">
        <f ca="1">DFIE!$B$59</f>
        <v>Spalte</v>
      </c>
      <c r="C5" s="71" t="s">
        <v>30</v>
      </c>
      <c r="D5" s="33" t="s">
        <v>31</v>
      </c>
      <c r="E5" s="33" t="s">
        <v>32</v>
      </c>
      <c r="F5" s="33" t="s">
        <v>43</v>
      </c>
      <c r="G5" s="33" t="s">
        <v>42</v>
      </c>
      <c r="H5" s="33" t="s">
        <v>33</v>
      </c>
      <c r="I5" s="107" t="s">
        <v>34</v>
      </c>
      <c r="J5" s="1"/>
    </row>
    <row r="6" spans="1:10" ht="12" customHeight="1" x14ac:dyDescent="0.25">
      <c r="B6" s="32" t="str">
        <f ca="1">DFIE!$B$60</f>
        <v>Formel</v>
      </c>
      <c r="C6" s="73"/>
      <c r="D6" s="147"/>
      <c r="E6" s="147"/>
      <c r="F6" s="147" t="s">
        <v>77</v>
      </c>
      <c r="G6" s="147"/>
      <c r="H6" s="147" t="s">
        <v>78</v>
      </c>
      <c r="I6" s="110" t="str">
        <f ca="1">DFIE!$B$228</f>
        <v>H / F[Schweiz]</v>
      </c>
      <c r="J6" s="277"/>
    </row>
    <row r="7" spans="1:10" ht="63.75" customHeight="1" x14ac:dyDescent="0.25">
      <c r="B7" s="75"/>
      <c r="C7" s="103" t="str">
        <f ca="1">DFIE!$B$221</f>
        <v>Ressourcen-
index</v>
      </c>
      <c r="D7" s="103" t="str">
        <f ca="1">DFIE!$B$222</f>
        <v>Standardisierter
Steuerertrag
(SSE)</v>
      </c>
      <c r="E7" s="103" t="str">
        <f ca="1">DFIE!$B$223</f>
        <v>Massgebende
Wohn-
bevölkerung</v>
      </c>
      <c r="F7" s="103" t="str">
        <f ca="1">DFIE!$B$224</f>
        <v>Standardisierter
Steuerertrag pro
Einwohner vor
Ausgleich</v>
      </c>
      <c r="G7" s="103" t="str">
        <f ca="1">DFIE!$B$225</f>
        <v>Ressourcen-
ausgleich pro
Einwohner</v>
      </c>
      <c r="H7" s="103" t="str">
        <f ca="1">DFIE!$B$226</f>
        <v>Standardisierter
Steuerertrag pro
Einwohner nach
Ausgleich</v>
      </c>
      <c r="I7" s="284" t="str">
        <f ca="1">DFIE!$B$227</f>
        <v>Index SSE
nach
Ausgleich</v>
      </c>
      <c r="J7" s="281"/>
    </row>
    <row r="8" spans="1:10" ht="12.75" customHeight="1" x14ac:dyDescent="0.25">
      <c r="B8" s="32" t="str">
        <f ca="1">DFIE!$B$62</f>
        <v>Einheit</v>
      </c>
      <c r="C8" s="200" t="str">
        <f ca="1">DFIE!$B$66</f>
        <v>Punkte</v>
      </c>
      <c r="D8" s="38" t="str">
        <f ca="1">DFIE!$B$63</f>
        <v>CHF</v>
      </c>
      <c r="E8" s="38" t="str">
        <f ca="1">DFIE!$B$65</f>
        <v>Anzahl</v>
      </c>
      <c r="F8" s="38" t="str">
        <f ca="1">DFIE!$B$63</f>
        <v>CHF</v>
      </c>
      <c r="G8" s="279" t="str">
        <f ca="1">DFIE!$B$63</f>
        <v>CHF</v>
      </c>
      <c r="H8" s="279" t="str">
        <f ca="1">DFIE!$B$63</f>
        <v>CHF</v>
      </c>
      <c r="I8" s="278" t="str">
        <f ca="1">DFIE!$B$66</f>
        <v>Punkte</v>
      </c>
      <c r="J8" s="290"/>
    </row>
    <row r="9" spans="1:10" x14ac:dyDescent="0.25">
      <c r="B9" s="261" t="str">
        <f ca="1">DFIE!$B$32</f>
        <v>Zürich</v>
      </c>
      <c r="C9" s="159">
        <f>RP!I9</f>
        <v>118.95371559857108</v>
      </c>
      <c r="D9" s="94">
        <f>1000*RP!$F9*SST!$I$19</f>
        <v>18061995055.042774</v>
      </c>
      <c r="E9" s="94">
        <f>RP!G9</f>
        <v>1554506.6666666667</v>
      </c>
      <c r="F9" s="94">
        <f t="shared" ref="F9:F35" si="0">D9/E9</f>
        <v>11619.117140084811</v>
      </c>
      <c r="G9" s="94">
        <f>SUM(-EINZ!G9,AUSZ!G9)/E9</f>
        <v>-351.47045488282436</v>
      </c>
      <c r="H9" s="94">
        <f t="shared" ref="H9:H34" si="1">F9+G9</f>
        <v>11267.646685201986</v>
      </c>
      <c r="I9" s="192">
        <f>100*H9/F$35</f>
        <v>115.35544595145684</v>
      </c>
      <c r="J9" s="283"/>
    </row>
    <row r="10" spans="1:10" x14ac:dyDescent="0.25">
      <c r="B10" s="282" t="str">
        <f ca="1">DFIE!$B$33</f>
        <v>Bern</v>
      </c>
      <c r="C10" s="285">
        <f>RP!I10</f>
        <v>73.60272509466796</v>
      </c>
      <c r="D10" s="145">
        <f>1000*RP!$F10*SST!$I$19</f>
        <v>7527051872.3541861</v>
      </c>
      <c r="E10" s="145">
        <f>RP!G10</f>
        <v>1046974</v>
      </c>
      <c r="F10" s="145">
        <f t="shared" si="0"/>
        <v>7189.3398234857659</v>
      </c>
      <c r="G10" s="145">
        <f>SUM(-EINZ!G10,AUSZ!G10)/E10</f>
        <v>1307.2515486211371</v>
      </c>
      <c r="H10" s="145">
        <f t="shared" si="1"/>
        <v>8496.5913721069028</v>
      </c>
      <c r="I10" s="286">
        <f t="shared" ref="I10:I34" si="2">100*H10/F$35</f>
        <v>86.986050785911942</v>
      </c>
      <c r="J10" s="283"/>
    </row>
    <row r="11" spans="1:10" x14ac:dyDescent="0.25">
      <c r="B11" s="261" t="str">
        <f ca="1">DFIE!$B$34</f>
        <v>Luzern</v>
      </c>
      <c r="C11" s="159">
        <f>RP!I11</f>
        <v>92.477714297617922</v>
      </c>
      <c r="D11" s="94">
        <f>1000*RP!$F11*SST!$I$19</f>
        <v>3770299111.7141371</v>
      </c>
      <c r="E11" s="94">
        <f>RP!G11</f>
        <v>417391.5</v>
      </c>
      <c r="F11" s="94">
        <f t="shared" si="0"/>
        <v>9033.0040542611368</v>
      </c>
      <c r="G11" s="94">
        <f>SUM(-EINZ!G11,AUSZ!G11)/E11</f>
        <v>167.57087588518084</v>
      </c>
      <c r="H11" s="94">
        <f t="shared" si="1"/>
        <v>9200.5749301463184</v>
      </c>
      <c r="I11" s="192">
        <f t="shared" si="2"/>
        <v>94.193264461397746</v>
      </c>
      <c r="J11" s="283"/>
    </row>
    <row r="12" spans="1:10" x14ac:dyDescent="0.25">
      <c r="B12" s="242" t="str">
        <f ca="1">DFIE!$B$35</f>
        <v>Uri</v>
      </c>
      <c r="C12" s="160">
        <f>RP!I12</f>
        <v>70.55637322027448</v>
      </c>
      <c r="D12" s="93">
        <f>1000*RP!$F12*SST!$I$19</f>
        <v>255382925.67451137</v>
      </c>
      <c r="E12" s="93">
        <f>RP!G12</f>
        <v>37056.166666666664</v>
      </c>
      <c r="F12" s="93">
        <f t="shared" si="0"/>
        <v>6891.7793891573074</v>
      </c>
      <c r="G12" s="93">
        <f>SUM(-EINZ!G12,AUSZ!G12)/E12</f>
        <v>1563.0594868872242</v>
      </c>
      <c r="H12" s="93">
        <f t="shared" si="1"/>
        <v>8454.8388760445323</v>
      </c>
      <c r="I12" s="193">
        <f t="shared" si="2"/>
        <v>86.558598813248778</v>
      </c>
      <c r="J12" s="283"/>
    </row>
    <row r="13" spans="1:10" x14ac:dyDescent="0.25">
      <c r="B13" s="261" t="str">
        <f ca="1">DFIE!$B$36</f>
        <v>Schwyz</v>
      </c>
      <c r="C13" s="159">
        <f>RP!I13</f>
        <v>184.48973554736722</v>
      </c>
      <c r="D13" s="94">
        <f>1000*RP!$F13*SST!$I$19</f>
        <v>2919852892.9311075</v>
      </c>
      <c r="E13" s="94">
        <f>RP!G13</f>
        <v>162029.33333333334</v>
      </c>
      <c r="F13" s="94">
        <f t="shared" si="0"/>
        <v>18020.520314826372</v>
      </c>
      <c r="G13" s="94">
        <f>SUM(-EINZ!G13,AUSZ!G13)/E13</f>
        <v>-1566.7453503418321</v>
      </c>
      <c r="H13" s="94">
        <f t="shared" si="1"/>
        <v>16453.774964484539</v>
      </c>
      <c r="I13" s="192">
        <f t="shared" si="2"/>
        <v>168.44977497437438</v>
      </c>
      <c r="J13" s="283"/>
    </row>
    <row r="14" spans="1:10" x14ac:dyDescent="0.25">
      <c r="B14" s="242" t="str">
        <f ca="1">DFIE!$B$37</f>
        <v>Obwalden</v>
      </c>
      <c r="C14" s="160">
        <f>RP!I14</f>
        <v>110.89369610338187</v>
      </c>
      <c r="D14" s="93">
        <f>1000*RP!$F14*SST!$I$19</f>
        <v>415597594.17929804</v>
      </c>
      <c r="E14" s="93">
        <f>RP!G14</f>
        <v>38368.166666666664</v>
      </c>
      <c r="F14" s="93">
        <f t="shared" si="0"/>
        <v>10831.833529861076</v>
      </c>
      <c r="G14" s="93">
        <f>SUM(-EINZ!G14,AUSZ!G14)/E14</f>
        <v>-202.00853520771048</v>
      </c>
      <c r="H14" s="93">
        <f t="shared" si="1"/>
        <v>10629.824994653365</v>
      </c>
      <c r="I14" s="193">
        <f t="shared" si="2"/>
        <v>108.82558149915934</v>
      </c>
      <c r="J14" s="283"/>
    </row>
    <row r="15" spans="1:10" x14ac:dyDescent="0.25">
      <c r="B15" s="261" t="str">
        <f ca="1">DFIE!$B$38</f>
        <v>Nidwalden</v>
      </c>
      <c r="C15" s="159">
        <f>RP!I15</f>
        <v>159.83973596302889</v>
      </c>
      <c r="D15" s="94">
        <f>1000*RP!$F15*SST!$I$19</f>
        <v>680464223.94390082</v>
      </c>
      <c r="E15" s="94">
        <f>RP!G15</f>
        <v>43583.833333333336</v>
      </c>
      <c r="F15" s="94">
        <f t="shared" si="0"/>
        <v>15612.766750910716</v>
      </c>
      <c r="G15" s="94">
        <f>SUM(-EINZ!G15,AUSZ!G15)/E15</f>
        <v>-1109.6451832684174</v>
      </c>
      <c r="H15" s="94">
        <f t="shared" si="1"/>
        <v>14503.121567642298</v>
      </c>
      <c r="I15" s="192">
        <f t="shared" si="2"/>
        <v>148.4794565240291</v>
      </c>
      <c r="J15" s="283"/>
    </row>
    <row r="16" spans="1:10" x14ac:dyDescent="0.25">
      <c r="B16" s="242" t="str">
        <f ca="1">DFIE!$B$39</f>
        <v>Glarus</v>
      </c>
      <c r="C16" s="160">
        <f>RP!I16</f>
        <v>72.11326036463575</v>
      </c>
      <c r="D16" s="93">
        <f>1000*RP!$F16*SST!$I$19</f>
        <v>289205319.39016694</v>
      </c>
      <c r="E16" s="93">
        <f>RP!G16</f>
        <v>41057.833333333336</v>
      </c>
      <c r="F16" s="93">
        <f t="shared" si="0"/>
        <v>7043.8524371760222</v>
      </c>
      <c r="G16" s="93">
        <f>SUM(-EINZ!G16,AUSZ!G16)/E16</f>
        <v>1430.1047841638131</v>
      </c>
      <c r="H16" s="93">
        <f t="shared" si="1"/>
        <v>8473.9572213398351</v>
      </c>
      <c r="I16" s="193">
        <f t="shared" si="2"/>
        <v>86.754327815853202</v>
      </c>
      <c r="J16" s="283"/>
    </row>
    <row r="17" spans="2:10" x14ac:dyDescent="0.25">
      <c r="B17" s="261" t="str">
        <f ca="1">DFIE!$B$40</f>
        <v>Zug</v>
      </c>
      <c r="C17" s="159">
        <f>RP!I17</f>
        <v>280.66179282734032</v>
      </c>
      <c r="D17" s="94">
        <f>1000*RP!$F17*SST!$I$19</f>
        <v>3558459504.3716688</v>
      </c>
      <c r="E17" s="94">
        <f>RP!G17</f>
        <v>129802.66666666667</v>
      </c>
      <c r="F17" s="94">
        <f t="shared" si="0"/>
        <v>27414.37903976037</v>
      </c>
      <c r="G17" s="94">
        <f>SUM(-EINZ!G17,AUSZ!G17)/E17</f>
        <v>-3350.1232080193786</v>
      </c>
      <c r="H17" s="94">
        <f t="shared" si="1"/>
        <v>24064.255831740993</v>
      </c>
      <c r="I17" s="192">
        <f t="shared" si="2"/>
        <v>246.36404038175306</v>
      </c>
      <c r="J17" s="283"/>
    </row>
    <row r="18" spans="2:10" x14ac:dyDescent="0.25">
      <c r="B18" s="242" t="str">
        <f ca="1">DFIE!$B$41</f>
        <v>Freiburg</v>
      </c>
      <c r="C18" s="160">
        <f>RP!I18</f>
        <v>71.919627532405542</v>
      </c>
      <c r="D18" s="93">
        <f>1000*RP!$F18*SST!$I$19</f>
        <v>2286404502.8809624</v>
      </c>
      <c r="E18" s="93">
        <f>RP!G18</f>
        <v>325469.66666666669</v>
      </c>
      <c r="F18" s="93">
        <f t="shared" si="0"/>
        <v>7024.9388408370742</v>
      </c>
      <c r="G18" s="93">
        <f>SUM(-EINZ!G18,AUSZ!G18)/E18</f>
        <v>1446.3897392162796</v>
      </c>
      <c r="H18" s="93">
        <f t="shared" si="1"/>
        <v>8471.328580053354</v>
      </c>
      <c r="I18" s="193">
        <f t="shared" si="2"/>
        <v>86.727416421103257</v>
      </c>
      <c r="J18" s="283"/>
    </row>
    <row r="19" spans="2:10" x14ac:dyDescent="0.25">
      <c r="B19" s="261" t="str">
        <f ca="1">DFIE!$B$42</f>
        <v>Solothurn</v>
      </c>
      <c r="C19" s="159">
        <f>RP!I19</f>
        <v>71.773395861283589</v>
      </c>
      <c r="D19" s="94">
        <f>1000*RP!$F19*SST!$I$19</f>
        <v>1951835367.4003441</v>
      </c>
      <c r="E19" s="94">
        <f>RP!G19</f>
        <v>278409.83333333331</v>
      </c>
      <c r="F19" s="94">
        <f t="shared" si="0"/>
        <v>7010.6552776225371</v>
      </c>
      <c r="G19" s="94">
        <f>SUM(-EINZ!G19,AUSZ!G19)/E19</f>
        <v>1458.7356261330774</v>
      </c>
      <c r="H19" s="94">
        <f t="shared" si="1"/>
        <v>8469.390903755615</v>
      </c>
      <c r="I19" s="192">
        <f t="shared" si="2"/>
        <v>86.70757895905993</v>
      </c>
      <c r="J19" s="283"/>
    </row>
    <row r="20" spans="2:10" x14ac:dyDescent="0.25">
      <c r="B20" s="242" t="str">
        <f ca="1">DFIE!$B$43</f>
        <v>Basel-Stadt</v>
      </c>
      <c r="C20" s="160">
        <f>RP!I20</f>
        <v>160.56787033609069</v>
      </c>
      <c r="D20" s="93">
        <f>1000*RP!$F20*SST!$I$19</f>
        <v>3117881365.8121138</v>
      </c>
      <c r="E20" s="93">
        <f>RP!G20</f>
        <v>198795.16666666666</v>
      </c>
      <c r="F20" s="93">
        <f t="shared" si="0"/>
        <v>15683.889191531889</v>
      </c>
      <c r="G20" s="93">
        <f>SUM(-EINZ!G20,AUSZ!G20)/E20</f>
        <v>-1123.1474286716959</v>
      </c>
      <c r="H20" s="93">
        <f t="shared" si="1"/>
        <v>14560.741762860192</v>
      </c>
      <c r="I20" s="193">
        <f t="shared" si="2"/>
        <v>149.06935816905491</v>
      </c>
      <c r="J20" s="283"/>
    </row>
    <row r="21" spans="2:10" x14ac:dyDescent="0.25">
      <c r="B21" s="261" t="str">
        <f ca="1">DFIE!$B$44</f>
        <v>Basel-Landschaft</v>
      </c>
      <c r="C21" s="159">
        <f>RP!I21</f>
        <v>98.79942443555565</v>
      </c>
      <c r="D21" s="94">
        <f>1000*RP!$F21*SST!$I$19</f>
        <v>2816808626.1250415</v>
      </c>
      <c r="E21" s="94">
        <f>RP!G21</f>
        <v>291882.33333333331</v>
      </c>
      <c r="F21" s="94">
        <f t="shared" si="0"/>
        <v>9650.4937244975717</v>
      </c>
      <c r="G21" s="94">
        <f>SUM(-EINZ!G21,AUSZ!G21)/E21</f>
        <v>8.3192015323894797</v>
      </c>
      <c r="H21" s="94">
        <f t="shared" si="1"/>
        <v>9658.8129260299611</v>
      </c>
      <c r="I21" s="192">
        <f t="shared" si="2"/>
        <v>98.884594411997099</v>
      </c>
      <c r="J21" s="283"/>
    </row>
    <row r="22" spans="2:10" x14ac:dyDescent="0.25">
      <c r="B22" s="242" t="str">
        <f ca="1">DFIE!$B$45</f>
        <v>Schaffhausen</v>
      </c>
      <c r="C22" s="160">
        <f>RP!I22</f>
        <v>103.4132752867917</v>
      </c>
      <c r="D22" s="93">
        <f>1000*RP!$F22*SST!$I$19</f>
        <v>843214845.98329055</v>
      </c>
      <c r="E22" s="93">
        <f>RP!G22</f>
        <v>83477</v>
      </c>
      <c r="F22" s="93">
        <f t="shared" si="0"/>
        <v>10101.163745502241</v>
      </c>
      <c r="G22" s="93">
        <f>SUM(-EINZ!G22,AUSZ!G22)/E22</f>
        <v>-63.294471812135093</v>
      </c>
      <c r="H22" s="93">
        <f t="shared" si="1"/>
        <v>10037.869273690107</v>
      </c>
      <c r="I22" s="193">
        <f t="shared" si="2"/>
        <v>102.76528176816819</v>
      </c>
      <c r="J22" s="283"/>
    </row>
    <row r="23" spans="2:10" x14ac:dyDescent="0.25">
      <c r="B23" s="16" t="str">
        <f ca="1">DFIE!$B$46</f>
        <v>Appenzell A.Rh.</v>
      </c>
      <c r="C23" s="159">
        <f>RP!I23</f>
        <v>85.758287409555805</v>
      </c>
      <c r="D23" s="94">
        <f>1000*RP!$F23*SST!$I$19</f>
        <v>464787709.32124114</v>
      </c>
      <c r="E23" s="94">
        <f>RP!G23</f>
        <v>55486</v>
      </c>
      <c r="F23" s="94">
        <f t="shared" si="0"/>
        <v>8376.666354057621</v>
      </c>
      <c r="G23" s="94">
        <f>SUM(-EINZ!G23,AUSZ!G23)/E23</f>
        <v>476.23226846131752</v>
      </c>
      <c r="H23" s="94">
        <f t="shared" si="1"/>
        <v>8852.8986225189383</v>
      </c>
      <c r="I23" s="192">
        <f t="shared" si="2"/>
        <v>90.633838377707647</v>
      </c>
      <c r="J23" s="283"/>
    </row>
    <row r="24" spans="2:10" x14ac:dyDescent="0.25">
      <c r="B24" s="18" t="str">
        <f ca="1">DFIE!$B$47</f>
        <v>Appenzell I.Rh.</v>
      </c>
      <c r="C24" s="160">
        <f>RP!I24</f>
        <v>105.40059937260087</v>
      </c>
      <c r="D24" s="93">
        <f>1000*RP!$F24*SST!$I$19</f>
        <v>167643205.79038945</v>
      </c>
      <c r="E24" s="93">
        <f>RP!G24</f>
        <v>16283.5</v>
      </c>
      <c r="F24" s="93">
        <f t="shared" si="0"/>
        <v>10295.28085426287</v>
      </c>
      <c r="G24" s="93">
        <f>SUM(-EINZ!G24,AUSZ!G24)/E24</f>
        <v>-100.14664978253784</v>
      </c>
      <c r="H24" s="93">
        <f t="shared" si="1"/>
        <v>10195.134204480331</v>
      </c>
      <c r="I24" s="193">
        <f t="shared" si="2"/>
        <v>104.37532215465428</v>
      </c>
      <c r="J24" s="283"/>
    </row>
    <row r="25" spans="2:10" x14ac:dyDescent="0.25">
      <c r="B25" s="261" t="str">
        <f ca="1">DFIE!$B$48</f>
        <v>St. Gallen</v>
      </c>
      <c r="C25" s="159">
        <f>RP!I25</f>
        <v>80.695978294817237</v>
      </c>
      <c r="D25" s="94">
        <f>1000*RP!$F25*SST!$I$19</f>
        <v>4062871921.3169889</v>
      </c>
      <c r="E25" s="94">
        <f>RP!G25</f>
        <v>515449.5</v>
      </c>
      <c r="F25" s="94">
        <f t="shared" si="0"/>
        <v>7882.1919922649822</v>
      </c>
      <c r="G25" s="94">
        <f>SUM(-EINZ!G25,AUSZ!G25)/E25</f>
        <v>783.35543166692037</v>
      </c>
      <c r="H25" s="94">
        <f t="shared" si="1"/>
        <v>8665.5474239319028</v>
      </c>
      <c r="I25" s="192">
        <f t="shared" si="2"/>
        <v>88.715782046483582</v>
      </c>
      <c r="J25" s="283"/>
    </row>
    <row r="26" spans="2:10" x14ac:dyDescent="0.25">
      <c r="B26" s="242" t="str">
        <f ca="1">DFIE!$B$49</f>
        <v>Graubünden</v>
      </c>
      <c r="C26" s="160">
        <f>RP!I26</f>
        <v>89.624725311337201</v>
      </c>
      <c r="D26" s="93">
        <f>1000*RP!$F26*SST!$I$19</f>
        <v>1806924527.3440418</v>
      </c>
      <c r="E26" s="93">
        <f>RP!G26</f>
        <v>206403.5</v>
      </c>
      <c r="F26" s="93">
        <f t="shared" si="0"/>
        <v>8754.330848769725</v>
      </c>
      <c r="G26" s="93">
        <f>SUM(-EINZ!G26,AUSZ!G26)/E26</f>
        <v>283.60661769958637</v>
      </c>
      <c r="H26" s="93">
        <f t="shared" si="1"/>
        <v>9037.9374664693114</v>
      </c>
      <c r="I26" s="193">
        <f t="shared" si="2"/>
        <v>92.528221380528493</v>
      </c>
      <c r="J26" s="283"/>
    </row>
    <row r="27" spans="2:10" x14ac:dyDescent="0.25">
      <c r="B27" s="261" t="str">
        <f ca="1">DFIE!$B$50</f>
        <v>Aargau</v>
      </c>
      <c r="C27" s="159">
        <f>RP!I27</f>
        <v>80.772316135481375</v>
      </c>
      <c r="D27" s="94">
        <f>1000*RP!$F27*SST!$I$19</f>
        <v>5481016388.7259951</v>
      </c>
      <c r="E27" s="94">
        <f>RP!G27</f>
        <v>694709.83333333337</v>
      </c>
      <c r="F27" s="94">
        <f t="shared" si="0"/>
        <v>7889.6484916978452</v>
      </c>
      <c r="G27" s="94">
        <f>SUM(-EINZ!G27,AUSZ!G27)/E27</f>
        <v>778.29271416491497</v>
      </c>
      <c r="H27" s="94">
        <f t="shared" si="1"/>
        <v>8667.9412058627604</v>
      </c>
      <c r="I27" s="192">
        <f t="shared" si="2"/>
        <v>88.74028900786243</v>
      </c>
      <c r="J27" s="283"/>
    </row>
    <row r="28" spans="2:10" x14ac:dyDescent="0.25">
      <c r="B28" s="242" t="str">
        <f ca="1">DFIE!$B$51</f>
        <v>Thurgau</v>
      </c>
      <c r="C28" s="160">
        <f>RP!I28</f>
        <v>81.610136166934595</v>
      </c>
      <c r="D28" s="93">
        <f>1000*RP!$F28*SST!$I$19</f>
        <v>2255950117.9390397</v>
      </c>
      <c r="E28" s="93">
        <f>RP!G28</f>
        <v>283002.5</v>
      </c>
      <c r="F28" s="93">
        <f t="shared" si="0"/>
        <v>7971.4847675869987</v>
      </c>
      <c r="G28" s="93">
        <f>SUM(-EINZ!G28,AUSZ!G28)/E28</f>
        <v>723.57216125485911</v>
      </c>
      <c r="H28" s="93">
        <f t="shared" si="1"/>
        <v>8695.0569288418574</v>
      </c>
      <c r="I28" s="193">
        <f t="shared" si="2"/>
        <v>89.017893232057517</v>
      </c>
      <c r="J28" s="283"/>
    </row>
    <row r="29" spans="2:10" x14ac:dyDescent="0.25">
      <c r="B29" s="261" t="str">
        <f ca="1">DFIE!$B$52</f>
        <v>Tessin</v>
      </c>
      <c r="C29" s="159">
        <f>RP!I29</f>
        <v>90.445750395049828</v>
      </c>
      <c r="D29" s="94">
        <f>1000*RP!$F29*SST!$I$19</f>
        <v>3129601611.6548729</v>
      </c>
      <c r="E29" s="94">
        <f>RP!G29</f>
        <v>354246.66666666669</v>
      </c>
      <c r="F29" s="94">
        <f t="shared" si="0"/>
        <v>8834.5266339505597</v>
      </c>
      <c r="G29" s="94">
        <f>SUM(-EINZ!G29,AUSZ!G29)/E29</f>
        <v>247.81614653864347</v>
      </c>
      <c r="H29" s="94">
        <f t="shared" si="1"/>
        <v>9082.3427804892035</v>
      </c>
      <c r="I29" s="192">
        <f t="shared" si="2"/>
        <v>92.982832262861763</v>
      </c>
      <c r="J29" s="283"/>
    </row>
    <row r="30" spans="2:10" x14ac:dyDescent="0.25">
      <c r="B30" s="242" t="str">
        <f ca="1">DFIE!$B$53</f>
        <v>Waadt</v>
      </c>
      <c r="C30" s="160">
        <f>RP!I30</f>
        <v>100.02353775709014</v>
      </c>
      <c r="D30" s="93">
        <f>1000*RP!$F30*SST!$I$19</f>
        <v>7999855579.8436928</v>
      </c>
      <c r="E30" s="93">
        <f>RP!G30</f>
        <v>818813.16666666663</v>
      </c>
      <c r="F30" s="93">
        <f t="shared" si="0"/>
        <v>9770.0622138388026</v>
      </c>
      <c r="G30" s="93">
        <f>SUM(-EINZ!G30,AUSZ!G30)/E30</f>
        <v>-0.43647516754004295</v>
      </c>
      <c r="H30" s="93">
        <f t="shared" si="1"/>
        <v>9769.6257386712623</v>
      </c>
      <c r="I30" s="193">
        <f t="shared" si="2"/>
        <v>100.01906922972105</v>
      </c>
      <c r="J30" s="283"/>
    </row>
    <row r="31" spans="2:10" x14ac:dyDescent="0.25">
      <c r="B31" s="261" t="str">
        <f ca="1">DFIE!$B$54</f>
        <v>Wallis</v>
      </c>
      <c r="C31" s="159">
        <f>RP!I31</f>
        <v>66.357167349364047</v>
      </c>
      <c r="D31" s="94">
        <f>1000*RP!$F31*SST!$I$19</f>
        <v>2304162985.2812629</v>
      </c>
      <c r="E31" s="94">
        <f>RP!G31</f>
        <v>355492.33333333331</v>
      </c>
      <c r="F31" s="94">
        <f t="shared" si="0"/>
        <v>6481.6109075430495</v>
      </c>
      <c r="G31" s="94">
        <f>SUM(-EINZ!G31,AUSZ!G31)/E31</f>
        <v>1967.5041752430607</v>
      </c>
      <c r="H31" s="94">
        <f t="shared" si="1"/>
        <v>8449.1150827861093</v>
      </c>
      <c r="I31" s="192">
        <f t="shared" si="2"/>
        <v>86.5</v>
      </c>
      <c r="J31" s="283"/>
    </row>
    <row r="32" spans="2:10" x14ac:dyDescent="0.25">
      <c r="B32" s="242" t="str">
        <f ca="1">DFIE!$B$55</f>
        <v>Neuenburg</v>
      </c>
      <c r="C32" s="160">
        <f>RP!I32</f>
        <v>73.618190592606197</v>
      </c>
      <c r="D32" s="93">
        <f>1000*RP!$F32*SST!$I$19</f>
        <v>1276891300.3446431</v>
      </c>
      <c r="E32" s="93">
        <f>RP!G32</f>
        <v>177571.66666666666</v>
      </c>
      <c r="F32" s="93">
        <f t="shared" si="0"/>
        <v>7190.8504566868396</v>
      </c>
      <c r="G32" s="93">
        <f>SUM(-EINZ!G32,AUSZ!G32)/E32</f>
        <v>1305.9985147089699</v>
      </c>
      <c r="H32" s="93">
        <f t="shared" si="1"/>
        <v>8496.8489713958097</v>
      </c>
      <c r="I32" s="193">
        <f t="shared" si="2"/>
        <v>86.988688025228967</v>
      </c>
      <c r="J32" s="283"/>
    </row>
    <row r="33" spans="2:10" x14ac:dyDescent="0.25">
      <c r="B33" s="261" t="str">
        <f ca="1">DFIE!$B$56</f>
        <v>Genf</v>
      </c>
      <c r="C33" s="159">
        <f>RP!I33</f>
        <v>143.91066955838474</v>
      </c>
      <c r="D33" s="94">
        <f>1000*RP!$F33*SST!$I$19</f>
        <v>7143008736.818161</v>
      </c>
      <c r="E33" s="94">
        <f>RP!G33</f>
        <v>508151.33333333331</v>
      </c>
      <c r="F33" s="94">
        <f t="shared" si="0"/>
        <v>14056.853280226549</v>
      </c>
      <c r="G33" s="94">
        <f>SUM(-EINZ!G33,AUSZ!G33)/E33</f>
        <v>-814.26266652742174</v>
      </c>
      <c r="H33" s="94">
        <f t="shared" si="1"/>
        <v>13242.590613699127</v>
      </c>
      <c r="I33" s="192">
        <f t="shared" si="2"/>
        <v>135.57444499942227</v>
      </c>
      <c r="J33" s="283"/>
    </row>
    <row r="34" spans="2:10" x14ac:dyDescent="0.25">
      <c r="B34" s="242" t="str">
        <f ca="1">DFIE!$B$57</f>
        <v>Jura</v>
      </c>
      <c r="C34" s="160">
        <f>RP!I34</f>
        <v>65.579947049524549</v>
      </c>
      <c r="D34" s="93">
        <f>1000*RP!$F34*SST!$I$19</f>
        <v>472996435.35179609</v>
      </c>
      <c r="E34" s="93">
        <f>RP!G34</f>
        <v>73840</v>
      </c>
      <c r="F34" s="93">
        <f t="shared" si="0"/>
        <v>6405.6938698780623</v>
      </c>
      <c r="G34" s="93">
        <f>SUM(-EINZ!G34,AUSZ!G34)/E34</f>
        <v>2043.4212129080488</v>
      </c>
      <c r="H34" s="93">
        <f t="shared" si="1"/>
        <v>8449.1150827861111</v>
      </c>
      <c r="I34" s="193">
        <f t="shared" si="2"/>
        <v>86.500000000000028</v>
      </c>
      <c r="J34" s="283"/>
    </row>
    <row r="35" spans="2:10" ht="12.75" customHeight="1" x14ac:dyDescent="0.25">
      <c r="B35" s="15" t="str">
        <f ca="1">DFIE!$B$58</f>
        <v>Schweiz</v>
      </c>
      <c r="C35" s="161">
        <f>RP!I35</f>
        <v>100</v>
      </c>
      <c r="D35" s="61">
        <f>SUM(D9:D34)</f>
        <v>85060163727.535629</v>
      </c>
      <c r="E35" s="61">
        <f>SUM(E9:E34)</f>
        <v>8708254.1666666679</v>
      </c>
      <c r="F35" s="61">
        <f t="shared" si="0"/>
        <v>9767.7631014868311</v>
      </c>
      <c r="G35" s="61"/>
      <c r="H35" s="61"/>
      <c r="I35" s="194"/>
      <c r="J35" s="124"/>
    </row>
    <row r="36" spans="2:10" ht="7.5" customHeight="1" x14ac:dyDescent="0.25">
      <c r="B36" s="77"/>
      <c r="C36" s="287"/>
      <c r="D36" s="292"/>
      <c r="E36" s="292"/>
      <c r="F36" s="292"/>
      <c r="G36" s="292"/>
      <c r="H36" s="292"/>
      <c r="I36" s="287"/>
      <c r="J36" s="124"/>
    </row>
    <row r="37" spans="2:10" ht="15" customHeight="1" x14ac:dyDescent="0.25">
      <c r="B37" s="291" t="str">
        <f ca="1">DFIE!$B$229</f>
        <v>Minimum</v>
      </c>
      <c r="C37" s="288">
        <f>MIN(C9:C34)</f>
        <v>65.579947049524549</v>
      </c>
      <c r="D37" s="280"/>
      <c r="E37" s="280"/>
      <c r="F37" s="280"/>
      <c r="G37" s="280"/>
      <c r="H37" s="280"/>
      <c r="I37" s="289">
        <f>MIN(I9:I34)</f>
        <v>86.5</v>
      </c>
    </row>
    <row r="38" spans="2:10" ht="14.25" customHeight="1" x14ac:dyDescent="0.25">
      <c r="B38" s="42"/>
      <c r="C38" s="42"/>
      <c r="D38" s="42"/>
      <c r="E38" s="276"/>
      <c r="I38" s="42"/>
    </row>
  </sheetData>
  <pageMargins left="0.78740157480314965" right="0.78740157480314965" top="0.9055118110236221" bottom="0.78740157480314965" header="0.51181102362204722" footer="0.51181102362204722"/>
  <pageSetup paperSize="9" scale="94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16"/>
  <dimension ref="A1:L36"/>
  <sheetViews>
    <sheetView showGridLines="0" zoomScaleNormal="100" zoomScaleSheetLayoutView="70" workbookViewId="0">
      <pane ySplit="7" topLeftCell="A8" activePane="bottomLeft" state="frozen"/>
      <selection activeCell="J20" sqref="J20"/>
      <selection pane="bottomLeft" activeCell="A50" sqref="A50"/>
    </sheetView>
  </sheetViews>
  <sheetFormatPr baseColWidth="10" defaultColWidth="9.109375" defaultRowHeight="13.2" x14ac:dyDescent="0.25"/>
  <cols>
    <col min="1" max="1" width="1.6640625" customWidth="1"/>
    <col min="2" max="2" width="3" customWidth="1"/>
    <col min="3" max="3" width="42.44140625" customWidth="1"/>
    <col min="4" max="4" width="9.33203125" customWidth="1"/>
    <col min="5" max="5" width="8.6640625" customWidth="1"/>
    <col min="6" max="12" width="12.33203125" customWidth="1"/>
  </cols>
  <sheetData>
    <row r="1" spans="1:12" ht="22.5" customHeight="1" x14ac:dyDescent="0.3">
      <c r="B1" s="4" t="str">
        <f ca="1">DFIE!$B$230</f>
        <v>Berechnung des Faktors Alpha für die massgebenden Vermögen im Bemessungsjahr 2021</v>
      </c>
    </row>
    <row r="2" spans="1:12" ht="12.75" customHeight="1" x14ac:dyDescent="0.25"/>
    <row r="3" spans="1:12" ht="0.75" customHeight="1" x14ac:dyDescent="0.25"/>
    <row r="4" spans="1:12" ht="0.75" customHeight="1" x14ac:dyDescent="0.25"/>
    <row r="5" spans="1:12" ht="0.75" customHeight="1" x14ac:dyDescent="0.25"/>
    <row r="6" spans="1:12" ht="33.75" customHeight="1" x14ac:dyDescent="0.25">
      <c r="A6" s="44"/>
      <c r="B6" s="293"/>
      <c r="C6" s="321"/>
      <c r="D6" s="314"/>
      <c r="E6" s="314"/>
      <c r="F6" s="338">
        <f>DFIE!$G$3-9</f>
        <v>2016</v>
      </c>
      <c r="G6" s="338">
        <f>DFIE!$G$3-8</f>
        <v>2017</v>
      </c>
      <c r="H6" s="338">
        <f>DFIE!$G$3-7</f>
        <v>2018</v>
      </c>
      <c r="I6" s="338">
        <f>DFIE!$G$3-6</f>
        <v>2019</v>
      </c>
      <c r="J6" s="338">
        <f>DFIE!$G$3-5</f>
        <v>2020</v>
      </c>
      <c r="K6" s="338">
        <f>DFIE!$G$3-4</f>
        <v>2021</v>
      </c>
      <c r="L6" s="344" t="str">
        <f ca="1">DFIE!$B$247</f>
        <v>Mittelwert</v>
      </c>
    </row>
    <row r="7" spans="1:12" x14ac:dyDescent="0.25">
      <c r="A7" s="11"/>
      <c r="B7" s="294"/>
      <c r="D7" s="340" t="str">
        <f ca="1">DFIE!$B$62</f>
        <v>Einheit</v>
      </c>
      <c r="E7" s="340" t="str">
        <f ca="1">DFIE!$B$60</f>
        <v>Formel</v>
      </c>
      <c r="F7" s="339" t="s">
        <v>506</v>
      </c>
      <c r="G7" s="339" t="s">
        <v>507</v>
      </c>
      <c r="H7" s="339" t="s">
        <v>508</v>
      </c>
      <c r="I7" s="339" t="s">
        <v>509</v>
      </c>
      <c r="J7" s="339" t="s">
        <v>510</v>
      </c>
      <c r="K7" s="339" t="s">
        <v>511</v>
      </c>
      <c r="L7" s="345"/>
    </row>
    <row r="8" spans="1:12" ht="13.5" customHeight="1" x14ac:dyDescent="0.25">
      <c r="A8" s="78"/>
      <c r="B8" s="297"/>
      <c r="C8" s="298" t="str">
        <f ca="1">DFIE!$B$231</f>
        <v>Fiskaleinnahmen</v>
      </c>
      <c r="D8" s="341"/>
      <c r="E8" s="341"/>
      <c r="F8" s="299"/>
      <c r="G8" s="299"/>
      <c r="H8" s="299"/>
      <c r="I8" s="299"/>
      <c r="J8" s="299"/>
      <c r="K8" s="299"/>
      <c r="L8" s="316"/>
    </row>
    <row r="9" spans="1:12" ht="13.5" customHeight="1" x14ac:dyDescent="0.25">
      <c r="A9" s="78"/>
      <c r="B9" s="300" t="s">
        <v>111</v>
      </c>
      <c r="C9" s="295" t="str">
        <f ca="1">DFIE!$B$232</f>
        <v>Einkommenssteuern natürliche Personen *</v>
      </c>
      <c r="D9" s="342" t="str">
        <f ca="1">DFIE!$B$64</f>
        <v>CHF 1'000</v>
      </c>
      <c r="E9" s="342"/>
      <c r="F9" s="323">
        <v>42752566.801129997</v>
      </c>
      <c r="G9" s="323">
        <v>43477178.320419997</v>
      </c>
      <c r="H9" s="323">
        <v>44700678.119860001</v>
      </c>
      <c r="I9" s="323">
        <v>46220756.3046</v>
      </c>
      <c r="J9" s="323">
        <v>47010279.646700002</v>
      </c>
      <c r="K9" s="323">
        <v>46691447.56205</v>
      </c>
      <c r="L9" s="317"/>
    </row>
    <row r="10" spans="1:12" ht="13.5" customHeight="1" x14ac:dyDescent="0.25">
      <c r="A10" s="78"/>
      <c r="B10" s="300" t="s">
        <v>112</v>
      </c>
      <c r="C10" s="295" t="str">
        <f ca="1">DFIE!$B$233</f>
        <v>Quellensteuern natürliche Personen *</v>
      </c>
      <c r="D10" s="342" t="str">
        <f ca="1">DFIE!$B$64</f>
        <v>CHF 1'000</v>
      </c>
      <c r="E10" s="342"/>
      <c r="F10" s="323">
        <v>3642126.3693499998</v>
      </c>
      <c r="G10" s="323">
        <v>3833020.3042700002</v>
      </c>
      <c r="H10" s="323">
        <v>3746356.3199</v>
      </c>
      <c r="I10" s="323">
        <v>3483204.6693600002</v>
      </c>
      <c r="J10" s="323">
        <v>3627185.3713699998</v>
      </c>
      <c r="K10" s="323">
        <v>4195752.7671100004</v>
      </c>
      <c r="L10" s="317"/>
    </row>
    <row r="11" spans="1:12" ht="13.5" customHeight="1" x14ac:dyDescent="0.25">
      <c r="A11" s="78"/>
      <c r="B11" s="297" t="s">
        <v>30</v>
      </c>
      <c r="C11" s="301" t="str">
        <f ca="1">DFIE!$B$234</f>
        <v>Direkte Bundessteuer (DBSt) natürliche Personen</v>
      </c>
      <c r="D11" s="341" t="str">
        <f ca="1">DFIE!$B$64</f>
        <v>CHF 1'000</v>
      </c>
      <c r="E11" s="341"/>
      <c r="F11" s="324">
        <v>10599472.656789999</v>
      </c>
      <c r="G11" s="324">
        <v>10472054.90391</v>
      </c>
      <c r="H11" s="324">
        <v>11246044.03947</v>
      </c>
      <c r="I11" s="324">
        <v>11553647.269339999</v>
      </c>
      <c r="J11" s="324">
        <v>12122509.938759999</v>
      </c>
      <c r="K11" s="324">
        <v>12761920.42269</v>
      </c>
      <c r="L11" s="318"/>
    </row>
    <row r="12" spans="1:12" ht="13.5" customHeight="1" x14ac:dyDescent="0.25">
      <c r="A12" s="78"/>
      <c r="B12" s="300" t="s">
        <v>31</v>
      </c>
      <c r="C12" s="295" t="str">
        <f ca="1">DFIE!$B$235</f>
        <v>Kantonsanteil an DBSt</v>
      </c>
      <c r="D12" s="342" t="str">
        <f ca="1">DFIE!$B$67</f>
        <v>Prozent</v>
      </c>
      <c r="E12" s="342"/>
      <c r="F12" s="337">
        <v>0.17</v>
      </c>
      <c r="G12" s="337">
        <v>0.17</v>
      </c>
      <c r="H12" s="337">
        <v>0.17</v>
      </c>
      <c r="I12" s="337">
        <v>0.17</v>
      </c>
      <c r="J12" s="337">
        <v>0.21199999999999999</v>
      </c>
      <c r="K12" s="337">
        <v>0.21199999999999999</v>
      </c>
      <c r="L12" s="319"/>
    </row>
    <row r="13" spans="1:12" ht="13.5" customHeight="1" x14ac:dyDescent="0.25">
      <c r="A13" s="78"/>
      <c r="B13" s="302" t="s">
        <v>32</v>
      </c>
      <c r="C13" s="303" t="str">
        <f ca="1">DFIE!$B$236</f>
        <v>Kantonsanteil an DBSt natürliche Personen</v>
      </c>
      <c r="D13" s="343" t="str">
        <f ca="1">DFIE!$B$64</f>
        <v>CHF 1'000</v>
      </c>
      <c r="E13" s="343" t="s">
        <v>526</v>
      </c>
      <c r="F13" s="325">
        <f>F11*F12</f>
        <v>1801910.3516543</v>
      </c>
      <c r="G13" s="325">
        <f t="shared" ref="G13:K13" si="0">G11*G12</f>
        <v>1780249.3336647002</v>
      </c>
      <c r="H13" s="325">
        <f t="shared" si="0"/>
        <v>1911827.4867099002</v>
      </c>
      <c r="I13" s="325">
        <f t="shared" si="0"/>
        <v>1964120.0357878001</v>
      </c>
      <c r="J13" s="325">
        <f t="shared" si="0"/>
        <v>2569972.1070171199</v>
      </c>
      <c r="K13" s="325">
        <f t="shared" si="0"/>
        <v>2705527.12961028</v>
      </c>
      <c r="L13" s="320"/>
    </row>
    <row r="14" spans="1:12" ht="13.5" customHeight="1" x14ac:dyDescent="0.25">
      <c r="A14" s="78"/>
      <c r="B14" s="302" t="s">
        <v>43</v>
      </c>
      <c r="C14" s="296" t="str">
        <f ca="1">DFIE!$B$237</f>
        <v>Fiskaleinnahmen Einkommen</v>
      </c>
      <c r="D14" s="343" t="str">
        <f ca="1">DFIE!$B$64</f>
        <v>CHF 1'000</v>
      </c>
      <c r="E14" s="343" t="s">
        <v>513</v>
      </c>
      <c r="F14" s="325">
        <f>SUM(F9,F10,F13)</f>
        <v>48196603.522134297</v>
      </c>
      <c r="G14" s="325">
        <f t="shared" ref="G14:K14" si="1">SUM(G9,G10,G13)</f>
        <v>49090447.958354697</v>
      </c>
      <c r="H14" s="325">
        <f t="shared" si="1"/>
        <v>50358861.9264699</v>
      </c>
      <c r="I14" s="325">
        <f t="shared" si="1"/>
        <v>51668081.009747796</v>
      </c>
      <c r="J14" s="325">
        <f t="shared" si="1"/>
        <v>53207437.125087127</v>
      </c>
      <c r="K14" s="325">
        <f t="shared" si="1"/>
        <v>53592727.458770275</v>
      </c>
      <c r="L14" s="329">
        <f>AVERAGE(F14:K14)</f>
        <v>51019026.500094019</v>
      </c>
    </row>
    <row r="15" spans="1:12" ht="13.5" customHeight="1" x14ac:dyDescent="0.25">
      <c r="A15" s="78"/>
      <c r="B15" s="304" t="s">
        <v>42</v>
      </c>
      <c r="C15" s="296" t="str">
        <f ca="1">DFIE!$B$238</f>
        <v>Vermögenssteuern natürliche Personen *</v>
      </c>
      <c r="D15" s="227" t="str">
        <f ca="1">DFIE!$B$64</f>
        <v>CHF 1'000</v>
      </c>
      <c r="E15" s="227"/>
      <c r="F15" s="326">
        <v>7006263.13595</v>
      </c>
      <c r="G15" s="327">
        <v>7321627.3724400001</v>
      </c>
      <c r="H15" s="327">
        <v>7532214.6830200003</v>
      </c>
      <c r="I15" s="327">
        <v>7931748.6181800002</v>
      </c>
      <c r="J15" s="327">
        <v>8246045.3417699998</v>
      </c>
      <c r="K15" s="328">
        <v>8703171.7002799995</v>
      </c>
      <c r="L15" s="329">
        <f>AVERAGE(F15:K15)</f>
        <v>7790178.4752733335</v>
      </c>
    </row>
    <row r="16" spans="1:12" ht="13.5" customHeight="1" x14ac:dyDescent="0.25">
      <c r="A16" s="78"/>
      <c r="B16" s="305"/>
      <c r="C16" s="306"/>
      <c r="D16" s="310"/>
      <c r="E16" s="310"/>
      <c r="F16" s="309"/>
      <c r="G16" s="309"/>
      <c r="H16" s="309"/>
      <c r="I16" s="309"/>
      <c r="J16" s="309"/>
      <c r="K16" s="309"/>
      <c r="L16" s="306"/>
    </row>
    <row r="17" spans="1:12" ht="13.5" customHeight="1" x14ac:dyDescent="0.25">
      <c r="A17" s="78"/>
      <c r="B17" s="297"/>
      <c r="C17" s="298" t="str">
        <f ca="1">DFIE!$B$239</f>
        <v>Daten Finanzausgleich</v>
      </c>
      <c r="D17" s="315"/>
      <c r="E17" s="315"/>
      <c r="F17" s="322"/>
      <c r="G17" s="322"/>
      <c r="H17" s="322"/>
      <c r="I17" s="322"/>
      <c r="J17" s="322"/>
      <c r="K17" s="322"/>
      <c r="L17" s="316"/>
    </row>
    <row r="18" spans="1:12" ht="13.5" customHeight="1" x14ac:dyDescent="0.25">
      <c r="A18" s="78"/>
      <c r="B18" s="300" t="s">
        <v>33</v>
      </c>
      <c r="C18" s="295" t="str">
        <f ca="1">DFIE!$B$240</f>
        <v>Massgebende Einkommen der natürlichen Personen</v>
      </c>
      <c r="D18" s="342" t="str">
        <f ca="1">DFIE!$B$64</f>
        <v>CHF 1'000</v>
      </c>
      <c r="E18" s="342"/>
      <c r="F18" s="323">
        <v>181691296</v>
      </c>
      <c r="G18" s="323">
        <v>186855586.69999999</v>
      </c>
      <c r="H18" s="323">
        <v>191621985.69999999</v>
      </c>
      <c r="I18" s="330">
        <f>NP!$E$35</f>
        <v>198859544</v>
      </c>
      <c r="J18" s="330">
        <f>NP!$E$63</f>
        <v>198185289.58200002</v>
      </c>
      <c r="K18" s="330">
        <f>NP!$E$91</f>
        <v>208471297.24800006</v>
      </c>
      <c r="L18" s="317"/>
    </row>
    <row r="19" spans="1:12" ht="13.5" customHeight="1" x14ac:dyDescent="0.25">
      <c r="A19" s="78"/>
      <c r="B19" s="300" t="s">
        <v>533</v>
      </c>
      <c r="C19" s="295" t="str">
        <f ca="1">DFIE!$B$241</f>
        <v>Massgebende quellenbesteuerte Einkommen</v>
      </c>
      <c r="D19" s="342" t="str">
        <f ca="1">DFIE!$B$64</f>
        <v>CHF 1'000</v>
      </c>
      <c r="E19" s="342"/>
      <c r="F19" s="323">
        <v>13313683.2221715</v>
      </c>
      <c r="G19" s="323">
        <v>13640237.522798499</v>
      </c>
      <c r="H19" s="323">
        <v>13755588.2565479</v>
      </c>
      <c r="I19" s="330">
        <f>QS!$Z$35</f>
        <v>14052065.878319144</v>
      </c>
      <c r="J19" s="330">
        <f>QS!$Z$63</f>
        <v>14028669.426476443</v>
      </c>
      <c r="K19" s="330">
        <f>QS!$Z$91</f>
        <v>13403753.36969772</v>
      </c>
      <c r="L19" s="317"/>
    </row>
    <row r="20" spans="1:12" ht="13.5" customHeight="1" x14ac:dyDescent="0.25">
      <c r="A20" s="78"/>
      <c r="B20" s="304" t="s">
        <v>35</v>
      </c>
      <c r="C20" s="296" t="str">
        <f ca="1">DFIE!$B$242</f>
        <v>Massgebende Einkommen</v>
      </c>
      <c r="D20" s="227" t="str">
        <f ca="1">DFIE!$B$64</f>
        <v>CHF 1'000</v>
      </c>
      <c r="E20" s="227" t="s">
        <v>517</v>
      </c>
      <c r="F20" s="331">
        <f t="shared" ref="F20:K20" si="2">SUM(F18:F19)</f>
        <v>195004979.22217149</v>
      </c>
      <c r="G20" s="331">
        <f t="shared" si="2"/>
        <v>200495824.2227985</v>
      </c>
      <c r="H20" s="331">
        <f t="shared" si="2"/>
        <v>205377573.95654789</v>
      </c>
      <c r="I20" s="331">
        <f t="shared" si="2"/>
        <v>212911609.87831914</v>
      </c>
      <c r="J20" s="331">
        <f t="shared" si="2"/>
        <v>212213959.00847647</v>
      </c>
      <c r="K20" s="331">
        <f t="shared" si="2"/>
        <v>221875050.61769778</v>
      </c>
      <c r="L20" s="329">
        <f>AVERAGE(F20:K20)</f>
        <v>207979832.81766856</v>
      </c>
    </row>
    <row r="21" spans="1:12" ht="13.5" customHeight="1" x14ac:dyDescent="0.25">
      <c r="A21" s="78"/>
      <c r="B21" s="302" t="s">
        <v>519</v>
      </c>
      <c r="C21" s="303" t="str">
        <f ca="1">DFIE!$B$243</f>
        <v>Reinvermögen</v>
      </c>
      <c r="D21" s="343" t="str">
        <f ca="1">DFIE!$B$64</f>
        <v>CHF 1'000</v>
      </c>
      <c r="E21" s="343"/>
      <c r="F21" s="332">
        <v>1868951853.526</v>
      </c>
      <c r="G21" s="332">
        <v>2000486810.408</v>
      </c>
      <c r="H21" s="332">
        <v>2005371367.043</v>
      </c>
      <c r="I21" s="325">
        <f>VERM!$C$35</f>
        <v>2158416321.5420003</v>
      </c>
      <c r="J21" s="325">
        <f>VERM!$F$35</f>
        <v>2264852292.3059998</v>
      </c>
      <c r="K21" s="325">
        <f>VERM!$I$35</f>
        <v>2445456355.1490002</v>
      </c>
      <c r="L21" s="333">
        <f>AVERAGE(F21:K21)</f>
        <v>2123922499.9956667</v>
      </c>
    </row>
    <row r="22" spans="1:12" ht="13.5" customHeight="1" x14ac:dyDescent="0.25">
      <c r="A22" s="78"/>
      <c r="B22" s="305"/>
      <c r="C22" s="306"/>
      <c r="D22" s="310"/>
      <c r="E22" s="310"/>
      <c r="F22" s="306"/>
      <c r="G22" s="306"/>
      <c r="H22" s="306"/>
      <c r="I22" s="306"/>
      <c r="J22" s="306"/>
      <c r="K22" s="306"/>
      <c r="L22" s="306"/>
    </row>
    <row r="23" spans="1:12" ht="13.5" customHeight="1" x14ac:dyDescent="0.25">
      <c r="A23" s="78"/>
      <c r="B23" s="297" t="s">
        <v>492</v>
      </c>
      <c r="C23" s="301" t="str">
        <f ca="1">DFIE!$B$244</f>
        <v>Ausschöpfung der Einkommen</v>
      </c>
      <c r="D23" s="341" t="str">
        <f ca="1">DFIE!$B$67</f>
        <v>Prozent</v>
      </c>
      <c r="E23" s="341" t="s">
        <v>520</v>
      </c>
      <c r="F23" s="307"/>
      <c r="G23" s="307"/>
      <c r="H23" s="307"/>
      <c r="I23" s="307"/>
      <c r="J23" s="307"/>
      <c r="K23" s="307"/>
      <c r="L23" s="334">
        <f>L14/L20</f>
        <v>0.2453075656850888</v>
      </c>
    </row>
    <row r="24" spans="1:12" ht="13.5" customHeight="1" x14ac:dyDescent="0.25">
      <c r="A24" s="78"/>
      <c r="B24" s="302" t="s">
        <v>522</v>
      </c>
      <c r="C24" s="303" t="str">
        <f ca="1">DFIE!$B$245</f>
        <v>Ausschöpfung der Vermögen</v>
      </c>
      <c r="D24" s="343" t="str">
        <f ca="1">DFIE!$B$67</f>
        <v>Prozent</v>
      </c>
      <c r="E24" s="343" t="s">
        <v>523</v>
      </c>
      <c r="F24" s="308"/>
      <c r="G24" s="308"/>
      <c r="H24" s="308"/>
      <c r="I24" s="308"/>
      <c r="J24" s="308"/>
      <c r="K24" s="308"/>
      <c r="L24" s="335">
        <f>L15/L21</f>
        <v>3.6678261449225322E-3</v>
      </c>
    </row>
    <row r="25" spans="1:12" ht="13.5" customHeight="1" x14ac:dyDescent="0.25">
      <c r="A25" s="78"/>
      <c r="B25" s="305"/>
      <c r="C25" s="309"/>
      <c r="D25" s="310"/>
      <c r="E25" s="310"/>
      <c r="F25" s="306"/>
      <c r="G25" s="306"/>
      <c r="H25" s="306"/>
      <c r="I25" s="306"/>
      <c r="J25" s="306"/>
      <c r="K25" s="306"/>
      <c r="L25" s="309"/>
    </row>
    <row r="26" spans="1:12" ht="13.5" customHeight="1" x14ac:dyDescent="0.25">
      <c r="A26" s="78"/>
      <c r="B26" s="311" t="s">
        <v>534</v>
      </c>
      <c r="C26" s="312" t="str">
        <f ca="1">DFIE!$B$246</f>
        <v>Alpha</v>
      </c>
      <c r="D26" s="228" t="str">
        <f ca="1">DFIE!$B$67</f>
        <v>Prozent</v>
      </c>
      <c r="E26" s="228" t="s">
        <v>525</v>
      </c>
      <c r="F26" s="313"/>
      <c r="G26" s="313"/>
      <c r="H26" s="313"/>
      <c r="I26" s="313"/>
      <c r="J26" s="313"/>
      <c r="K26" s="313"/>
      <c r="L26" s="336">
        <f>ROUND(L24/L23,3)</f>
        <v>1.4999999999999999E-2</v>
      </c>
    </row>
    <row r="27" spans="1:12" ht="13.5" customHeight="1" x14ac:dyDescent="0.25">
      <c r="A27" s="78"/>
      <c r="B27" s="76"/>
      <c r="C27" s="76"/>
      <c r="D27" s="310"/>
      <c r="E27" s="310"/>
      <c r="F27" s="76"/>
      <c r="G27" s="76"/>
      <c r="H27" s="76"/>
      <c r="I27" s="76"/>
      <c r="J27" s="76"/>
      <c r="K27" s="76"/>
      <c r="L27" s="76"/>
    </row>
    <row r="28" spans="1:12" ht="13.5" customHeight="1" x14ac:dyDescent="0.25">
      <c r="A28" s="78"/>
      <c r="B28" s="78"/>
      <c r="C28" s="76"/>
      <c r="D28" s="310"/>
      <c r="E28" s="310"/>
      <c r="F28" s="76"/>
      <c r="G28" s="76"/>
      <c r="H28" s="76"/>
      <c r="I28" s="76"/>
      <c r="J28" s="76"/>
      <c r="K28" s="76"/>
      <c r="L28" s="76"/>
    </row>
    <row r="29" spans="1:12" ht="13.5" customHeight="1" x14ac:dyDescent="0.25">
      <c r="A29" s="78"/>
      <c r="B29" s="306" t="str">
        <f ca="1">DFIE!$B$248</f>
        <v>* Fiskaleinnahmen der Kantone und Gemeinden</v>
      </c>
      <c r="C29" s="108"/>
      <c r="D29" s="310"/>
      <c r="E29" s="310"/>
      <c r="F29" s="76"/>
      <c r="G29" s="76"/>
      <c r="H29" s="76"/>
      <c r="I29" s="76"/>
      <c r="J29" s="76"/>
      <c r="K29" s="76"/>
      <c r="L29" s="76"/>
    </row>
    <row r="30" spans="1:12" ht="12.75" customHeight="1" x14ac:dyDescent="0.25">
      <c r="A30" s="44"/>
      <c r="B30" s="11"/>
      <c r="C30" s="173"/>
    </row>
    <row r="31" spans="1:12" ht="12.75" customHeight="1" x14ac:dyDescent="0.25">
      <c r="A31" s="44"/>
      <c r="B31" s="11"/>
      <c r="C31" s="173"/>
    </row>
    <row r="32" spans="1:12" ht="12.75" customHeight="1" x14ac:dyDescent="0.25">
      <c r="A32" s="44"/>
      <c r="B32" s="11"/>
      <c r="C32" s="173"/>
    </row>
    <row r="33" spans="1:12" ht="12.75" customHeight="1" x14ac:dyDescent="0.25">
      <c r="A33" s="44"/>
    </row>
    <row r="34" spans="1:12" ht="12.75" customHeight="1" x14ac:dyDescent="0.25">
      <c r="A34" s="42"/>
    </row>
    <row r="35" spans="1:12" ht="10.5" customHeight="1" x14ac:dyDescent="0.25">
      <c r="D35" s="173"/>
      <c r="E35" s="173"/>
      <c r="L35" s="42"/>
    </row>
    <row r="36" spans="1:12" x14ac:dyDescent="0.25">
      <c r="A36" s="44"/>
      <c r="D36" s="173"/>
      <c r="E36" s="173"/>
    </row>
  </sheetData>
  <conditionalFormatting sqref="F9:K12 F15:K15">
    <cfRule type="expression" dxfId="9" priority="6">
      <formula>ISBLANK(F9)</formula>
    </cfRule>
  </conditionalFormatting>
  <conditionalFormatting sqref="F18:H19 F21:H21">
    <cfRule type="expression" dxfId="8" priority="7">
      <formula>ISBLANK(F18)</formula>
    </cfRule>
  </conditionalFormatting>
  <pageMargins left="0.78740157480314965" right="0.59055118110236227" top="0.9055118110236221" bottom="0.78740157480314965" header="0.51181102362204722" footer="0.51181102362204722"/>
  <pageSetup paperSize="9" scale="88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7"/>
  <dimension ref="A1:AK49"/>
  <sheetViews>
    <sheetView showGridLines="0" zoomScaleNormal="100" workbookViewId="0">
      <selection activeCell="A60" sqref="A60"/>
    </sheetView>
  </sheetViews>
  <sheetFormatPr baseColWidth="10" defaultColWidth="9.109375" defaultRowHeight="13.2" x14ac:dyDescent="0.25"/>
  <cols>
    <col min="1" max="1" width="1.6640625" customWidth="1"/>
    <col min="2" max="2" width="17.6640625" customWidth="1"/>
    <col min="3" max="8" width="12.109375" customWidth="1"/>
    <col min="9" max="11" width="14.6640625" customWidth="1"/>
    <col min="12" max="12" width="8.6640625" customWidth="1"/>
    <col min="13" max="13" width="4.6640625" customWidth="1"/>
    <col min="14" max="14" width="5.44140625" customWidth="1"/>
    <col min="15" max="15" width="47.33203125" customWidth="1"/>
    <col min="16" max="16" width="9.6640625" customWidth="1"/>
    <col min="17" max="17" width="14.6640625" customWidth="1"/>
    <col min="18" max="24" width="12.5546875" customWidth="1"/>
    <col min="25" max="25" width="2" customWidth="1"/>
    <col min="26" max="26" width="4.6640625" customWidth="1"/>
    <col min="27" max="27" width="5" customWidth="1"/>
    <col min="28" max="28" width="38.33203125" customWidth="1"/>
    <col min="29" max="29" width="9.6640625" customWidth="1"/>
    <col min="30" max="30" width="13.6640625" customWidth="1"/>
    <col min="31" max="37" width="11.33203125" customWidth="1"/>
  </cols>
  <sheetData>
    <row r="1" spans="1:25" ht="22.5" customHeight="1" x14ac:dyDescent="0.3">
      <c r="B1" s="4" t="str">
        <f ca="1">DFIE!$B$249</f>
        <v>Berechnung der Faktoren Zeta für die Gewinne der juristischen Personen im Bemessungsjahr 2021</v>
      </c>
    </row>
    <row r="2" spans="1:25" ht="25.5" customHeight="1" x14ac:dyDescent="0.3">
      <c r="A2" s="372"/>
      <c r="B2" s="418" t="str">
        <f ca="1">DFIE!$B$250</f>
        <v>Berechnung Zeta-2*</v>
      </c>
      <c r="M2" s="418" t="str">
        <f ca="1">DFIE!$B$257</f>
        <v>Berechnung Zeta-2</v>
      </c>
      <c r="Q2" s="374"/>
    </row>
    <row r="3" spans="1:25" ht="13.5" customHeight="1" x14ac:dyDescent="0.25">
      <c r="B3" s="75" t="str">
        <f ca="1">DFIE!$B$59</f>
        <v>Spalte</v>
      </c>
      <c r="C3" s="352" t="s">
        <v>30</v>
      </c>
      <c r="D3" s="353" t="s">
        <v>31</v>
      </c>
      <c r="E3" s="353" t="s">
        <v>32</v>
      </c>
      <c r="F3" s="353" t="s">
        <v>43</v>
      </c>
      <c r="G3" s="353" t="s">
        <v>42</v>
      </c>
      <c r="H3" s="353" t="s">
        <v>33</v>
      </c>
      <c r="I3" s="354" t="s">
        <v>34</v>
      </c>
      <c r="J3" s="355" t="s">
        <v>35</v>
      </c>
      <c r="K3" s="355" t="s">
        <v>519</v>
      </c>
      <c r="M3" s="367"/>
      <c r="N3" s="366"/>
      <c r="O3" s="368"/>
      <c r="P3" s="369"/>
      <c r="Q3" s="369"/>
      <c r="R3" s="478">
        <f>DFIE!$G$3-9</f>
        <v>2016</v>
      </c>
      <c r="S3" s="478">
        <f>DFIE!$G$3-8</f>
        <v>2017</v>
      </c>
      <c r="T3" s="478">
        <f>DFIE!$G$3-7</f>
        <v>2018</v>
      </c>
      <c r="U3" s="478">
        <f>DFIE!$G$3-6</f>
        <v>2019</v>
      </c>
      <c r="V3" s="478">
        <f>DFIE!$G$3-5</f>
        <v>2020</v>
      </c>
      <c r="W3" s="479">
        <f>DFIE!$G$3-4</f>
        <v>2021</v>
      </c>
      <c r="X3" s="344" t="str">
        <f ca="1">DFIE!$B$252</f>
        <v>Mittelwert</v>
      </c>
      <c r="Y3" s="346"/>
    </row>
    <row r="4" spans="1:25" ht="13.5" customHeight="1" x14ac:dyDescent="0.25">
      <c r="B4" s="75" t="str">
        <f ca="1">DFIE!$B$60</f>
        <v>Formel</v>
      </c>
      <c r="C4" s="424"/>
      <c r="D4" s="425"/>
      <c r="E4" s="425"/>
      <c r="F4" s="425"/>
      <c r="G4" s="425"/>
      <c r="H4" s="425"/>
      <c r="I4" s="359"/>
      <c r="J4" s="359"/>
      <c r="K4" s="359" t="s">
        <v>725</v>
      </c>
      <c r="M4" s="371"/>
      <c r="N4" s="370"/>
      <c r="O4" s="370"/>
      <c r="P4" s="461" t="str">
        <f ca="1">DFIE!$B$62</f>
        <v>Einheit</v>
      </c>
      <c r="Q4" s="461" t="str">
        <f ca="1">DFIE!$B$60</f>
        <v>Formel</v>
      </c>
      <c r="R4" s="480" t="s">
        <v>506</v>
      </c>
      <c r="S4" s="480" t="s">
        <v>507</v>
      </c>
      <c r="T4" s="480" t="s">
        <v>508</v>
      </c>
      <c r="U4" s="480" t="s">
        <v>509</v>
      </c>
      <c r="V4" s="480" t="s">
        <v>510</v>
      </c>
      <c r="W4" s="481" t="s">
        <v>511</v>
      </c>
      <c r="X4" s="345"/>
      <c r="Y4" s="346"/>
    </row>
    <row r="5" spans="1:25" ht="13.5" customHeight="1" x14ac:dyDescent="0.25">
      <c r="B5" s="423"/>
      <c r="C5" s="557" t="str">
        <f ca="1">DFIE!$B$251</f>
        <v>Boxengewinne</v>
      </c>
      <c r="D5" s="558"/>
      <c r="E5" s="558"/>
      <c r="F5" s="558"/>
      <c r="G5" s="558"/>
      <c r="H5" s="558"/>
      <c r="I5" s="559"/>
      <c r="J5" s="565" t="str">
        <f ca="1">DFIE!$B$253</f>
        <v>Minder-
gewichtung</v>
      </c>
      <c r="K5" s="539" t="str">
        <f ca="1">DFIE!$B$254</f>
        <v>Gewichtete
Boxen-
gewinne</v>
      </c>
      <c r="M5" s="377" t="str">
        <f ca="1">DFIE!$B$258</f>
        <v>Fiskaleinnahmen juristische Personen</v>
      </c>
      <c r="N5" s="378"/>
      <c r="O5" s="379"/>
      <c r="P5" s="462"/>
      <c r="Q5" s="463"/>
      <c r="R5" s="389"/>
      <c r="S5" s="389"/>
      <c r="T5" s="389"/>
      <c r="U5" s="389"/>
      <c r="V5" s="389"/>
      <c r="W5" s="390"/>
      <c r="X5" s="417"/>
      <c r="Y5" s="346"/>
    </row>
    <row r="6" spans="1:25" ht="13.5" customHeight="1" x14ac:dyDescent="0.25">
      <c r="B6" s="423"/>
      <c r="C6" s="560"/>
      <c r="D6" s="561"/>
      <c r="E6" s="561"/>
      <c r="F6" s="561"/>
      <c r="G6" s="561"/>
      <c r="H6" s="561"/>
      <c r="I6" s="562"/>
      <c r="J6" s="566"/>
      <c r="K6" s="522"/>
      <c r="M6" s="380" t="s">
        <v>111</v>
      </c>
      <c r="N6" s="381" t="str">
        <f ca="1">DFIE!$B$259</f>
        <v>Ordentliche Gewinne</v>
      </c>
      <c r="O6" s="382"/>
      <c r="P6" s="464" t="str">
        <f ca="1">DFIE!$B$64</f>
        <v>CHF 1'000</v>
      </c>
      <c r="Q6" s="465"/>
      <c r="R6" s="430">
        <v>0</v>
      </c>
      <c r="S6" s="323">
        <v>0</v>
      </c>
      <c r="T6" s="323">
        <v>0</v>
      </c>
      <c r="U6" s="323">
        <v>0</v>
      </c>
      <c r="V6" s="323">
        <v>129624571.45199999</v>
      </c>
      <c r="W6" s="506">
        <v>158963023.042</v>
      </c>
      <c r="X6" s="433">
        <f>SUM(R6:W6)/COUNTIF($R$6:$W$6,"&gt;0")</f>
        <v>144293797.24699998</v>
      </c>
      <c r="Y6" s="346"/>
    </row>
    <row r="7" spans="1:25" ht="13.5" customHeight="1" x14ac:dyDescent="0.25">
      <c r="B7" s="423"/>
      <c r="C7" s="457"/>
      <c r="D7" s="458"/>
      <c r="E7" s="458"/>
      <c r="F7" s="458"/>
      <c r="G7" s="458"/>
      <c r="H7" s="458"/>
      <c r="I7" s="459"/>
      <c r="J7" s="566"/>
      <c r="K7" s="522"/>
      <c r="M7" s="380" t="s">
        <v>112</v>
      </c>
      <c r="N7" s="381" t="str">
        <f ca="1">DFIE!$B$260</f>
        <v>Boxengewinne</v>
      </c>
      <c r="O7" s="383"/>
      <c r="P7" s="464" t="str">
        <f ca="1">DFIE!$B$64</f>
        <v>CHF 1'000</v>
      </c>
      <c r="Q7" s="465"/>
      <c r="R7" s="431">
        <f t="shared" ref="R7:W7" si="0">C$36</f>
        <v>0</v>
      </c>
      <c r="S7" s="431">
        <f t="shared" si="0"/>
        <v>0</v>
      </c>
      <c r="T7" s="431">
        <f t="shared" si="0"/>
        <v>0</v>
      </c>
      <c r="U7" s="431">
        <f t="shared" si="0"/>
        <v>0</v>
      </c>
      <c r="V7" s="431">
        <f t="shared" si="0"/>
        <v>5443664.0340000009</v>
      </c>
      <c r="W7" s="432">
        <f t="shared" si="0"/>
        <v>4840814.1339999996</v>
      </c>
      <c r="X7" s="433">
        <f>SUM(R7:W7)/COUNTIF($R$6:$W$6,"&gt;0")</f>
        <v>5142239.0840000007</v>
      </c>
      <c r="Y7" s="346"/>
    </row>
    <row r="8" spans="1:25" ht="13.5" customHeight="1" x14ac:dyDescent="0.25">
      <c r="B8" s="175"/>
      <c r="C8" s="356">
        <f>DFIE!$G$3-9</f>
        <v>2016</v>
      </c>
      <c r="D8" s="357">
        <f>DFIE!$G$3-8</f>
        <v>2017</v>
      </c>
      <c r="E8" s="357">
        <f>DFIE!$G$3-7</f>
        <v>2018</v>
      </c>
      <c r="F8" s="357">
        <f>DFIE!$G$3-6</f>
        <v>2019</v>
      </c>
      <c r="G8" s="357">
        <f>DFIE!$G$3-5</f>
        <v>2020</v>
      </c>
      <c r="H8" s="357">
        <f>DFIE!$G$3-4</f>
        <v>2021</v>
      </c>
      <c r="I8" s="358" t="str">
        <f ca="1">DFIE!$B$252</f>
        <v>Mittelwert</v>
      </c>
      <c r="J8" s="358">
        <f>DFIE!$G$3-4</f>
        <v>2021</v>
      </c>
      <c r="K8" s="540"/>
      <c r="M8" s="384" t="s">
        <v>30</v>
      </c>
      <c r="N8" s="385" t="str">
        <f ca="1">DFIE!$B$261</f>
        <v>Gewinnsteuereinnahmen Kantone und Gemeinden</v>
      </c>
      <c r="O8" s="386"/>
      <c r="P8" s="466" t="str">
        <f ca="1">DFIE!$B$64</f>
        <v>CHF 1'000</v>
      </c>
      <c r="Q8" s="467"/>
      <c r="R8" s="434">
        <v>0</v>
      </c>
      <c r="S8" s="332">
        <v>0</v>
      </c>
      <c r="T8" s="332">
        <v>0</v>
      </c>
      <c r="U8" s="332">
        <v>0</v>
      </c>
      <c r="V8" s="332">
        <v>9393718.4605299998</v>
      </c>
      <c r="W8" s="332">
        <v>10175117.118960001</v>
      </c>
      <c r="X8" s="435">
        <f>SUM(R8:W8)/COUNTIF($R$6:$W$6,"&gt;0")</f>
        <v>9784417.7897449993</v>
      </c>
      <c r="Y8" s="346"/>
    </row>
    <row r="9" spans="1:25" ht="13.5" customHeight="1" x14ac:dyDescent="0.25">
      <c r="B9" s="75" t="str">
        <f ca="1">DFIE!$B$62</f>
        <v>Einheit</v>
      </c>
      <c r="C9" s="112" t="str">
        <f ca="1">DFIE!$B$64</f>
        <v>CHF 1'000</v>
      </c>
      <c r="D9" s="38" t="str">
        <f ca="1">DFIE!$B$64</f>
        <v>CHF 1'000</v>
      </c>
      <c r="E9" s="38" t="str">
        <f ca="1">DFIE!$B$64</f>
        <v>CHF 1'000</v>
      </c>
      <c r="F9" s="38" t="str">
        <f ca="1">DFIE!$B$64</f>
        <v>CHF 1'000</v>
      </c>
      <c r="G9" s="38" t="str">
        <f ca="1">DFIE!$B$64</f>
        <v>CHF 1'000</v>
      </c>
      <c r="H9" s="38" t="str">
        <f ca="1">DFIE!$B$64</f>
        <v>CHF 1'000</v>
      </c>
      <c r="I9" s="347" t="str">
        <f ca="1">DFIE!$B$64</f>
        <v>CHF 1'000</v>
      </c>
      <c r="J9" s="347" t="str">
        <f ca="1">DFIE!$B$67</f>
        <v>Prozent</v>
      </c>
      <c r="K9" s="347" t="str">
        <f ca="1">DFIE!$B$64</f>
        <v>CHF 1'000</v>
      </c>
      <c r="M9" s="387" t="s">
        <v>31</v>
      </c>
      <c r="N9" s="378" t="str">
        <f ca="1">DFIE!$B$262</f>
        <v xml:space="preserve">Gewinnsteuereinnahmen DBSt </v>
      </c>
      <c r="O9" s="388"/>
      <c r="P9" s="468" t="str">
        <f ca="1">DFIE!$B$64</f>
        <v>CHF 1'000</v>
      </c>
      <c r="Q9" s="469"/>
      <c r="R9" s="436">
        <v>0</v>
      </c>
      <c r="S9" s="324">
        <v>0</v>
      </c>
      <c r="T9" s="324">
        <v>0</v>
      </c>
      <c r="U9" s="324">
        <v>0</v>
      </c>
      <c r="V9" s="324">
        <v>12091728.76474</v>
      </c>
      <c r="W9" s="437">
        <v>12700690.577570001</v>
      </c>
      <c r="X9" s="433">
        <f>SUM(R9:W9)/COUNTIF($R$6:$W$6,"&gt;0")</f>
        <v>12396209.671155</v>
      </c>
      <c r="Y9" s="346"/>
    </row>
    <row r="10" spans="1:25" ht="13.5" customHeight="1" x14ac:dyDescent="0.25">
      <c r="B10" s="141" t="str">
        <f ca="1">DFIE!$B$32</f>
        <v>Zürich</v>
      </c>
      <c r="C10" s="60">
        <v>0</v>
      </c>
      <c r="D10" s="60">
        <v>0</v>
      </c>
      <c r="E10" s="60">
        <v>0</v>
      </c>
      <c r="F10" s="57">
        <v>0</v>
      </c>
      <c r="G10" s="57">
        <v>78444.383000000002</v>
      </c>
      <c r="H10" s="57">
        <v>140964.85699999999</v>
      </c>
      <c r="I10" s="119">
        <f t="shared" ref="I10:I35" si="1">SUM(C10:H10)/COUNTIF($R$6:$W$6,"&gt;0")</f>
        <v>109704.62</v>
      </c>
      <c r="J10" s="428">
        <v>0.9</v>
      </c>
      <c r="K10" s="54">
        <f t="shared" ref="K10:K35" si="2">(1-J10)*I10</f>
        <v>10970.461999999998</v>
      </c>
      <c r="M10" s="380" t="s">
        <v>32</v>
      </c>
      <c r="N10" s="381" t="str">
        <f ca="1">DFIE!$B$263</f>
        <v>Kantonsanteil an DBSt</v>
      </c>
      <c r="O10" s="383"/>
      <c r="P10" s="464" t="str">
        <f ca="1">DFIE!$B$67</f>
        <v>Prozent</v>
      </c>
      <c r="Q10" s="465"/>
      <c r="R10" s="447">
        <v>0</v>
      </c>
      <c r="S10" s="337">
        <v>0</v>
      </c>
      <c r="T10" s="337">
        <v>0</v>
      </c>
      <c r="U10" s="337">
        <v>0</v>
      </c>
      <c r="V10" s="337">
        <v>0.21199999999999999</v>
      </c>
      <c r="W10" s="448">
        <v>0.21199999999999999</v>
      </c>
      <c r="X10" s="449">
        <f>X11/X9</f>
        <v>0.21199999999999999</v>
      </c>
      <c r="Y10" s="346"/>
    </row>
    <row r="11" spans="1:25" ht="13.5" customHeight="1" x14ac:dyDescent="0.25">
      <c r="B11" s="413" t="str">
        <f ca="1">DFIE!$B$33</f>
        <v>Bern</v>
      </c>
      <c r="C11" s="59">
        <v>0</v>
      </c>
      <c r="D11" s="59">
        <v>0</v>
      </c>
      <c r="E11" s="59">
        <v>0</v>
      </c>
      <c r="F11" s="59">
        <v>0</v>
      </c>
      <c r="G11" s="59">
        <v>670781.06799999997</v>
      </c>
      <c r="H11" s="59">
        <v>637709.14199999999</v>
      </c>
      <c r="I11" s="120">
        <f t="shared" si="1"/>
        <v>654245.10499999998</v>
      </c>
      <c r="J11" s="429">
        <v>0.7</v>
      </c>
      <c r="K11" s="53">
        <f t="shared" si="2"/>
        <v>196273.53150000001</v>
      </c>
      <c r="M11" s="384" t="s">
        <v>43</v>
      </c>
      <c r="N11" s="385" t="str">
        <f ca="1">DFIE!$B$264</f>
        <v>Kantonsanteil an Gewinnsteuereinnahmen DBSt</v>
      </c>
      <c r="O11" s="386"/>
      <c r="P11" s="466" t="str">
        <f ca="1">DFIE!$B$64</f>
        <v>CHF 1'000</v>
      </c>
      <c r="Q11" s="467" t="s">
        <v>679</v>
      </c>
      <c r="R11" s="438">
        <f>R$10*R9</f>
        <v>0</v>
      </c>
      <c r="S11" s="438">
        <f t="shared" ref="S11:W11" si="3">S$10*S9</f>
        <v>0</v>
      </c>
      <c r="T11" s="438">
        <f t="shared" si="3"/>
        <v>0</v>
      </c>
      <c r="U11" s="438">
        <f t="shared" si="3"/>
        <v>0</v>
      </c>
      <c r="V11" s="438">
        <f t="shared" si="3"/>
        <v>2563446.4981248798</v>
      </c>
      <c r="W11" s="439">
        <f t="shared" si="3"/>
        <v>2692546.4024448399</v>
      </c>
      <c r="X11" s="435">
        <f>SUM(R11:W11)/COUNTIF($R$6:$W$6,"&gt;0")</f>
        <v>2627996.4502848601</v>
      </c>
      <c r="Y11" s="346"/>
    </row>
    <row r="12" spans="1:25" ht="13.5" customHeight="1" x14ac:dyDescent="0.25">
      <c r="B12" s="141" t="str">
        <f ca="1">DFIE!$B$34</f>
        <v>Luzern</v>
      </c>
      <c r="C12" s="60">
        <v>0</v>
      </c>
      <c r="D12" s="60">
        <v>0</v>
      </c>
      <c r="E12" s="60">
        <v>0</v>
      </c>
      <c r="F12" s="60">
        <v>0</v>
      </c>
      <c r="G12" s="60">
        <v>257.60000000000002</v>
      </c>
      <c r="H12" s="60">
        <v>94.6</v>
      </c>
      <c r="I12" s="119">
        <f t="shared" si="1"/>
        <v>176.10000000000002</v>
      </c>
      <c r="J12" s="428">
        <v>0.1</v>
      </c>
      <c r="K12" s="54">
        <f t="shared" si="2"/>
        <v>158.49000000000004</v>
      </c>
      <c r="M12" s="387" t="s">
        <v>42</v>
      </c>
      <c r="N12" s="378" t="str">
        <f ca="1">DFIE!$B$265</f>
        <v>Gewinnsteuereinnahmen total Kantone und Gemeinden</v>
      </c>
      <c r="O12" s="388"/>
      <c r="P12" s="468" t="str">
        <f ca="1">DFIE!$B$64</f>
        <v>CHF 1'000</v>
      </c>
      <c r="Q12" s="470" t="s">
        <v>680</v>
      </c>
      <c r="R12" s="440">
        <f>R8+R11</f>
        <v>0</v>
      </c>
      <c r="S12" s="441">
        <f t="shared" ref="S12:W12" si="4">S8+S11</f>
        <v>0</v>
      </c>
      <c r="T12" s="441">
        <f t="shared" si="4"/>
        <v>0</v>
      </c>
      <c r="U12" s="441">
        <f t="shared" si="4"/>
        <v>0</v>
      </c>
      <c r="V12" s="441">
        <f t="shared" si="4"/>
        <v>11957164.958654881</v>
      </c>
      <c r="W12" s="442">
        <f t="shared" si="4"/>
        <v>12867663.52140484</v>
      </c>
      <c r="X12" s="435">
        <f>SUM(R12:W12)/COUNTIF($R$6:$W$6,"&gt;0")</f>
        <v>12412414.24002986</v>
      </c>
      <c r="Y12" s="346"/>
    </row>
    <row r="13" spans="1:25" ht="13.5" customHeight="1" x14ac:dyDescent="0.25">
      <c r="B13" s="413" t="str">
        <f ca="1">DFIE!$B$35</f>
        <v>Uri</v>
      </c>
      <c r="C13" s="59">
        <v>0</v>
      </c>
      <c r="D13" s="59">
        <v>0</v>
      </c>
      <c r="E13" s="59">
        <v>0</v>
      </c>
      <c r="F13" s="59">
        <v>0</v>
      </c>
      <c r="G13" s="59">
        <v>0</v>
      </c>
      <c r="H13" s="59">
        <v>0</v>
      </c>
      <c r="I13" s="120">
        <f t="shared" si="1"/>
        <v>0</v>
      </c>
      <c r="J13" s="429">
        <v>0.3</v>
      </c>
      <c r="K13" s="53">
        <f t="shared" si="2"/>
        <v>0</v>
      </c>
      <c r="M13" s="377" t="str">
        <f ca="1">DFIE!$B$266</f>
        <v>Berechnung</v>
      </c>
      <c r="N13" s="394"/>
      <c r="O13" s="394"/>
      <c r="P13" s="393"/>
      <c r="Q13" s="471"/>
      <c r="R13" s="394"/>
      <c r="S13" s="397"/>
      <c r="T13" s="394"/>
      <c r="U13" s="394"/>
      <c r="V13" s="394"/>
      <c r="Y13" s="346"/>
    </row>
    <row r="14" spans="1:25" ht="13.5" customHeight="1" x14ac:dyDescent="0.25">
      <c r="B14" s="141" t="str">
        <f ca="1">DFIE!$B$36</f>
        <v>Schwyz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  <c r="H14" s="60">
        <v>0</v>
      </c>
      <c r="I14" s="119">
        <f t="shared" si="1"/>
        <v>0</v>
      </c>
      <c r="J14" s="428">
        <v>0.9</v>
      </c>
      <c r="K14" s="54">
        <f t="shared" si="2"/>
        <v>0</v>
      </c>
      <c r="M14" s="380" t="s">
        <v>33</v>
      </c>
      <c r="N14" s="381"/>
      <c r="O14" s="395"/>
      <c r="P14" s="361"/>
      <c r="Q14" s="465" t="s">
        <v>681</v>
      </c>
      <c r="R14" s="563">
        <f>($X$6+$X$7)*$X$8</f>
        <v>1462144612306016.3</v>
      </c>
      <c r="S14" s="564"/>
      <c r="T14" s="391"/>
      <c r="U14" s="391"/>
      <c r="V14" s="391"/>
      <c r="Y14" s="346"/>
    </row>
    <row r="15" spans="1:25" ht="13.5" customHeight="1" x14ac:dyDescent="0.25">
      <c r="B15" s="413" t="str">
        <f ca="1">DFIE!$B$37</f>
        <v>Obwalden</v>
      </c>
      <c r="C15" s="59">
        <v>0</v>
      </c>
      <c r="D15" s="59">
        <v>0</v>
      </c>
      <c r="E15" s="59">
        <v>0</v>
      </c>
      <c r="F15" s="59">
        <v>0</v>
      </c>
      <c r="G15" s="59">
        <v>11478.839</v>
      </c>
      <c r="H15" s="59">
        <v>74492.364999999991</v>
      </c>
      <c r="I15" s="120">
        <f t="shared" si="1"/>
        <v>42985.601999999999</v>
      </c>
      <c r="J15" s="429">
        <v>0.9</v>
      </c>
      <c r="K15" s="53">
        <f t="shared" si="2"/>
        <v>4298.560199999999</v>
      </c>
      <c r="M15" s="380" t="s">
        <v>34</v>
      </c>
      <c r="N15" s="381"/>
      <c r="O15" s="395"/>
      <c r="P15" s="361"/>
      <c r="Q15" s="465" t="s">
        <v>722</v>
      </c>
      <c r="R15" s="563">
        <f>($X$6+$X$7*$K$38)*$X$11</f>
        <v>381549453642046.25</v>
      </c>
      <c r="S15" s="564"/>
      <c r="T15" s="360"/>
      <c r="U15" s="360"/>
      <c r="V15" s="360"/>
      <c r="W15" s="360"/>
      <c r="X15" s="360"/>
      <c r="Y15" s="346"/>
    </row>
    <row r="16" spans="1:25" ht="13.5" customHeight="1" x14ac:dyDescent="0.25">
      <c r="B16" s="141" t="str">
        <f ca="1">DFIE!$B$38</f>
        <v>Nidwalden</v>
      </c>
      <c r="C16" s="60">
        <v>0</v>
      </c>
      <c r="D16" s="60">
        <v>0</v>
      </c>
      <c r="E16" s="60">
        <v>0</v>
      </c>
      <c r="F16" s="60">
        <v>0</v>
      </c>
      <c r="G16" s="60">
        <v>14789.808999999999</v>
      </c>
      <c r="H16" s="60">
        <v>15185.286</v>
      </c>
      <c r="I16" s="119">
        <f t="shared" si="1"/>
        <v>14987.547500000001</v>
      </c>
      <c r="J16" s="428">
        <v>0.9</v>
      </c>
      <c r="K16" s="54">
        <f t="shared" si="2"/>
        <v>1498.7547499999998</v>
      </c>
      <c r="M16" s="384" t="s">
        <v>35</v>
      </c>
      <c r="N16" s="419" t="str">
        <f ca="1">DFIE!$B$267</f>
        <v>Zeta-2 (ohne Berücksichtigung der Bandbreiten)</v>
      </c>
      <c r="O16" s="396"/>
      <c r="P16" s="420"/>
      <c r="Q16" s="467" t="s">
        <v>723</v>
      </c>
      <c r="R16" s="392"/>
      <c r="S16" s="456">
        <f>(K38*R14+R15)/(R14+R15)</f>
        <v>0.34461469201463935</v>
      </c>
      <c r="T16" s="360"/>
      <c r="U16" s="360"/>
      <c r="V16" s="360"/>
      <c r="W16" s="360"/>
      <c r="X16" s="360"/>
      <c r="Y16" s="346"/>
    </row>
    <row r="17" spans="2:34" ht="13.5" customHeight="1" x14ac:dyDescent="0.25">
      <c r="B17" s="413" t="str">
        <f ca="1">DFIE!$B$39</f>
        <v>Glarus</v>
      </c>
      <c r="C17" s="59">
        <v>0</v>
      </c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120">
        <f t="shared" si="1"/>
        <v>0</v>
      </c>
      <c r="J17" s="429">
        <v>0.1</v>
      </c>
      <c r="K17" s="53">
        <f t="shared" si="2"/>
        <v>0</v>
      </c>
      <c r="M17" s="377" t="str">
        <f ca="1">DFIE!$B$268</f>
        <v>Bandbreite von Zeta-2</v>
      </c>
      <c r="N17" s="378"/>
      <c r="O17" s="379"/>
      <c r="P17" s="398"/>
      <c r="Q17" s="468"/>
      <c r="R17" s="378"/>
      <c r="S17" s="388"/>
      <c r="T17" s="360"/>
      <c r="U17" s="360"/>
      <c r="V17" s="360"/>
      <c r="W17" s="360"/>
      <c r="X17" s="360"/>
      <c r="Y17" s="346"/>
    </row>
    <row r="18" spans="2:34" ht="13.5" customHeight="1" x14ac:dyDescent="0.25">
      <c r="B18" s="141" t="str">
        <f ca="1">DFIE!$B$40</f>
        <v>Zug</v>
      </c>
      <c r="C18" s="60">
        <v>0</v>
      </c>
      <c r="D18" s="60">
        <v>0</v>
      </c>
      <c r="E18" s="60">
        <v>0</v>
      </c>
      <c r="F18" s="60">
        <v>0</v>
      </c>
      <c r="G18" s="60">
        <v>680247.3</v>
      </c>
      <c r="H18" s="60">
        <v>544175.6</v>
      </c>
      <c r="I18" s="119">
        <f t="shared" si="1"/>
        <v>612211.44999999995</v>
      </c>
      <c r="J18" s="428">
        <v>0.9</v>
      </c>
      <c r="K18" s="54">
        <f t="shared" si="2"/>
        <v>61221.144999999982</v>
      </c>
      <c r="M18" s="380" t="s">
        <v>519</v>
      </c>
      <c r="N18" s="381" t="str">
        <f ca="1">DFIE!$B$269</f>
        <v>Obere Grenze der Bandbreite (Art. 57d Abs. 2 Bst. b FiLaV)</v>
      </c>
      <c r="O18" s="381"/>
      <c r="P18" s="395"/>
      <c r="Q18" s="472"/>
      <c r="R18" s="395"/>
      <c r="S18" s="453">
        <v>0.375</v>
      </c>
      <c r="T18" s="360"/>
      <c r="U18" s="360"/>
      <c r="V18" s="360"/>
      <c r="W18" s="360"/>
      <c r="X18" s="360"/>
      <c r="Y18" s="346"/>
    </row>
    <row r="19" spans="2:34" ht="13.5" customHeight="1" x14ac:dyDescent="0.25">
      <c r="B19" s="413" t="str">
        <f ca="1">DFIE!$B$41</f>
        <v>Freiburg</v>
      </c>
      <c r="C19" s="59">
        <v>0</v>
      </c>
      <c r="D19" s="59">
        <v>0</v>
      </c>
      <c r="E19" s="59">
        <v>0</v>
      </c>
      <c r="F19" s="59">
        <v>0</v>
      </c>
      <c r="G19" s="59">
        <v>46602.69</v>
      </c>
      <c r="H19" s="59">
        <v>62550.235000000001</v>
      </c>
      <c r="I19" s="120">
        <f t="shared" si="1"/>
        <v>54576.462500000001</v>
      </c>
      <c r="J19" s="429">
        <v>0.9</v>
      </c>
      <c r="K19" s="53">
        <f t="shared" si="2"/>
        <v>5457.6462499999989</v>
      </c>
      <c r="M19" s="384" t="s">
        <v>492</v>
      </c>
      <c r="N19" s="385" t="str">
        <f ca="1">DFIE!$B$270</f>
        <v>Untere Grenze der Bandbreite (Art. 57d Abs. 2 Bst. b FiLaV)</v>
      </c>
      <c r="O19" s="385"/>
      <c r="P19" s="396"/>
      <c r="Q19" s="473"/>
      <c r="R19" s="396"/>
      <c r="S19" s="454">
        <v>0.27500000000000002</v>
      </c>
      <c r="U19" s="363"/>
      <c r="V19" s="363"/>
      <c r="W19" s="362"/>
      <c r="X19" s="362"/>
      <c r="Y19" s="346"/>
    </row>
    <row r="20" spans="2:34" ht="13.5" customHeight="1" x14ac:dyDescent="0.25">
      <c r="B20" s="141" t="str">
        <f ca="1">DFIE!$B$42</f>
        <v>Solothurn</v>
      </c>
      <c r="C20" s="60">
        <v>0</v>
      </c>
      <c r="D20" s="60">
        <v>0</v>
      </c>
      <c r="E20" s="60">
        <v>0</v>
      </c>
      <c r="F20" s="60">
        <v>0</v>
      </c>
      <c r="G20" s="60">
        <v>1352.9</v>
      </c>
      <c r="H20" s="60">
        <v>2240.7539999999999</v>
      </c>
      <c r="I20" s="119">
        <f t="shared" si="1"/>
        <v>1796.827</v>
      </c>
      <c r="J20" s="428">
        <v>0.9</v>
      </c>
      <c r="K20" s="54">
        <f t="shared" si="2"/>
        <v>179.68269999999995</v>
      </c>
      <c r="M20" s="406" t="s">
        <v>522</v>
      </c>
      <c r="N20" s="410" t="s">
        <v>694</v>
      </c>
      <c r="O20" s="408" t="str">
        <f ca="1">DFIE!$B$271</f>
        <v>Zeta-2</v>
      </c>
      <c r="P20" s="410"/>
      <c r="Q20" s="474" t="s">
        <v>719</v>
      </c>
      <c r="R20" s="411"/>
      <c r="S20" s="460">
        <f>IF($K$38=0,0,ROUND(MAX($S$19,MIN($S$18,S16)),3))</f>
        <v>0.34499999999999997</v>
      </c>
      <c r="U20" s="363"/>
      <c r="V20" s="363"/>
      <c r="W20" s="362"/>
      <c r="X20" s="362"/>
      <c r="Y20" s="346"/>
    </row>
    <row r="21" spans="2:34" ht="13.5" customHeight="1" x14ac:dyDescent="0.25">
      <c r="B21" s="413" t="str">
        <f ca="1">DFIE!$B$43</f>
        <v>Basel-Stadt</v>
      </c>
      <c r="C21" s="59">
        <v>0</v>
      </c>
      <c r="D21" s="59">
        <v>0</v>
      </c>
      <c r="E21" s="59">
        <v>0</v>
      </c>
      <c r="F21" s="59">
        <v>0</v>
      </c>
      <c r="G21" s="59">
        <v>2995971.4</v>
      </c>
      <c r="H21" s="59">
        <v>2285235.8000000003</v>
      </c>
      <c r="I21" s="120">
        <f t="shared" si="1"/>
        <v>2640603.6</v>
      </c>
      <c r="J21" s="429">
        <v>0.9</v>
      </c>
      <c r="K21" s="53">
        <f t="shared" si="2"/>
        <v>264060.35999999993</v>
      </c>
      <c r="U21" s="363"/>
      <c r="V21" s="363"/>
      <c r="W21" s="363"/>
      <c r="X21" s="376"/>
      <c r="Y21" s="346"/>
    </row>
    <row r="22" spans="2:34" ht="13.5" customHeight="1" x14ac:dyDescent="0.25">
      <c r="B22" s="141" t="str">
        <f ca="1">DFIE!$B$44</f>
        <v>Basel-Landschaft</v>
      </c>
      <c r="C22" s="60">
        <v>0</v>
      </c>
      <c r="D22" s="60">
        <v>0</v>
      </c>
      <c r="E22" s="60">
        <v>0</v>
      </c>
      <c r="F22" s="60">
        <v>0</v>
      </c>
      <c r="G22" s="60">
        <v>67909.872000000003</v>
      </c>
      <c r="H22" s="60">
        <v>105311.38399999999</v>
      </c>
      <c r="I22" s="119">
        <f t="shared" si="1"/>
        <v>86610.627999999997</v>
      </c>
      <c r="J22" s="428">
        <v>0.9</v>
      </c>
      <c r="K22" s="54">
        <f t="shared" si="2"/>
        <v>8661.0627999999979</v>
      </c>
      <c r="S22" s="346"/>
      <c r="U22" s="360"/>
      <c r="V22" s="360"/>
      <c r="W22" s="360"/>
      <c r="X22" s="365"/>
      <c r="Y22" s="346"/>
    </row>
    <row r="23" spans="2:34" ht="13.5" customHeight="1" x14ac:dyDescent="0.3">
      <c r="B23" s="413" t="str">
        <f ca="1">DFIE!$B$45</f>
        <v>Schaffhausen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120">
        <f t="shared" si="1"/>
        <v>0</v>
      </c>
      <c r="J23" s="429">
        <v>0.9</v>
      </c>
      <c r="K23" s="53">
        <f t="shared" si="2"/>
        <v>0</v>
      </c>
      <c r="M23" s="418" t="str">
        <f ca="1">DFIE!$B$272</f>
        <v>Berechnung Zeta-1</v>
      </c>
      <c r="N23" s="373"/>
      <c r="O23" s="373"/>
      <c r="P23" s="373"/>
      <c r="Q23" s="373"/>
      <c r="R23" s="373"/>
      <c r="S23" s="373"/>
      <c r="T23" s="373"/>
      <c r="U23" s="373"/>
      <c r="V23" s="373"/>
      <c r="W23" s="373"/>
      <c r="X23" s="373"/>
      <c r="Y23" s="346"/>
    </row>
    <row r="24" spans="2:34" ht="13.5" customHeight="1" x14ac:dyDescent="0.25">
      <c r="B24" s="141" t="str">
        <f ca="1">DFIE!$B$46</f>
        <v>Appenzell A.Rh.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  <c r="H24" s="60">
        <v>0</v>
      </c>
      <c r="I24" s="119">
        <f t="shared" si="1"/>
        <v>0</v>
      </c>
      <c r="J24" s="428">
        <v>0.5</v>
      </c>
      <c r="K24" s="54">
        <f t="shared" si="2"/>
        <v>0</v>
      </c>
      <c r="M24" s="399"/>
      <c r="N24" s="378"/>
      <c r="O24" s="379"/>
      <c r="P24" s="369"/>
      <c r="Q24" s="369"/>
      <c r="R24" s="482">
        <f>DFIE!$G$3-9</f>
        <v>2016</v>
      </c>
      <c r="S24" s="478">
        <f>DFIE!$G$3-8</f>
        <v>2017</v>
      </c>
      <c r="T24" s="478">
        <f>DFIE!$G$3-7</f>
        <v>2018</v>
      </c>
      <c r="U24" s="478">
        <f>DFIE!$G$3-6</f>
        <v>2019</v>
      </c>
      <c r="V24" s="478">
        <f>DFIE!$G$3-5</f>
        <v>2020</v>
      </c>
      <c r="W24" s="479">
        <f>DFIE!$G$3-4</f>
        <v>2021</v>
      </c>
      <c r="X24" s="344" t="str">
        <f ca="1">DFIE!$B$252</f>
        <v>Mittelwert</v>
      </c>
      <c r="Y24" s="346"/>
    </row>
    <row r="25" spans="2:34" ht="13.5" customHeight="1" x14ac:dyDescent="0.25">
      <c r="B25" s="413" t="str">
        <f ca="1">DFIE!$B$47</f>
        <v>Appenzell I.Rh.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120">
        <f t="shared" si="1"/>
        <v>0</v>
      </c>
      <c r="J25" s="429">
        <v>0.5</v>
      </c>
      <c r="K25" s="53">
        <f t="shared" si="2"/>
        <v>0</v>
      </c>
      <c r="M25" s="400"/>
      <c r="N25" s="401"/>
      <c r="O25" s="401"/>
      <c r="P25" s="461" t="str">
        <f ca="1">DFIE!$B$62</f>
        <v>Einheit</v>
      </c>
      <c r="Q25" s="461" t="str">
        <f ca="1">DFIE!$B$60</f>
        <v>Formel</v>
      </c>
      <c r="R25" s="483" t="s">
        <v>506</v>
      </c>
      <c r="S25" s="480" t="s">
        <v>507</v>
      </c>
      <c r="T25" s="480" t="s">
        <v>508</v>
      </c>
      <c r="U25" s="480" t="s">
        <v>509</v>
      </c>
      <c r="V25" s="480" t="s">
        <v>510</v>
      </c>
      <c r="W25" s="481" t="s">
        <v>511</v>
      </c>
      <c r="X25" s="345"/>
      <c r="Y25" s="346"/>
    </row>
    <row r="26" spans="2:34" ht="13.5" customHeight="1" x14ac:dyDescent="0.25">
      <c r="B26" s="141" t="str">
        <f ca="1">DFIE!$B$48</f>
        <v>St. Gallen</v>
      </c>
      <c r="C26" s="60">
        <v>0</v>
      </c>
      <c r="D26" s="60">
        <v>0</v>
      </c>
      <c r="E26" s="60">
        <v>0</v>
      </c>
      <c r="F26" s="60">
        <v>0</v>
      </c>
      <c r="G26" s="60">
        <v>284215.46100000001</v>
      </c>
      <c r="H26" s="60">
        <v>447112.75</v>
      </c>
      <c r="I26" s="119">
        <f t="shared" si="1"/>
        <v>365664.10550000001</v>
      </c>
      <c r="J26" s="428">
        <v>0.5</v>
      </c>
      <c r="K26" s="54">
        <f t="shared" si="2"/>
        <v>182832.05275</v>
      </c>
      <c r="M26" s="377" t="str">
        <f ca="1">DFIE!$B$273</f>
        <v>Ausschöpfung juristischer Personen (JP)</v>
      </c>
      <c r="N26" s="378"/>
      <c r="O26" s="378"/>
      <c r="P26" s="462"/>
      <c r="Q26" s="469"/>
      <c r="R26" s="399"/>
      <c r="S26" s="389"/>
      <c r="T26" s="389"/>
      <c r="U26" s="389"/>
      <c r="V26" s="389"/>
      <c r="W26" s="390"/>
      <c r="X26" s="403"/>
      <c r="Y26" s="346"/>
    </row>
    <row r="27" spans="2:34" ht="13.5" customHeight="1" x14ac:dyDescent="0.25">
      <c r="B27" s="413" t="str">
        <f ca="1">DFIE!$B$49</f>
        <v>Graubünden</v>
      </c>
      <c r="C27" s="59">
        <v>0</v>
      </c>
      <c r="D27" s="59">
        <v>0</v>
      </c>
      <c r="E27" s="59">
        <v>0</v>
      </c>
      <c r="F27" s="59">
        <v>0</v>
      </c>
      <c r="G27" s="59">
        <v>78090</v>
      </c>
      <c r="H27" s="59">
        <v>0</v>
      </c>
      <c r="I27" s="120">
        <f t="shared" si="1"/>
        <v>39045</v>
      </c>
      <c r="J27" s="429">
        <v>0.9</v>
      </c>
      <c r="K27" s="53">
        <f t="shared" si="2"/>
        <v>3904.4999999999991</v>
      </c>
      <c r="M27" s="380" t="s">
        <v>534</v>
      </c>
      <c r="N27" s="381" t="str">
        <f ca="1">DFIE!$B$274</f>
        <v>Forschungs- und Entwicklungsaufwand</v>
      </c>
      <c r="O27" s="381"/>
      <c r="P27" s="464" t="str">
        <f ca="1">DFIE!$B$64</f>
        <v>CHF 1'000</v>
      </c>
      <c r="Q27" s="465"/>
      <c r="R27" s="430">
        <v>0</v>
      </c>
      <c r="S27" s="323">
        <v>0</v>
      </c>
      <c r="T27" s="323">
        <v>0</v>
      </c>
      <c r="U27" s="323">
        <v>0</v>
      </c>
      <c r="V27" s="323">
        <v>13819429.65</v>
      </c>
      <c r="W27" s="506">
        <v>141961.17500000002</v>
      </c>
      <c r="X27" s="433">
        <f>SUM(R27:W27)/COUNTIF($R$6:$W$6,"&gt;0")</f>
        <v>6980695.4125000006</v>
      </c>
      <c r="Y27" s="346"/>
    </row>
    <row r="28" spans="2:34" ht="13.5" customHeight="1" x14ac:dyDescent="0.25">
      <c r="B28" s="141" t="str">
        <f ca="1">DFIE!$B$50</f>
        <v>Aargau</v>
      </c>
      <c r="C28" s="60">
        <v>0</v>
      </c>
      <c r="D28" s="60">
        <v>0</v>
      </c>
      <c r="E28" s="60">
        <v>0</v>
      </c>
      <c r="F28" s="60">
        <v>0</v>
      </c>
      <c r="G28" s="60">
        <v>278669.46600000001</v>
      </c>
      <c r="H28" s="60">
        <v>97672.782999999996</v>
      </c>
      <c r="I28" s="119">
        <f t="shared" si="1"/>
        <v>188171.12450000001</v>
      </c>
      <c r="J28" s="428">
        <v>0.9</v>
      </c>
      <c r="K28" s="54">
        <f t="shared" si="2"/>
        <v>18817.112449999997</v>
      </c>
      <c r="M28" s="380" t="s">
        <v>676</v>
      </c>
      <c r="N28" s="381" t="str">
        <f ca="1">DFIE!$B$275</f>
        <v>Massgebendes Potenzial JP</v>
      </c>
      <c r="O28" s="381"/>
      <c r="P28" s="464" t="str">
        <f ca="1">DFIE!$B$64</f>
        <v>CHF 1'000</v>
      </c>
      <c r="Q28" s="465" t="s">
        <v>724</v>
      </c>
      <c r="R28" s="430">
        <v>0</v>
      </c>
      <c r="S28" s="323">
        <v>0</v>
      </c>
      <c r="T28" s="323">
        <v>0</v>
      </c>
      <c r="U28" s="330">
        <f>U6+U7*JP!$L$17+(1-JP!$L$17)*U27</f>
        <v>0</v>
      </c>
      <c r="V28" s="330">
        <f>V6+V7*JP!$L$45+(1-JP!$L$45)*V27</f>
        <v>140797259.167344</v>
      </c>
      <c r="W28" s="330">
        <f t="shared" ref="W28" si="5">W6+W7*$S$20+(1-$S$20)*W27</f>
        <v>160726088.48785499</v>
      </c>
      <c r="X28" s="443">
        <f>SUM(R28:W28)/COUNTIF($R$6:$W$6,"&gt;0")</f>
        <v>150761673.8275995</v>
      </c>
      <c r="Y28" s="346"/>
      <c r="AG28" s="363"/>
    </row>
    <row r="29" spans="2:34" ht="13.5" customHeight="1" x14ac:dyDescent="0.25">
      <c r="B29" s="413" t="str">
        <f ca="1">DFIE!$B$51</f>
        <v>Thurgau</v>
      </c>
      <c r="C29" s="59">
        <v>0</v>
      </c>
      <c r="D29" s="59">
        <v>0</v>
      </c>
      <c r="E29" s="59">
        <v>0</v>
      </c>
      <c r="F29" s="59">
        <v>0</v>
      </c>
      <c r="G29" s="59">
        <v>47856.315000000002</v>
      </c>
      <c r="H29" s="59">
        <v>36855.595999999998</v>
      </c>
      <c r="I29" s="120">
        <f t="shared" si="1"/>
        <v>42355.955499999996</v>
      </c>
      <c r="J29" s="429">
        <v>0.4</v>
      </c>
      <c r="K29" s="53">
        <f t="shared" si="2"/>
        <v>25413.573299999996</v>
      </c>
      <c r="M29" s="384" t="s">
        <v>683</v>
      </c>
      <c r="N29" s="385" t="str">
        <f ca="1">DFIE!$B$276</f>
        <v>Ausschöpfung JP</v>
      </c>
      <c r="O29" s="385"/>
      <c r="P29" s="466" t="str">
        <f ca="1">DFIE!$B$67</f>
        <v>Prozent</v>
      </c>
      <c r="Q29" s="467" t="s">
        <v>688</v>
      </c>
      <c r="R29" s="450">
        <f t="shared" ref="R29:X29" si="6">IFERROR(R12/R28,0)</f>
        <v>0</v>
      </c>
      <c r="S29" s="451">
        <f t="shared" si="6"/>
        <v>0</v>
      </c>
      <c r="T29" s="451">
        <f t="shared" si="6"/>
        <v>0</v>
      </c>
      <c r="U29" s="451">
        <f t="shared" si="6"/>
        <v>0</v>
      </c>
      <c r="V29" s="451">
        <f t="shared" si="6"/>
        <v>8.4924699737537093E-2</v>
      </c>
      <c r="W29" s="451">
        <f t="shared" si="6"/>
        <v>8.0059582376865751E-2</v>
      </c>
      <c r="X29" s="452">
        <f t="shared" si="6"/>
        <v>8.233136396604239E-2</v>
      </c>
      <c r="Y29" s="346"/>
      <c r="AG29" s="363"/>
    </row>
    <row r="30" spans="2:34" ht="13.5" customHeight="1" x14ac:dyDescent="0.25">
      <c r="B30" s="141" t="str">
        <f ca="1">DFIE!$B$52</f>
        <v>Tessin</v>
      </c>
      <c r="C30" s="60">
        <v>0</v>
      </c>
      <c r="D30" s="60">
        <v>0</v>
      </c>
      <c r="E30" s="60">
        <v>0</v>
      </c>
      <c r="F30" s="60">
        <v>0</v>
      </c>
      <c r="G30" s="60">
        <v>0</v>
      </c>
      <c r="H30" s="60">
        <v>44962.517999999996</v>
      </c>
      <c r="I30" s="119">
        <f t="shared" si="1"/>
        <v>22481.258999999998</v>
      </c>
      <c r="J30" s="428">
        <v>0.9</v>
      </c>
      <c r="K30" s="54">
        <f t="shared" si="2"/>
        <v>2248.1258999999995</v>
      </c>
      <c r="M30" s="377" t="str">
        <f ca="1">DFIE!$B$277</f>
        <v>Fiskaleinnahmen natürliche Personen (NP)</v>
      </c>
      <c r="N30" s="307"/>
      <c r="O30" s="307"/>
      <c r="P30" s="468"/>
      <c r="Q30" s="469"/>
      <c r="R30" s="404"/>
      <c r="S30" s="389"/>
      <c r="T30" s="389"/>
      <c r="U30" s="389"/>
      <c r="V30" s="389"/>
      <c r="W30" s="390"/>
      <c r="X30" s="414"/>
      <c r="Y30" s="346"/>
      <c r="Z30" s="381"/>
      <c r="AA30" s="402"/>
      <c r="AB30" s="381"/>
      <c r="AC30" s="360"/>
      <c r="AD30" s="360"/>
      <c r="AE30" s="360"/>
      <c r="AF30" s="363"/>
      <c r="AH30" s="363"/>
    </row>
    <row r="31" spans="2:34" ht="13.5" customHeight="1" x14ac:dyDescent="0.25">
      <c r="B31" s="413" t="str">
        <f ca="1">DFIE!$B$53</f>
        <v>Waadt</v>
      </c>
      <c r="C31" s="59">
        <v>0</v>
      </c>
      <c r="D31" s="59">
        <v>0</v>
      </c>
      <c r="E31" s="59">
        <v>0</v>
      </c>
      <c r="F31" s="59">
        <v>0</v>
      </c>
      <c r="G31" s="59">
        <v>186996.93099999998</v>
      </c>
      <c r="H31" s="59">
        <v>346250.46399999998</v>
      </c>
      <c r="I31" s="120">
        <f t="shared" si="1"/>
        <v>266623.69750000001</v>
      </c>
      <c r="J31" s="429">
        <v>0.6</v>
      </c>
      <c r="K31" s="53">
        <f t="shared" si="2"/>
        <v>106649.47900000001</v>
      </c>
      <c r="M31" s="380" t="s">
        <v>71</v>
      </c>
      <c r="N31" s="381" t="str">
        <f ca="1">DFIE!$B$278</f>
        <v>Einkommenssteuern Kantone und Gemeinden</v>
      </c>
      <c r="O31" s="381"/>
      <c r="P31" s="464" t="str">
        <f ca="1">DFIE!$B$64</f>
        <v>CHF 1'000</v>
      </c>
      <c r="Q31" s="465"/>
      <c r="R31" s="430">
        <v>0</v>
      </c>
      <c r="S31" s="323">
        <v>0</v>
      </c>
      <c r="T31" s="323">
        <v>0</v>
      </c>
      <c r="U31" s="323">
        <v>0</v>
      </c>
      <c r="V31" s="323">
        <v>47010279.646700002</v>
      </c>
      <c r="W31" s="323">
        <v>46691447.56205</v>
      </c>
      <c r="X31" s="433">
        <f t="shared" ref="X31:X36" si="7">SUM(R31:W31)/COUNTIF($R$6:$W$6,"&gt;0")</f>
        <v>46850863.604375005</v>
      </c>
      <c r="Y31" s="346"/>
    </row>
    <row r="32" spans="2:34" ht="13.5" customHeight="1" x14ac:dyDescent="0.25">
      <c r="B32" s="141" t="str">
        <f ca="1">DFIE!$B$54</f>
        <v>Wallis</v>
      </c>
      <c r="C32" s="60">
        <v>0</v>
      </c>
      <c r="D32" s="60">
        <v>0</v>
      </c>
      <c r="E32" s="60">
        <v>0</v>
      </c>
      <c r="F32" s="60">
        <v>0</v>
      </c>
      <c r="G32" s="60">
        <v>0</v>
      </c>
      <c r="H32" s="60">
        <v>0</v>
      </c>
      <c r="I32" s="119">
        <f t="shared" si="1"/>
        <v>0</v>
      </c>
      <c r="J32" s="428">
        <v>0.9</v>
      </c>
      <c r="K32" s="54">
        <f t="shared" si="2"/>
        <v>0</v>
      </c>
      <c r="M32" s="380" t="s">
        <v>51</v>
      </c>
      <c r="N32" s="381" t="str">
        <f ca="1">DFIE!$B$279</f>
        <v>Einkommenssteuern DBSt</v>
      </c>
      <c r="O32" s="381"/>
      <c r="P32" s="464" t="str">
        <f ca="1">DFIE!$B$64</f>
        <v>CHF 1'000</v>
      </c>
      <c r="Q32" s="465"/>
      <c r="R32" s="430">
        <v>0</v>
      </c>
      <c r="S32" s="323">
        <v>0</v>
      </c>
      <c r="T32" s="323">
        <v>0</v>
      </c>
      <c r="U32" s="323">
        <v>0</v>
      </c>
      <c r="V32" s="323">
        <v>12122509.938759999</v>
      </c>
      <c r="W32" s="323">
        <v>12761920.42269</v>
      </c>
      <c r="X32" s="433">
        <f t="shared" si="7"/>
        <v>12442215.180725001</v>
      </c>
      <c r="Y32" s="346"/>
    </row>
    <row r="33" spans="2:37" ht="13.5" customHeight="1" x14ac:dyDescent="0.25">
      <c r="B33" s="413" t="str">
        <f ca="1">DFIE!$B$55</f>
        <v>Neuenburg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120">
        <f t="shared" si="1"/>
        <v>0</v>
      </c>
      <c r="J33" s="429">
        <v>0.2</v>
      </c>
      <c r="K33" s="53">
        <f t="shared" si="2"/>
        <v>0</v>
      </c>
      <c r="M33" s="380" t="s">
        <v>50</v>
      </c>
      <c r="N33" s="381" t="str">
        <f ca="1">DFIE!$B$280</f>
        <v>Kantonsanteil an Einkommenssteuern DBSt</v>
      </c>
      <c r="O33" s="381"/>
      <c r="P33" s="464" t="str">
        <f ca="1">DFIE!$B$64</f>
        <v>CHF 1'000</v>
      </c>
      <c r="Q33" s="465" t="s">
        <v>689</v>
      </c>
      <c r="R33" s="444">
        <f t="shared" ref="R33:W33" si="8">R$10*R32</f>
        <v>0</v>
      </c>
      <c r="S33" s="431">
        <f t="shared" si="8"/>
        <v>0</v>
      </c>
      <c r="T33" s="431">
        <f t="shared" si="8"/>
        <v>0</v>
      </c>
      <c r="U33" s="431">
        <f t="shared" si="8"/>
        <v>0</v>
      </c>
      <c r="V33" s="431">
        <f t="shared" si="8"/>
        <v>2569972.1070171199</v>
      </c>
      <c r="W33" s="431">
        <f t="shared" si="8"/>
        <v>2705527.12961028</v>
      </c>
      <c r="X33" s="433">
        <f t="shared" si="7"/>
        <v>2637749.6183137</v>
      </c>
      <c r="Y33" s="346"/>
    </row>
    <row r="34" spans="2:37" ht="13.5" customHeight="1" x14ac:dyDescent="0.25">
      <c r="B34" s="141" t="str">
        <f ca="1">DFIE!$B$56</f>
        <v>Genf</v>
      </c>
      <c r="C34" s="60">
        <v>0</v>
      </c>
      <c r="D34" s="60">
        <v>0</v>
      </c>
      <c r="E34" s="60">
        <v>0</v>
      </c>
      <c r="F34" s="60">
        <v>0</v>
      </c>
      <c r="G34" s="60">
        <v>0</v>
      </c>
      <c r="H34" s="60">
        <v>0</v>
      </c>
      <c r="I34" s="119">
        <f t="shared" si="1"/>
        <v>0</v>
      </c>
      <c r="J34" s="428">
        <v>0.1</v>
      </c>
      <c r="K34" s="54">
        <f t="shared" si="2"/>
        <v>0</v>
      </c>
      <c r="M34" s="380" t="s">
        <v>49</v>
      </c>
      <c r="N34" s="381" t="str">
        <f ca="1">DFIE!$B$281</f>
        <v>Vermögenssteuern Kantone und Gemeinden</v>
      </c>
      <c r="O34" s="381"/>
      <c r="P34" s="464" t="str">
        <f ca="1">DFIE!$B$64</f>
        <v>CHF 1'000</v>
      </c>
      <c r="Q34" s="465"/>
      <c r="R34" s="430">
        <v>0</v>
      </c>
      <c r="S34" s="323">
        <v>0</v>
      </c>
      <c r="T34" s="323">
        <v>0</v>
      </c>
      <c r="U34" s="323">
        <v>0</v>
      </c>
      <c r="V34" s="323">
        <v>8246045.3417699998</v>
      </c>
      <c r="W34" s="323">
        <v>8703171.7002799995</v>
      </c>
      <c r="X34" s="433">
        <f t="shared" si="7"/>
        <v>8474608.5210250001</v>
      </c>
      <c r="Y34" s="346"/>
    </row>
    <row r="35" spans="2:37" ht="13.5" customHeight="1" x14ac:dyDescent="0.25">
      <c r="B35" s="413" t="str">
        <f ca="1">DFIE!$B$57</f>
        <v>Jura</v>
      </c>
      <c r="C35" s="59">
        <v>0</v>
      </c>
      <c r="D35" s="59">
        <v>0</v>
      </c>
      <c r="E35" s="59">
        <v>0</v>
      </c>
      <c r="F35" s="505">
        <v>0</v>
      </c>
      <c r="G35" s="505">
        <v>0</v>
      </c>
      <c r="H35" s="505">
        <v>0</v>
      </c>
      <c r="I35" s="120">
        <f t="shared" si="1"/>
        <v>0</v>
      </c>
      <c r="J35" s="429">
        <v>0.9</v>
      </c>
      <c r="K35" s="53">
        <f t="shared" si="2"/>
        <v>0</v>
      </c>
      <c r="M35" s="380" t="s">
        <v>60</v>
      </c>
      <c r="N35" s="381" t="str">
        <f ca="1">DFIE!$B$282</f>
        <v>Quellensteuern Kantone und Gemeinden</v>
      </c>
      <c r="O35" s="381"/>
      <c r="P35" s="464" t="str">
        <f ca="1">DFIE!$B$64</f>
        <v>CHF 1'000</v>
      </c>
      <c r="Q35" s="465"/>
      <c r="R35" s="430">
        <v>0</v>
      </c>
      <c r="S35" s="323">
        <v>0</v>
      </c>
      <c r="T35" s="323">
        <v>0</v>
      </c>
      <c r="U35" s="323">
        <v>0</v>
      </c>
      <c r="V35" s="323">
        <v>3627185.3713699998</v>
      </c>
      <c r="W35" s="323">
        <v>4195752.7671100004</v>
      </c>
      <c r="X35" s="433">
        <f t="shared" si="7"/>
        <v>3911469.0692400001</v>
      </c>
      <c r="Y35" s="346"/>
    </row>
    <row r="36" spans="2:37" ht="13.5" customHeight="1" x14ac:dyDescent="0.25">
      <c r="B36" s="348" t="str">
        <f ca="1">DFIE!$B$58</f>
        <v>Schweiz</v>
      </c>
      <c r="C36" s="27">
        <f t="shared" ref="C36:I36" si="9">SUM(C10:C35)</f>
        <v>0</v>
      </c>
      <c r="D36" s="61">
        <f t="shared" si="9"/>
        <v>0</v>
      </c>
      <c r="E36" s="61">
        <f t="shared" si="9"/>
        <v>0</v>
      </c>
      <c r="F36" s="61">
        <f t="shared" si="9"/>
        <v>0</v>
      </c>
      <c r="G36" s="61">
        <f t="shared" si="9"/>
        <v>5443664.0340000009</v>
      </c>
      <c r="H36" s="61">
        <f t="shared" si="9"/>
        <v>4840814.1339999996</v>
      </c>
      <c r="I36" s="426">
        <f t="shared" si="9"/>
        <v>5142239.0839999989</v>
      </c>
      <c r="J36" s="349"/>
      <c r="K36" s="427">
        <f>SUM(K10:K35)</f>
        <v>892644.53859999997</v>
      </c>
      <c r="M36" s="384" t="s">
        <v>72</v>
      </c>
      <c r="N36" s="385" t="str">
        <f ca="1">DFIE!$B$283</f>
        <v>Fiskaleinnahmen NP total Kantone und Gemeinden</v>
      </c>
      <c r="O36" s="385"/>
      <c r="P36" s="466" t="str">
        <f ca="1">DFIE!$B$64</f>
        <v>CHF 1'000</v>
      </c>
      <c r="Q36" s="467" t="s">
        <v>690</v>
      </c>
      <c r="R36" s="445">
        <f>R31+R33+R34+R35</f>
        <v>0</v>
      </c>
      <c r="S36" s="325">
        <f t="shared" ref="S36:W36" si="10">S31+S33+S34+S35</f>
        <v>0</v>
      </c>
      <c r="T36" s="325">
        <f t="shared" si="10"/>
        <v>0</v>
      </c>
      <c r="U36" s="325">
        <f t="shared" si="10"/>
        <v>0</v>
      </c>
      <c r="V36" s="325">
        <f t="shared" si="10"/>
        <v>61453482.466857128</v>
      </c>
      <c r="W36" s="325">
        <f t="shared" si="10"/>
        <v>62295899.159050278</v>
      </c>
      <c r="X36" s="435">
        <f t="shared" si="7"/>
        <v>61874690.812953703</v>
      </c>
      <c r="Y36" s="346"/>
    </row>
    <row r="37" spans="2:37" ht="13.5" customHeight="1" x14ac:dyDescent="0.25">
      <c r="B37" s="350"/>
      <c r="C37" s="350"/>
      <c r="D37" s="350"/>
      <c r="E37" s="350"/>
      <c r="F37" s="350"/>
      <c r="G37" s="350"/>
      <c r="H37" s="350"/>
      <c r="I37" s="350"/>
      <c r="J37" s="350"/>
      <c r="K37" s="350"/>
      <c r="M37" s="377" t="str">
        <f ca="1">DFIE!$B$284</f>
        <v>Ausschöpfung natürlicher Personen</v>
      </c>
      <c r="N37" s="307"/>
      <c r="O37" s="307"/>
      <c r="P37" s="468"/>
      <c r="Q37" s="469"/>
      <c r="R37" s="404"/>
      <c r="S37" s="389"/>
      <c r="T37" s="389"/>
      <c r="U37" s="389"/>
      <c r="V37" s="389"/>
      <c r="W37" s="389"/>
      <c r="X37" s="414"/>
      <c r="Y37" s="346"/>
      <c r="Z37" s="346"/>
      <c r="AA37" s="346"/>
      <c r="AB37" s="346"/>
      <c r="AC37" s="346"/>
      <c r="AD37" s="346"/>
      <c r="AE37" s="346"/>
      <c r="AF37" s="346"/>
      <c r="AG37" s="346"/>
      <c r="AH37" s="346"/>
      <c r="AI37" s="346"/>
      <c r="AJ37" s="346"/>
      <c r="AK37" s="346"/>
    </row>
    <row r="38" spans="2:37" ht="13.5" customHeight="1" x14ac:dyDescent="0.25">
      <c r="B38" s="405" t="str">
        <f ca="1">DFIE!$B$255</f>
        <v>Zeta-2*</v>
      </c>
      <c r="C38" s="421" t="s">
        <v>780</v>
      </c>
      <c r="D38" s="422" t="str">
        <f ca="1">DFIE!$B$256</f>
        <v>K(Total) / I(Total)</v>
      </c>
      <c r="E38" s="412"/>
      <c r="F38" s="412"/>
      <c r="G38" s="412"/>
      <c r="H38" s="412"/>
      <c r="I38" s="412"/>
      <c r="J38" s="412"/>
      <c r="K38" s="455">
        <f>IFERROR(K36/I36,0)</f>
        <v>0.17359063318884768</v>
      </c>
      <c r="M38" s="380" t="s">
        <v>73</v>
      </c>
      <c r="N38" s="381" t="str">
        <f ca="1">DFIE!$B$285</f>
        <v>Massgebende Einkommen</v>
      </c>
      <c r="O38" s="381"/>
      <c r="P38" s="464" t="str">
        <f ca="1">DFIE!$B$64</f>
        <v>CHF 1'000</v>
      </c>
      <c r="Q38" s="465"/>
      <c r="R38" s="430">
        <v>0</v>
      </c>
      <c r="S38" s="323">
        <v>0</v>
      </c>
      <c r="T38" s="323">
        <v>0</v>
      </c>
      <c r="U38" s="330">
        <f>SIGN($U$6)*NP!$E$35</f>
        <v>0</v>
      </c>
      <c r="V38" s="330">
        <f>SIGN($V$6)*NP!$E$63</f>
        <v>198185289.58200002</v>
      </c>
      <c r="W38" s="330">
        <f>SIGN($W$6)*NP!$E$91</f>
        <v>208471297.24800006</v>
      </c>
      <c r="X38" s="433">
        <f t="shared" ref="X38:X41" si="11">SUM(R38:W38)/COUNTIF($R$6:$W$6,"&gt;0")</f>
        <v>203328293.41500002</v>
      </c>
      <c r="Y38" s="363"/>
      <c r="Z38" s="363"/>
      <c r="AA38" s="363"/>
      <c r="AB38" s="363"/>
      <c r="AC38" s="363"/>
      <c r="AD38" s="363"/>
      <c r="AE38" s="363"/>
      <c r="AF38" s="363"/>
      <c r="AG38" s="363"/>
      <c r="AH38" s="363"/>
      <c r="AI38" s="363"/>
      <c r="AJ38" s="363"/>
      <c r="AK38" s="363"/>
    </row>
    <row r="39" spans="2:37" ht="13.5" customHeight="1" x14ac:dyDescent="0.25">
      <c r="M39" s="380" t="s">
        <v>74</v>
      </c>
      <c r="N39" s="381" t="str">
        <f ca="1">DFIE!$B$286</f>
        <v>Massgebende quellenbesteuerte Einkommen</v>
      </c>
      <c r="O39" s="381"/>
      <c r="P39" s="464" t="str">
        <f ca="1">DFIE!$B$64</f>
        <v>CHF 1'000</v>
      </c>
      <c r="Q39" s="465"/>
      <c r="R39" s="430">
        <v>0</v>
      </c>
      <c r="S39" s="323">
        <v>0</v>
      </c>
      <c r="T39" s="323">
        <v>0</v>
      </c>
      <c r="U39" s="330">
        <f>SIGN($U$6)*QS!$Z$35</f>
        <v>0</v>
      </c>
      <c r="V39" s="330">
        <f>SIGN($V$6)*QS!$Z$63</f>
        <v>14028669.426476443</v>
      </c>
      <c r="W39" s="330">
        <f>SIGN($W$6)*QS!$Z$91</f>
        <v>13403753.36969772</v>
      </c>
      <c r="X39" s="433">
        <f t="shared" si="11"/>
        <v>13716211.398087081</v>
      </c>
      <c r="AA39" s="351"/>
    </row>
    <row r="40" spans="2:37" ht="13.5" customHeight="1" x14ac:dyDescent="0.25">
      <c r="M40" s="380" t="s">
        <v>61</v>
      </c>
      <c r="N40" s="381" t="str">
        <f ca="1">DFIE!$B$287</f>
        <v>Massgebende Vermögen</v>
      </c>
      <c r="O40" s="381"/>
      <c r="P40" s="464" t="str">
        <f ca="1">DFIE!$B$64</f>
        <v>CHF 1'000</v>
      </c>
      <c r="Q40" s="465"/>
      <c r="R40" s="430">
        <v>0</v>
      </c>
      <c r="S40" s="323">
        <v>0</v>
      </c>
      <c r="T40" s="323">
        <v>0</v>
      </c>
      <c r="U40" s="330">
        <f>SIGN($U$6)*VERM!$D$35</f>
        <v>0</v>
      </c>
      <c r="V40" s="330">
        <f>SIGN($V$6)*VERM!$G$35</f>
        <v>33972784.38459</v>
      </c>
      <c r="W40" s="330">
        <f>SIGN($W$6)*VERM!$J$35</f>
        <v>36681845.327234998</v>
      </c>
      <c r="X40" s="433">
        <f t="shared" si="11"/>
        <v>35327314.855912499</v>
      </c>
      <c r="AA40" s="351"/>
    </row>
    <row r="41" spans="2:37" ht="13.5" customHeight="1" x14ac:dyDescent="0.25">
      <c r="M41" s="380" t="s">
        <v>107</v>
      </c>
      <c r="N41" s="381" t="str">
        <f ca="1">DFIE!$B$288</f>
        <v>Massgebendes Potenzial NP</v>
      </c>
      <c r="O41" s="381"/>
      <c r="P41" s="464" t="str">
        <f ca="1">DFIE!$B$64</f>
        <v>CHF 1'000</v>
      </c>
      <c r="Q41" s="465" t="s">
        <v>691</v>
      </c>
      <c r="R41" s="446">
        <f>R38+R39+R40</f>
        <v>0</v>
      </c>
      <c r="S41" s="330">
        <f t="shared" ref="S41:W41" si="12">S38+S39+S40</f>
        <v>0</v>
      </c>
      <c r="T41" s="330">
        <f t="shared" si="12"/>
        <v>0</v>
      </c>
      <c r="U41" s="330">
        <f t="shared" si="12"/>
        <v>0</v>
      </c>
      <c r="V41" s="330">
        <f t="shared" si="12"/>
        <v>246186743.39306647</v>
      </c>
      <c r="W41" s="330">
        <f t="shared" si="12"/>
        <v>258556895.94493276</v>
      </c>
      <c r="X41" s="433">
        <f t="shared" si="11"/>
        <v>252371819.66899961</v>
      </c>
    </row>
    <row r="42" spans="2:37" ht="13.5" customHeight="1" x14ac:dyDescent="0.25">
      <c r="M42" s="384" t="s">
        <v>242</v>
      </c>
      <c r="N42" s="385" t="str">
        <f ca="1">DFIE!$B$289</f>
        <v>Ausschöpfung NP</v>
      </c>
      <c r="O42" s="385"/>
      <c r="P42" s="466" t="str">
        <f ca="1">DFIE!$B$67</f>
        <v>Prozent</v>
      </c>
      <c r="Q42" s="467" t="s">
        <v>721</v>
      </c>
      <c r="R42" s="450">
        <f t="shared" ref="R42:X42" si="13">IFERROR(R36/R41,0)</f>
        <v>0</v>
      </c>
      <c r="S42" s="451">
        <f t="shared" si="13"/>
        <v>0</v>
      </c>
      <c r="T42" s="451">
        <f t="shared" si="13"/>
        <v>0</v>
      </c>
      <c r="U42" s="451">
        <f t="shared" si="13"/>
        <v>0</v>
      </c>
      <c r="V42" s="451">
        <f t="shared" si="13"/>
        <v>0.249621411859449</v>
      </c>
      <c r="W42" s="451">
        <f t="shared" si="13"/>
        <v>0.24093690841770474</v>
      </c>
      <c r="X42" s="452">
        <f t="shared" si="13"/>
        <v>0.24517274113292831</v>
      </c>
      <c r="AD42" s="416"/>
      <c r="AE42" s="415"/>
      <c r="AF42" s="415"/>
      <c r="AG42" s="415"/>
      <c r="AH42" s="415"/>
      <c r="AI42" s="415"/>
      <c r="AJ42" s="415"/>
    </row>
    <row r="43" spans="2:37" ht="13.5" customHeight="1" x14ac:dyDescent="0.25">
      <c r="M43" s="377" t="str">
        <f ca="1">DFIE!$B$266</f>
        <v>Berechnung</v>
      </c>
      <c r="N43" s="307"/>
      <c r="O43" s="307"/>
      <c r="P43" s="393"/>
      <c r="Q43" s="471"/>
      <c r="R43" s="389"/>
      <c r="S43" s="390"/>
      <c r="T43" s="360"/>
      <c r="U43" s="360"/>
      <c r="V43" s="360"/>
      <c r="W43" s="360"/>
      <c r="X43" s="360"/>
      <c r="AD43" s="416"/>
      <c r="AE43" s="415"/>
      <c r="AF43" s="415"/>
      <c r="AG43" s="415"/>
      <c r="AH43" s="415"/>
      <c r="AI43" s="415"/>
      <c r="AJ43" s="415"/>
    </row>
    <row r="44" spans="2:37" ht="13.5" customHeight="1" x14ac:dyDescent="0.25">
      <c r="M44" s="384" t="s">
        <v>684</v>
      </c>
      <c r="N44" s="385" t="str">
        <f ca="1">DFIE!$B$290</f>
        <v>Zeta-1 (ohne Berücksichtigung der Bandbreiten)</v>
      </c>
      <c r="O44" s="385"/>
      <c r="P44" s="364"/>
      <c r="Q44" s="467" t="s">
        <v>692</v>
      </c>
      <c r="R44" s="385"/>
      <c r="S44" s="456">
        <f>X29/X42</f>
        <v>0.33580961564321615</v>
      </c>
      <c r="T44" s="360"/>
      <c r="U44" s="360"/>
      <c r="V44" s="360"/>
      <c r="W44" s="360"/>
      <c r="X44" s="360"/>
      <c r="AD44" s="416"/>
      <c r="AE44" s="415"/>
      <c r="AF44" s="415"/>
      <c r="AG44" s="415"/>
      <c r="AH44" s="415"/>
      <c r="AI44" s="415"/>
      <c r="AJ44" s="415"/>
    </row>
    <row r="45" spans="2:37" ht="13.5" customHeight="1" x14ac:dyDescent="0.25">
      <c r="M45" s="377" t="str">
        <f ca="1">DFIE!$B$291</f>
        <v>Bandbreite von Zeta-1</v>
      </c>
      <c r="N45" s="378"/>
      <c r="O45" s="378"/>
      <c r="P45" s="366"/>
      <c r="Q45" s="475"/>
      <c r="R45" s="366"/>
      <c r="S45" s="375"/>
      <c r="T45" s="360"/>
      <c r="U45" s="360"/>
      <c r="V45" s="360"/>
      <c r="W45" s="360"/>
      <c r="X45" s="360"/>
      <c r="AD45" s="416"/>
      <c r="AE45" s="415"/>
      <c r="AF45" s="415"/>
      <c r="AG45" s="415"/>
      <c r="AH45" s="415"/>
      <c r="AI45" s="415"/>
      <c r="AJ45" s="415"/>
    </row>
    <row r="46" spans="2:37" ht="13.5" customHeight="1" x14ac:dyDescent="0.25">
      <c r="M46" s="380" t="s">
        <v>685</v>
      </c>
      <c r="N46" s="381" t="str">
        <f ca="1">DFIE!$B$292</f>
        <v>Obere Grenze der Bandbreite (Art. 57d Abs. 2 Bst. a FiLaV)</v>
      </c>
      <c r="O46" s="381"/>
      <c r="P46" s="360"/>
      <c r="Q46" s="476"/>
      <c r="R46" s="360"/>
      <c r="S46" s="453">
        <v>0.373</v>
      </c>
      <c r="T46" s="346"/>
      <c r="U46" s="346"/>
      <c r="V46" s="346"/>
      <c r="W46" s="346"/>
      <c r="X46" s="346"/>
      <c r="AD46" s="416"/>
      <c r="AE46" s="415"/>
      <c r="AF46" s="415"/>
      <c r="AG46" s="415"/>
      <c r="AH46" s="415"/>
      <c r="AI46" s="415"/>
      <c r="AJ46" s="415"/>
    </row>
    <row r="47" spans="2:37" ht="13.5" customHeight="1" x14ac:dyDescent="0.25">
      <c r="M47" s="384" t="s">
        <v>686</v>
      </c>
      <c r="N47" s="385" t="str">
        <f ca="1">DFIE!$B$293</f>
        <v>Untere Grenze der Bandbreite (Art. 57d Abs. 2 Bst. a FiLaV)</v>
      </c>
      <c r="O47" s="385"/>
      <c r="P47" s="364"/>
      <c r="Q47" s="477"/>
      <c r="R47" s="364"/>
      <c r="S47" s="454">
        <v>0.27300000000000002</v>
      </c>
      <c r="T47" s="360"/>
      <c r="U47" s="360"/>
      <c r="V47" s="360"/>
      <c r="W47" s="360"/>
      <c r="X47" s="360"/>
      <c r="AD47" s="416"/>
      <c r="AE47" s="415"/>
      <c r="AF47" s="415"/>
      <c r="AG47" s="415"/>
      <c r="AH47" s="415"/>
      <c r="AI47" s="415"/>
      <c r="AJ47" s="415"/>
    </row>
    <row r="48" spans="2:37" ht="13.5" customHeight="1" x14ac:dyDescent="0.25">
      <c r="M48" s="406" t="s">
        <v>687</v>
      </c>
      <c r="N48" s="407" t="s">
        <v>717</v>
      </c>
      <c r="O48" s="408" t="str">
        <f ca="1">DFIE!$B$294</f>
        <v>Zeta-1</v>
      </c>
      <c r="P48" s="410"/>
      <c r="Q48" s="474" t="s">
        <v>693</v>
      </c>
      <c r="R48" s="409"/>
      <c r="S48" s="460">
        <f>IFERROR(ROUND(MAX(S47,MIN(S46,S44)),3),0)</f>
        <v>0.33600000000000002</v>
      </c>
      <c r="T48" s="363"/>
      <c r="U48" s="363"/>
      <c r="AD48" s="416"/>
      <c r="AE48" s="415"/>
      <c r="AF48" s="415"/>
      <c r="AG48" s="415"/>
      <c r="AH48" s="415"/>
      <c r="AI48" s="415"/>
      <c r="AJ48" s="415"/>
    </row>
    <row r="49" spans="30:36" x14ac:dyDescent="0.25">
      <c r="AD49" s="416"/>
      <c r="AE49" s="415"/>
      <c r="AF49" s="415"/>
      <c r="AG49" s="415"/>
      <c r="AH49" s="415"/>
      <c r="AI49" s="415"/>
      <c r="AJ49" s="415"/>
    </row>
  </sheetData>
  <mergeCells count="5">
    <mergeCell ref="C5:I6"/>
    <mergeCell ref="R14:S14"/>
    <mergeCell ref="J5:J7"/>
    <mergeCell ref="K5:K8"/>
    <mergeCell ref="R15:S15"/>
  </mergeCells>
  <conditionalFormatting sqref="C10:H35 J10:J35">
    <cfRule type="expression" dxfId="7" priority="3" stopIfTrue="1">
      <formula>ISBLANK(C10)</formula>
    </cfRule>
  </conditionalFormatting>
  <conditionalFormatting sqref="R38:T40 S46:S47">
    <cfRule type="expression" dxfId="6" priority="6" stopIfTrue="1">
      <formula>ISBLANK(R38)</formula>
    </cfRule>
  </conditionalFormatting>
  <conditionalFormatting sqref="R6:T6 R8:W10 S18:S19">
    <cfRule type="expression" dxfId="5" priority="4" stopIfTrue="1">
      <formula>ISBLANK(R6)</formula>
    </cfRule>
  </conditionalFormatting>
  <conditionalFormatting sqref="R27:T28 R31:W32 R34:W35">
    <cfRule type="expression" dxfId="4" priority="5" stopIfTrue="1">
      <formula>ISBLANK(R27)</formula>
    </cfRule>
  </conditionalFormatting>
  <conditionalFormatting sqref="S46">
    <cfRule type="expression" dxfId="3" priority="56" stopIfTrue="1">
      <formula>$S$46=1</formula>
    </cfRule>
  </conditionalFormatting>
  <conditionalFormatting sqref="S18">
    <cfRule type="expression" dxfId="2" priority="9" stopIfTrue="1">
      <formula>$S$18=1</formula>
    </cfRule>
  </conditionalFormatting>
  <conditionalFormatting sqref="U6:W6">
    <cfRule type="expression" dxfId="1" priority="2">
      <formula>ISBLANK(U6)</formula>
    </cfRule>
  </conditionalFormatting>
  <conditionalFormatting sqref="U27:W27">
    <cfRule type="expression" dxfId="0" priority="1">
      <formula>ISBLANK(U27)</formula>
    </cfRule>
  </conditionalFormatting>
  <pageMargins left="0.78740157480314965" right="0.51181102362204722" top="0.70866141732283472" bottom="0.51181102362204722" header="0.31496062992125984" footer="0.31496062992125984"/>
  <pageSetup paperSize="9" scale="76" fitToWidth="2" orientation="landscape"/>
  <headerFooter scaleWithDoc="0" alignWithMargins="0">
    <oddHeader>&amp;L&amp;F&amp;R&amp;A</oddHeader>
    <oddFooter>&amp;C&amp;P / &amp;N</oddFooter>
  </headerFooter>
  <colBreaks count="1" manualBreakCount="1">
    <brk id="12" max="1048575" man="1"/>
  </colBreaks>
  <customProperties>
    <customPr name="EpmWorksheetKeyString_GUID" r:id="rId1"/>
  </customProperties>
  <ignoredErrors>
    <ignoredError sqref="X10" 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abelle18"/>
  <dimension ref="A1:H294"/>
  <sheetViews>
    <sheetView workbookViewId="0">
      <pane ySplit="9" topLeftCell="A10" activePane="bottomLeft" state="frozen"/>
      <selection activeCell="D35" sqref="D35:F35"/>
      <selection pane="bottomLeft" activeCell="G5" sqref="G5"/>
    </sheetView>
  </sheetViews>
  <sheetFormatPr baseColWidth="10" defaultColWidth="9.109375" defaultRowHeight="13.2" x14ac:dyDescent="0.25"/>
  <cols>
    <col min="1" max="1" width="2.6640625" customWidth="1"/>
    <col min="2" max="2" width="57.5546875" customWidth="1"/>
    <col min="3" max="3" width="6.6640625" customWidth="1"/>
    <col min="4" max="7" width="24.6640625" customWidth="1"/>
  </cols>
  <sheetData>
    <row r="1" spans="1:8" ht="12.75" customHeight="1" x14ac:dyDescent="0.25"/>
    <row r="2" spans="1:8" ht="12.75" customHeight="1" x14ac:dyDescent="0.25">
      <c r="B2" s="42" t="s">
        <v>117</v>
      </c>
      <c r="D2" s="494" t="s">
        <v>118</v>
      </c>
      <c r="G2" s="498" t="s">
        <v>53</v>
      </c>
    </row>
    <row r="3" spans="1:8" ht="12.75" customHeight="1" x14ac:dyDescent="0.25">
      <c r="B3" s="42" t="s">
        <v>119</v>
      </c>
      <c r="C3" s="1">
        <v>1</v>
      </c>
      <c r="D3" s="495" t="s">
        <v>120</v>
      </c>
      <c r="E3" s="484"/>
      <c r="G3" s="487">
        <f>INTRO!$D$41</f>
        <v>2025</v>
      </c>
    </row>
    <row r="4" spans="1:8" ht="12.75" customHeight="1" x14ac:dyDescent="0.25">
      <c r="B4" s="42"/>
      <c r="C4" s="1">
        <v>2</v>
      </c>
      <c r="D4" s="496" t="s">
        <v>121</v>
      </c>
      <c r="E4" s="484"/>
    </row>
    <row r="5" spans="1:8" ht="12" customHeight="1" x14ac:dyDescent="0.25">
      <c r="A5" s="11"/>
      <c r="B5" s="501" t="s">
        <v>122</v>
      </c>
      <c r="C5" s="1">
        <v>3</v>
      </c>
      <c r="D5" s="496" t="s">
        <v>123</v>
      </c>
      <c r="E5" s="484"/>
      <c r="F5" s="11"/>
      <c r="H5" s="11"/>
    </row>
    <row r="6" spans="1:8" ht="12" customHeight="1" x14ac:dyDescent="0.25">
      <c r="B6" s="501" t="s">
        <v>124</v>
      </c>
      <c r="C6" s="1">
        <v>4</v>
      </c>
      <c r="D6" s="497" t="s">
        <v>125</v>
      </c>
      <c r="E6" s="484"/>
    </row>
    <row r="7" spans="1:8" ht="12.75" customHeight="1" x14ac:dyDescent="0.25">
      <c r="B7" s="42"/>
      <c r="D7" s="500">
        <v>1</v>
      </c>
      <c r="E7" s="484"/>
    </row>
    <row r="8" spans="1:8" x14ac:dyDescent="0.25">
      <c r="B8" s="485"/>
      <c r="D8" s="486"/>
      <c r="E8" s="486"/>
    </row>
    <row r="9" spans="1:8" x14ac:dyDescent="0.25">
      <c r="A9" s="485"/>
      <c r="B9" s="499" t="str">
        <f ca="1">INDIRECT(ADDRESS(ROW(),$D$7+3))</f>
        <v>Deutsch</v>
      </c>
      <c r="C9" s="493" t="s">
        <v>126</v>
      </c>
      <c r="D9" s="498" t="s">
        <v>120</v>
      </c>
      <c r="E9" s="498" t="s">
        <v>121</v>
      </c>
      <c r="F9" s="498" t="s">
        <v>123</v>
      </c>
      <c r="G9" s="498" t="s">
        <v>125</v>
      </c>
      <c r="H9" s="11" t="s">
        <v>126</v>
      </c>
    </row>
    <row r="10" spans="1:8" x14ac:dyDescent="0.25">
      <c r="B10" s="489" t="str">
        <f t="shared" ref="B10:B74" ca="1" si="0">INDIRECT(ADDRESS(ROW(),$D$7+3))</f>
        <v>Eidgenössisches Finanzdepartement EFD</v>
      </c>
      <c r="C10" s="493" t="s">
        <v>126</v>
      </c>
      <c r="D10" s="11" t="s">
        <v>127</v>
      </c>
      <c r="E10" s="11" t="s">
        <v>128</v>
      </c>
      <c r="F10" s="11" t="s">
        <v>278</v>
      </c>
      <c r="G10" s="11" t="s">
        <v>241</v>
      </c>
      <c r="H10" s="11" t="s">
        <v>126</v>
      </c>
    </row>
    <row r="11" spans="1:8" x14ac:dyDescent="0.25">
      <c r="B11" s="488" t="str">
        <f t="shared" ca="1" si="0"/>
        <v>Eidgenössische Finanzverwaltung EFV</v>
      </c>
      <c r="C11" s="493" t="s">
        <v>126</v>
      </c>
      <c r="D11" s="11" t="s">
        <v>129</v>
      </c>
      <c r="E11" s="11" t="s">
        <v>130</v>
      </c>
      <c r="F11" s="11" t="s">
        <v>279</v>
      </c>
      <c r="G11" s="11" t="s">
        <v>243</v>
      </c>
      <c r="H11" s="11" t="s">
        <v>126</v>
      </c>
    </row>
    <row r="12" spans="1:8" x14ac:dyDescent="0.25">
      <c r="B12" s="488" t="str">
        <f t="shared" ca="1" si="0"/>
        <v>Finanzausgleich zwischen Bund und Kantonen</v>
      </c>
      <c r="C12" s="493" t="s">
        <v>126</v>
      </c>
      <c r="D12" s="11" t="s">
        <v>131</v>
      </c>
      <c r="E12" s="11" t="s">
        <v>132</v>
      </c>
      <c r="F12" s="11" t="s">
        <v>280</v>
      </c>
      <c r="G12" s="11" t="s">
        <v>244</v>
      </c>
      <c r="H12" s="11" t="s">
        <v>126</v>
      </c>
    </row>
    <row r="13" spans="1:8" x14ac:dyDescent="0.25">
      <c r="B13" s="490" t="str">
        <f t="shared" ca="1" si="0"/>
        <v>Ressourcenausgleich 2025</v>
      </c>
      <c r="C13" s="493" t="s">
        <v>126</v>
      </c>
      <c r="D13" s="11" t="str">
        <f>"Ressourcenausgleich " &amp; $G$3</f>
        <v>Ressourcenausgleich 2025</v>
      </c>
      <c r="E13" s="11" t="str">
        <f>"Péréquation des ressources " &amp; $G$3</f>
        <v>Péréquation des ressources 2025</v>
      </c>
      <c r="F13" s="11" t="str">
        <f>"Perequazione delle risorse " &amp; $G$3</f>
        <v>Perequazione delle risorse 2025</v>
      </c>
      <c r="G13" s="11" t="str">
        <f>"Resource equalization " &amp; $G$3</f>
        <v>Resource equalization 2025</v>
      </c>
      <c r="H13" s="11" t="s">
        <v>126</v>
      </c>
    </row>
    <row r="14" spans="1:8" x14ac:dyDescent="0.25">
      <c r="B14" s="488" t="str">
        <f t="shared" ca="1" si="0"/>
        <v>Übersicht über die Zahlungen im Ressourcenausgleich</v>
      </c>
      <c r="C14" s="493" t="s">
        <v>126</v>
      </c>
      <c r="D14" s="11" t="s">
        <v>191</v>
      </c>
      <c r="E14" s="11" t="s">
        <v>270</v>
      </c>
      <c r="F14" s="11" t="s">
        <v>281</v>
      </c>
      <c r="G14" s="11" t="s">
        <v>245</v>
      </c>
      <c r="H14" s="11" t="s">
        <v>126</v>
      </c>
    </row>
    <row r="15" spans="1:8" x14ac:dyDescent="0.25">
      <c r="B15" s="488" t="str">
        <f t="shared" ca="1" si="0"/>
        <v>Einkommen natürlicher Personen</v>
      </c>
      <c r="C15" s="493" t="s">
        <v>126</v>
      </c>
      <c r="D15" s="11" t="s">
        <v>174</v>
      </c>
      <c r="E15" s="11" t="s">
        <v>184</v>
      </c>
      <c r="F15" s="11" t="s">
        <v>282</v>
      </c>
      <c r="G15" s="11" t="s">
        <v>936</v>
      </c>
      <c r="H15" s="11" t="s">
        <v>126</v>
      </c>
    </row>
    <row r="16" spans="1:8" x14ac:dyDescent="0.25">
      <c r="B16" s="488" t="str">
        <f t="shared" ca="1" si="0"/>
        <v>Quellenbesteuerte Einkommen natürlicher Personen</v>
      </c>
      <c r="C16" s="493" t="s">
        <v>126</v>
      </c>
      <c r="D16" s="11" t="s">
        <v>175</v>
      </c>
      <c r="E16" s="11" t="s">
        <v>271</v>
      </c>
      <c r="F16" s="11" t="s">
        <v>283</v>
      </c>
      <c r="G16" s="11" t="s">
        <v>937</v>
      </c>
      <c r="H16" s="11" t="s">
        <v>126</v>
      </c>
    </row>
    <row r="17" spans="2:8" x14ac:dyDescent="0.25">
      <c r="B17" s="488" t="str">
        <f t="shared" ca="1" si="0"/>
        <v>Vermögen natürlicher Personen</v>
      </c>
      <c r="C17" s="493" t="s">
        <v>126</v>
      </c>
      <c r="D17" s="11" t="s">
        <v>176</v>
      </c>
      <c r="E17" s="11" t="s">
        <v>185</v>
      </c>
      <c r="F17" s="11" t="s">
        <v>284</v>
      </c>
      <c r="G17" s="11" t="s">
        <v>197</v>
      </c>
      <c r="H17" s="11" t="s">
        <v>126</v>
      </c>
    </row>
    <row r="18" spans="2:8" x14ac:dyDescent="0.25">
      <c r="B18" s="488" t="str">
        <f t="shared" ca="1" si="0"/>
        <v>Gewinne juristischer Personen (betagewichtet)</v>
      </c>
      <c r="C18" s="493" t="s">
        <v>126</v>
      </c>
      <c r="D18" s="11" t="s">
        <v>651</v>
      </c>
      <c r="E18" s="11" t="s">
        <v>896</v>
      </c>
      <c r="F18" s="11" t="s">
        <v>835</v>
      </c>
      <c r="G18" s="11" t="s">
        <v>817</v>
      </c>
      <c r="H18" s="11" t="s">
        <v>126</v>
      </c>
    </row>
    <row r="19" spans="2:8" x14ac:dyDescent="0.25">
      <c r="B19" s="488" t="str">
        <f t="shared" ca="1" si="0"/>
        <v>Gewinne juristischer Personen (zetagewichtet)</v>
      </c>
      <c r="C19" s="493" t="s">
        <v>126</v>
      </c>
      <c r="D19" s="11" t="s">
        <v>652</v>
      </c>
      <c r="E19" s="11" t="s">
        <v>897</v>
      </c>
      <c r="F19" s="11" t="s">
        <v>834</v>
      </c>
      <c r="G19" s="11" t="s">
        <v>818</v>
      </c>
      <c r="H19" s="11" t="s">
        <v>126</v>
      </c>
    </row>
    <row r="20" spans="2:8" x14ac:dyDescent="0.25">
      <c r="B20" s="488" t="str">
        <f t="shared" ca="1" si="0"/>
        <v>Gewinne juristischer Personen</v>
      </c>
      <c r="C20" s="493" t="s">
        <v>126</v>
      </c>
      <c r="D20" s="11" t="s">
        <v>177</v>
      </c>
      <c r="E20" s="11" t="s">
        <v>186</v>
      </c>
      <c r="F20" s="11" t="s">
        <v>285</v>
      </c>
      <c r="G20" s="11" t="s">
        <v>198</v>
      </c>
      <c r="H20" s="11" t="s">
        <v>126</v>
      </c>
    </row>
    <row r="21" spans="2:8" x14ac:dyDescent="0.25">
      <c r="B21" s="488" t="str">
        <f t="shared" ca="1" si="0"/>
        <v>Steuerrepartitionen</v>
      </c>
      <c r="C21" s="493" t="s">
        <v>126</v>
      </c>
      <c r="D21" s="11" t="s">
        <v>178</v>
      </c>
      <c r="E21" s="11" t="s">
        <v>187</v>
      </c>
      <c r="F21" s="11" t="s">
        <v>286</v>
      </c>
      <c r="G21" s="11" t="s">
        <v>246</v>
      </c>
      <c r="H21" s="11" t="s">
        <v>126</v>
      </c>
    </row>
    <row r="22" spans="2:8" x14ac:dyDescent="0.25">
      <c r="B22" s="488" t="str">
        <f t="shared" ca="1" si="0"/>
        <v>Aggregierte Steuerbemessungsgrundlage</v>
      </c>
      <c r="C22" s="493" t="s">
        <v>126</v>
      </c>
      <c r="D22" s="11" t="s">
        <v>192</v>
      </c>
      <c r="E22" s="11" t="s">
        <v>193</v>
      </c>
      <c r="F22" s="11" t="s">
        <v>287</v>
      </c>
      <c r="G22" s="11" t="s">
        <v>247</v>
      </c>
      <c r="H22" s="11" t="s">
        <v>126</v>
      </c>
    </row>
    <row r="23" spans="2:8" x14ac:dyDescent="0.25">
      <c r="B23" s="488" t="str">
        <f t="shared" ca="1" si="0"/>
        <v>Massgebende Wohnbevölkerung</v>
      </c>
      <c r="C23" s="493" t="s">
        <v>126</v>
      </c>
      <c r="D23" s="11" t="s">
        <v>0</v>
      </c>
      <c r="E23" s="11" t="s">
        <v>272</v>
      </c>
      <c r="F23" s="11" t="s">
        <v>288</v>
      </c>
      <c r="G23" s="11" t="s">
        <v>238</v>
      </c>
      <c r="H23" s="11" t="s">
        <v>126</v>
      </c>
    </row>
    <row r="24" spans="2:8" x14ac:dyDescent="0.25">
      <c r="B24" s="488" t="str">
        <f t="shared" ca="1" si="0"/>
        <v>Berechnung Ressourcenpotenzial und -index</v>
      </c>
      <c r="C24" s="493" t="s">
        <v>126</v>
      </c>
      <c r="D24" s="11" t="s">
        <v>179</v>
      </c>
      <c r="E24" s="11" t="s">
        <v>194</v>
      </c>
      <c r="F24" s="11" t="s">
        <v>289</v>
      </c>
      <c r="G24" s="11" t="s">
        <v>248</v>
      </c>
      <c r="H24" s="11" t="s">
        <v>126</v>
      </c>
    </row>
    <row r="25" spans="2:8" x14ac:dyDescent="0.25">
      <c r="B25" s="488" t="str">
        <f t="shared" ca="1" si="0"/>
        <v>Standardisierter Steuersatz</v>
      </c>
      <c r="C25" s="493" t="s">
        <v>126</v>
      </c>
      <c r="D25" s="11" t="s">
        <v>196</v>
      </c>
      <c r="E25" s="11" t="s">
        <v>190</v>
      </c>
      <c r="F25" s="11" t="s">
        <v>293</v>
      </c>
      <c r="G25" s="11" t="s">
        <v>200</v>
      </c>
      <c r="H25" s="11" t="s">
        <v>126</v>
      </c>
    </row>
    <row r="26" spans="2:8" x14ac:dyDescent="0.25">
      <c r="B26" s="488" t="str">
        <f t="shared" ca="1" si="0"/>
        <v>Auszahlungen an die ressourcenschwachen Kantone</v>
      </c>
      <c r="C26" s="493" t="s">
        <v>126</v>
      </c>
      <c r="D26" s="11" t="s">
        <v>181</v>
      </c>
      <c r="E26" s="11" t="s">
        <v>189</v>
      </c>
      <c r="F26" s="11" t="s">
        <v>291</v>
      </c>
      <c r="G26" s="11" t="s">
        <v>250</v>
      </c>
      <c r="H26" s="11" t="s">
        <v>126</v>
      </c>
    </row>
    <row r="27" spans="2:8" x14ac:dyDescent="0.25">
      <c r="B27" s="488" t="str">
        <f t="shared" ca="1" si="0"/>
        <v>Dotationen im Ressourcenausgleich</v>
      </c>
      <c r="C27" s="493" t="s">
        <v>126</v>
      </c>
      <c r="D27" s="11" t="s">
        <v>575</v>
      </c>
      <c r="E27" s="11" t="s">
        <v>576</v>
      </c>
      <c r="F27" s="11" t="s">
        <v>577</v>
      </c>
      <c r="G27" s="11" t="s">
        <v>578</v>
      </c>
      <c r="H27" s="11" t="s">
        <v>126</v>
      </c>
    </row>
    <row r="28" spans="2:8" x14ac:dyDescent="0.25">
      <c r="B28" s="488" t="str">
        <f t="shared" ca="1" si="0"/>
        <v>Einzahlungen der ressourcenstarken Kantone</v>
      </c>
      <c r="C28" s="493" t="s">
        <v>126</v>
      </c>
      <c r="D28" s="11" t="s">
        <v>180</v>
      </c>
      <c r="E28" s="11" t="s">
        <v>188</v>
      </c>
      <c r="F28" s="11" t="s">
        <v>290</v>
      </c>
      <c r="G28" s="11" t="s">
        <v>249</v>
      </c>
      <c r="H28" s="11" t="s">
        <v>126</v>
      </c>
    </row>
    <row r="29" spans="2:8" x14ac:dyDescent="0.25">
      <c r="B29" s="488" t="str">
        <f t="shared" ca="1" si="0"/>
        <v>Standardisierter Steuerertrag</v>
      </c>
      <c r="C29" s="493" t="s">
        <v>126</v>
      </c>
      <c r="D29" s="11" t="s">
        <v>195</v>
      </c>
      <c r="E29" s="11" t="s">
        <v>273</v>
      </c>
      <c r="F29" s="11" t="s">
        <v>292</v>
      </c>
      <c r="G29" s="11" t="s">
        <v>199</v>
      </c>
      <c r="H29" s="11" t="s">
        <v>126</v>
      </c>
    </row>
    <row r="30" spans="2:8" x14ac:dyDescent="0.25">
      <c r="B30" s="488" t="str">
        <f t="shared" ca="1" si="0"/>
        <v>Berechnung Faktor Alpha</v>
      </c>
      <c r="C30" s="493" t="s">
        <v>126</v>
      </c>
      <c r="D30" s="11" t="s">
        <v>776</v>
      </c>
      <c r="E30" s="11" t="s">
        <v>774</v>
      </c>
      <c r="F30" s="11" t="s">
        <v>775</v>
      </c>
      <c r="G30" s="11" t="s">
        <v>777</v>
      </c>
      <c r="H30" s="11" t="s">
        <v>126</v>
      </c>
    </row>
    <row r="31" spans="2:8" x14ac:dyDescent="0.25">
      <c r="B31" s="490" t="str">
        <f t="shared" ca="1" si="0"/>
        <v>Berechnung Faktoren Zeta</v>
      </c>
      <c r="C31" s="493" t="s">
        <v>126</v>
      </c>
      <c r="D31" s="11" t="s">
        <v>779</v>
      </c>
      <c r="E31" s="11" t="s">
        <v>781</v>
      </c>
      <c r="F31" s="11" t="s">
        <v>833</v>
      </c>
      <c r="G31" s="11" t="s">
        <v>816</v>
      </c>
      <c r="H31" s="11" t="s">
        <v>126</v>
      </c>
    </row>
    <row r="32" spans="2:8" x14ac:dyDescent="0.25">
      <c r="B32" s="488" t="str">
        <f t="shared" ca="1" si="0"/>
        <v>Zürich</v>
      </c>
      <c r="C32" s="493" t="s">
        <v>126</v>
      </c>
      <c r="D32" s="11" t="s">
        <v>2</v>
      </c>
      <c r="E32" s="11" t="s">
        <v>134</v>
      </c>
      <c r="F32" s="11" t="s">
        <v>294</v>
      </c>
      <c r="G32" s="11" t="s">
        <v>134</v>
      </c>
      <c r="H32" s="11" t="s">
        <v>126</v>
      </c>
    </row>
    <row r="33" spans="2:8" x14ac:dyDescent="0.25">
      <c r="B33" s="488" t="str">
        <f t="shared" ca="1" si="0"/>
        <v>Bern</v>
      </c>
      <c r="C33" s="493" t="s">
        <v>126</v>
      </c>
      <c r="D33" s="11" t="s">
        <v>3</v>
      </c>
      <c r="E33" s="11" t="s">
        <v>135</v>
      </c>
      <c r="F33" s="11" t="s">
        <v>295</v>
      </c>
      <c r="G33" s="11" t="s">
        <v>3</v>
      </c>
      <c r="H33" s="11" t="s">
        <v>126</v>
      </c>
    </row>
    <row r="34" spans="2:8" x14ac:dyDescent="0.25">
      <c r="B34" s="488" t="str">
        <f t="shared" ca="1" si="0"/>
        <v>Luzern</v>
      </c>
      <c r="C34" s="493" t="s">
        <v>126</v>
      </c>
      <c r="D34" s="11" t="s">
        <v>4</v>
      </c>
      <c r="E34" s="11" t="s">
        <v>136</v>
      </c>
      <c r="F34" s="11" t="s">
        <v>296</v>
      </c>
      <c r="G34" s="11" t="s">
        <v>4</v>
      </c>
      <c r="H34" s="11" t="s">
        <v>126</v>
      </c>
    </row>
    <row r="35" spans="2:8" x14ac:dyDescent="0.25">
      <c r="B35" s="488" t="str">
        <f t="shared" ca="1" si="0"/>
        <v>Uri</v>
      </c>
      <c r="C35" s="493" t="s">
        <v>126</v>
      </c>
      <c r="D35" s="11" t="s">
        <v>5</v>
      </c>
      <c r="E35" s="11" t="s">
        <v>5</v>
      </c>
      <c r="F35" s="11" t="s">
        <v>5</v>
      </c>
      <c r="G35" s="11" t="s">
        <v>5</v>
      </c>
      <c r="H35" s="11" t="s">
        <v>126</v>
      </c>
    </row>
    <row r="36" spans="2:8" x14ac:dyDescent="0.25">
      <c r="B36" s="488" t="str">
        <f t="shared" ca="1" si="0"/>
        <v>Schwyz</v>
      </c>
      <c r="C36" s="493" t="s">
        <v>126</v>
      </c>
      <c r="D36" s="11" t="s">
        <v>6</v>
      </c>
      <c r="E36" s="11" t="s">
        <v>6</v>
      </c>
      <c r="F36" s="11" t="s">
        <v>297</v>
      </c>
      <c r="G36" s="11" t="s">
        <v>6</v>
      </c>
      <c r="H36" s="11" t="s">
        <v>126</v>
      </c>
    </row>
    <row r="37" spans="2:8" x14ac:dyDescent="0.25">
      <c r="B37" s="488" t="str">
        <f t="shared" ca="1" si="0"/>
        <v>Obwalden</v>
      </c>
      <c r="C37" s="493" t="s">
        <v>126</v>
      </c>
      <c r="D37" s="11" t="s">
        <v>7</v>
      </c>
      <c r="E37" s="11" t="s">
        <v>137</v>
      </c>
      <c r="F37" s="11" t="s">
        <v>298</v>
      </c>
      <c r="G37" s="11" t="s">
        <v>7</v>
      </c>
      <c r="H37" s="11" t="s">
        <v>126</v>
      </c>
    </row>
    <row r="38" spans="2:8" x14ac:dyDescent="0.25">
      <c r="B38" s="488" t="str">
        <f t="shared" ca="1" si="0"/>
        <v>Nidwalden</v>
      </c>
      <c r="C38" s="493" t="s">
        <v>126</v>
      </c>
      <c r="D38" s="11" t="s">
        <v>8</v>
      </c>
      <c r="E38" s="11" t="s">
        <v>138</v>
      </c>
      <c r="F38" s="11" t="s">
        <v>299</v>
      </c>
      <c r="G38" s="11" t="s">
        <v>8</v>
      </c>
      <c r="H38" s="11" t="s">
        <v>126</v>
      </c>
    </row>
    <row r="39" spans="2:8" x14ac:dyDescent="0.25">
      <c r="B39" s="488" t="str">
        <f t="shared" ca="1" si="0"/>
        <v>Glarus</v>
      </c>
      <c r="C39" s="493" t="s">
        <v>126</v>
      </c>
      <c r="D39" s="11" t="s">
        <v>9</v>
      </c>
      <c r="E39" s="11" t="s">
        <v>139</v>
      </c>
      <c r="F39" s="11" t="s">
        <v>300</v>
      </c>
      <c r="G39" s="11" t="s">
        <v>9</v>
      </c>
      <c r="H39" s="11" t="s">
        <v>126</v>
      </c>
    </row>
    <row r="40" spans="2:8" x14ac:dyDescent="0.25">
      <c r="B40" s="488" t="str">
        <f t="shared" ca="1" si="0"/>
        <v>Zug</v>
      </c>
      <c r="C40" s="493" t="s">
        <v>126</v>
      </c>
      <c r="D40" s="11" t="s">
        <v>10</v>
      </c>
      <c r="E40" s="11" t="s">
        <v>140</v>
      </c>
      <c r="F40" s="11" t="s">
        <v>301</v>
      </c>
      <c r="G40" s="11" t="s">
        <v>10</v>
      </c>
      <c r="H40" s="11" t="s">
        <v>126</v>
      </c>
    </row>
    <row r="41" spans="2:8" x14ac:dyDescent="0.25">
      <c r="B41" s="488" t="str">
        <f t="shared" ca="1" si="0"/>
        <v>Freiburg</v>
      </c>
      <c r="C41" s="493" t="s">
        <v>126</v>
      </c>
      <c r="D41" s="11" t="s">
        <v>11</v>
      </c>
      <c r="E41" s="11" t="s">
        <v>141</v>
      </c>
      <c r="F41" s="11" t="s">
        <v>302</v>
      </c>
      <c r="G41" s="11" t="s">
        <v>141</v>
      </c>
      <c r="H41" s="11" t="s">
        <v>126</v>
      </c>
    </row>
    <row r="42" spans="2:8" x14ac:dyDescent="0.25">
      <c r="B42" s="488" t="str">
        <f t="shared" ca="1" si="0"/>
        <v>Solothurn</v>
      </c>
      <c r="C42" s="493" t="s">
        <v>126</v>
      </c>
      <c r="D42" s="11" t="s">
        <v>12</v>
      </c>
      <c r="E42" s="11" t="s">
        <v>142</v>
      </c>
      <c r="F42" s="11" t="s">
        <v>303</v>
      </c>
      <c r="G42" s="11" t="s">
        <v>12</v>
      </c>
      <c r="H42" s="11" t="s">
        <v>126</v>
      </c>
    </row>
    <row r="43" spans="2:8" x14ac:dyDescent="0.25">
      <c r="B43" s="488" t="str">
        <f t="shared" ca="1" si="0"/>
        <v>Basel-Stadt</v>
      </c>
      <c r="C43" s="493" t="s">
        <v>126</v>
      </c>
      <c r="D43" s="11" t="s">
        <v>13</v>
      </c>
      <c r="E43" s="11" t="s">
        <v>143</v>
      </c>
      <c r="F43" s="11" t="s">
        <v>304</v>
      </c>
      <c r="G43" s="11" t="s">
        <v>251</v>
      </c>
      <c r="H43" s="11" t="s">
        <v>126</v>
      </c>
    </row>
    <row r="44" spans="2:8" x14ac:dyDescent="0.25">
      <c r="B44" s="488" t="str">
        <f t="shared" ca="1" si="0"/>
        <v>Basel-Landschaft</v>
      </c>
      <c r="C44" s="493" t="s">
        <v>126</v>
      </c>
      <c r="D44" s="11" t="s">
        <v>14</v>
      </c>
      <c r="E44" s="11" t="s">
        <v>144</v>
      </c>
      <c r="F44" s="11" t="s">
        <v>305</v>
      </c>
      <c r="G44" s="11" t="s">
        <v>252</v>
      </c>
      <c r="H44" s="11" t="s">
        <v>126</v>
      </c>
    </row>
    <row r="45" spans="2:8" x14ac:dyDescent="0.25">
      <c r="B45" s="488" t="str">
        <f t="shared" ca="1" si="0"/>
        <v>Schaffhausen</v>
      </c>
      <c r="C45" s="493" t="s">
        <v>126</v>
      </c>
      <c r="D45" s="11" t="s">
        <v>15</v>
      </c>
      <c r="E45" s="11" t="s">
        <v>145</v>
      </c>
      <c r="F45" s="11" t="s">
        <v>306</v>
      </c>
      <c r="G45" s="11" t="s">
        <v>15</v>
      </c>
      <c r="H45" s="11" t="s">
        <v>126</v>
      </c>
    </row>
    <row r="46" spans="2:8" x14ac:dyDescent="0.25">
      <c r="B46" s="488" t="str">
        <f t="shared" ca="1" si="0"/>
        <v>Appenzell A.Rh.</v>
      </c>
      <c r="C46" s="493" t="s">
        <v>126</v>
      </c>
      <c r="D46" s="11" t="s">
        <v>16</v>
      </c>
      <c r="E46" s="11" t="s">
        <v>146</v>
      </c>
      <c r="F46" s="11" t="s">
        <v>307</v>
      </c>
      <c r="G46" s="11" t="s">
        <v>16</v>
      </c>
      <c r="H46" s="11" t="s">
        <v>126</v>
      </c>
    </row>
    <row r="47" spans="2:8" x14ac:dyDescent="0.25">
      <c r="B47" s="488" t="str">
        <f t="shared" ca="1" si="0"/>
        <v>Appenzell I.Rh.</v>
      </c>
      <c r="C47" s="493" t="s">
        <v>126</v>
      </c>
      <c r="D47" s="11" t="s">
        <v>17</v>
      </c>
      <c r="E47" s="11" t="s">
        <v>147</v>
      </c>
      <c r="F47" s="11" t="s">
        <v>308</v>
      </c>
      <c r="G47" s="11" t="s">
        <v>17</v>
      </c>
      <c r="H47" s="11" t="s">
        <v>126</v>
      </c>
    </row>
    <row r="48" spans="2:8" x14ac:dyDescent="0.25">
      <c r="B48" s="488" t="str">
        <f t="shared" ca="1" si="0"/>
        <v>St. Gallen</v>
      </c>
      <c r="C48" s="493" t="s">
        <v>126</v>
      </c>
      <c r="D48" s="11" t="s">
        <v>18</v>
      </c>
      <c r="E48" s="11" t="s">
        <v>148</v>
      </c>
      <c r="F48" s="11" t="s">
        <v>309</v>
      </c>
      <c r="G48" s="11" t="s">
        <v>18</v>
      </c>
      <c r="H48" s="11" t="s">
        <v>126</v>
      </c>
    </row>
    <row r="49" spans="2:8" x14ac:dyDescent="0.25">
      <c r="B49" s="488" t="str">
        <f t="shared" ca="1" si="0"/>
        <v>Graubünden</v>
      </c>
      <c r="C49" s="493" t="s">
        <v>126</v>
      </c>
      <c r="D49" s="11" t="s">
        <v>19</v>
      </c>
      <c r="E49" s="11" t="s">
        <v>149</v>
      </c>
      <c r="F49" s="11" t="s">
        <v>310</v>
      </c>
      <c r="G49" s="11" t="s">
        <v>19</v>
      </c>
      <c r="H49" s="11" t="s">
        <v>126</v>
      </c>
    </row>
    <row r="50" spans="2:8" x14ac:dyDescent="0.25">
      <c r="B50" s="488" t="str">
        <f t="shared" ca="1" si="0"/>
        <v>Aargau</v>
      </c>
      <c r="C50" s="493" t="s">
        <v>126</v>
      </c>
      <c r="D50" s="11" t="s">
        <v>20</v>
      </c>
      <c r="E50" s="11" t="s">
        <v>150</v>
      </c>
      <c r="F50" s="11" t="s">
        <v>311</v>
      </c>
      <c r="G50" s="11" t="s">
        <v>20</v>
      </c>
      <c r="H50" s="11" t="s">
        <v>126</v>
      </c>
    </row>
    <row r="51" spans="2:8" x14ac:dyDescent="0.25">
      <c r="B51" s="488" t="str">
        <f t="shared" ca="1" si="0"/>
        <v>Thurgau</v>
      </c>
      <c r="C51" s="493" t="s">
        <v>126</v>
      </c>
      <c r="D51" s="11" t="s">
        <v>21</v>
      </c>
      <c r="E51" s="11" t="s">
        <v>151</v>
      </c>
      <c r="F51" s="11" t="s">
        <v>312</v>
      </c>
      <c r="G51" s="11" t="s">
        <v>21</v>
      </c>
      <c r="H51" s="11" t="s">
        <v>126</v>
      </c>
    </row>
    <row r="52" spans="2:8" x14ac:dyDescent="0.25">
      <c r="B52" s="488" t="str">
        <f t="shared" ca="1" si="0"/>
        <v>Tessin</v>
      </c>
      <c r="C52" s="493" t="s">
        <v>126</v>
      </c>
      <c r="D52" s="11" t="s">
        <v>22</v>
      </c>
      <c r="E52" s="11" t="s">
        <v>22</v>
      </c>
      <c r="F52" s="11" t="s">
        <v>201</v>
      </c>
      <c r="G52" s="11" t="s">
        <v>201</v>
      </c>
      <c r="H52" s="11" t="s">
        <v>126</v>
      </c>
    </row>
    <row r="53" spans="2:8" x14ac:dyDescent="0.25">
      <c r="B53" s="488" t="str">
        <f t="shared" ca="1" si="0"/>
        <v>Waadt</v>
      </c>
      <c r="C53" s="493" t="s">
        <v>126</v>
      </c>
      <c r="D53" s="11" t="s">
        <v>23</v>
      </c>
      <c r="E53" s="11" t="s">
        <v>152</v>
      </c>
      <c r="F53" s="11" t="s">
        <v>152</v>
      </c>
      <c r="G53" s="11" t="s">
        <v>152</v>
      </c>
      <c r="H53" s="11" t="s">
        <v>126</v>
      </c>
    </row>
    <row r="54" spans="2:8" x14ac:dyDescent="0.25">
      <c r="B54" s="488" t="str">
        <f t="shared" ca="1" si="0"/>
        <v>Wallis</v>
      </c>
      <c r="C54" s="493" t="s">
        <v>126</v>
      </c>
      <c r="D54" s="11" t="s">
        <v>24</v>
      </c>
      <c r="E54" s="11" t="s">
        <v>153</v>
      </c>
      <c r="F54" s="11" t="s">
        <v>313</v>
      </c>
      <c r="G54" s="11" t="s">
        <v>153</v>
      </c>
      <c r="H54" s="11" t="s">
        <v>126</v>
      </c>
    </row>
    <row r="55" spans="2:8" x14ac:dyDescent="0.25">
      <c r="B55" s="488" t="str">
        <f t="shared" ca="1" si="0"/>
        <v>Neuenburg</v>
      </c>
      <c r="C55" s="493" t="s">
        <v>126</v>
      </c>
      <c r="D55" s="11" t="s">
        <v>25</v>
      </c>
      <c r="E55" s="11" t="s">
        <v>154</v>
      </c>
      <c r="F55" s="11" t="s">
        <v>154</v>
      </c>
      <c r="G55" s="11" t="s">
        <v>154</v>
      </c>
      <c r="H55" s="11" t="s">
        <v>126</v>
      </c>
    </row>
    <row r="56" spans="2:8" x14ac:dyDescent="0.25">
      <c r="B56" s="488" t="str">
        <f t="shared" ca="1" si="0"/>
        <v>Genf</v>
      </c>
      <c r="C56" s="493" t="s">
        <v>126</v>
      </c>
      <c r="D56" s="11" t="s">
        <v>26</v>
      </c>
      <c r="E56" s="11" t="s">
        <v>155</v>
      </c>
      <c r="F56" s="11" t="s">
        <v>314</v>
      </c>
      <c r="G56" s="11" t="s">
        <v>202</v>
      </c>
      <c r="H56" s="11" t="s">
        <v>126</v>
      </c>
    </row>
    <row r="57" spans="2:8" x14ac:dyDescent="0.25">
      <c r="B57" s="488" t="str">
        <f t="shared" ca="1" si="0"/>
        <v>Jura</v>
      </c>
      <c r="C57" s="493" t="s">
        <v>126</v>
      </c>
      <c r="D57" s="11" t="s">
        <v>27</v>
      </c>
      <c r="E57" s="11" t="s">
        <v>27</v>
      </c>
      <c r="F57" s="11" t="s">
        <v>315</v>
      </c>
      <c r="G57" s="11" t="s">
        <v>27</v>
      </c>
      <c r="H57" s="11" t="s">
        <v>126</v>
      </c>
    </row>
    <row r="58" spans="2:8" x14ac:dyDescent="0.25">
      <c r="B58" s="490" t="str">
        <f t="shared" ca="1" si="0"/>
        <v>Schweiz</v>
      </c>
      <c r="C58" s="493" t="s">
        <v>126</v>
      </c>
      <c r="D58" s="11" t="s">
        <v>40</v>
      </c>
      <c r="E58" s="11" t="s">
        <v>133</v>
      </c>
      <c r="F58" s="11" t="s">
        <v>316</v>
      </c>
      <c r="G58" s="11" t="s">
        <v>203</v>
      </c>
      <c r="H58" s="11" t="s">
        <v>126</v>
      </c>
    </row>
    <row r="59" spans="2:8" x14ac:dyDescent="0.25">
      <c r="B59" s="488" t="str">
        <f t="shared" ca="1" si="0"/>
        <v>Spalte</v>
      </c>
      <c r="C59" s="493" t="s">
        <v>126</v>
      </c>
      <c r="D59" s="11" t="s">
        <v>29</v>
      </c>
      <c r="E59" s="11" t="s">
        <v>212</v>
      </c>
      <c r="F59" s="11" t="s">
        <v>317</v>
      </c>
      <c r="G59" s="11" t="s">
        <v>204</v>
      </c>
      <c r="H59" s="11" t="s">
        <v>126</v>
      </c>
    </row>
    <row r="60" spans="2:8" x14ac:dyDescent="0.25">
      <c r="B60" s="488" t="str">
        <f t="shared" ca="1" si="0"/>
        <v>Formel</v>
      </c>
      <c r="C60" s="493" t="s">
        <v>126</v>
      </c>
      <c r="D60" s="11" t="s">
        <v>36</v>
      </c>
      <c r="E60" s="11" t="s">
        <v>213</v>
      </c>
      <c r="F60" s="11" t="s">
        <v>205</v>
      </c>
      <c r="G60" s="11" t="s">
        <v>205</v>
      </c>
      <c r="H60" s="11" t="s">
        <v>126</v>
      </c>
    </row>
    <row r="61" spans="2:8" x14ac:dyDescent="0.25">
      <c r="B61" s="488" t="str">
        <f t="shared" ca="1" si="0"/>
        <v>Kategorie</v>
      </c>
      <c r="C61" s="493" t="s">
        <v>126</v>
      </c>
      <c r="D61" s="11" t="s">
        <v>54</v>
      </c>
      <c r="E61" s="11" t="s">
        <v>214</v>
      </c>
      <c r="F61" s="11" t="s">
        <v>318</v>
      </c>
      <c r="G61" s="11" t="s">
        <v>206</v>
      </c>
      <c r="H61" s="11" t="s">
        <v>126</v>
      </c>
    </row>
    <row r="62" spans="2:8" x14ac:dyDescent="0.25">
      <c r="B62" s="488" t="str">
        <f t="shared" ca="1" si="0"/>
        <v>Einheit</v>
      </c>
      <c r="C62" s="493" t="s">
        <v>126</v>
      </c>
      <c r="D62" s="11" t="s">
        <v>1</v>
      </c>
      <c r="E62" s="11" t="s">
        <v>215</v>
      </c>
      <c r="F62" s="11" t="s">
        <v>319</v>
      </c>
      <c r="G62" s="11" t="s">
        <v>207</v>
      </c>
      <c r="H62" s="11" t="s">
        <v>126</v>
      </c>
    </row>
    <row r="63" spans="2:8" x14ac:dyDescent="0.25">
      <c r="B63" s="488" t="str">
        <f t="shared" ca="1" si="0"/>
        <v>CHF</v>
      </c>
      <c r="C63" s="493"/>
      <c r="D63" s="11" t="s">
        <v>38</v>
      </c>
      <c r="E63" s="11" t="s">
        <v>38</v>
      </c>
      <c r="F63" s="11" t="s">
        <v>38</v>
      </c>
      <c r="G63" s="11" t="s">
        <v>38</v>
      </c>
      <c r="H63" s="11" t="s">
        <v>126</v>
      </c>
    </row>
    <row r="64" spans="2:8" x14ac:dyDescent="0.25">
      <c r="B64" s="488" t="str">
        <f t="shared" ca="1" si="0"/>
        <v>CHF 1'000</v>
      </c>
      <c r="C64" s="493"/>
      <c r="D64" s="11" t="s">
        <v>37</v>
      </c>
      <c r="E64" s="11" t="s">
        <v>37</v>
      </c>
      <c r="F64" s="11" t="s">
        <v>320</v>
      </c>
      <c r="G64" s="11" t="s">
        <v>208</v>
      </c>
      <c r="H64" s="11" t="s">
        <v>126</v>
      </c>
    </row>
    <row r="65" spans="2:8" x14ac:dyDescent="0.25">
      <c r="B65" s="488" t="str">
        <f t="shared" ca="1" si="0"/>
        <v>Anzahl</v>
      </c>
      <c r="C65" s="493" t="s">
        <v>126</v>
      </c>
      <c r="D65" s="11" t="s">
        <v>90</v>
      </c>
      <c r="E65" s="11" t="s">
        <v>216</v>
      </c>
      <c r="F65" s="11" t="s">
        <v>321</v>
      </c>
      <c r="G65" s="11" t="s">
        <v>253</v>
      </c>
      <c r="H65" s="11" t="s">
        <v>126</v>
      </c>
    </row>
    <row r="66" spans="2:8" x14ac:dyDescent="0.25">
      <c r="B66" s="488" t="str">
        <f t="shared" ca="1" si="0"/>
        <v>Punkte</v>
      </c>
      <c r="C66" s="493" t="s">
        <v>126</v>
      </c>
      <c r="D66" s="11" t="s">
        <v>64</v>
      </c>
      <c r="E66" s="11" t="s">
        <v>209</v>
      </c>
      <c r="F66" s="11" t="s">
        <v>322</v>
      </c>
      <c r="G66" s="11" t="s">
        <v>209</v>
      </c>
      <c r="H66" s="11" t="s">
        <v>126</v>
      </c>
    </row>
    <row r="67" spans="2:8" x14ac:dyDescent="0.25">
      <c r="B67" s="490" t="str">
        <f t="shared" ca="1" si="0"/>
        <v>Prozent</v>
      </c>
      <c r="C67" s="493" t="s">
        <v>126</v>
      </c>
      <c r="D67" s="11" t="s">
        <v>65</v>
      </c>
      <c r="E67" s="11" t="s">
        <v>351</v>
      </c>
      <c r="F67" s="11" t="s">
        <v>323</v>
      </c>
      <c r="G67" s="11" t="s">
        <v>254</v>
      </c>
      <c r="H67" s="11" t="s">
        <v>126</v>
      </c>
    </row>
    <row r="68" spans="2:8" x14ac:dyDescent="0.25">
      <c r="B68" s="488" t="str">
        <f t="shared" ca="1" si="0"/>
        <v>Total</v>
      </c>
      <c r="C68" s="493" t="s">
        <v>126</v>
      </c>
      <c r="D68" s="11" t="s">
        <v>28</v>
      </c>
      <c r="E68" s="11" t="s">
        <v>28</v>
      </c>
      <c r="F68" s="11" t="s">
        <v>324</v>
      </c>
      <c r="G68" s="11" t="s">
        <v>28</v>
      </c>
      <c r="H68" s="11" t="s">
        <v>126</v>
      </c>
    </row>
    <row r="69" spans="2:8" x14ac:dyDescent="0.25">
      <c r="B69" s="488" t="str">
        <f t="shared" ca="1" si="0"/>
        <v>Referenzjahr</v>
      </c>
      <c r="C69" s="493"/>
      <c r="D69" s="11" t="s">
        <v>53</v>
      </c>
      <c r="E69" s="11" t="s">
        <v>217</v>
      </c>
      <c r="F69" s="11" t="s">
        <v>346</v>
      </c>
      <c r="G69" s="11" t="s">
        <v>210</v>
      </c>
      <c r="H69" s="11" t="s">
        <v>126</v>
      </c>
    </row>
    <row r="70" spans="2:8" x14ac:dyDescent="0.25">
      <c r="B70" s="488" t="str">
        <f t="shared" ca="1" si="0"/>
        <v>Berechnungsdatum</v>
      </c>
      <c r="C70" s="493"/>
      <c r="D70" s="11" t="s">
        <v>69</v>
      </c>
      <c r="E70" s="11" t="s">
        <v>274</v>
      </c>
      <c r="F70" s="11" t="s">
        <v>347</v>
      </c>
      <c r="G70" s="11" t="s">
        <v>255</v>
      </c>
      <c r="H70" s="11" t="s">
        <v>126</v>
      </c>
    </row>
    <row r="71" spans="2:8" x14ac:dyDescent="0.25">
      <c r="B71" s="488" t="str">
        <f t="shared" ca="1" si="0"/>
        <v>Berechnungs-ID</v>
      </c>
      <c r="C71" s="493"/>
      <c r="D71" s="11" t="s">
        <v>70</v>
      </c>
      <c r="E71" s="11" t="s">
        <v>275</v>
      </c>
      <c r="F71" s="11" t="s">
        <v>348</v>
      </c>
      <c r="G71" s="11" t="s">
        <v>256</v>
      </c>
      <c r="H71" s="11" t="s">
        <v>126</v>
      </c>
    </row>
    <row r="72" spans="2:8" x14ac:dyDescent="0.25">
      <c r="B72" s="488" t="str">
        <f t="shared" ca="1" si="0"/>
        <v>Bemessungsjahr</v>
      </c>
      <c r="C72" s="493"/>
      <c r="D72" s="11" t="s">
        <v>96</v>
      </c>
      <c r="E72" s="11" t="s">
        <v>218</v>
      </c>
      <c r="F72" s="11" t="s">
        <v>325</v>
      </c>
      <c r="G72" s="11" t="s">
        <v>211</v>
      </c>
      <c r="H72" s="11" t="s">
        <v>126</v>
      </c>
    </row>
    <row r="73" spans="2:8" x14ac:dyDescent="0.25">
      <c r="B73" s="488" t="str">
        <f t="shared" ca="1" si="0"/>
        <v>Bemessungsjahr 2019</v>
      </c>
      <c r="C73" s="493" t="s">
        <v>126</v>
      </c>
      <c r="D73" s="11" t="str">
        <f>D$72 &amp; " " &amp; $G$3-6</f>
        <v>Bemessungsjahr 2019</v>
      </c>
      <c r="E73" s="11" t="str">
        <f>E$72 &amp; " " &amp; $G$3-6</f>
        <v>Année de calcul 2019</v>
      </c>
      <c r="F73" s="11" t="str">
        <f>F$72 &amp; " " &amp; $G$3-6</f>
        <v>Anno di calcolo 2019</v>
      </c>
      <c r="G73" s="11" t="str">
        <f>G$72 &amp; " " &amp; $G$3-6</f>
        <v>Assessment year 2019</v>
      </c>
      <c r="H73" s="11" t="s">
        <v>126</v>
      </c>
    </row>
    <row r="74" spans="2:8" x14ac:dyDescent="0.25">
      <c r="B74" s="488" t="str">
        <f t="shared" ca="1" si="0"/>
        <v>Bemessungsjahr 2020</v>
      </c>
      <c r="C74" s="493" t="s">
        <v>126</v>
      </c>
      <c r="D74" s="11" t="str">
        <f>D$72 &amp; " " &amp; $G$3-5</f>
        <v>Bemessungsjahr 2020</v>
      </c>
      <c r="E74" s="11" t="str">
        <f>E$72 &amp; " " &amp; $G$3-5</f>
        <v>Année de calcul 2020</v>
      </c>
      <c r="F74" s="11" t="str">
        <f>F$72 &amp; " " &amp; $G$3-5</f>
        <v>Anno di calcolo 2020</v>
      </c>
      <c r="G74" s="11" t="str">
        <f>G$72 &amp; " " &amp; $G$3-5</f>
        <v>Assessment year 2020</v>
      </c>
      <c r="H74" s="11" t="s">
        <v>126</v>
      </c>
    </row>
    <row r="75" spans="2:8" x14ac:dyDescent="0.25">
      <c r="B75" s="490" t="str">
        <f t="shared" ref="B75:B239" ca="1" si="1">INDIRECT(ADDRESS(ROW(),$D$7+3))</f>
        <v>Bemessungsjahr 2021</v>
      </c>
      <c r="C75" s="493"/>
      <c r="D75" s="11" t="str">
        <f>D$72 &amp; " " &amp; $G$3-4</f>
        <v>Bemessungsjahr 2021</v>
      </c>
      <c r="E75" s="11" t="str">
        <f>E$72 &amp; " " &amp; $G$3-4</f>
        <v>Année de calcul 2021</v>
      </c>
      <c r="F75" s="11" t="str">
        <f>F$72 &amp; " " &amp; $G$3-4</f>
        <v>Anno di calcolo 2021</v>
      </c>
      <c r="G75" s="11" t="str">
        <f>G$72 &amp; " " &amp; $G$3-4</f>
        <v>Assessment year 2021</v>
      </c>
      <c r="H75" s="11" t="s">
        <v>126</v>
      </c>
    </row>
    <row r="76" spans="2:8" x14ac:dyDescent="0.25">
      <c r="B76" s="491" t="str">
        <f t="shared" ca="1" si="1"/>
        <v>Zahlungen im</v>
      </c>
      <c r="C76" s="493" t="s">
        <v>160</v>
      </c>
      <c r="D76" s="485" t="s">
        <v>88</v>
      </c>
      <c r="E76" s="485" t="s">
        <v>276</v>
      </c>
      <c r="F76" s="485" t="s">
        <v>326</v>
      </c>
      <c r="G76" s="485" t="s">
        <v>257</v>
      </c>
      <c r="H76" s="485" t="s">
        <v>126</v>
      </c>
    </row>
    <row r="77" spans="2:8" x14ac:dyDescent="0.25">
      <c r="B77" s="491" t="str">
        <f t="shared" ca="1" si="1"/>
        <v>Ressourcenausgleich 2025</v>
      </c>
      <c r="C77" s="493" t="s">
        <v>126</v>
      </c>
      <c r="D77" s="485" t="str">
        <f>"Ressourcenausgleich " &amp; $G$3</f>
        <v>Ressourcenausgleich 2025</v>
      </c>
      <c r="E77" s="485" t="str">
        <f>"péréquation des ressources " &amp; $G$3</f>
        <v>péréquation des ressources 2025</v>
      </c>
      <c r="F77" s="485" t="str">
        <f>"Perequazione delle risorse " &amp; $G$3</f>
        <v>Perequazione delle risorse 2025</v>
      </c>
      <c r="G77" s="485" t="str">
        <f>"Resource equalization " &amp; $G$3</f>
        <v>Resource equalization 2025</v>
      </c>
      <c r="H77" s="485" t="s">
        <v>126</v>
      </c>
    </row>
    <row r="78" spans="2:8" x14ac:dyDescent="0.25">
      <c r="B78" s="488" t="str">
        <f t="shared" ca="1" si="1"/>
        <v>(+) Einzahlungen; (-) Auszahlungen in CHF</v>
      </c>
      <c r="C78" s="493" t="s">
        <v>126</v>
      </c>
      <c r="D78" s="11" t="s">
        <v>115</v>
      </c>
      <c r="E78" s="11" t="s">
        <v>350</v>
      </c>
      <c r="F78" s="11" t="s">
        <v>327</v>
      </c>
      <c r="G78" s="11" t="s">
        <v>258</v>
      </c>
      <c r="H78" s="11" t="s">
        <v>126</v>
      </c>
    </row>
    <row r="79" spans="2:8" x14ac:dyDescent="0.25">
      <c r="B79" s="488" t="str">
        <f t="shared" ca="1" si="1"/>
        <v>Ressourcen-
index</v>
      </c>
      <c r="C79" s="493" t="s">
        <v>126</v>
      </c>
      <c r="D79" s="11" t="s">
        <v>110</v>
      </c>
      <c r="E79" s="11" t="s">
        <v>407</v>
      </c>
      <c r="F79" s="11" t="s">
        <v>424</v>
      </c>
      <c r="G79" s="11" t="s">
        <v>426</v>
      </c>
      <c r="H79" s="11" t="s">
        <v>126</v>
      </c>
    </row>
    <row r="80" spans="2:8" x14ac:dyDescent="0.25">
      <c r="B80" s="488" t="str">
        <f t="shared" ca="1" si="1"/>
        <v>Ausgleichszahlungen</v>
      </c>
      <c r="C80" s="493" t="s">
        <v>126</v>
      </c>
      <c r="D80" s="11" t="s">
        <v>67</v>
      </c>
      <c r="E80" s="11" t="s">
        <v>219</v>
      </c>
      <c r="F80" s="11" t="s">
        <v>328</v>
      </c>
      <c r="G80" s="11" t="s">
        <v>259</v>
      </c>
      <c r="H80" s="11" t="s">
        <v>126</v>
      </c>
    </row>
    <row r="81" spans="2:8" x14ac:dyDescent="0.25">
      <c r="B81" s="488" t="str">
        <f t="shared" ca="1" si="1"/>
        <v>Pro Einwohner</v>
      </c>
      <c r="C81" s="493" t="s">
        <v>126</v>
      </c>
      <c r="D81" s="11" t="s">
        <v>68</v>
      </c>
      <c r="E81" s="11" t="s">
        <v>220</v>
      </c>
      <c r="F81" s="11" t="s">
        <v>329</v>
      </c>
      <c r="G81" s="11" t="s">
        <v>260</v>
      </c>
      <c r="H81" s="11" t="s">
        <v>126</v>
      </c>
    </row>
    <row r="82" spans="2:8" x14ac:dyDescent="0.25">
      <c r="B82" s="488" t="str">
        <f t="shared" ca="1" si="1"/>
        <v>Index SSE
nach
Ausgleich</v>
      </c>
      <c r="C82" s="493" t="s">
        <v>126</v>
      </c>
      <c r="D82" s="11" t="s">
        <v>92</v>
      </c>
      <c r="E82" s="11" t="s">
        <v>421</v>
      </c>
      <c r="F82" s="11" t="s">
        <v>460</v>
      </c>
      <c r="G82" s="11" t="s">
        <v>489</v>
      </c>
      <c r="H82" s="11" t="s">
        <v>126</v>
      </c>
    </row>
    <row r="83" spans="2:8" x14ac:dyDescent="0.25">
      <c r="B83" s="490" t="str">
        <f t="shared" ca="1" si="1"/>
        <v>Die Berechnung des Ressourcenausgleichs wird im technischen Bericht detailliert beschrieben:
www.efv.admin.ch → Themen  → Finanzausgleich  → Dokumentation</v>
      </c>
      <c r="C83" s="493" t="s">
        <v>126</v>
      </c>
      <c r="D83" s="11" t="s">
        <v>114</v>
      </c>
      <c r="E83" s="11" t="s">
        <v>423</v>
      </c>
      <c r="F83" s="11" t="s">
        <v>427</v>
      </c>
      <c r="G83" s="11" t="s">
        <v>428</v>
      </c>
      <c r="H83" s="11" t="s">
        <v>126</v>
      </c>
    </row>
    <row r="84" spans="2:8" x14ac:dyDescent="0.25">
      <c r="B84" s="491" t="str">
        <f t="shared" ca="1" si="1"/>
        <v>Einkommen natürlicher Personen 2025</v>
      </c>
      <c r="C84" s="493" t="s">
        <v>161</v>
      </c>
      <c r="D84" s="485" t="str">
        <f>"Einkommen natürlicher Personen " &amp; $G$3</f>
        <v>Einkommen natürlicher Personen 2025</v>
      </c>
      <c r="E84" s="485" t="str">
        <f>"Revenu des personnes physiques " &amp; $G$3</f>
        <v>Revenu des personnes physiques 2025</v>
      </c>
      <c r="F84" s="485" t="str">
        <f>"Reddito delle persone fisiche " &amp; $G$3</f>
        <v>Reddito delle persone fisiche 2025</v>
      </c>
      <c r="G84" s="485" t="str">
        <f>"Personal income " &amp; $G$3</f>
        <v>Personal income 2025</v>
      </c>
      <c r="H84" s="485" t="s">
        <v>126</v>
      </c>
    </row>
    <row r="85" spans="2:8" ht="11.25" customHeight="1" x14ac:dyDescent="0.25">
      <c r="B85" s="488" t="str">
        <f t="shared" ca="1" si="1"/>
        <v>Steuerpflichtige mit steuerbarem Einkommen
grösser oder gleich dem Freibetrag</v>
      </c>
      <c r="C85" s="493" t="s">
        <v>126</v>
      </c>
      <c r="D85" s="11" t="s">
        <v>494</v>
      </c>
      <c r="E85" s="11" t="s">
        <v>498</v>
      </c>
      <c r="F85" s="11" t="s">
        <v>499</v>
      </c>
      <c r="G85" s="11" t="s">
        <v>500</v>
      </c>
      <c r="H85" s="11" t="s">
        <v>126</v>
      </c>
    </row>
    <row r="86" spans="2:8" ht="11.25" customHeight="1" x14ac:dyDescent="0.25">
      <c r="B86" s="488" t="str">
        <f t="shared" ca="1" si="1"/>
        <v>Steuerpflichtige</v>
      </c>
      <c r="C86" s="493" t="s">
        <v>126</v>
      </c>
      <c r="D86" s="11" t="s">
        <v>94</v>
      </c>
      <c r="E86" s="11" t="s">
        <v>277</v>
      </c>
      <c r="F86" s="11" t="s">
        <v>330</v>
      </c>
      <c r="G86" s="11" t="s">
        <v>462</v>
      </c>
      <c r="H86" s="11" t="s">
        <v>126</v>
      </c>
    </row>
    <row r="87" spans="2:8" ht="11.25" customHeight="1" x14ac:dyDescent="0.25">
      <c r="B87" s="488" t="str">
        <f t="shared" ca="1" si="1"/>
        <v>Steuerbares Einkommen
der Steuerpflichtigen</v>
      </c>
      <c r="C87" s="493" t="s">
        <v>126</v>
      </c>
      <c r="D87" s="11" t="s">
        <v>352</v>
      </c>
      <c r="E87" s="11" t="s">
        <v>383</v>
      </c>
      <c r="F87" s="11" t="s">
        <v>425</v>
      </c>
      <c r="G87" s="11" t="s">
        <v>461</v>
      </c>
      <c r="H87" s="11" t="s">
        <v>126</v>
      </c>
    </row>
    <row r="88" spans="2:8" ht="11.25" customHeight="1" x14ac:dyDescent="0.25">
      <c r="B88" s="488" t="str">
        <f t="shared" ca="1" si="1"/>
        <v>Massgebendes
Einkommen der
natürlichen
Personen</v>
      </c>
      <c r="C88" s="493" t="s">
        <v>126</v>
      </c>
      <c r="D88" s="11" t="s">
        <v>365</v>
      </c>
      <c r="E88" s="11" t="s">
        <v>384</v>
      </c>
      <c r="F88" s="11" t="s">
        <v>443</v>
      </c>
      <c r="G88" s="11" t="s">
        <v>939</v>
      </c>
      <c r="H88" s="11" t="s">
        <v>126</v>
      </c>
    </row>
    <row r="89" spans="2:8" ht="11.25" customHeight="1" x14ac:dyDescent="0.25">
      <c r="B89" s="488" t="str">
        <f t="shared" ca="1" si="1"/>
        <v>Freibetrag pro
steuerpflichtige Person</v>
      </c>
      <c r="C89" s="493" t="s">
        <v>126</v>
      </c>
      <c r="D89" s="11" t="s">
        <v>495</v>
      </c>
      <c r="E89" s="11" t="s">
        <v>496</v>
      </c>
      <c r="F89" s="11" t="s">
        <v>497</v>
      </c>
      <c r="G89" s="11" t="s">
        <v>501</v>
      </c>
      <c r="H89" s="11" t="s">
        <v>126</v>
      </c>
    </row>
    <row r="90" spans="2:8" x14ac:dyDescent="0.25">
      <c r="B90" s="490" t="str">
        <f t="shared" ca="1" si="1"/>
        <v>Bemessungsjahr</v>
      </c>
      <c r="C90" s="493" t="s">
        <v>126</v>
      </c>
      <c r="D90" s="11" t="s">
        <v>96</v>
      </c>
      <c r="E90" s="11" t="s">
        <v>218</v>
      </c>
      <c r="F90" s="11" t="s">
        <v>325</v>
      </c>
      <c r="G90" s="11" t="s">
        <v>211</v>
      </c>
      <c r="H90" s="11" t="s">
        <v>126</v>
      </c>
    </row>
    <row r="91" spans="2:8" x14ac:dyDescent="0.25">
      <c r="B91" s="491" t="str">
        <f t="shared" ca="1" si="1"/>
        <v>Quellenbesteuerte Einkommen natürlicher Personen 2025</v>
      </c>
      <c r="C91" s="493" t="s">
        <v>162</v>
      </c>
      <c r="D91" s="485" t="str">
        <f>"Quellenbesteuerte Einkommen natürlicher Personen " &amp; $G$3</f>
        <v>Quellenbesteuerte Einkommen natürlicher Personen 2025</v>
      </c>
      <c r="E91" s="485" t="str">
        <f>"Revenu des personnes physiques pour l’imposition à la source " &amp; $G$3</f>
        <v>Revenu des personnes physiques pour l’imposition à la source 2025</v>
      </c>
      <c r="F91" s="485" t="str">
        <f>"Reddito tassato alla fonte delle persone fisiche " &amp; $G$3</f>
        <v>Reddito tassato alla fonte delle persone fisiche 2025</v>
      </c>
      <c r="G91" s="485" t="str">
        <f>"Personal income taxed at source " &amp; $G$3</f>
        <v>Personal income taxed at source 2025</v>
      </c>
      <c r="H91" s="485" t="s">
        <v>126</v>
      </c>
    </row>
    <row r="92" spans="2:8" x14ac:dyDescent="0.25">
      <c r="B92" s="488" t="str">
        <f t="shared" ca="1" si="1"/>
        <v>Bruttoeinkommen</v>
      </c>
      <c r="C92" s="493" t="s">
        <v>126</v>
      </c>
      <c r="D92" s="11" t="s">
        <v>98</v>
      </c>
      <c r="E92" s="11" t="s">
        <v>221</v>
      </c>
      <c r="F92" s="11" t="s">
        <v>331</v>
      </c>
      <c r="G92" s="11" t="s">
        <v>261</v>
      </c>
      <c r="H92" s="11" t="s">
        <v>126</v>
      </c>
    </row>
    <row r="93" spans="2:8" x14ac:dyDescent="0.25">
      <c r="B93" s="488" t="str">
        <f t="shared" ca="1" si="1"/>
        <v>Gebietsansässige
Ausländer und
ausländische
Verwaltungsräte</v>
      </c>
      <c r="C93" s="493" t="s">
        <v>126</v>
      </c>
      <c r="D93" s="11" t="s">
        <v>353</v>
      </c>
      <c r="E93" s="11" t="s">
        <v>385</v>
      </c>
      <c r="F93" s="11" t="s">
        <v>429</v>
      </c>
      <c r="G93" s="11" t="s">
        <v>463</v>
      </c>
      <c r="H93" s="11" t="s">
        <v>126</v>
      </c>
    </row>
    <row r="94" spans="2:8" x14ac:dyDescent="0.25">
      <c r="B94" s="488" t="str">
        <f t="shared" ca="1" si="1"/>
        <v>Vollständig
besteuerte
Grenzgänger</v>
      </c>
      <c r="C94" s="493" t="s">
        <v>126</v>
      </c>
      <c r="D94" s="11" t="s">
        <v>354</v>
      </c>
      <c r="E94" s="11" t="s">
        <v>386</v>
      </c>
      <c r="F94" s="11" t="s">
        <v>430</v>
      </c>
      <c r="G94" s="11" t="s">
        <v>464</v>
      </c>
      <c r="H94" s="11" t="s">
        <v>126</v>
      </c>
    </row>
    <row r="95" spans="2:8" x14ac:dyDescent="0.25">
      <c r="B95" s="488" t="str">
        <f t="shared" ca="1" si="1"/>
        <v>Begrenzt
besteuerte
Grenzgänger
aus Österreich</v>
      </c>
      <c r="C95" s="493" t="s">
        <v>126</v>
      </c>
      <c r="D95" s="11" t="s">
        <v>355</v>
      </c>
      <c r="E95" s="11" t="s">
        <v>387</v>
      </c>
      <c r="F95" s="11" t="s">
        <v>431</v>
      </c>
      <c r="G95" s="11" t="s">
        <v>465</v>
      </c>
      <c r="H95" s="11" t="s">
        <v>126</v>
      </c>
    </row>
    <row r="96" spans="2:8" x14ac:dyDescent="0.25">
      <c r="B96" s="488" t="str">
        <f t="shared" ca="1" si="1"/>
        <v>Begrenzt
besteuerte
Grenzgänger
aus Deutschland</v>
      </c>
      <c r="C96" s="493" t="s">
        <v>126</v>
      </c>
      <c r="D96" s="11" t="s">
        <v>356</v>
      </c>
      <c r="E96" s="11" t="s">
        <v>388</v>
      </c>
      <c r="F96" s="11" t="s">
        <v>433</v>
      </c>
      <c r="G96" s="11" t="s">
        <v>466</v>
      </c>
      <c r="H96" s="11" t="s">
        <v>126</v>
      </c>
    </row>
    <row r="97" spans="2:8" x14ac:dyDescent="0.25">
      <c r="B97" s="488" t="str">
        <f t="shared" ca="1" si="1"/>
        <v>Begrenzt besteuerte
Grenzgänger aus
Frankreich mit
Besteuerung durch
den Kanton Genf</v>
      </c>
      <c r="C97" s="493" t="s">
        <v>126</v>
      </c>
      <c r="D97" s="11" t="s">
        <v>357</v>
      </c>
      <c r="E97" s="11" t="s">
        <v>391</v>
      </c>
      <c r="F97" s="11" t="s">
        <v>432</v>
      </c>
      <c r="G97" s="11" t="s">
        <v>468</v>
      </c>
      <c r="H97" s="11" t="s">
        <v>126</v>
      </c>
    </row>
    <row r="98" spans="2:8" x14ac:dyDescent="0.25">
      <c r="B98" s="488" t="str">
        <f t="shared" ca="1" si="1"/>
        <v>Begrenzt besteuerte
Grenzgänger aus
Frankreich mit
Besteuerung durch
Frankreich</v>
      </c>
      <c r="C98" s="493" t="s">
        <v>126</v>
      </c>
      <c r="D98" s="11" t="s">
        <v>358</v>
      </c>
      <c r="E98" s="11" t="s">
        <v>389</v>
      </c>
      <c r="F98" s="11" t="s">
        <v>434</v>
      </c>
      <c r="G98" s="11" t="s">
        <v>467</v>
      </c>
      <c r="H98" s="11" t="s">
        <v>126</v>
      </c>
    </row>
    <row r="99" spans="2:8" x14ac:dyDescent="0.25">
      <c r="B99" s="488" t="str">
        <f t="shared" ca="1" si="1"/>
        <v>Begrenzt
besteuerte
Grenzgänger
aus Italien</v>
      </c>
      <c r="C99" s="493" t="s">
        <v>126</v>
      </c>
      <c r="D99" s="11" t="s">
        <v>359</v>
      </c>
      <c r="E99" s="11" t="s">
        <v>390</v>
      </c>
      <c r="F99" s="11" t="s">
        <v>435</v>
      </c>
      <c r="G99" s="11" t="s">
        <v>469</v>
      </c>
      <c r="H99" s="11" t="s">
        <v>126</v>
      </c>
    </row>
    <row r="100" spans="2:8" x14ac:dyDescent="0.25">
      <c r="B100" s="488" t="str">
        <f t="shared" ca="1" si="1"/>
        <v>Total</v>
      </c>
      <c r="C100" s="493" t="s">
        <v>126</v>
      </c>
      <c r="D100" s="11" t="s">
        <v>28</v>
      </c>
      <c r="E100" s="11" t="s">
        <v>28</v>
      </c>
      <c r="F100" s="11" t="s">
        <v>324</v>
      </c>
      <c r="G100" s="11" t="s">
        <v>28</v>
      </c>
      <c r="H100" s="11" t="s">
        <v>126</v>
      </c>
    </row>
    <row r="101" spans="2:8" x14ac:dyDescent="0.25">
      <c r="B101" s="488" t="str">
        <f t="shared" ca="1" si="1"/>
        <v>Standardisierter Steuersatz SST(2022)</v>
      </c>
      <c r="C101" s="493" t="s">
        <v>126</v>
      </c>
      <c r="D101" s="11" t="str">
        <f>"Standardisierter Steuersatz SST(" &amp; $G$3-3 &amp; ")"</f>
        <v>Standardisierter Steuersatz SST(2022)</v>
      </c>
      <c r="E101" s="11" t="str">
        <f>"Taux fiscal standardisé TFS(" &amp; $G$3-3 &amp; ")"</f>
        <v>Taux fiscal standardisé TFS(2022)</v>
      </c>
      <c r="F101" s="11" t="str">
        <f>"Aliquota d'imposta standardizzata AIS(" &amp; $G$3-3 &amp; ")"</f>
        <v>Aliquota d'imposta standardizzata AIS(2022)</v>
      </c>
      <c r="G101" s="11" t="str">
        <f>"Standardized tax rate STRate(" &amp; $G$3-3 &amp; ")"</f>
        <v>Standardized tax rate STRate(2022)</v>
      </c>
      <c r="H101" s="11" t="s">
        <v>126</v>
      </c>
    </row>
    <row r="102" spans="2:8" x14ac:dyDescent="0.25">
      <c r="B102" s="488" t="str">
        <f t="shared" ca="1" si="1"/>
        <v>Standardisierter Steuersatz SST(2023)</v>
      </c>
      <c r="C102" s="493" t="s">
        <v>126</v>
      </c>
      <c r="D102" s="11" t="str">
        <f>"Standardisierter Steuersatz SST(" &amp; $G$3-2 &amp; ")"</f>
        <v>Standardisierter Steuersatz SST(2023)</v>
      </c>
      <c r="E102" s="11" t="str">
        <f>"Taux fiscal standardisé TFS(" &amp; $G$3-2 &amp; ")"</f>
        <v>Taux fiscal standardisé TFS(2023)</v>
      </c>
      <c r="F102" s="11" t="str">
        <f>"Aliquota d'imposta standardizzata AIS(" &amp; $G$3-2 &amp; ")"</f>
        <v>Aliquota d'imposta standardizzata AIS(2023)</v>
      </c>
      <c r="G102" s="11" t="str">
        <f>"Standardized tax rate STRate(" &amp; $G$3-2 &amp; ")"</f>
        <v>Standardized tax rate STRate(2023)</v>
      </c>
      <c r="H102" s="11" t="s">
        <v>126</v>
      </c>
    </row>
    <row r="103" spans="2:8" x14ac:dyDescent="0.25">
      <c r="B103" s="488" t="str">
        <f t="shared" ca="1" si="1"/>
        <v>Standardisierter Steuersatz SST(2024)</v>
      </c>
      <c r="C103" s="493" t="s">
        <v>126</v>
      </c>
      <c r="D103" s="11" t="str">
        <f>"Standardisierter Steuersatz SST(" &amp; $G$3-1 &amp; ")"</f>
        <v>Standardisierter Steuersatz SST(2024)</v>
      </c>
      <c r="E103" s="11" t="str">
        <f>"Taux fiscal standardisé TFS(" &amp; $G$3-1 &amp; ")"</f>
        <v>Taux fiscal standardisé TFS(2024)</v>
      </c>
      <c r="F103" s="11" t="str">
        <f>"Aliquota d'imposta standardizzata AIS(" &amp; $G$3-1 &amp; ")"</f>
        <v>Aliquota d'imposta standardizzata AIS(2024)</v>
      </c>
      <c r="G103" s="11" t="str">
        <f>"Standardized tax rate STRate(" &amp; $G$3-1 &amp; ")"</f>
        <v>Standardized tax rate STRate(2024)</v>
      </c>
      <c r="H103" s="11" t="s">
        <v>126</v>
      </c>
    </row>
    <row r="104" spans="2:8" x14ac:dyDescent="0.25">
      <c r="B104" s="488" t="str">
        <f t="shared" ca="1" si="1"/>
        <v>Faktor Delta 2019</v>
      </c>
      <c r="C104" s="493" t="s">
        <v>126</v>
      </c>
      <c r="D104" s="11" t="str">
        <f>"Faktor Delta " &amp; $G$3-6</f>
        <v>Faktor Delta 2019</v>
      </c>
      <c r="E104" s="11" t="str">
        <f>"Facteur delta " &amp; $G$3-6</f>
        <v>Facteur delta 2019</v>
      </c>
      <c r="F104" s="11" t="str">
        <f>"Fattore delta " &amp; $G$3-6</f>
        <v>Fattore delta 2019</v>
      </c>
      <c r="G104" s="11" t="str">
        <f>"Delta factor " &amp; $G$3-6</f>
        <v>Delta factor 2019</v>
      </c>
      <c r="H104" s="11" t="s">
        <v>126</v>
      </c>
    </row>
    <row r="105" spans="2:8" x14ac:dyDescent="0.25">
      <c r="B105" s="488" t="str">
        <f t="shared" ca="1" si="1"/>
        <v>Faktor Delta 2020</v>
      </c>
      <c r="C105" s="493" t="s">
        <v>126</v>
      </c>
      <c r="D105" s="11" t="str">
        <f>"Faktor Delta " &amp; $G$3-5</f>
        <v>Faktor Delta 2020</v>
      </c>
      <c r="E105" s="11" t="str">
        <f>"Facteur delta " &amp; $G$3-5</f>
        <v>Facteur delta 2020</v>
      </c>
      <c r="F105" s="11" t="str">
        <f>"Fattore delta " &amp; $G$3-5</f>
        <v>Fattore delta 2020</v>
      </c>
      <c r="G105" s="11" t="str">
        <f>"Delta factor " &amp; $G$3-5</f>
        <v>Delta factor 2020</v>
      </c>
      <c r="H105" s="11" t="s">
        <v>126</v>
      </c>
    </row>
    <row r="106" spans="2:8" x14ac:dyDescent="0.25">
      <c r="B106" s="488" t="str">
        <f t="shared" ca="1" si="1"/>
        <v>Faktor Delta 2021</v>
      </c>
      <c r="C106" s="493" t="s">
        <v>126</v>
      </c>
      <c r="D106" s="11" t="str">
        <f>"Faktor Delta " &amp; $G$3-4</f>
        <v>Faktor Delta 2021</v>
      </c>
      <c r="E106" s="11" t="str">
        <f>"Facteur delta " &amp; $G$3-4</f>
        <v>Facteur delta 2021</v>
      </c>
      <c r="F106" s="11" t="str">
        <f>"Fattore delta " &amp; $G$3-4</f>
        <v>Fattore delta 2021</v>
      </c>
      <c r="G106" s="11" t="str">
        <f>"Delta factor " &amp; $G$3-4</f>
        <v>Delta factor 2021</v>
      </c>
      <c r="H106" s="11" t="s">
        <v>126</v>
      </c>
    </row>
    <row r="107" spans="2:8" x14ac:dyDescent="0.25">
      <c r="B107" s="488" t="str">
        <f t="shared" ca="1" si="1"/>
        <v>Faktor Gamma 2019 (γ)</v>
      </c>
      <c r="C107" s="493" t="s">
        <v>126</v>
      </c>
      <c r="D107" s="11" t="str">
        <f>"Faktor Gamma " &amp; $G$3-6 &amp; " (γ)"</f>
        <v>Faktor Gamma 2019 (γ)</v>
      </c>
      <c r="E107" s="11" t="str">
        <f>"Facteur gamma " &amp; G$3-6 &amp; " (γ)"</f>
        <v>Facteur gamma 2019 (γ)</v>
      </c>
      <c r="F107" s="11" t="str">
        <f>"Fattore gamma " &amp; G$3-6 &amp; " (γ)"</f>
        <v>Fattore gamma 2019 (γ)</v>
      </c>
      <c r="G107" s="11" t="str">
        <f>"Gamma factor " &amp; $G$3-6 &amp; " (γ)"</f>
        <v>Gamma factor 2019 (γ)</v>
      </c>
      <c r="H107" s="11" t="s">
        <v>126</v>
      </c>
    </row>
    <row r="108" spans="2:8" x14ac:dyDescent="0.25">
      <c r="B108" s="488" t="str">
        <f t="shared" ca="1" si="1"/>
        <v>Faktor Gamma 2020 (γ)</v>
      </c>
      <c r="C108" s="493" t="s">
        <v>126</v>
      </c>
      <c r="D108" s="11" t="str">
        <f>"Faktor Gamma " &amp; $G$3-5 &amp; " (γ)"</f>
        <v>Faktor Gamma 2020 (γ)</v>
      </c>
      <c r="E108" s="11" t="str">
        <f>"Facteur gamma " &amp; G$3-5 &amp; " (γ)"</f>
        <v>Facteur gamma 2020 (γ)</v>
      </c>
      <c r="F108" s="11" t="str">
        <f>"Fattore gamma " &amp; G$3-5 &amp; " (γ)"</f>
        <v>Fattore gamma 2020 (γ)</v>
      </c>
      <c r="G108" s="11" t="str">
        <f>"Gamma factor " &amp; $G$3-5 &amp; " (γ)"</f>
        <v>Gamma factor 2020 (γ)</v>
      </c>
      <c r="H108" s="11" t="s">
        <v>126</v>
      </c>
    </row>
    <row r="109" spans="2:8" x14ac:dyDescent="0.25">
      <c r="B109" s="488" t="str">
        <f t="shared" ca="1" si="1"/>
        <v>Berechnung Faktor Gamma 2021</v>
      </c>
      <c r="C109" s="493" t="s">
        <v>126</v>
      </c>
      <c r="D109" s="11" t="str">
        <f>"Berechnung Faktor Gamma " &amp; $G$3-4</f>
        <v>Berechnung Faktor Gamma 2021</v>
      </c>
      <c r="E109" s="11" t="str">
        <f>"Calcul facteur gamma " &amp; $G$3-4</f>
        <v>Calcul facteur gamma 2021</v>
      </c>
      <c r="F109" s="11" t="str">
        <f>"Calcolo fattore gamma " &amp; $G$3-4</f>
        <v>Calcolo fattore gamma 2021</v>
      </c>
      <c r="G109" s="11" t="str">
        <f>"Gamma factor calculation " &amp; $G$3-4</f>
        <v>Gamma factor calculation 2021</v>
      </c>
      <c r="H109" s="11" t="s">
        <v>126</v>
      </c>
    </row>
    <row r="110" spans="2:8" x14ac:dyDescent="0.25">
      <c r="B110" s="488" t="str">
        <f t="shared" ca="1" si="1"/>
        <v>in CHF 1'000</v>
      </c>
      <c r="C110" s="493" t="s">
        <v>126</v>
      </c>
      <c r="D110" s="11" t="s">
        <v>39</v>
      </c>
      <c r="E110" s="11" t="s">
        <v>349</v>
      </c>
      <c r="F110" s="11" t="s">
        <v>332</v>
      </c>
      <c r="G110" s="11" t="s">
        <v>262</v>
      </c>
      <c r="H110" s="11" t="s">
        <v>126</v>
      </c>
    </row>
    <row r="111" spans="2:8" x14ac:dyDescent="0.25">
      <c r="B111" s="488" t="str">
        <f t="shared" ca="1" si="1"/>
        <v>A    Massgebendes Einkommen</v>
      </c>
      <c r="C111" s="493" t="s">
        <v>126</v>
      </c>
      <c r="D111" s="11" t="s">
        <v>761</v>
      </c>
      <c r="E111" s="11" t="s">
        <v>763</v>
      </c>
      <c r="F111" s="11" t="s">
        <v>765</v>
      </c>
      <c r="G111" s="11" t="s">
        <v>940</v>
      </c>
      <c r="H111" s="11" t="s">
        <v>126</v>
      </c>
    </row>
    <row r="112" spans="2:8" x14ac:dyDescent="0.25">
      <c r="B112" s="488" t="str">
        <f t="shared" ca="1" si="1"/>
        <v>B    Primäreinkommen der privaten Haushalte</v>
      </c>
      <c r="C112" s="493" t="s">
        <v>126</v>
      </c>
      <c r="D112" s="11" t="s">
        <v>762</v>
      </c>
      <c r="E112" s="11" t="s">
        <v>764</v>
      </c>
      <c r="F112" s="11" t="s">
        <v>766</v>
      </c>
      <c r="G112" s="11" t="s">
        <v>767</v>
      </c>
      <c r="H112" s="11" t="s">
        <v>126</v>
      </c>
    </row>
    <row r="113" spans="2:8" x14ac:dyDescent="0.25">
      <c r="B113" s="488" t="str">
        <f t="shared" ca="1" si="1"/>
        <v>C    Faktor Gamma 2021 (γ)     (A / B)</v>
      </c>
      <c r="C113" s="493" t="s">
        <v>126</v>
      </c>
      <c r="D113" s="11" t="str">
        <f>"C    Faktor Gamma " &amp; $G$3-4 &amp; " (γ)" &amp; "     (A / B)"</f>
        <v>C    Faktor Gamma 2021 (γ)     (A / B)</v>
      </c>
      <c r="E113" s="11" t="str">
        <f>"C    Facteur gamma " &amp; $G$3-4 &amp; " (γ)" &amp; "     (A / B)"</f>
        <v>C    Facteur gamma 2021 (γ)     (A / B)</v>
      </c>
      <c r="F113" s="11" t="str">
        <f>"C    Fattore gamma " &amp; $G$3-4 &amp; " (γ)" &amp; "     (A / B)"</f>
        <v>C    Fattore gamma 2021 (γ)     (A / B)</v>
      </c>
      <c r="G113" s="11" t="str">
        <f>"C    Gamma factor " &amp; $G$3-4 &amp; " (γ)" &amp; "     (A / B)"</f>
        <v>C    Gamma factor 2021 (γ)     (A / B)</v>
      </c>
      <c r="H113" s="11" t="s">
        <v>126</v>
      </c>
    </row>
    <row r="114" spans="2:8" x14ac:dyDescent="0.25">
      <c r="B114" s="488" t="str">
        <f t="shared" ca="1" si="1"/>
        <v>Formel für Gewicht</v>
      </c>
      <c r="C114" s="493" t="s">
        <v>126</v>
      </c>
      <c r="D114" s="11" t="s">
        <v>87</v>
      </c>
      <c r="E114" s="11" t="s">
        <v>222</v>
      </c>
      <c r="F114" s="11" t="s">
        <v>333</v>
      </c>
      <c r="G114" s="11" t="s">
        <v>263</v>
      </c>
      <c r="H114" s="11" t="s">
        <v>126</v>
      </c>
    </row>
    <row r="115" spans="2:8" x14ac:dyDescent="0.25">
      <c r="B115" s="488" t="str">
        <f t="shared" ca="1" si="1"/>
        <v>Gewicht (ω)</v>
      </c>
      <c r="C115" s="493" t="s">
        <v>126</v>
      </c>
      <c r="D115" s="11" t="s">
        <v>99</v>
      </c>
      <c r="E115" s="11" t="s">
        <v>223</v>
      </c>
      <c r="F115" s="11" t="s">
        <v>334</v>
      </c>
      <c r="G115" s="11" t="s">
        <v>264</v>
      </c>
      <c r="H115" s="11" t="s">
        <v>126</v>
      </c>
    </row>
    <row r="116" spans="2:8" x14ac:dyDescent="0.25">
      <c r="B116" s="488" t="str">
        <f t="shared" ca="1" si="1"/>
        <v>0.045 / SST(2022)</v>
      </c>
      <c r="C116" s="493" t="s">
        <v>126</v>
      </c>
      <c r="D116" s="11" t="str">
        <f>"0.045 / SST(" &amp; $G$3-3 &amp; ")"</f>
        <v>0.045 / SST(2022)</v>
      </c>
      <c r="E116" s="11" t="str">
        <f>"0.045 / TFS(" &amp; $G$3-3 &amp; ")"</f>
        <v>0.045 / TFS(2022)</v>
      </c>
      <c r="F116" s="11" t="str">
        <f>"0.045 / AIS(" &amp; $G$3-3 &amp; ")"</f>
        <v>0.045 / AIS(2022)</v>
      </c>
      <c r="G116" s="11" t="str">
        <f>"0.045 / STRate(" &amp; $G$3-3 &amp; ")"</f>
        <v>0.045 / STRate(2022)</v>
      </c>
      <c r="H116" s="11" t="s">
        <v>126</v>
      </c>
    </row>
    <row r="117" spans="2:8" x14ac:dyDescent="0.25">
      <c r="B117" s="488" t="str">
        <f t="shared" ca="1" si="1"/>
        <v>γ - 0.035 / SST(2022)</v>
      </c>
      <c r="C117" s="493" t="s">
        <v>126</v>
      </c>
      <c r="D117" s="11" t="str">
        <f>"γ - 0.035 / SST(" &amp; $G$3-3 &amp; ")"</f>
        <v>γ - 0.035 / SST(2022)</v>
      </c>
      <c r="E117" s="11" t="str">
        <f>"γ - 0.035 / TFS(" &amp; $G$3-3 &amp; ")"</f>
        <v>γ - 0.035 / TFS(2022)</v>
      </c>
      <c r="F117" s="11" t="str">
        <f>"γ - 0.035 / AIS(" &amp; $G$3-3 &amp; ")"</f>
        <v>γ - 0.035 / AIS(2022)</v>
      </c>
      <c r="G117" s="11" t="str">
        <f>"γ - 0.035 / STRate(" &amp; $G$3-3 &amp; ")"</f>
        <v>γ - 0.035 / STRate(2022)</v>
      </c>
      <c r="H117" s="11" t="s">
        <v>126</v>
      </c>
    </row>
    <row r="118" spans="2:8" x14ac:dyDescent="0.25">
      <c r="B118" s="488" t="str">
        <f t="shared" ca="1" si="1"/>
        <v>0.045 / SST(2023)</v>
      </c>
      <c r="C118" s="493" t="s">
        <v>126</v>
      </c>
      <c r="D118" s="11" t="str">
        <f>"0.045 / SST(" &amp; $G$3-2 &amp; ")"</f>
        <v>0.045 / SST(2023)</v>
      </c>
      <c r="E118" s="11" t="str">
        <f>"0.045 / TFS(" &amp; $G$3-2 &amp; ")"</f>
        <v>0.045 / TFS(2023)</v>
      </c>
      <c r="F118" s="11" t="str">
        <f>"0.045 / AIS(" &amp; $G$3-2 &amp; ")"</f>
        <v>0.045 / AIS(2023)</v>
      </c>
      <c r="G118" s="11" t="str">
        <f>"0.045 / STRate(" &amp; $G$3-2 &amp; ")"</f>
        <v>0.045 / STRate(2023)</v>
      </c>
      <c r="H118" s="11" t="s">
        <v>126</v>
      </c>
    </row>
    <row r="119" spans="2:8" x14ac:dyDescent="0.25">
      <c r="B119" s="488" t="str">
        <f t="shared" ca="1" si="1"/>
        <v>γ - 0.035 / SST(2023)</v>
      </c>
      <c r="C119" s="493" t="s">
        <v>126</v>
      </c>
      <c r="D119" s="11" t="str">
        <f>"γ - 0.035 / SST(" &amp; $G$3-2 &amp; ")"</f>
        <v>γ - 0.035 / SST(2023)</v>
      </c>
      <c r="E119" s="11" t="str">
        <f>"γ - 0.035 / TFS(" &amp; $G$3-2 &amp; ")"</f>
        <v>γ - 0.035 / TFS(2023)</v>
      </c>
      <c r="F119" s="11" t="str">
        <f>"γ - 0.035 / AIS(" &amp; $G$3-2 &amp; ")"</f>
        <v>γ - 0.035 / AIS(2023)</v>
      </c>
      <c r="G119" s="11" t="str">
        <f>"γ - 0.035 / STRate(" &amp; $G$3-2 &amp; ")"</f>
        <v>γ - 0.035 / STRate(2023)</v>
      </c>
      <c r="H119" s="11" t="s">
        <v>126</v>
      </c>
    </row>
    <row r="120" spans="2:8" x14ac:dyDescent="0.25">
      <c r="B120" s="488" t="str">
        <f t="shared" ca="1" si="1"/>
        <v>0.045 / SST(2024)</v>
      </c>
      <c r="C120" s="493" t="s">
        <v>126</v>
      </c>
      <c r="D120" s="11" t="str">
        <f>"0.045 / SST(" &amp; $G$3-1 &amp; ")"</f>
        <v>0.045 / SST(2024)</v>
      </c>
      <c r="E120" s="11" t="str">
        <f>"0.045 / TFS(" &amp; $G$3-1 &amp; ")"</f>
        <v>0.045 / TFS(2024)</v>
      </c>
      <c r="F120" s="11" t="str">
        <f>"0.045 / AIS(" &amp; $G$3-1 &amp; ")"</f>
        <v>0.045 / AIS(2024)</v>
      </c>
      <c r="G120" s="11" t="str">
        <f>"0.045 / STRate(" &amp; $G$3-1 &amp; ")"</f>
        <v>0.045 / STRate(2024)</v>
      </c>
      <c r="H120" s="11" t="s">
        <v>126</v>
      </c>
    </row>
    <row r="121" spans="2:8" x14ac:dyDescent="0.25">
      <c r="B121" s="488" t="str">
        <f t="shared" ca="1" si="1"/>
        <v>γ - 0.035 / SST(2024)</v>
      </c>
      <c r="C121" s="493" t="s">
        <v>126</v>
      </c>
      <c r="D121" s="11" t="str">
        <f>"γ - 0.035 / SST(" &amp; $G$3-1 &amp; ")"</f>
        <v>γ - 0.035 / SST(2024)</v>
      </c>
      <c r="E121" s="11" t="str">
        <f>"γ - 0.035 / TFS(" &amp; $G$3-1 &amp; ")"</f>
        <v>γ - 0.035 / TFS(2024)</v>
      </c>
      <c r="F121" s="11" t="str">
        <f>"γ - 0.035 / AIS(" &amp; $G$3-1 &amp; ")"</f>
        <v>γ - 0.035 / AIS(2024)</v>
      </c>
      <c r="G121" s="11" t="str">
        <f>"γ - 0.035 / STRate(" &amp; $G$3-1 &amp; ")"</f>
        <v>γ - 0.035 / STRate(2024)</v>
      </c>
      <c r="H121" s="11" t="s">
        <v>126</v>
      </c>
    </row>
    <row r="122" spans="2:8" ht="11.25" customHeight="1" x14ac:dyDescent="0.25">
      <c r="B122" s="488" t="str">
        <f t="shared" ca="1" si="1"/>
        <v>Grenzgänger
Total</v>
      </c>
      <c r="C122" s="493" t="s">
        <v>126</v>
      </c>
      <c r="D122" s="11" t="s">
        <v>183</v>
      </c>
      <c r="E122" s="11" t="s">
        <v>490</v>
      </c>
      <c r="F122" s="11" t="s">
        <v>436</v>
      </c>
      <c r="G122" s="11" t="s">
        <v>470</v>
      </c>
      <c r="H122" s="11" t="s">
        <v>126</v>
      </c>
    </row>
    <row r="123" spans="2:8" x14ac:dyDescent="0.25">
      <c r="B123" s="488" t="str">
        <f t="shared" ca="1" si="1"/>
        <v>Ergebnis auf
der Basis der
Bruttolöhne
(Grenzgänger)</v>
      </c>
      <c r="C123" s="493" t="s">
        <v>126</v>
      </c>
      <c r="D123" s="11" t="s">
        <v>360</v>
      </c>
      <c r="E123" s="11" t="s">
        <v>392</v>
      </c>
      <c r="F123" s="11" t="s">
        <v>437</v>
      </c>
      <c r="G123" s="11" t="s">
        <v>917</v>
      </c>
      <c r="H123" s="11" t="s">
        <v>126</v>
      </c>
    </row>
    <row r="124" spans="2:8" x14ac:dyDescent="0.25">
      <c r="B124" s="488" t="str">
        <f t="shared" ca="1" si="1"/>
        <v>Massgebende
quellenbesteuerte
Einkommen</v>
      </c>
      <c r="C124" s="493" t="s">
        <v>126</v>
      </c>
      <c r="D124" s="11" t="s">
        <v>361</v>
      </c>
      <c r="E124" s="11" t="s">
        <v>393</v>
      </c>
      <c r="F124" s="11" t="s">
        <v>438</v>
      </c>
      <c r="G124" s="11" t="s">
        <v>941</v>
      </c>
      <c r="H124" s="11" t="s">
        <v>126</v>
      </c>
    </row>
    <row r="125" spans="2:8" x14ac:dyDescent="0.25">
      <c r="B125" s="488" t="str">
        <f t="shared" ca="1" si="1"/>
        <v>Massgebende quellenbesteuerte Einkommen</v>
      </c>
      <c r="C125" s="493" t="s">
        <v>126</v>
      </c>
      <c r="D125" s="11" t="s">
        <v>394</v>
      </c>
      <c r="E125" s="11" t="s">
        <v>224</v>
      </c>
      <c r="F125" s="11" t="s">
        <v>335</v>
      </c>
      <c r="G125" s="11" t="s">
        <v>929</v>
      </c>
      <c r="H125" s="11" t="s">
        <v>126</v>
      </c>
    </row>
    <row r="126" spans="2:8" x14ac:dyDescent="0.25">
      <c r="B126" s="488" t="str">
        <f t="shared" ca="1" si="1"/>
        <v>X * Delta</v>
      </c>
      <c r="C126" s="493" t="s">
        <v>126</v>
      </c>
      <c r="D126" s="11" t="s">
        <v>109</v>
      </c>
      <c r="E126" s="11" t="s">
        <v>718</v>
      </c>
      <c r="F126" s="11" t="s">
        <v>718</v>
      </c>
      <c r="G126" s="11" t="s">
        <v>718</v>
      </c>
      <c r="H126" s="11" t="s">
        <v>126</v>
      </c>
    </row>
    <row r="127" spans="2:8" x14ac:dyDescent="0.25">
      <c r="B127" s="488" t="str">
        <f t="shared" ca="1" si="1"/>
        <v>Q + Y</v>
      </c>
      <c r="C127" s="493"/>
      <c r="D127" s="11" t="s">
        <v>769</v>
      </c>
      <c r="E127" s="11" t="s">
        <v>769</v>
      </c>
      <c r="F127" s="11" t="s">
        <v>769</v>
      </c>
      <c r="G127" s="11" t="s">
        <v>769</v>
      </c>
      <c r="H127" s="11" t="s">
        <v>126</v>
      </c>
    </row>
    <row r="128" spans="2:8" x14ac:dyDescent="0.25">
      <c r="B128" s="492" t="str">
        <f t="shared" ca="1" si="1"/>
        <v>Vermögen natürlicher Personen 2025</v>
      </c>
      <c r="C128" s="493" t="s">
        <v>163</v>
      </c>
      <c r="D128" s="485" t="str">
        <f>"Vermögen natürlicher Personen " &amp; $G$3</f>
        <v>Vermögen natürlicher Personen 2025</v>
      </c>
      <c r="E128" s="485" t="str">
        <f>"Fortune des personnes physiques " &amp; $G$3</f>
        <v>Fortune des personnes physiques 2025</v>
      </c>
      <c r="F128" s="485" t="str">
        <f>"Sostanza delle persone fisiche " &amp; $G$3</f>
        <v>Sostanza delle persone fisiche 2025</v>
      </c>
      <c r="G128" s="485" t="str">
        <f>"Wealth " &amp; $G$3</f>
        <v>Wealth 2025</v>
      </c>
      <c r="H128" s="485" t="s">
        <v>126</v>
      </c>
    </row>
    <row r="129" spans="2:8" x14ac:dyDescent="0.25">
      <c r="B129" s="488" t="str">
        <f t="shared" ca="1" si="1"/>
        <v>Reinvermögen</v>
      </c>
      <c r="C129" s="493" t="s">
        <v>126</v>
      </c>
      <c r="D129" s="11" t="s">
        <v>44</v>
      </c>
      <c r="E129" s="11" t="s">
        <v>225</v>
      </c>
      <c r="F129" s="11" t="s">
        <v>336</v>
      </c>
      <c r="G129" s="11" t="s">
        <v>235</v>
      </c>
      <c r="H129" s="11" t="s">
        <v>126</v>
      </c>
    </row>
    <row r="130" spans="2:8" x14ac:dyDescent="0.25">
      <c r="B130" s="488" t="str">
        <f t="shared" ca="1" si="1"/>
        <v>Massgebendes
Vermögen</v>
      </c>
      <c r="C130" s="493" t="s">
        <v>126</v>
      </c>
      <c r="D130" s="11" t="s">
        <v>362</v>
      </c>
      <c r="E130" s="11" t="s">
        <v>395</v>
      </c>
      <c r="F130" s="11" t="s">
        <v>396</v>
      </c>
      <c r="G130" s="11" t="s">
        <v>397</v>
      </c>
      <c r="H130" s="11" t="s">
        <v>126</v>
      </c>
    </row>
    <row r="131" spans="2:8" x14ac:dyDescent="0.25">
      <c r="B131" s="488" t="str">
        <f t="shared" ca="1" si="1"/>
        <v>Alpha</v>
      </c>
      <c r="C131" s="493" t="s">
        <v>126</v>
      </c>
      <c r="D131" s="11" t="s">
        <v>502</v>
      </c>
      <c r="E131" s="11" t="s">
        <v>503</v>
      </c>
      <c r="F131" s="11" t="s">
        <v>504</v>
      </c>
      <c r="G131" s="11" t="s">
        <v>503</v>
      </c>
      <c r="H131" s="11" t="s">
        <v>126</v>
      </c>
    </row>
    <row r="132" spans="2:8" x14ac:dyDescent="0.25">
      <c r="B132" s="488" t="str">
        <f t="shared" ca="1" si="1"/>
        <v>Alpha</v>
      </c>
      <c r="C132" s="493" t="s">
        <v>126</v>
      </c>
      <c r="D132" s="11" t="s">
        <v>502</v>
      </c>
      <c r="E132" s="11" t="s">
        <v>502</v>
      </c>
      <c r="F132" s="11" t="s">
        <v>649</v>
      </c>
      <c r="G132" s="11" t="s">
        <v>502</v>
      </c>
      <c r="H132" s="11" t="s">
        <v>126</v>
      </c>
    </row>
    <row r="133" spans="2:8" x14ac:dyDescent="0.25">
      <c r="B133" s="492" t="str">
        <f t="shared" ref="B133:B170" ca="1" si="2">INDIRECT(ADDRESS(ROW(),$D$7+3))</f>
        <v>Gewinne juristischer Personen 2025</v>
      </c>
      <c r="C133" s="493" t="s">
        <v>164</v>
      </c>
      <c r="D133" s="485" t="str">
        <f>"Gewinne juristischer Personen " &amp; $G$3</f>
        <v>Gewinne juristischer Personen 2025</v>
      </c>
      <c r="E133" s="485" t="str">
        <f>"Bénéfice des personnes morales " &amp; $G$3</f>
        <v>Bénéfice des personnes morales 2025</v>
      </c>
      <c r="F133" s="485" t="str">
        <f>"Utili delle persone giuridiche " &amp; $G$3</f>
        <v>Utili delle persone giuridiche 2025</v>
      </c>
      <c r="G133" s="485" t="str">
        <f>"Profit of legal entities " &amp; $G$3</f>
        <v>Profit of legal entities 2025</v>
      </c>
      <c r="H133" s="485" t="s">
        <v>126</v>
      </c>
    </row>
    <row r="134" spans="2:8" x14ac:dyDescent="0.25">
      <c r="B134" s="488" t="str">
        <f t="shared" ca="1" si="2"/>
        <v>Massgebender Gewinn ehemaliger Statusgesellschaften</v>
      </c>
      <c r="C134" s="493" t="s">
        <v>126</v>
      </c>
      <c r="D134" s="11" t="s">
        <v>745</v>
      </c>
      <c r="E134" s="11" t="s">
        <v>868</v>
      </c>
      <c r="F134" s="11" t="s">
        <v>819</v>
      </c>
      <c r="G134" s="11" t="s">
        <v>812</v>
      </c>
      <c r="H134" s="11" t="s">
        <v>126</v>
      </c>
    </row>
    <row r="135" spans="2:8" x14ac:dyDescent="0.25">
      <c r="B135" s="488" t="str">
        <f t="shared" ca="1" si="2"/>
        <v xml:space="preserve">Massgebender
Gewinn übriger
Unternehmen
</v>
      </c>
      <c r="C135" s="493" t="s">
        <v>126</v>
      </c>
      <c r="D135" s="11" t="s">
        <v>747</v>
      </c>
      <c r="E135" s="11" t="s">
        <v>907</v>
      </c>
      <c r="F135" s="11" t="s">
        <v>832</v>
      </c>
      <c r="G135" s="11" t="s">
        <v>830</v>
      </c>
      <c r="H135" s="11" t="s">
        <v>126</v>
      </c>
    </row>
    <row r="136" spans="2:8" x14ac:dyDescent="0.25">
      <c r="B136" s="488" t="str">
        <f t="shared" ca="1" si="2"/>
        <v xml:space="preserve">        Betagewichtet</v>
      </c>
      <c r="C136" s="493" t="s">
        <v>126</v>
      </c>
      <c r="D136" s="11" t="s">
        <v>918</v>
      </c>
      <c r="E136" s="11" t="s">
        <v>869</v>
      </c>
      <c r="F136" s="11" t="s">
        <v>820</v>
      </c>
      <c r="G136" s="11" t="s">
        <v>920</v>
      </c>
      <c r="H136" s="11" t="s">
        <v>126</v>
      </c>
    </row>
    <row r="137" spans="2:8" x14ac:dyDescent="0.25">
      <c r="B137" s="488" t="str">
        <f t="shared" ca="1" si="2"/>
        <v xml:space="preserve">        Zetagewichtet</v>
      </c>
      <c r="C137" s="493" t="s">
        <v>126</v>
      </c>
      <c r="D137" s="11" t="s">
        <v>919</v>
      </c>
      <c r="E137" s="11" t="s">
        <v>870</v>
      </c>
      <c r="F137" s="11" t="s">
        <v>821</v>
      </c>
      <c r="G137" s="11" t="s">
        <v>921</v>
      </c>
      <c r="H137" s="11" t="s">
        <v>126</v>
      </c>
    </row>
    <row r="138" spans="2:8" x14ac:dyDescent="0.25">
      <c r="B138" s="488" t="str">
        <f t="shared" ca="1" si="2"/>
        <v>Massgebender
Gewinn</v>
      </c>
      <c r="C138" s="493" t="s">
        <v>126</v>
      </c>
      <c r="D138" s="11" t="s">
        <v>654</v>
      </c>
      <c r="E138" s="11" t="s">
        <v>744</v>
      </c>
      <c r="F138" s="11" t="s">
        <v>715</v>
      </c>
      <c r="G138" s="11" t="s">
        <v>716</v>
      </c>
      <c r="H138" s="11" t="s">
        <v>126</v>
      </c>
    </row>
    <row r="139" spans="2:8" x14ac:dyDescent="0.25">
      <c r="B139" s="488" t="str">
        <f t="shared" ca="1" si="2"/>
        <v>Massgebender
Gewinn
juristischer
Personen</v>
      </c>
      <c r="C139" s="493" t="s">
        <v>126</v>
      </c>
      <c r="D139" s="11" t="s">
        <v>748</v>
      </c>
      <c r="E139" s="11" t="s">
        <v>403</v>
      </c>
      <c r="F139" s="11" t="s">
        <v>444</v>
      </c>
      <c r="G139" s="11" t="s">
        <v>831</v>
      </c>
      <c r="H139" s="11" t="s">
        <v>126</v>
      </c>
    </row>
    <row r="140" spans="2:8" x14ac:dyDescent="0.25">
      <c r="B140" s="488" t="str">
        <f t="shared" ca="1" si="2"/>
        <v>vor
Umbuchung</v>
      </c>
      <c r="C140" s="493" t="s">
        <v>126</v>
      </c>
      <c r="D140" s="11" t="s">
        <v>908</v>
      </c>
      <c r="E140" s="11" t="s">
        <v>910</v>
      </c>
      <c r="F140" s="11" t="s">
        <v>912</v>
      </c>
      <c r="G140" s="11" t="s">
        <v>914</v>
      </c>
      <c r="H140" s="11" t="s">
        <v>126</v>
      </c>
    </row>
    <row r="141" spans="2:8" x14ac:dyDescent="0.25">
      <c r="B141" s="488" t="str">
        <f t="shared" ca="1" si="2"/>
        <v>nach
Umbuchung</v>
      </c>
      <c r="C141" s="493" t="s">
        <v>126</v>
      </c>
      <c r="D141" s="11" t="s">
        <v>909</v>
      </c>
      <c r="E141" s="11" t="s">
        <v>911</v>
      </c>
      <c r="F141" s="11" t="s">
        <v>913</v>
      </c>
      <c r="G141" s="11" t="s">
        <v>915</v>
      </c>
      <c r="H141" s="11" t="s">
        <v>126</v>
      </c>
    </row>
    <row r="142" spans="2:8" x14ac:dyDescent="0.25">
      <c r="B142" s="488" t="str">
        <f t="shared" ca="1" si="2"/>
        <v>Beta-Faktoren
Zeta-Faktoren
Umbuchungsfaktor</v>
      </c>
      <c r="C142" s="493" t="s">
        <v>126</v>
      </c>
      <c r="D142" s="11" t="s">
        <v>726</v>
      </c>
      <c r="E142" s="11" t="s">
        <v>871</v>
      </c>
      <c r="F142" s="11" t="s">
        <v>822</v>
      </c>
      <c r="G142" s="11" t="s">
        <v>815</v>
      </c>
      <c r="H142" s="11" t="s">
        <v>126</v>
      </c>
    </row>
    <row r="143" spans="2:8" x14ac:dyDescent="0.25">
      <c r="B143" s="488" t="str">
        <f t="shared" ca="1" si="2"/>
        <v>Zeta</v>
      </c>
      <c r="C143" s="493" t="s">
        <v>126</v>
      </c>
      <c r="D143" s="11" t="s">
        <v>657</v>
      </c>
      <c r="E143" s="11" t="s">
        <v>697</v>
      </c>
      <c r="F143" s="11" t="s">
        <v>657</v>
      </c>
      <c r="G143" s="11" t="s">
        <v>657</v>
      </c>
      <c r="H143" s="11" t="s">
        <v>126</v>
      </c>
    </row>
    <row r="144" spans="2:8" x14ac:dyDescent="0.25">
      <c r="B144" s="488" t="str">
        <f t="shared" ca="1" si="2"/>
        <v>Zeta-1</v>
      </c>
      <c r="C144" s="493" t="s">
        <v>126</v>
      </c>
      <c r="D144" s="11" t="s">
        <v>655</v>
      </c>
      <c r="E144" s="11" t="s">
        <v>698</v>
      </c>
      <c r="F144" s="11" t="s">
        <v>655</v>
      </c>
      <c r="G144" s="11" t="s">
        <v>655</v>
      </c>
      <c r="H144" s="11" t="s">
        <v>126</v>
      </c>
    </row>
    <row r="145" spans="2:8" x14ac:dyDescent="0.25">
      <c r="B145" s="488" t="str">
        <f t="shared" ca="1" si="2"/>
        <v>Zeta-2</v>
      </c>
      <c r="C145" s="493" t="s">
        <v>126</v>
      </c>
      <c r="D145" s="11" t="s">
        <v>656</v>
      </c>
      <c r="E145" s="11" t="s">
        <v>699</v>
      </c>
      <c r="F145" s="11" t="s">
        <v>656</v>
      </c>
      <c r="G145" s="11" t="s">
        <v>656</v>
      </c>
      <c r="H145" s="11" t="s">
        <v>126</v>
      </c>
    </row>
    <row r="146" spans="2:8" x14ac:dyDescent="0.25">
      <c r="B146" s="488" t="str">
        <f t="shared" ca="1" si="2"/>
        <v>Beta</v>
      </c>
      <c r="C146" s="493" t="s">
        <v>126</v>
      </c>
      <c r="D146" s="11" t="s">
        <v>658</v>
      </c>
      <c r="E146" s="11" t="s">
        <v>696</v>
      </c>
      <c r="F146" s="11" t="s">
        <v>658</v>
      </c>
      <c r="G146" s="11" t="s">
        <v>658</v>
      </c>
      <c r="H146" s="11" t="s">
        <v>126</v>
      </c>
    </row>
    <row r="147" spans="2:8" x14ac:dyDescent="0.25">
      <c r="B147" s="488" t="str">
        <f t="shared" ca="1" si="2"/>
        <v>Holdinggesellschaften</v>
      </c>
      <c r="C147" s="493" t="s">
        <v>126</v>
      </c>
      <c r="D147" s="11" t="s">
        <v>79</v>
      </c>
      <c r="E147" s="11" t="s">
        <v>226</v>
      </c>
      <c r="F147" s="11" t="s">
        <v>337</v>
      </c>
      <c r="G147" s="11" t="s">
        <v>265</v>
      </c>
      <c r="H147" s="11" t="s">
        <v>126</v>
      </c>
    </row>
    <row r="148" spans="2:8" x14ac:dyDescent="0.25">
      <c r="B148" s="488" t="str">
        <f t="shared" ca="1" si="2"/>
        <v>Domizilgesellschaften</v>
      </c>
      <c r="C148" s="493" t="s">
        <v>126</v>
      </c>
      <c r="D148" s="11" t="s">
        <v>80</v>
      </c>
      <c r="E148" s="11" t="s">
        <v>227</v>
      </c>
      <c r="F148" s="11" t="s">
        <v>338</v>
      </c>
      <c r="G148" s="11" t="s">
        <v>266</v>
      </c>
      <c r="H148" s="11" t="s">
        <v>126</v>
      </c>
    </row>
    <row r="149" spans="2:8" x14ac:dyDescent="0.25">
      <c r="B149" s="488" t="str">
        <f t="shared" ca="1" si="2"/>
        <v>Gemischte Gesellschaften</v>
      </c>
      <c r="C149" s="493" t="s">
        <v>126</v>
      </c>
      <c r="D149" s="11" t="s">
        <v>81</v>
      </c>
      <c r="E149" s="11" t="s">
        <v>228</v>
      </c>
      <c r="F149" s="11" t="s">
        <v>339</v>
      </c>
      <c r="G149" s="11" t="s">
        <v>267</v>
      </c>
      <c r="H149" s="11" t="s">
        <v>126</v>
      </c>
    </row>
    <row r="150" spans="2:8" x14ac:dyDescent="0.25">
      <c r="B150" s="488" t="str">
        <f t="shared" ca="1" si="2"/>
        <v xml:space="preserve">Umbuchung ehemalige </v>
      </c>
      <c r="C150" s="493" t="s">
        <v>126</v>
      </c>
      <c r="D150" s="11" t="s">
        <v>743</v>
      </c>
      <c r="E150" s="11" t="s">
        <v>898</v>
      </c>
      <c r="F150" s="11" t="s">
        <v>828</v>
      </c>
      <c r="G150" s="11" t="s">
        <v>813</v>
      </c>
      <c r="H150" s="11" t="s">
        <v>126</v>
      </c>
    </row>
    <row r="151" spans="2:8" x14ac:dyDescent="0.25">
      <c r="B151" s="488" t="str">
        <f t="shared" ca="1" si="2"/>
        <v>Statusgesellschaften</v>
      </c>
      <c r="C151" s="493" t="s">
        <v>126</v>
      </c>
      <c r="D151" s="11" t="s">
        <v>742</v>
      </c>
      <c r="E151" s="11" t="s">
        <v>899</v>
      </c>
      <c r="F151" s="11" t="s">
        <v>829</v>
      </c>
      <c r="G151" s="11" t="s">
        <v>814</v>
      </c>
      <c r="H151" s="11" t="s">
        <v>126</v>
      </c>
    </row>
    <row r="152" spans="2:8" x14ac:dyDescent="0.25">
      <c r="B152" s="488" t="str">
        <f t="shared" ca="1" si="2"/>
        <v>Zetagewichtet (UF)</v>
      </c>
      <c r="C152" s="493" t="s">
        <v>126</v>
      </c>
      <c r="D152" s="11" t="s">
        <v>755</v>
      </c>
      <c r="E152" s="11" t="s">
        <v>944</v>
      </c>
      <c r="F152" s="11" t="s">
        <v>823</v>
      </c>
      <c r="G152" s="11" t="s">
        <v>825</v>
      </c>
      <c r="H152" s="11" t="s">
        <v>126</v>
      </c>
    </row>
    <row r="153" spans="2:8" x14ac:dyDescent="0.25">
      <c r="B153" s="490" t="str">
        <f t="shared" ca="1" si="2"/>
        <v>Betagewichtet (1-UF)</v>
      </c>
      <c r="C153" s="493" t="s">
        <v>126</v>
      </c>
      <c r="D153" s="11" t="s">
        <v>756</v>
      </c>
      <c r="E153" s="11" t="s">
        <v>945</v>
      </c>
      <c r="F153" s="11" t="s">
        <v>824</v>
      </c>
      <c r="G153" s="11" t="s">
        <v>826</v>
      </c>
      <c r="H153" s="11" t="s">
        <v>126</v>
      </c>
    </row>
    <row r="154" spans="2:8" x14ac:dyDescent="0.25">
      <c r="B154" s="491" t="str">
        <f t="shared" ca="1" si="2"/>
        <v>Steuerrepartitionen 2025</v>
      </c>
      <c r="C154" s="493" t="s">
        <v>165</v>
      </c>
      <c r="D154" s="485" t="str">
        <f>"Steuerrepartitionen " &amp; $G$3</f>
        <v>Steuerrepartitionen 2025</v>
      </c>
      <c r="E154" s="485" t="str">
        <f>"Répartitions fiscales " &amp; $G$3</f>
        <v>Répartitions fiscales 2025</v>
      </c>
      <c r="F154" s="485" t="str">
        <f>"Riparti fiscali " &amp; $G$3</f>
        <v>Riparti fiscali 2025</v>
      </c>
      <c r="G154" s="485" t="str">
        <f>"Tax repartitions " &amp; $G$3</f>
        <v>Tax repartitions 2025</v>
      </c>
      <c r="H154" s="485" t="s">
        <v>126</v>
      </c>
    </row>
    <row r="155" spans="2:8" x14ac:dyDescent="0.25">
      <c r="B155" s="488" t="str">
        <f t="shared" ca="1" si="2"/>
        <v>Zu Gunsten
anderer
Kantone</v>
      </c>
      <c r="C155" s="493" t="s">
        <v>126</v>
      </c>
      <c r="D155" s="11" t="s">
        <v>48</v>
      </c>
      <c r="E155" s="11" t="s">
        <v>398</v>
      </c>
      <c r="F155" s="11" t="s">
        <v>439</v>
      </c>
      <c r="G155" s="11" t="s">
        <v>380</v>
      </c>
      <c r="H155" s="11" t="s">
        <v>126</v>
      </c>
    </row>
    <row r="156" spans="2:8" x14ac:dyDescent="0.25">
      <c r="B156" s="488" t="str">
        <f t="shared" ca="1" si="2"/>
        <v>Erhalten von
anderen
Kantonen</v>
      </c>
      <c r="C156" s="493" t="s">
        <v>126</v>
      </c>
      <c r="D156" s="11" t="s">
        <v>47</v>
      </c>
      <c r="E156" s="11" t="s">
        <v>399</v>
      </c>
      <c r="F156" s="11" t="s">
        <v>440</v>
      </c>
      <c r="G156" s="11" t="s">
        <v>381</v>
      </c>
      <c r="H156" s="11" t="s">
        <v>126</v>
      </c>
    </row>
    <row r="157" spans="2:8" x14ac:dyDescent="0.25">
      <c r="B157" s="488" t="str">
        <f t="shared" ca="1" si="2"/>
        <v>Saldo</v>
      </c>
      <c r="C157" s="493" t="s">
        <v>126</v>
      </c>
      <c r="D157" s="11" t="s">
        <v>46</v>
      </c>
      <c r="E157" s="11" t="s">
        <v>229</v>
      </c>
      <c r="F157" s="11" t="s">
        <v>340</v>
      </c>
      <c r="G157" s="11" t="s">
        <v>236</v>
      </c>
      <c r="H157" s="11" t="s">
        <v>126</v>
      </c>
    </row>
    <row r="158" spans="2:8" x14ac:dyDescent="0.25">
      <c r="B158" s="488" t="str">
        <f t="shared" ca="1" si="2"/>
        <v>Steueraufkommen
DBSt</v>
      </c>
      <c r="C158" s="493" t="s">
        <v>126</v>
      </c>
      <c r="D158" s="11" t="s">
        <v>770</v>
      </c>
      <c r="E158" s="11" t="s">
        <v>771</v>
      </c>
      <c r="F158" s="11" t="s">
        <v>827</v>
      </c>
      <c r="G158" s="11" t="s">
        <v>772</v>
      </c>
      <c r="H158" s="11" t="s">
        <v>126</v>
      </c>
    </row>
    <row r="159" spans="2:8" ht="11.25" customHeight="1" x14ac:dyDescent="0.25">
      <c r="B159" s="488" t="str">
        <f t="shared" ca="1" si="2"/>
        <v>Massgebende Steuerbemessungs-grundlage DBSt</v>
      </c>
      <c r="C159" s="493" t="s">
        <v>126</v>
      </c>
      <c r="D159" s="11" t="s">
        <v>45</v>
      </c>
      <c r="E159" s="11" t="s">
        <v>400</v>
      </c>
      <c r="F159" s="11" t="s">
        <v>491</v>
      </c>
      <c r="G159" s="11" t="s">
        <v>382</v>
      </c>
      <c r="H159" s="11" t="s">
        <v>126</v>
      </c>
    </row>
    <row r="160" spans="2:8" x14ac:dyDescent="0.25">
      <c r="B160" s="488" t="str">
        <f t="shared" ca="1" si="2"/>
        <v>Gewichtungs-
faktor</v>
      </c>
      <c r="C160" s="493" t="s">
        <v>126</v>
      </c>
      <c r="D160" s="11" t="s">
        <v>363</v>
      </c>
      <c r="E160" s="11" t="s">
        <v>401</v>
      </c>
      <c r="F160" s="11" t="s">
        <v>441</v>
      </c>
      <c r="G160" s="11" t="s">
        <v>471</v>
      </c>
      <c r="H160" s="11" t="s">
        <v>126</v>
      </c>
    </row>
    <row r="161" spans="2:8" x14ac:dyDescent="0.25">
      <c r="B161" s="490" t="str">
        <f t="shared" ca="1" si="2"/>
        <v>Massgebende
Steuerrepartitionen</v>
      </c>
      <c r="C161" s="493" t="s">
        <v>126</v>
      </c>
      <c r="D161" s="11" t="s">
        <v>364</v>
      </c>
      <c r="E161" s="11" t="s">
        <v>402</v>
      </c>
      <c r="F161" s="11" t="s">
        <v>442</v>
      </c>
      <c r="G161" s="11" t="s">
        <v>472</v>
      </c>
      <c r="H161" s="11" t="s">
        <v>126</v>
      </c>
    </row>
    <row r="162" spans="2:8" x14ac:dyDescent="0.25">
      <c r="B162" s="491" t="str">
        <f t="shared" ca="1" si="2"/>
        <v>Aggregierte Steuerbemessungsgrundlage (ASG) 2025</v>
      </c>
      <c r="C162" s="493" t="s">
        <v>166</v>
      </c>
      <c r="D162" s="485" t="str">
        <f>"Aggregierte Steuerbemessungsgrundlage (ASG) " &amp; $G$3</f>
        <v>Aggregierte Steuerbemessungsgrundlage (ASG) 2025</v>
      </c>
      <c r="E162" s="485" t="str">
        <f>"Assiette fiscale agrégée (AFA) " &amp; $G$3</f>
        <v>Assiette fiscale agrégée (AFA) 2025</v>
      </c>
      <c r="F162" s="485" t="str">
        <f>"Base imponibile aggregata (BIA) " &amp; $G$3</f>
        <v>Base imponibile aggregata (BIA) 2025</v>
      </c>
      <c r="G162" s="485" t="str">
        <f>"Aggregated tax base (ATB) " &amp; $G$3</f>
        <v>Aggregated tax base (ATB) 2025</v>
      </c>
      <c r="H162" s="485" t="s">
        <v>126</v>
      </c>
    </row>
    <row r="163" spans="2:8" x14ac:dyDescent="0.25">
      <c r="B163" s="488" t="str">
        <f t="shared" ca="1" si="2"/>
        <v>Massgebendes
Einkommen der
natürlichen
Personen</v>
      </c>
      <c r="C163" s="493" t="s">
        <v>126</v>
      </c>
      <c r="D163" s="11" t="s">
        <v>365</v>
      </c>
      <c r="E163" s="11" t="s">
        <v>384</v>
      </c>
      <c r="F163" s="11" t="s">
        <v>443</v>
      </c>
      <c r="G163" s="11" t="s">
        <v>939</v>
      </c>
      <c r="H163" s="11" t="s">
        <v>126</v>
      </c>
    </row>
    <row r="164" spans="2:8" x14ac:dyDescent="0.25">
      <c r="B164" s="488" t="str">
        <f t="shared" ca="1" si="2"/>
        <v>Massgebendes
quellenbesteuertes
Einkommen</v>
      </c>
      <c r="C164" s="493" t="s">
        <v>126</v>
      </c>
      <c r="D164" s="11" t="s">
        <v>366</v>
      </c>
      <c r="E164" s="11" t="s">
        <v>393</v>
      </c>
      <c r="F164" s="11" t="s">
        <v>438</v>
      </c>
      <c r="G164" s="11" t="s">
        <v>941</v>
      </c>
      <c r="H164" s="11" t="s">
        <v>126</v>
      </c>
    </row>
    <row r="165" spans="2:8" x14ac:dyDescent="0.25">
      <c r="B165" s="488" t="str">
        <f t="shared" ca="1" si="2"/>
        <v>Massgebendes
Vermögen</v>
      </c>
      <c r="C165" s="493" t="s">
        <v>126</v>
      </c>
      <c r="D165" s="11" t="s">
        <v>362</v>
      </c>
      <c r="E165" s="11" t="s">
        <v>395</v>
      </c>
      <c r="F165" s="11" t="s">
        <v>396</v>
      </c>
      <c r="G165" s="11" t="s">
        <v>397</v>
      </c>
      <c r="H165" s="11" t="s">
        <v>126</v>
      </c>
    </row>
    <row r="166" spans="2:8" x14ac:dyDescent="0.25">
      <c r="B166" s="488" t="str">
        <f t="shared" ca="1" si="2"/>
        <v>Massgebender
Gewinn der
juristischen
Personen</v>
      </c>
      <c r="C166" s="493" t="s">
        <v>126</v>
      </c>
      <c r="D166" s="11" t="s">
        <v>367</v>
      </c>
      <c r="E166" s="11" t="s">
        <v>403</v>
      </c>
      <c r="F166" s="11" t="s">
        <v>444</v>
      </c>
      <c r="G166" s="11" t="s">
        <v>473</v>
      </c>
      <c r="H166" s="11" t="s">
        <v>126</v>
      </c>
    </row>
    <row r="167" spans="2:8" x14ac:dyDescent="0.25">
      <c r="B167" s="488" t="str">
        <f t="shared" ca="1" si="2"/>
        <v>Massgebende
Steuer-
repartitionen</v>
      </c>
      <c r="C167" s="493" t="s">
        <v>126</v>
      </c>
      <c r="D167" s="11" t="s">
        <v>368</v>
      </c>
      <c r="E167" s="11" t="s">
        <v>402</v>
      </c>
      <c r="F167" s="11" t="s">
        <v>442</v>
      </c>
      <c r="G167" s="11" t="s">
        <v>472</v>
      </c>
      <c r="H167" s="11" t="s">
        <v>126</v>
      </c>
    </row>
    <row r="168" spans="2:8" x14ac:dyDescent="0.25">
      <c r="B168" s="490" t="str">
        <f t="shared" ca="1" si="2"/>
        <v>ASG Total</v>
      </c>
      <c r="C168" s="493" t="s">
        <v>126</v>
      </c>
      <c r="D168" s="11" t="s">
        <v>52</v>
      </c>
      <c r="E168" s="11" t="s">
        <v>230</v>
      </c>
      <c r="F168" s="11" t="s">
        <v>341</v>
      </c>
      <c r="G168" s="11" t="s">
        <v>237</v>
      </c>
      <c r="H168" s="11" t="s">
        <v>126</v>
      </c>
    </row>
    <row r="169" spans="2:8" x14ac:dyDescent="0.25">
      <c r="B169" s="491" t="str">
        <f t="shared" ca="1" si="2"/>
        <v>Massgebende Wohnbevölkerung 2025</v>
      </c>
      <c r="C169" s="493" t="s">
        <v>167</v>
      </c>
      <c r="D169" s="485" t="str">
        <f>"Massgebende Wohnbevölkerung " &amp; $G$3</f>
        <v>Massgebende Wohnbevölkerung 2025</v>
      </c>
      <c r="E169" s="485" t="str">
        <f>"Population résidante déterminante " &amp; $G$3</f>
        <v>Population résidante déterminante 2025</v>
      </c>
      <c r="F169" s="485" t="str">
        <f>"Popolazione residente determinante " &amp; $G$3</f>
        <v>Popolazione residente determinante 2025</v>
      </c>
      <c r="G169" s="485" t="str">
        <f>"Relevant resident population " &amp; $G$3</f>
        <v>Relevant resident population 2025</v>
      </c>
      <c r="H169" s="485" t="s">
        <v>126</v>
      </c>
    </row>
    <row r="170" spans="2:8" ht="12" customHeight="1" x14ac:dyDescent="0.25">
      <c r="B170" s="488" t="str">
        <f t="shared" ca="1" si="2"/>
        <v>Mittlere ständige und nichtständige Wohnbevölkerung</v>
      </c>
      <c r="C170" s="493" t="s">
        <v>126</v>
      </c>
      <c r="D170" s="11" t="s">
        <v>95</v>
      </c>
      <c r="E170" s="11" t="s">
        <v>422</v>
      </c>
      <c r="F170" s="11" t="s">
        <v>445</v>
      </c>
      <c r="G170" s="11" t="s">
        <v>268</v>
      </c>
      <c r="H170" s="11" t="s">
        <v>126</v>
      </c>
    </row>
    <row r="171" spans="2:8" x14ac:dyDescent="0.25">
      <c r="B171" s="490" t="str">
        <f t="shared" ref="B171:B229" ca="1" si="3">INDIRECT(ADDRESS(ROW(),$D$7+3))</f>
        <v>Massgebende
Wohnbevölkerung</v>
      </c>
      <c r="C171" s="493" t="s">
        <v>126</v>
      </c>
      <c r="D171" s="11" t="s">
        <v>369</v>
      </c>
      <c r="E171" s="11" t="s">
        <v>404</v>
      </c>
      <c r="F171" s="11" t="s">
        <v>446</v>
      </c>
      <c r="G171" s="11" t="s">
        <v>474</v>
      </c>
      <c r="H171" s="11" t="s">
        <v>126</v>
      </c>
    </row>
    <row r="172" spans="2:8" x14ac:dyDescent="0.25">
      <c r="B172" s="491" t="str">
        <f t="shared" ca="1" si="3"/>
        <v>Berechnung Ressourcenpotenzial und -index 2025</v>
      </c>
      <c r="C172" s="493" t="s">
        <v>168</v>
      </c>
      <c r="D172" s="485" t="str">
        <f>"Berechnung Ressourcenpotenzial und -index " &amp; $G$3</f>
        <v>Berechnung Ressourcenpotenzial und -index 2025</v>
      </c>
      <c r="E172" s="485" t="str">
        <f>"Calcul du potentiel de ressources et de l'indice des ressources " &amp; $G$3</f>
        <v>Calcul du potentiel de ressources et de l'indice des ressources 2025</v>
      </c>
      <c r="F172" s="485" t="str">
        <f>"Calcolo del potenziale e dell'indice delle risorse " &amp; $G$3</f>
        <v>Calcolo del potenziale e dell'indice delle risorse 2025</v>
      </c>
      <c r="G172" s="485" t="str">
        <f>"Resource potential and resource index " &amp; $G$3</f>
        <v>Resource potential and resource index 2025</v>
      </c>
      <c r="H172" s="485" t="s">
        <v>126</v>
      </c>
    </row>
    <row r="173" spans="2:8" x14ac:dyDescent="0.25">
      <c r="B173" s="488" t="str">
        <f t="shared" ca="1" si="3"/>
        <v>ASG 2019</v>
      </c>
      <c r="C173" s="493" t="s">
        <v>126</v>
      </c>
      <c r="D173" s="11" t="str">
        <f>"ASG "&amp;$G$3-6</f>
        <v>ASG 2019</v>
      </c>
      <c r="E173" s="11" t="str">
        <f>"AFA "&amp;$G$3-6</f>
        <v>AFA 2019</v>
      </c>
      <c r="F173" s="11" t="str">
        <f>"BIA "&amp;$G$3-6</f>
        <v>BIA 2019</v>
      </c>
      <c r="G173" s="11" t="str">
        <f>"ATB "&amp;$G$3-6</f>
        <v>ATB 2019</v>
      </c>
      <c r="H173" s="11" t="s">
        <v>126</v>
      </c>
    </row>
    <row r="174" spans="2:8" x14ac:dyDescent="0.25">
      <c r="B174" s="488" t="str">
        <f t="shared" ca="1" si="3"/>
        <v>ASG 2020</v>
      </c>
      <c r="C174" s="493" t="s">
        <v>126</v>
      </c>
      <c r="D174" s="11" t="str">
        <f>"ASG "&amp;$G$3-5</f>
        <v>ASG 2020</v>
      </c>
      <c r="E174" s="11" t="str">
        <f>"AFA "&amp;$G$3-5</f>
        <v>AFA 2020</v>
      </c>
      <c r="F174" s="11" t="str">
        <f>"BIA "&amp;$G$3-5</f>
        <v>BIA 2020</v>
      </c>
      <c r="G174" s="11" t="str">
        <f>"ATB "&amp;$G$3-5</f>
        <v>ATB 2020</v>
      </c>
      <c r="H174" s="11" t="s">
        <v>126</v>
      </c>
    </row>
    <row r="175" spans="2:8" x14ac:dyDescent="0.25">
      <c r="B175" s="488" t="str">
        <f t="shared" ca="1" si="3"/>
        <v>ASG 2021</v>
      </c>
      <c r="C175" s="493" t="s">
        <v>126</v>
      </c>
      <c r="D175" s="11" t="str">
        <f>"ASG "&amp;$G$3-4</f>
        <v>ASG 2021</v>
      </c>
      <c r="E175" s="11" t="str">
        <f>"AFA "&amp;$G$3-4</f>
        <v>AFA 2021</v>
      </c>
      <c r="F175" s="11" t="str">
        <f>"BIA "&amp;$G$3-4</f>
        <v>BIA 2021</v>
      </c>
      <c r="G175" s="11" t="str">
        <f>"ATB "&amp;$G$3-4</f>
        <v>ATB 2021</v>
      </c>
      <c r="H175" s="11" t="s">
        <v>126</v>
      </c>
    </row>
    <row r="176" spans="2:8" x14ac:dyDescent="0.25">
      <c r="B176" s="488" t="str">
        <f t="shared" ca="1" si="3"/>
        <v>Ressourcen-
potenzial</v>
      </c>
      <c r="C176" s="493" t="s">
        <v>126</v>
      </c>
      <c r="D176" s="11" t="s">
        <v>182</v>
      </c>
      <c r="E176" s="11" t="s">
        <v>405</v>
      </c>
      <c r="F176" s="11" t="s">
        <v>447</v>
      </c>
      <c r="G176" s="11" t="s">
        <v>475</v>
      </c>
      <c r="H176" s="11" t="s">
        <v>126</v>
      </c>
    </row>
    <row r="177" spans="2:8" x14ac:dyDescent="0.25">
      <c r="B177" s="488" t="str">
        <f t="shared" ca="1" si="3"/>
        <v>Massgebende
Wohnbevölkerung</v>
      </c>
      <c r="C177" s="493" t="s">
        <v>126</v>
      </c>
      <c r="D177" s="11" t="s">
        <v>369</v>
      </c>
      <c r="E177" s="11" t="s">
        <v>404</v>
      </c>
      <c r="F177" s="11" t="s">
        <v>446</v>
      </c>
      <c r="G177" s="11" t="s">
        <v>474</v>
      </c>
      <c r="H177" s="11" t="s">
        <v>126</v>
      </c>
    </row>
    <row r="178" spans="2:8" x14ac:dyDescent="0.25">
      <c r="B178" s="488" t="str">
        <f t="shared" ca="1" si="3"/>
        <v>Ressourcen-
potenzial pro
Einwohner</v>
      </c>
      <c r="C178" s="493" t="s">
        <v>126</v>
      </c>
      <c r="D178" s="11" t="s">
        <v>370</v>
      </c>
      <c r="E178" s="11" t="s">
        <v>406</v>
      </c>
      <c r="F178" s="11" t="s">
        <v>448</v>
      </c>
      <c r="G178" s="11" t="s">
        <v>476</v>
      </c>
      <c r="H178" s="11" t="s">
        <v>126</v>
      </c>
    </row>
    <row r="179" spans="2:8" x14ac:dyDescent="0.25">
      <c r="B179" s="488" t="str">
        <f t="shared" ca="1" si="3"/>
        <v>Ressourcen-
index</v>
      </c>
      <c r="C179" s="493" t="s">
        <v>126</v>
      </c>
      <c r="D179" s="11" t="s">
        <v>110</v>
      </c>
      <c r="E179" s="11" t="s">
        <v>407</v>
      </c>
      <c r="F179" s="11" t="s">
        <v>449</v>
      </c>
      <c r="G179" s="11" t="s">
        <v>426</v>
      </c>
      <c r="H179" s="11" t="s">
        <v>126</v>
      </c>
    </row>
    <row r="180" spans="2:8" x14ac:dyDescent="0.25">
      <c r="B180" s="488" t="str">
        <f t="shared" ca="1" si="3"/>
        <v>H / H[Schweiz] * 100</v>
      </c>
      <c r="C180" s="493" t="s">
        <v>126</v>
      </c>
      <c r="D180" s="11" t="s">
        <v>89</v>
      </c>
      <c r="E180" s="11" t="s">
        <v>231</v>
      </c>
      <c r="F180" s="11" t="s">
        <v>342</v>
      </c>
      <c r="G180" s="11" t="s">
        <v>239</v>
      </c>
      <c r="H180" s="11" t="s">
        <v>126</v>
      </c>
    </row>
    <row r="181" spans="2:8" ht="11.25" customHeight="1" x14ac:dyDescent="0.25">
      <c r="B181" s="488" t="str">
        <f t="shared" ca="1" si="3"/>
        <v>ASG-Index
Standardabweichung</v>
      </c>
      <c r="C181" s="493" t="s">
        <v>126</v>
      </c>
      <c r="D181" s="11" t="s">
        <v>585</v>
      </c>
      <c r="E181" s="11" t="s">
        <v>590</v>
      </c>
      <c r="F181" s="11" t="s">
        <v>591</v>
      </c>
      <c r="G181" s="11" t="s">
        <v>592</v>
      </c>
      <c r="H181" s="11" t="s">
        <v>126</v>
      </c>
    </row>
    <row r="182" spans="2:8" ht="11.25" customHeight="1" x14ac:dyDescent="0.25">
      <c r="B182" s="490" t="str">
        <f t="shared" ca="1" si="3"/>
        <v>Ressourcenindex
Standardabweichung</v>
      </c>
      <c r="C182" s="493" t="s">
        <v>126</v>
      </c>
      <c r="D182" s="11" t="s">
        <v>586</v>
      </c>
      <c r="E182" s="11" t="s">
        <v>589</v>
      </c>
      <c r="F182" s="11" t="s">
        <v>587</v>
      </c>
      <c r="G182" s="11" t="s">
        <v>588</v>
      </c>
      <c r="H182" s="11" t="s">
        <v>126</v>
      </c>
    </row>
    <row r="183" spans="2:8" x14ac:dyDescent="0.25">
      <c r="B183" s="492" t="str">
        <f t="shared" ca="1" si="3"/>
        <v>Standardisierter Steuersatz (SST) 2025</v>
      </c>
      <c r="C183" s="493" t="s">
        <v>173</v>
      </c>
      <c r="D183" s="485" t="str">
        <f>"Standardisierter Steuersatz (SST) " &amp; $G$3</f>
        <v>Standardisierter Steuersatz (SST) 2025</v>
      </c>
      <c r="E183" s="485" t="str">
        <f>"Taux fiscal standardisé (TFS) " &amp; $G$3</f>
        <v>Taux fiscal standardisé (TFS) 2025</v>
      </c>
      <c r="F183" s="485" t="str">
        <f>"Aliquota d'imposta standardizzata (AIS) " &amp; $G$3</f>
        <v>Aliquota d'imposta standardizzata (AIS) 2025</v>
      </c>
      <c r="G183" s="485" t="str">
        <f>"Standardized tax rate (STRate) " &amp; $G$3</f>
        <v>Standardized tax rate (STRate) 2025</v>
      </c>
      <c r="H183" s="485" t="s">
        <v>126</v>
      </c>
    </row>
    <row r="184" spans="2:8" x14ac:dyDescent="0.25">
      <c r="B184" s="488" t="str">
        <f t="shared" ca="1" si="3"/>
        <v>Steuereinnahmen der Kantone und Gemeinden</v>
      </c>
      <c r="C184" s="493" t="s">
        <v>126</v>
      </c>
      <c r="D184" s="11" t="s">
        <v>535</v>
      </c>
      <c r="E184" s="11" t="s">
        <v>543</v>
      </c>
      <c r="F184" s="11" t="s">
        <v>550</v>
      </c>
      <c r="G184" s="11" t="s">
        <v>557</v>
      </c>
      <c r="H184" s="11" t="s">
        <v>126</v>
      </c>
    </row>
    <row r="185" spans="2:8" x14ac:dyDescent="0.25">
      <c r="B185" s="488" t="str">
        <f t="shared" ca="1" si="3"/>
        <v>Debitorenverluste auf Steuereinnahmen</v>
      </c>
      <c r="C185" s="493" t="s">
        <v>126</v>
      </c>
      <c r="D185" s="11" t="s">
        <v>536</v>
      </c>
      <c r="E185" s="11" t="s">
        <v>544</v>
      </c>
      <c r="F185" s="11" t="s">
        <v>551</v>
      </c>
      <c r="G185" s="11" t="s">
        <v>558</v>
      </c>
      <c r="H185" s="11" t="s">
        <v>126</v>
      </c>
    </row>
    <row r="186" spans="2:8" x14ac:dyDescent="0.25">
      <c r="B186" s="488" t="str">
        <f t="shared" ca="1" si="3"/>
        <v>Einnahmen direkte Bundessteuer (DBSt)</v>
      </c>
      <c r="C186" s="493" t="s">
        <v>126</v>
      </c>
      <c r="D186" s="11" t="s">
        <v>537</v>
      </c>
      <c r="E186" s="11" t="s">
        <v>545</v>
      </c>
      <c r="F186" s="11" t="s">
        <v>552</v>
      </c>
      <c r="G186" s="11" t="s">
        <v>559</v>
      </c>
      <c r="H186" s="11" t="s">
        <v>126</v>
      </c>
    </row>
    <row r="187" spans="2:8" x14ac:dyDescent="0.25">
      <c r="B187" s="488" t="str">
        <f t="shared" ca="1" si="3"/>
        <v>Kantonsanteil</v>
      </c>
      <c r="C187" s="493" t="s">
        <v>126</v>
      </c>
      <c r="D187" s="11" t="s">
        <v>531</v>
      </c>
      <c r="E187" s="11" t="s">
        <v>608</v>
      </c>
      <c r="F187" s="11" t="s">
        <v>564</v>
      </c>
      <c r="G187" s="11" t="s">
        <v>565</v>
      </c>
      <c r="H187" s="11" t="s">
        <v>126</v>
      </c>
    </row>
    <row r="188" spans="2:8" x14ac:dyDescent="0.25">
      <c r="B188" s="488" t="str">
        <f t="shared" ca="1" si="3"/>
        <v>Anteil der Kantone an DBSt</v>
      </c>
      <c r="C188" s="493" t="s">
        <v>126</v>
      </c>
      <c r="D188" s="11" t="s">
        <v>538</v>
      </c>
      <c r="E188" s="11" t="s">
        <v>609</v>
      </c>
      <c r="F188" s="11" t="s">
        <v>566</v>
      </c>
      <c r="G188" s="11" t="s">
        <v>567</v>
      </c>
      <c r="H188" s="11" t="s">
        <v>126</v>
      </c>
    </row>
    <row r="189" spans="2:8" x14ac:dyDescent="0.25">
      <c r="B189" s="488" t="str">
        <f t="shared" ca="1" si="3"/>
        <v>Standardisierte Steuererträge (SSE)</v>
      </c>
      <c r="C189" s="493" t="s">
        <v>126</v>
      </c>
      <c r="D189" s="11" t="s">
        <v>539</v>
      </c>
      <c r="E189" s="11" t="s">
        <v>546</v>
      </c>
      <c r="F189" s="11" t="s">
        <v>553</v>
      </c>
      <c r="G189" s="11" t="s">
        <v>560</v>
      </c>
      <c r="H189" s="11" t="s">
        <v>126</v>
      </c>
    </row>
    <row r="190" spans="2:8" x14ac:dyDescent="0.25">
      <c r="B190" s="488" t="str">
        <f t="shared" ca="1" si="3"/>
        <v>Massgebende Wohnbevölkerung</v>
      </c>
      <c r="C190" s="493" t="s">
        <v>126</v>
      </c>
      <c r="D190" s="11" t="s">
        <v>0</v>
      </c>
      <c r="E190" s="11" t="s">
        <v>272</v>
      </c>
      <c r="F190" s="11" t="s">
        <v>288</v>
      </c>
      <c r="G190" s="11" t="s">
        <v>238</v>
      </c>
      <c r="H190" s="11" t="s">
        <v>126</v>
      </c>
    </row>
    <row r="191" spans="2:8" x14ac:dyDescent="0.25">
      <c r="B191" s="488" t="str">
        <f t="shared" ca="1" si="3"/>
        <v>Standardisierte Steuererträge pro Kopf</v>
      </c>
      <c r="C191" s="493" t="s">
        <v>126</v>
      </c>
      <c r="D191" s="11" t="s">
        <v>540</v>
      </c>
      <c r="E191" s="11" t="s">
        <v>547</v>
      </c>
      <c r="F191" s="11" t="s">
        <v>554</v>
      </c>
      <c r="G191" s="11" t="s">
        <v>561</v>
      </c>
      <c r="H191" s="11" t="s">
        <v>126</v>
      </c>
    </row>
    <row r="192" spans="2:8" x14ac:dyDescent="0.25">
      <c r="B192" s="488" t="str">
        <f t="shared" ca="1" si="3"/>
        <v>Ressourcenpotenzial pro Kopf</v>
      </c>
      <c r="C192" s="493" t="s">
        <v>126</v>
      </c>
      <c r="D192" s="11" t="s">
        <v>541</v>
      </c>
      <c r="E192" s="11" t="s">
        <v>548</v>
      </c>
      <c r="F192" s="11" t="s">
        <v>555</v>
      </c>
      <c r="G192" s="11" t="s">
        <v>562</v>
      </c>
      <c r="H192" s="11" t="s">
        <v>126</v>
      </c>
    </row>
    <row r="193" spans="2:8" x14ac:dyDescent="0.25">
      <c r="B193" s="490" t="str">
        <f t="shared" ca="1" si="3"/>
        <v>Standardisierter Steuersatz (SST)</v>
      </c>
      <c r="C193" s="493" t="s">
        <v>126</v>
      </c>
      <c r="D193" s="11" t="s">
        <v>542</v>
      </c>
      <c r="E193" s="11" t="s">
        <v>549</v>
      </c>
      <c r="F193" s="11" t="s">
        <v>556</v>
      </c>
      <c r="G193" s="11" t="s">
        <v>563</v>
      </c>
      <c r="H193" s="11" t="s">
        <v>126</v>
      </c>
    </row>
    <row r="194" spans="2:8" x14ac:dyDescent="0.25">
      <c r="B194" s="491" t="str">
        <f t="shared" ca="1" si="3"/>
        <v>Auszahlungen an die ressourcenschwachen Kantone 2025</v>
      </c>
      <c r="C194" s="493" t="s">
        <v>171</v>
      </c>
      <c r="D194" s="485" t="str">
        <f>"Auszahlungen an die ressourcenschwachen Kantone " &amp; $G$3</f>
        <v>Auszahlungen an die ressourcenschwachen Kantone 2025</v>
      </c>
      <c r="E194" s="485" t="str">
        <f>"Montants reçus par les cantons à faible potentiel de ressources " &amp; $G$3</f>
        <v>Montants reçus par les cantons à faible potentiel de ressources 2025</v>
      </c>
      <c r="F194" s="485" t="str">
        <f>"Versamenti ai Cantoni finanziariamente deboli " &amp; $G$3</f>
        <v>Versamenti ai Cantoni finanziariamente deboli 2025</v>
      </c>
      <c r="G194" s="485" t="str">
        <f>"Outpayments to financially weak cantons " &amp; $G$3</f>
        <v>Outpayments to financially weak cantons 2025</v>
      </c>
      <c r="H194" s="485" t="s">
        <v>126</v>
      </c>
    </row>
    <row r="195" spans="2:8" x14ac:dyDescent="0.25">
      <c r="B195" s="488" t="str">
        <f t="shared" ca="1" si="3"/>
        <v>Ressourcen-
index</v>
      </c>
      <c r="C195" s="493" t="s">
        <v>126</v>
      </c>
      <c r="D195" s="11" t="s">
        <v>110</v>
      </c>
      <c r="E195" s="11" t="s">
        <v>407</v>
      </c>
      <c r="F195" s="11" t="s">
        <v>449</v>
      </c>
      <c r="G195" s="11" t="s">
        <v>426</v>
      </c>
      <c r="H195" s="11" t="s">
        <v>126</v>
      </c>
    </row>
    <row r="196" spans="2:8" ht="11.25" customHeight="1" x14ac:dyDescent="0.25">
      <c r="B196" s="488" t="str">
        <f t="shared" ca="1" si="3"/>
        <v>Auszahlung in
Indexpunkten</v>
      </c>
      <c r="C196" s="493" t="s">
        <v>126</v>
      </c>
      <c r="D196" s="11" t="s">
        <v>570</v>
      </c>
      <c r="E196" s="11" t="s">
        <v>639</v>
      </c>
      <c r="F196" s="11" t="s">
        <v>648</v>
      </c>
      <c r="G196" s="11" t="s">
        <v>650</v>
      </c>
      <c r="H196" s="11" t="s">
        <v>126</v>
      </c>
    </row>
    <row r="197" spans="2:8" ht="11.25" customHeight="1" x14ac:dyDescent="0.25">
      <c r="B197" s="488" t="str">
        <f t="shared" ca="1" si="3"/>
        <v>Index SSE
nach
Ausgleich</v>
      </c>
      <c r="C197" s="493" t="s">
        <v>126</v>
      </c>
      <c r="D197" s="11" t="s">
        <v>92</v>
      </c>
      <c r="E197" s="11" t="s">
        <v>421</v>
      </c>
      <c r="F197" s="11" t="s">
        <v>460</v>
      </c>
      <c r="G197" s="11" t="s">
        <v>489</v>
      </c>
      <c r="H197" s="11" t="s">
        <v>126</v>
      </c>
    </row>
    <row r="198" spans="2:8" x14ac:dyDescent="0.25">
      <c r="B198" s="488" t="str">
        <f t="shared" ca="1" si="3"/>
        <v>Auszahlung
pro Einwohner</v>
      </c>
      <c r="C198" s="493" t="s">
        <v>126</v>
      </c>
      <c r="D198" s="11" t="s">
        <v>113</v>
      </c>
      <c r="E198" s="11" t="s">
        <v>414</v>
      </c>
      <c r="F198" s="11" t="s">
        <v>455</v>
      </c>
      <c r="G198" s="11" t="s">
        <v>484</v>
      </c>
      <c r="H198" s="11" t="s">
        <v>126</v>
      </c>
    </row>
    <row r="199" spans="2:8" x14ac:dyDescent="0.25">
      <c r="B199" s="488" t="str">
        <f t="shared" ca="1" si="3"/>
        <v xml:space="preserve">Auszahlung
</v>
      </c>
      <c r="C199" s="493" t="s">
        <v>126</v>
      </c>
      <c r="D199" s="11" t="s">
        <v>752</v>
      </c>
      <c r="E199" s="11" t="s">
        <v>415</v>
      </c>
      <c r="F199" s="11" t="s">
        <v>753</v>
      </c>
      <c r="G199" s="11" t="s">
        <v>754</v>
      </c>
      <c r="H199" s="11" t="s">
        <v>126</v>
      </c>
    </row>
    <row r="200" spans="2:8" x14ac:dyDescent="0.25">
      <c r="B200" s="488" t="str">
        <f t="shared" ca="1" si="3"/>
        <v>Garantierte Mindestausstattung</v>
      </c>
      <c r="C200" s="493"/>
      <c r="D200" s="11" t="s">
        <v>571</v>
      </c>
      <c r="E200" s="11" t="s">
        <v>634</v>
      </c>
      <c r="F200" s="11" t="s">
        <v>641</v>
      </c>
      <c r="G200" s="11" t="s">
        <v>599</v>
      </c>
      <c r="H200" s="11" t="s">
        <v>126</v>
      </c>
    </row>
    <row r="201" spans="2:8" x14ac:dyDescent="0.25">
      <c r="B201" s="488" t="str">
        <f t="shared" ca="1" si="3"/>
        <v>Beginn Progression</v>
      </c>
      <c r="C201" s="493"/>
      <c r="D201" s="11" t="s">
        <v>572</v>
      </c>
      <c r="E201" s="11" t="s">
        <v>635</v>
      </c>
      <c r="F201" s="11" t="s">
        <v>642</v>
      </c>
      <c r="G201" s="11" t="s">
        <v>600</v>
      </c>
      <c r="H201" s="11" t="s">
        <v>126</v>
      </c>
    </row>
    <row r="202" spans="2:8" x14ac:dyDescent="0.25">
      <c r="B202" s="488" t="str">
        <f t="shared" ca="1" si="3"/>
        <v>Maximale Grenzabschöpfung</v>
      </c>
      <c r="C202" s="493"/>
      <c r="D202" s="11" t="s">
        <v>573</v>
      </c>
      <c r="E202" s="11" t="s">
        <v>636</v>
      </c>
      <c r="F202" s="11" t="s">
        <v>643</v>
      </c>
      <c r="G202" s="11" t="s">
        <v>601</v>
      </c>
      <c r="H202" s="11" t="s">
        <v>126</v>
      </c>
    </row>
    <row r="203" spans="2:8" x14ac:dyDescent="0.25">
      <c r="B203" s="488" t="str">
        <f t="shared" ca="1" si="3"/>
        <v>SSE pro Einwohner</v>
      </c>
      <c r="C203" s="493"/>
      <c r="D203" s="11" t="s">
        <v>574</v>
      </c>
      <c r="E203" s="11" t="s">
        <v>637</v>
      </c>
      <c r="F203" s="11" t="s">
        <v>644</v>
      </c>
      <c r="G203" s="11" t="s">
        <v>602</v>
      </c>
      <c r="H203" s="11" t="s">
        <v>126</v>
      </c>
    </row>
    <row r="204" spans="2:8" x14ac:dyDescent="0.25">
      <c r="B204" s="488" t="str">
        <f t="shared" ca="1" si="3"/>
        <v>Progressionsmass p</v>
      </c>
      <c r="C204" s="493"/>
      <c r="D204" s="11" t="s">
        <v>116</v>
      </c>
      <c r="E204" s="11" t="s">
        <v>416</v>
      </c>
      <c r="F204" s="11" t="s">
        <v>645</v>
      </c>
      <c r="G204" s="11" t="s">
        <v>269</v>
      </c>
      <c r="H204" s="11" t="s">
        <v>126</v>
      </c>
    </row>
    <row r="205" spans="2:8" x14ac:dyDescent="0.25">
      <c r="B205" s="490" t="str">
        <f t="shared" ca="1" si="3"/>
        <v>Progressionsmass t</v>
      </c>
      <c r="C205" s="493" t="s">
        <v>126</v>
      </c>
      <c r="D205" s="11" t="s">
        <v>584</v>
      </c>
      <c r="E205" s="11" t="s">
        <v>638</v>
      </c>
      <c r="F205" s="11" t="s">
        <v>646</v>
      </c>
      <c r="G205" s="11" t="s">
        <v>603</v>
      </c>
      <c r="H205" s="11" t="s">
        <v>126</v>
      </c>
    </row>
    <row r="206" spans="2:8" x14ac:dyDescent="0.25">
      <c r="B206" s="491" t="str">
        <f t="shared" ca="1" si="3"/>
        <v>Dotationen im Ressourcenausgleich 2025</v>
      </c>
      <c r="C206" s="493" t="s">
        <v>169</v>
      </c>
      <c r="D206" s="485" t="str">
        <f>"Dotationen im Ressourcenausgleich " &amp; $G$3</f>
        <v>Dotationen im Ressourcenausgleich 2025</v>
      </c>
      <c r="E206" s="485" t="str">
        <f>"Dotations de la péréquation des ressources " &amp; $G$3</f>
        <v>Dotations de la péréquation des ressources 2025</v>
      </c>
      <c r="F206" s="485" t="str">
        <f>"Dotazioni nella perequazione delle risorse " &amp; $G$3</f>
        <v>Dotazioni nella perequazione delle risorse 2025</v>
      </c>
      <c r="G206" s="485" t="str">
        <f>"Resource equalization endowments " &amp; $G$3</f>
        <v>Resource equalization endowments 2025</v>
      </c>
      <c r="H206" s="485" t="s">
        <v>126</v>
      </c>
    </row>
    <row r="207" spans="2:8" x14ac:dyDescent="0.25">
      <c r="B207" s="488" t="str">
        <f t="shared" ca="1" si="3"/>
        <v>Vertikaler
Ressourcenausgleich
(VRA)</v>
      </c>
      <c r="C207" s="493" t="s">
        <v>126</v>
      </c>
      <c r="D207" s="11" t="s">
        <v>371</v>
      </c>
      <c r="E207" s="11" t="s">
        <v>408</v>
      </c>
      <c r="F207" s="11" t="s">
        <v>450</v>
      </c>
      <c r="G207" s="11" t="s">
        <v>477</v>
      </c>
      <c r="H207" s="11" t="s">
        <v>126</v>
      </c>
    </row>
    <row r="208" spans="2:8" ht="11.25" customHeight="1" x14ac:dyDescent="0.25">
      <c r="B208" s="488" t="str">
        <f t="shared" ca="1" si="3"/>
        <v>Horizontaler
Ressourcenausgleich
(HRA)</v>
      </c>
      <c r="C208" s="493" t="s">
        <v>126</v>
      </c>
      <c r="D208" s="11" t="s">
        <v>493</v>
      </c>
      <c r="E208" s="11" t="s">
        <v>409</v>
      </c>
      <c r="F208" s="11" t="s">
        <v>451</v>
      </c>
      <c r="G208" s="11" t="s">
        <v>478</v>
      </c>
      <c r="H208" s="11" t="s">
        <v>126</v>
      </c>
    </row>
    <row r="209" spans="2:8" x14ac:dyDescent="0.25">
      <c r="B209" s="488" t="str">
        <f t="shared" ca="1" si="3"/>
        <v>Ausgleich
Total</v>
      </c>
      <c r="C209" s="493" t="s">
        <v>126</v>
      </c>
      <c r="D209" s="11" t="s">
        <v>372</v>
      </c>
      <c r="E209" s="11" t="s">
        <v>410</v>
      </c>
      <c r="F209" s="11" t="s">
        <v>452</v>
      </c>
      <c r="G209" s="11" t="s">
        <v>479</v>
      </c>
      <c r="H209" s="11" t="s">
        <v>126</v>
      </c>
    </row>
    <row r="210" spans="2:8" x14ac:dyDescent="0.25">
      <c r="B210" s="488" t="str">
        <f t="shared" ca="1" si="3"/>
        <v>Dotation 2025</v>
      </c>
      <c r="C210" s="493" t="s">
        <v>126</v>
      </c>
      <c r="D210" s="11" t="str">
        <f>"Dotation " &amp; $G$3</f>
        <v>Dotation 2025</v>
      </c>
      <c r="E210" s="11" t="str">
        <f>"Dotation " &amp; $G$3</f>
        <v>Dotation 2025</v>
      </c>
      <c r="F210" s="11" t="str">
        <f>"Dotazione " &amp; $G$3</f>
        <v>Dotazione 2025</v>
      </c>
      <c r="G210" s="11" t="str">
        <f>"Endowment " &amp; $G$3</f>
        <v>Endowment 2025</v>
      </c>
      <c r="H210" s="11" t="s">
        <v>126</v>
      </c>
    </row>
    <row r="211" spans="2:8" x14ac:dyDescent="0.25">
      <c r="B211" s="488" t="str">
        <f t="shared" ca="1" si="3"/>
        <v>Anteile</v>
      </c>
      <c r="C211" s="493"/>
      <c r="D211" s="11" t="s">
        <v>579</v>
      </c>
      <c r="E211" s="11" t="s">
        <v>640</v>
      </c>
      <c r="F211" s="11" t="s">
        <v>647</v>
      </c>
      <c r="G211" s="11" t="s">
        <v>938</v>
      </c>
      <c r="H211" s="11" t="s">
        <v>126</v>
      </c>
    </row>
    <row r="212" spans="2:8" x14ac:dyDescent="0.25">
      <c r="B212" s="490" t="str">
        <f t="shared" ca="1" si="3"/>
        <v>VRA in % des HRA</v>
      </c>
      <c r="C212" s="493" t="s">
        <v>126</v>
      </c>
      <c r="D212" s="11" t="s">
        <v>580</v>
      </c>
      <c r="E212" s="11" t="s">
        <v>581</v>
      </c>
      <c r="F212" s="11" t="s">
        <v>582</v>
      </c>
      <c r="G212" s="11" t="s">
        <v>583</v>
      </c>
      <c r="H212" s="11" t="s">
        <v>126</v>
      </c>
    </row>
    <row r="213" spans="2:8" x14ac:dyDescent="0.25">
      <c r="B213" s="491" t="str">
        <f t="shared" ca="1" si="3"/>
        <v>Einzahlungen der ressourcenstarken Kantone 2025</v>
      </c>
      <c r="C213" s="493" t="s">
        <v>170</v>
      </c>
      <c r="D213" s="485" t="str">
        <f>"Einzahlungen der ressourcenstarken Kantone " &amp; $G$3</f>
        <v>Einzahlungen der ressourcenstarken Kantone 2025</v>
      </c>
      <c r="E213" s="485" t="str">
        <f>"Montants versés par les cantons à fort potentiel de ressources " &amp; $G$3</f>
        <v>Montants versés par les cantons à fort potentiel de ressources 2025</v>
      </c>
      <c r="F213" s="485" t="str">
        <f>"Contributi dei Cantoni finanziariamente forti " &amp; $G$3</f>
        <v>Contributi dei Cantoni finanziariamente forti 2025</v>
      </c>
      <c r="G213" s="485" t="str">
        <f>"Inpayments of financially strong cantons " &amp; $G$3</f>
        <v>Inpayments of financially strong cantons 2025</v>
      </c>
      <c r="H213" s="485" t="s">
        <v>126</v>
      </c>
    </row>
    <row r="214" spans="2:8" x14ac:dyDescent="0.25">
      <c r="B214" s="488" t="str">
        <f t="shared" ca="1" si="3"/>
        <v>Ressourcen-
index</v>
      </c>
      <c r="C214" s="493" t="s">
        <v>126</v>
      </c>
      <c r="D214" s="11" t="s">
        <v>110</v>
      </c>
      <c r="E214" s="11" t="s">
        <v>407</v>
      </c>
      <c r="F214" s="11" t="s">
        <v>449</v>
      </c>
      <c r="G214" s="11" t="s">
        <v>426</v>
      </c>
      <c r="H214" s="11" t="s">
        <v>126</v>
      </c>
    </row>
    <row r="215" spans="2:8" x14ac:dyDescent="0.25">
      <c r="B215" s="488" t="str">
        <f t="shared" ca="1" si="3"/>
        <v>Massgebende
Wohn-
bevölkerung</v>
      </c>
      <c r="C215" s="493" t="s">
        <v>126</v>
      </c>
      <c r="D215" s="11" t="s">
        <v>373</v>
      </c>
      <c r="E215" s="11" t="s">
        <v>404</v>
      </c>
      <c r="F215" s="11" t="s">
        <v>446</v>
      </c>
      <c r="G215" s="11" t="s">
        <v>480</v>
      </c>
      <c r="H215" s="11" t="s">
        <v>126</v>
      </c>
    </row>
    <row r="216" spans="2:8" x14ac:dyDescent="0.25">
      <c r="B216" s="488" t="str">
        <f t="shared" ca="1" si="3"/>
        <v>Summe der
gewichteten
Abweichungen</v>
      </c>
      <c r="C216" s="493" t="s">
        <v>126</v>
      </c>
      <c r="D216" s="11" t="s">
        <v>374</v>
      </c>
      <c r="E216" s="11" t="s">
        <v>411</v>
      </c>
      <c r="F216" s="11" t="s">
        <v>453</v>
      </c>
      <c r="G216" s="11" t="s">
        <v>481</v>
      </c>
      <c r="H216" s="11" t="s">
        <v>126</v>
      </c>
    </row>
    <row r="217" spans="2:8" x14ac:dyDescent="0.25">
      <c r="B217" s="488" t="str">
        <f t="shared" ca="1" si="3"/>
        <v>Einzahlung
pro Einwohner</v>
      </c>
      <c r="C217" s="493" t="s">
        <v>126</v>
      </c>
      <c r="D217" s="11" t="s">
        <v>375</v>
      </c>
      <c r="E217" s="11" t="s">
        <v>412</v>
      </c>
      <c r="F217" s="11" t="s">
        <v>454</v>
      </c>
      <c r="G217" s="11" t="s">
        <v>482</v>
      </c>
      <c r="H217" s="11" t="s">
        <v>126</v>
      </c>
    </row>
    <row r="218" spans="2:8" x14ac:dyDescent="0.25">
      <c r="B218" s="488" t="str">
        <f t="shared" ca="1" si="3"/>
        <v xml:space="preserve">Einzahlung
</v>
      </c>
      <c r="C218" s="493" t="s">
        <v>126</v>
      </c>
      <c r="D218" s="11" t="s">
        <v>750</v>
      </c>
      <c r="E218" s="11" t="s">
        <v>413</v>
      </c>
      <c r="F218" s="11" t="s">
        <v>749</v>
      </c>
      <c r="G218" s="11" t="s">
        <v>751</v>
      </c>
      <c r="H218" s="11" t="s">
        <v>126</v>
      </c>
    </row>
    <row r="219" spans="2:8" x14ac:dyDescent="0.25">
      <c r="B219" s="490" t="str">
        <f t="shared" ca="1" si="3"/>
        <v>Dotation/E[Schweiz]*E</v>
      </c>
      <c r="C219" s="493" t="s">
        <v>126</v>
      </c>
      <c r="D219" s="11" t="s">
        <v>91</v>
      </c>
      <c r="E219" s="11" t="s">
        <v>232</v>
      </c>
      <c r="F219" s="11" t="s">
        <v>343</v>
      </c>
      <c r="G219" s="11" t="s">
        <v>483</v>
      </c>
      <c r="H219" s="11" t="s">
        <v>126</v>
      </c>
    </row>
    <row r="220" spans="2:8" x14ac:dyDescent="0.25">
      <c r="B220" s="491" t="str">
        <f t="shared" ca="1" si="3"/>
        <v>Standardisierter Steuerertrag (SSE) 2025</v>
      </c>
      <c r="C220" s="493" t="s">
        <v>172</v>
      </c>
      <c r="D220" s="485" t="str">
        <f>"Standardisierter Steuerertrag (SSE) " &amp; $G$3</f>
        <v>Standardisierter Steuerertrag (SSE) 2025</v>
      </c>
      <c r="E220" s="485" t="str">
        <f>"Recettes fiscales standardisées (RFS) " &amp; $G$3</f>
        <v>Recettes fiscales standardisées (RFS) 2025</v>
      </c>
      <c r="F220" s="485" t="str">
        <f>"Gettito fiscale standardizzato (GFS) " &amp; $G$3</f>
        <v>Gettito fiscale standardizzato (GFS) 2025</v>
      </c>
      <c r="G220" s="485" t="str">
        <f>"Standardized tax revenue (STR) " &amp; $G$3</f>
        <v>Standardized tax revenue (STR) 2025</v>
      </c>
      <c r="H220" s="485" t="s">
        <v>126</v>
      </c>
    </row>
    <row r="221" spans="2:8" x14ac:dyDescent="0.25">
      <c r="B221" s="488" t="str">
        <f t="shared" ca="1" si="3"/>
        <v>Ressourcen-
index</v>
      </c>
      <c r="C221" s="493" t="s">
        <v>126</v>
      </c>
      <c r="D221" s="11" t="s">
        <v>110</v>
      </c>
      <c r="E221" s="11" t="s">
        <v>407</v>
      </c>
      <c r="F221" s="11" t="s">
        <v>449</v>
      </c>
      <c r="G221" s="11" t="s">
        <v>426</v>
      </c>
      <c r="H221" s="11" t="s">
        <v>126</v>
      </c>
    </row>
    <row r="222" spans="2:8" x14ac:dyDescent="0.25">
      <c r="B222" s="488" t="str">
        <f t="shared" ca="1" si="3"/>
        <v>Standardisierter
Steuerertrag
(SSE)</v>
      </c>
      <c r="C222" s="493" t="s">
        <v>126</v>
      </c>
      <c r="D222" s="11" t="s">
        <v>376</v>
      </c>
      <c r="E222" s="11" t="s">
        <v>417</v>
      </c>
      <c r="F222" s="11" t="s">
        <v>456</v>
      </c>
      <c r="G222" s="11" t="s">
        <v>485</v>
      </c>
      <c r="H222" s="11" t="s">
        <v>126</v>
      </c>
    </row>
    <row r="223" spans="2:8" x14ac:dyDescent="0.25">
      <c r="B223" s="488" t="str">
        <f t="shared" ca="1" si="3"/>
        <v>Massgebende
Wohn-
bevölkerung</v>
      </c>
      <c r="C223" s="493" t="s">
        <v>126</v>
      </c>
      <c r="D223" s="11" t="s">
        <v>373</v>
      </c>
      <c r="E223" s="11" t="s">
        <v>404</v>
      </c>
      <c r="F223" s="11" t="s">
        <v>446</v>
      </c>
      <c r="G223" s="11" t="s">
        <v>480</v>
      </c>
      <c r="H223" s="11" t="s">
        <v>126</v>
      </c>
    </row>
    <row r="224" spans="2:8" x14ac:dyDescent="0.25">
      <c r="B224" s="488" t="str">
        <f t="shared" ca="1" si="3"/>
        <v>Standardisierter
Steuerertrag pro
Einwohner vor
Ausgleich</v>
      </c>
      <c r="C224" s="493" t="s">
        <v>126</v>
      </c>
      <c r="D224" s="11" t="s">
        <v>377</v>
      </c>
      <c r="E224" s="11" t="s">
        <v>418</v>
      </c>
      <c r="F224" s="11" t="s">
        <v>457</v>
      </c>
      <c r="G224" s="11" t="s">
        <v>486</v>
      </c>
      <c r="H224" s="11" t="s">
        <v>126</v>
      </c>
    </row>
    <row r="225" spans="2:8" x14ac:dyDescent="0.25">
      <c r="B225" s="488" t="str">
        <f t="shared" ca="1" si="3"/>
        <v>Ressourcen-
ausgleich pro
Einwohner</v>
      </c>
      <c r="C225" s="493" t="s">
        <v>126</v>
      </c>
      <c r="D225" s="11" t="s">
        <v>378</v>
      </c>
      <c r="E225" s="11" t="s">
        <v>419</v>
      </c>
      <c r="F225" s="11" t="s">
        <v>458</v>
      </c>
      <c r="G225" s="11" t="s">
        <v>487</v>
      </c>
      <c r="H225" s="11" t="s">
        <v>126</v>
      </c>
    </row>
    <row r="226" spans="2:8" x14ac:dyDescent="0.25">
      <c r="B226" s="488" t="str">
        <f t="shared" ca="1" si="3"/>
        <v>Standardisierter
Steuerertrag pro
Einwohner nach
Ausgleich</v>
      </c>
      <c r="C226" s="493" t="s">
        <v>126</v>
      </c>
      <c r="D226" s="11" t="s">
        <v>379</v>
      </c>
      <c r="E226" s="11" t="s">
        <v>420</v>
      </c>
      <c r="F226" s="11" t="s">
        <v>459</v>
      </c>
      <c r="G226" s="11" t="s">
        <v>488</v>
      </c>
      <c r="H226" s="11" t="s">
        <v>126</v>
      </c>
    </row>
    <row r="227" spans="2:8" x14ac:dyDescent="0.25">
      <c r="B227" s="488" t="str">
        <f t="shared" ca="1" si="3"/>
        <v>Index SSE
nach
Ausgleich</v>
      </c>
      <c r="C227" s="493" t="s">
        <v>126</v>
      </c>
      <c r="D227" s="11" t="s">
        <v>92</v>
      </c>
      <c r="E227" s="11" t="s">
        <v>421</v>
      </c>
      <c r="F227" s="11" t="s">
        <v>460</v>
      </c>
      <c r="G227" s="11" t="s">
        <v>489</v>
      </c>
      <c r="H227" s="11" t="s">
        <v>126</v>
      </c>
    </row>
    <row r="228" spans="2:8" x14ac:dyDescent="0.25">
      <c r="B228" s="488" t="str">
        <f t="shared" ca="1" si="3"/>
        <v>H / F[Schweiz]</v>
      </c>
      <c r="C228" s="493" t="s">
        <v>126</v>
      </c>
      <c r="D228" s="11" t="s">
        <v>93</v>
      </c>
      <c r="E228" s="11" t="s">
        <v>233</v>
      </c>
      <c r="F228" s="11" t="s">
        <v>344</v>
      </c>
      <c r="G228" s="11" t="s">
        <v>240</v>
      </c>
      <c r="H228" s="11" t="s">
        <v>126</v>
      </c>
    </row>
    <row r="229" spans="2:8" x14ac:dyDescent="0.25">
      <c r="B229" s="490" t="str">
        <f t="shared" ca="1" si="3"/>
        <v>Minimum</v>
      </c>
      <c r="C229" s="493" t="s">
        <v>126</v>
      </c>
      <c r="D229" s="11" t="s">
        <v>41</v>
      </c>
      <c r="E229" s="11" t="s">
        <v>41</v>
      </c>
      <c r="F229" s="11" t="s">
        <v>345</v>
      </c>
      <c r="G229" s="11" t="s">
        <v>41</v>
      </c>
      <c r="H229" s="11" t="s">
        <v>126</v>
      </c>
    </row>
    <row r="230" spans="2:8" x14ac:dyDescent="0.25">
      <c r="B230" s="491" t="str">
        <f t="shared" ca="1" si="1"/>
        <v>Berechnung des Faktors Alpha für die massgebenden Vermögen im Bemessungsjahr 2021</v>
      </c>
      <c r="C230" s="493" t="s">
        <v>778</v>
      </c>
      <c r="D230" s="485" t="str">
        <f>"Berechnung des Faktors Alpha für die massgebenden Vermögen im Bemessungsjahr " &amp; $G$3-4</f>
        <v>Berechnung des Faktors Alpha für die massgebenden Vermögen im Bemessungsjahr 2021</v>
      </c>
      <c r="E230" s="485" t="str">
        <f>"Calcul du facteur alpha pour l'année de calcul " &amp; $G$3-4</f>
        <v>Calcul du facteur alpha pour l'année de calcul 2021</v>
      </c>
      <c r="F230" s="485" t="str">
        <f>"Calcolo fattore alfa per l'anno di calcolo " &amp; $G$3-4</f>
        <v>Calcolo fattore alfa per l'anno di calcolo 2021</v>
      </c>
      <c r="G230" s="485" t="str">
        <f>"Alpha calculation for the assessment year " &amp; $G$3-4</f>
        <v>Alpha calculation for the assessment year 2021</v>
      </c>
      <c r="H230" s="485" t="s">
        <v>126</v>
      </c>
    </row>
    <row r="231" spans="2:8" x14ac:dyDescent="0.25">
      <c r="B231" s="488" t="str">
        <f t="shared" ca="1" si="1"/>
        <v>Fiskaleinnahmen</v>
      </c>
      <c r="C231" s="493"/>
      <c r="D231" s="11" t="s">
        <v>512</v>
      </c>
      <c r="E231" s="11" t="s">
        <v>604</v>
      </c>
      <c r="F231" s="11" t="s">
        <v>620</v>
      </c>
      <c r="G231" s="11" t="s">
        <v>593</v>
      </c>
      <c r="H231" s="11" t="s">
        <v>126</v>
      </c>
    </row>
    <row r="232" spans="2:8" x14ac:dyDescent="0.25">
      <c r="B232" s="488" t="str">
        <f t="shared" ca="1" si="1"/>
        <v>Einkommenssteuern natürliche Personen *</v>
      </c>
      <c r="C232" s="493"/>
      <c r="D232" s="11" t="s">
        <v>527</v>
      </c>
      <c r="E232" s="11" t="s">
        <v>605</v>
      </c>
      <c r="F232" s="11" t="s">
        <v>621</v>
      </c>
      <c r="G232" s="11" t="s">
        <v>923</v>
      </c>
      <c r="H232" s="11" t="s">
        <v>126</v>
      </c>
    </row>
    <row r="233" spans="2:8" x14ac:dyDescent="0.25">
      <c r="B233" s="488" t="str">
        <f t="shared" ca="1" si="1"/>
        <v>Quellensteuern natürliche Personen *</v>
      </c>
      <c r="C233" s="493"/>
      <c r="D233" s="11" t="s">
        <v>528</v>
      </c>
      <c r="E233" s="11" t="s">
        <v>606</v>
      </c>
      <c r="F233" s="11" t="s">
        <v>622</v>
      </c>
      <c r="G233" s="11" t="s">
        <v>924</v>
      </c>
      <c r="H233" s="11" t="s">
        <v>126</v>
      </c>
    </row>
    <row r="234" spans="2:8" x14ac:dyDescent="0.25">
      <c r="B234" s="488" t="str">
        <f t="shared" ca="1" si="1"/>
        <v>Direkte Bundessteuer (DBSt) natürliche Personen</v>
      </c>
      <c r="C234" s="493"/>
      <c r="D234" s="11" t="s">
        <v>532</v>
      </c>
      <c r="E234" s="11" t="s">
        <v>607</v>
      </c>
      <c r="F234" s="11" t="s">
        <v>623</v>
      </c>
      <c r="G234" s="11" t="s">
        <v>925</v>
      </c>
      <c r="H234" s="11" t="s">
        <v>126</v>
      </c>
    </row>
    <row r="235" spans="2:8" x14ac:dyDescent="0.25">
      <c r="B235" s="488" t="str">
        <f t="shared" ca="1" si="1"/>
        <v>Kantonsanteil an DBSt</v>
      </c>
      <c r="C235" s="493"/>
      <c r="D235" s="11" t="s">
        <v>731</v>
      </c>
      <c r="E235" s="11" t="s">
        <v>733</v>
      </c>
      <c r="F235" s="11" t="s">
        <v>566</v>
      </c>
      <c r="G235" s="11" t="s">
        <v>567</v>
      </c>
      <c r="H235" s="11" t="s">
        <v>126</v>
      </c>
    </row>
    <row r="236" spans="2:8" x14ac:dyDescent="0.25">
      <c r="B236" s="488" t="str">
        <f t="shared" ca="1" si="1"/>
        <v>Kantonsanteil an DBSt natürliche Personen</v>
      </c>
      <c r="C236" s="493"/>
      <c r="D236" s="11" t="s">
        <v>768</v>
      </c>
      <c r="E236" s="11" t="s">
        <v>609</v>
      </c>
      <c r="F236" s="11" t="s">
        <v>624</v>
      </c>
      <c r="G236" s="11" t="s">
        <v>926</v>
      </c>
      <c r="H236" s="11" t="s">
        <v>126</v>
      </c>
    </row>
    <row r="237" spans="2:8" x14ac:dyDescent="0.25">
      <c r="B237" s="488" t="str">
        <f t="shared" ca="1" si="1"/>
        <v>Fiskaleinnahmen Einkommen</v>
      </c>
      <c r="C237" s="493"/>
      <c r="D237" s="11" t="s">
        <v>514</v>
      </c>
      <c r="E237" s="11" t="s">
        <v>610</v>
      </c>
      <c r="F237" s="11" t="s">
        <v>625</v>
      </c>
      <c r="G237" s="11" t="s">
        <v>594</v>
      </c>
      <c r="H237" s="11" t="s">
        <v>126</v>
      </c>
    </row>
    <row r="238" spans="2:8" x14ac:dyDescent="0.25">
      <c r="B238" s="488" t="str">
        <f t="shared" ca="1" si="1"/>
        <v>Vermögenssteuern natürliche Personen *</v>
      </c>
      <c r="C238" s="493"/>
      <c r="D238" s="11" t="s">
        <v>529</v>
      </c>
      <c r="E238" s="11" t="s">
        <v>611</v>
      </c>
      <c r="F238" s="11" t="s">
        <v>626</v>
      </c>
      <c r="G238" s="11" t="s">
        <v>927</v>
      </c>
      <c r="H238" s="11" t="s">
        <v>126</v>
      </c>
    </row>
    <row r="239" spans="2:8" x14ac:dyDescent="0.25">
      <c r="B239" s="488" t="str">
        <f t="shared" ca="1" si="1"/>
        <v>Daten Finanzausgleich</v>
      </c>
      <c r="C239" s="493"/>
      <c r="D239" s="11" t="s">
        <v>515</v>
      </c>
      <c r="E239" s="11" t="s">
        <v>612</v>
      </c>
      <c r="F239" s="11" t="s">
        <v>627</v>
      </c>
      <c r="G239" s="11" t="s">
        <v>595</v>
      </c>
      <c r="H239" s="11" t="s">
        <v>126</v>
      </c>
    </row>
    <row r="240" spans="2:8" x14ac:dyDescent="0.25">
      <c r="B240" s="488" t="str">
        <f t="shared" ref="B240:B294" ca="1" si="4">INDIRECT(ADDRESS(ROW(),$D$7+3))</f>
        <v>Massgebende Einkommen der natürlichen Personen</v>
      </c>
      <c r="C240" s="493"/>
      <c r="D240" s="11" t="s">
        <v>516</v>
      </c>
      <c r="E240" s="11" t="s">
        <v>613</v>
      </c>
      <c r="F240" s="11" t="s">
        <v>628</v>
      </c>
      <c r="G240" s="11" t="s">
        <v>928</v>
      </c>
      <c r="H240" s="11" t="s">
        <v>126</v>
      </c>
    </row>
    <row r="241" spans="2:8" x14ac:dyDescent="0.25">
      <c r="B241" s="488" t="str">
        <f t="shared" ca="1" si="4"/>
        <v>Massgebende quellenbesteuerte Einkommen</v>
      </c>
      <c r="C241" s="493"/>
      <c r="D241" s="11" t="s">
        <v>394</v>
      </c>
      <c r="E241" s="11" t="s">
        <v>614</v>
      </c>
      <c r="F241" s="11" t="s">
        <v>629</v>
      </c>
      <c r="G241" s="11" t="s">
        <v>929</v>
      </c>
      <c r="H241" s="11" t="s">
        <v>126</v>
      </c>
    </row>
    <row r="242" spans="2:8" x14ac:dyDescent="0.25">
      <c r="B242" s="488" t="str">
        <f t="shared" ca="1" si="4"/>
        <v>Massgebende Einkommen</v>
      </c>
      <c r="C242" s="493"/>
      <c r="D242" s="11" t="s">
        <v>518</v>
      </c>
      <c r="E242" s="11" t="s">
        <v>615</v>
      </c>
      <c r="F242" s="11" t="s">
        <v>630</v>
      </c>
      <c r="G242" s="11" t="s">
        <v>596</v>
      </c>
      <c r="H242" s="11" t="s">
        <v>126</v>
      </c>
    </row>
    <row r="243" spans="2:8" x14ac:dyDescent="0.25">
      <c r="B243" s="488" t="str">
        <f t="shared" ca="1" si="4"/>
        <v>Reinvermögen</v>
      </c>
      <c r="C243" s="493"/>
      <c r="D243" s="11" t="s">
        <v>44</v>
      </c>
      <c r="E243" s="11" t="s">
        <v>225</v>
      </c>
      <c r="F243" s="11" t="s">
        <v>336</v>
      </c>
      <c r="G243" s="11" t="s">
        <v>235</v>
      </c>
      <c r="H243" s="11" t="s">
        <v>126</v>
      </c>
    </row>
    <row r="244" spans="2:8" x14ac:dyDescent="0.25">
      <c r="B244" s="488" t="str">
        <f t="shared" ca="1" si="4"/>
        <v>Ausschöpfung der Einkommen</v>
      </c>
      <c r="C244" s="493"/>
      <c r="D244" s="11" t="s">
        <v>521</v>
      </c>
      <c r="E244" s="11" t="s">
        <v>616</v>
      </c>
      <c r="F244" s="11" t="s">
        <v>631</v>
      </c>
      <c r="G244" s="11" t="s">
        <v>930</v>
      </c>
      <c r="H244" s="11" t="s">
        <v>126</v>
      </c>
    </row>
    <row r="245" spans="2:8" x14ac:dyDescent="0.25">
      <c r="B245" s="488" t="str">
        <f t="shared" ca="1" si="4"/>
        <v>Ausschöpfung der Vermögen</v>
      </c>
      <c r="C245" s="493"/>
      <c r="D245" s="11" t="s">
        <v>524</v>
      </c>
      <c r="E245" s="11" t="s">
        <v>617</v>
      </c>
      <c r="F245" s="11" t="s">
        <v>632</v>
      </c>
      <c r="G245" s="11" t="s">
        <v>931</v>
      </c>
      <c r="H245" s="11" t="s">
        <v>126</v>
      </c>
    </row>
    <row r="246" spans="2:8" x14ac:dyDescent="0.25">
      <c r="B246" s="488" t="str">
        <f t="shared" ca="1" si="4"/>
        <v>Alpha</v>
      </c>
      <c r="C246" s="493"/>
      <c r="D246" s="11" t="s">
        <v>502</v>
      </c>
      <c r="E246" s="11" t="s">
        <v>502</v>
      </c>
      <c r="F246" s="11" t="s">
        <v>649</v>
      </c>
      <c r="G246" s="11" t="s">
        <v>502</v>
      </c>
      <c r="H246" s="11" t="s">
        <v>126</v>
      </c>
    </row>
    <row r="247" spans="2:8" ht="11.25" customHeight="1" x14ac:dyDescent="0.25">
      <c r="B247" s="488" t="str">
        <f t="shared" ca="1" si="4"/>
        <v>Mittelwert</v>
      </c>
      <c r="C247" s="493"/>
      <c r="D247" s="11" t="s">
        <v>505</v>
      </c>
      <c r="E247" s="11" t="s">
        <v>619</v>
      </c>
      <c r="F247" s="11" t="s">
        <v>865</v>
      </c>
      <c r="G247" s="11" t="s">
        <v>598</v>
      </c>
      <c r="H247" s="11" t="s">
        <v>126</v>
      </c>
    </row>
    <row r="248" spans="2:8" x14ac:dyDescent="0.25">
      <c r="B248" s="488" t="str">
        <f t="shared" ca="1" si="4"/>
        <v>* Fiskaleinnahmen der Kantone und Gemeinden</v>
      </c>
      <c r="C248" s="493"/>
      <c r="D248" s="11" t="s">
        <v>530</v>
      </c>
      <c r="E248" s="11" t="s">
        <v>618</v>
      </c>
      <c r="F248" s="11" t="s">
        <v>633</v>
      </c>
      <c r="G248" s="11" t="s">
        <v>597</v>
      </c>
      <c r="H248" s="11" t="s">
        <v>126</v>
      </c>
    </row>
    <row r="249" spans="2:8" x14ac:dyDescent="0.25">
      <c r="B249" s="492" t="str">
        <f t="shared" ca="1" si="4"/>
        <v>Berechnung der Faktoren Zeta für die Gewinne der juristischen Personen im Bemessungsjahr 2021</v>
      </c>
      <c r="C249" s="493" t="s">
        <v>653</v>
      </c>
      <c r="D249" s="485" t="str">
        <f>"Berechnung der Faktoren Zeta für die Gewinne der juristischen Personen im Bemessungsjahr " &amp; $G$3-4</f>
        <v>Berechnung der Faktoren Zeta für die Gewinne der juristischen Personen im Bemessungsjahr 2021</v>
      </c>
      <c r="E249" s="485" t="str">
        <f>"Calcul des facteurs zêta pour les bénéfices des personnes morales dans l'année de calcul " &amp; $G$3-4</f>
        <v>Calcul des facteurs zêta pour les bénéfices des personnes morales dans l'année de calcul 2021</v>
      </c>
      <c r="F249" s="485" t="str">
        <f>"Calcolo dei fattori zeta per gli utili delle persone giuridiche nell'anno di calcolo " &amp; $G$3-4</f>
        <v>Calcolo dei fattori zeta per gli utili delle persone giuridiche nell'anno di calcolo 2021</v>
      </c>
      <c r="G249" s="485" t="s">
        <v>782</v>
      </c>
      <c r="H249" s="485" t="s">
        <v>126</v>
      </c>
    </row>
    <row r="250" spans="2:8" x14ac:dyDescent="0.25">
      <c r="B250" s="488" t="str">
        <f t="shared" ca="1" si="4"/>
        <v>Berechnung Zeta-2*</v>
      </c>
      <c r="C250" s="493" t="s">
        <v>126</v>
      </c>
      <c r="D250" s="11" t="s">
        <v>659</v>
      </c>
      <c r="E250" s="11" t="s">
        <v>704</v>
      </c>
      <c r="F250" s="11" t="s">
        <v>702</v>
      </c>
      <c r="G250" s="11" t="s">
        <v>703</v>
      </c>
      <c r="H250" s="11" t="s">
        <v>126</v>
      </c>
    </row>
    <row r="251" spans="2:8" x14ac:dyDescent="0.25">
      <c r="B251" s="488" t="str">
        <f t="shared" ca="1" si="4"/>
        <v>Boxengewinne</v>
      </c>
      <c r="C251" s="493" t="s">
        <v>126</v>
      </c>
      <c r="D251" s="11" t="s">
        <v>662</v>
      </c>
      <c r="E251" s="11" t="s">
        <v>700</v>
      </c>
      <c r="F251" s="11" t="s">
        <v>836</v>
      </c>
      <c r="G251" s="11" t="s">
        <v>783</v>
      </c>
      <c r="H251" s="11" t="s">
        <v>126</v>
      </c>
    </row>
    <row r="252" spans="2:8" x14ac:dyDescent="0.25">
      <c r="B252" s="488" t="str">
        <f t="shared" ca="1" si="4"/>
        <v>Mittelwert</v>
      </c>
      <c r="C252" s="493" t="s">
        <v>126</v>
      </c>
      <c r="D252" s="11" t="s">
        <v>505</v>
      </c>
      <c r="E252" s="11" t="s">
        <v>619</v>
      </c>
      <c r="F252" s="11" t="s">
        <v>865</v>
      </c>
      <c r="G252" s="11" t="s">
        <v>598</v>
      </c>
      <c r="H252" s="11" t="s">
        <v>126</v>
      </c>
    </row>
    <row r="253" spans="2:8" x14ac:dyDescent="0.25">
      <c r="B253" s="488" t="str">
        <f t="shared" ca="1" si="4"/>
        <v>Minder-
gewichtung</v>
      </c>
      <c r="C253" s="493" t="s">
        <v>126</v>
      </c>
      <c r="D253" s="11" t="s">
        <v>720</v>
      </c>
      <c r="E253" s="11" t="s">
        <v>872</v>
      </c>
      <c r="F253" s="11" t="s">
        <v>866</v>
      </c>
      <c r="G253" s="11" t="s">
        <v>784</v>
      </c>
      <c r="H253" s="11" t="s">
        <v>126</v>
      </c>
    </row>
    <row r="254" spans="2:8" x14ac:dyDescent="0.25">
      <c r="B254" s="488" t="str">
        <f t="shared" ca="1" si="4"/>
        <v>Gewichtete
Boxen-
gewinne</v>
      </c>
      <c r="C254" s="493" t="s">
        <v>126</v>
      </c>
      <c r="D254" s="11" t="s">
        <v>677</v>
      </c>
      <c r="E254" s="11" t="s">
        <v>873</v>
      </c>
      <c r="F254" s="11" t="s">
        <v>867</v>
      </c>
      <c r="G254" s="11" t="s">
        <v>785</v>
      </c>
      <c r="H254" s="11" t="s">
        <v>126</v>
      </c>
    </row>
    <row r="255" spans="2:8" x14ac:dyDescent="0.25">
      <c r="B255" s="488" t="str">
        <f t="shared" ca="1" si="4"/>
        <v>Zeta-2*</v>
      </c>
      <c r="C255" s="493" t="s">
        <v>126</v>
      </c>
      <c r="D255" s="11" t="s">
        <v>663</v>
      </c>
      <c r="E255" s="11" t="s">
        <v>711</v>
      </c>
      <c r="F255" s="11" t="s">
        <v>663</v>
      </c>
      <c r="G255" s="11" t="s">
        <v>663</v>
      </c>
      <c r="H255" s="11" t="s">
        <v>126</v>
      </c>
    </row>
    <row r="256" spans="2:8" x14ac:dyDescent="0.25">
      <c r="B256" s="488" t="str">
        <f t="shared" ca="1" si="4"/>
        <v>K(Total) / I(Total)</v>
      </c>
      <c r="C256" s="493" t="s">
        <v>126</v>
      </c>
      <c r="D256" s="11" t="s">
        <v>695</v>
      </c>
      <c r="E256" s="11" t="s">
        <v>786</v>
      </c>
      <c r="F256" s="11" t="s">
        <v>837</v>
      </c>
      <c r="G256" s="11" t="s">
        <v>786</v>
      </c>
      <c r="H256" s="11" t="s">
        <v>126</v>
      </c>
    </row>
    <row r="257" spans="2:8" x14ac:dyDescent="0.25">
      <c r="B257" s="488" t="str">
        <f t="shared" ca="1" si="4"/>
        <v>Berechnung Zeta-2</v>
      </c>
      <c r="C257" s="493" t="s">
        <v>126</v>
      </c>
      <c r="D257" s="11" t="s">
        <v>660</v>
      </c>
      <c r="E257" s="11" t="s">
        <v>705</v>
      </c>
      <c r="F257" s="11" t="s">
        <v>706</v>
      </c>
      <c r="G257" s="11" t="s">
        <v>707</v>
      </c>
      <c r="H257" s="11" t="s">
        <v>126</v>
      </c>
    </row>
    <row r="258" spans="2:8" x14ac:dyDescent="0.25">
      <c r="B258" s="488" t="str">
        <f t="shared" ca="1" si="4"/>
        <v>Fiskaleinnahmen juristische Personen</v>
      </c>
      <c r="C258" s="493" t="s">
        <v>126</v>
      </c>
      <c r="D258" s="11" t="s">
        <v>678</v>
      </c>
      <c r="E258" s="11" t="s">
        <v>874</v>
      </c>
      <c r="F258" s="11" t="s">
        <v>838</v>
      </c>
      <c r="G258" s="11" t="s">
        <v>787</v>
      </c>
      <c r="H258" s="11" t="s">
        <v>126</v>
      </c>
    </row>
    <row r="259" spans="2:8" x14ac:dyDescent="0.25">
      <c r="B259" s="488" t="str">
        <f t="shared" ca="1" si="4"/>
        <v>Ordentliche Gewinne</v>
      </c>
      <c r="C259" s="493" t="s">
        <v>126</v>
      </c>
      <c r="D259" s="11" t="s">
        <v>664</v>
      </c>
      <c r="E259" s="11" t="s">
        <v>701</v>
      </c>
      <c r="F259" s="11" t="s">
        <v>839</v>
      </c>
      <c r="G259" s="11" t="s">
        <v>788</v>
      </c>
      <c r="H259" s="11" t="s">
        <v>126</v>
      </c>
    </row>
    <row r="260" spans="2:8" x14ac:dyDescent="0.25">
      <c r="B260" s="488" t="str">
        <f t="shared" ca="1" si="4"/>
        <v>Boxengewinne</v>
      </c>
      <c r="C260" s="493" t="s">
        <v>126</v>
      </c>
      <c r="D260" s="11" t="s">
        <v>662</v>
      </c>
      <c r="E260" s="11" t="s">
        <v>700</v>
      </c>
      <c r="F260" s="11" t="s">
        <v>836</v>
      </c>
      <c r="G260" s="11" t="s">
        <v>783</v>
      </c>
      <c r="H260" s="11" t="s">
        <v>126</v>
      </c>
    </row>
    <row r="261" spans="2:8" x14ac:dyDescent="0.25">
      <c r="B261" s="488" t="str">
        <f t="shared" ca="1" si="4"/>
        <v>Gewinnsteuereinnahmen Kantone und Gemeinden</v>
      </c>
      <c r="C261" s="493" t="s">
        <v>126</v>
      </c>
      <c r="D261" s="11" t="s">
        <v>728</v>
      </c>
      <c r="E261" s="11" t="s">
        <v>875</v>
      </c>
      <c r="F261" s="11" t="s">
        <v>840</v>
      </c>
      <c r="G261" s="11" t="s">
        <v>789</v>
      </c>
      <c r="H261" s="11" t="s">
        <v>126</v>
      </c>
    </row>
    <row r="262" spans="2:8" x14ac:dyDescent="0.25">
      <c r="B262" s="488" t="str">
        <f t="shared" ca="1" si="4"/>
        <v xml:space="preserve">Gewinnsteuereinnahmen DBSt </v>
      </c>
      <c r="C262" s="493" t="s">
        <v>126</v>
      </c>
      <c r="D262" s="11" t="s">
        <v>730</v>
      </c>
      <c r="E262" s="11" t="s">
        <v>876</v>
      </c>
      <c r="F262" s="11" t="s">
        <v>841</v>
      </c>
      <c r="G262" s="11" t="s">
        <v>790</v>
      </c>
      <c r="H262" s="11" t="s">
        <v>126</v>
      </c>
    </row>
    <row r="263" spans="2:8" x14ac:dyDescent="0.25">
      <c r="B263" s="488" t="str">
        <f t="shared" ca="1" si="4"/>
        <v>Kantonsanteil an DBSt</v>
      </c>
      <c r="C263" s="493" t="s">
        <v>126</v>
      </c>
      <c r="D263" s="11" t="s">
        <v>731</v>
      </c>
      <c r="E263" s="11" t="s">
        <v>608</v>
      </c>
      <c r="F263" s="11" t="s">
        <v>566</v>
      </c>
      <c r="G263" s="11" t="s">
        <v>567</v>
      </c>
      <c r="H263" s="11" t="s">
        <v>126</v>
      </c>
    </row>
    <row r="264" spans="2:8" x14ac:dyDescent="0.25">
      <c r="B264" s="488" t="str">
        <f t="shared" ca="1" si="4"/>
        <v>Kantonsanteil an Gewinnsteuereinnahmen DBSt</v>
      </c>
      <c r="C264" s="493" t="s">
        <v>126</v>
      </c>
      <c r="D264" s="11" t="s">
        <v>729</v>
      </c>
      <c r="E264" s="11" t="s">
        <v>877</v>
      </c>
      <c r="F264" s="11" t="s">
        <v>842</v>
      </c>
      <c r="G264" s="11" t="s">
        <v>791</v>
      </c>
      <c r="H264" s="11" t="s">
        <v>126</v>
      </c>
    </row>
    <row r="265" spans="2:8" x14ac:dyDescent="0.25">
      <c r="B265" s="488" t="str">
        <f t="shared" ca="1" si="4"/>
        <v>Gewinnsteuereinnahmen total Kantone und Gemeinden</v>
      </c>
      <c r="C265" s="493" t="s">
        <v>126</v>
      </c>
      <c r="D265" s="11" t="s">
        <v>732</v>
      </c>
      <c r="E265" s="11" t="s">
        <v>878</v>
      </c>
      <c r="F265" s="11" t="s">
        <v>843</v>
      </c>
      <c r="G265" s="11" t="s">
        <v>792</v>
      </c>
      <c r="H265" s="11" t="s">
        <v>126</v>
      </c>
    </row>
    <row r="266" spans="2:8" x14ac:dyDescent="0.25">
      <c r="B266" s="488" t="str">
        <f t="shared" ca="1" si="4"/>
        <v>Berechnung</v>
      </c>
      <c r="C266" s="493" t="s">
        <v>126</v>
      </c>
      <c r="D266" s="11" t="s">
        <v>682</v>
      </c>
      <c r="E266" s="11" t="s">
        <v>712</v>
      </c>
      <c r="F266" s="11" t="s">
        <v>713</v>
      </c>
      <c r="G266" s="11" t="s">
        <v>714</v>
      </c>
      <c r="H266" s="11" t="s">
        <v>126</v>
      </c>
    </row>
    <row r="267" spans="2:8" x14ac:dyDescent="0.25">
      <c r="B267" s="488" t="str">
        <f t="shared" ca="1" si="4"/>
        <v>Zeta-2 (ohne Berücksichtigung der Bandbreiten)</v>
      </c>
      <c r="C267" s="493" t="s">
        <v>126</v>
      </c>
      <c r="D267" s="11" t="s">
        <v>666</v>
      </c>
      <c r="E267" s="11" t="s">
        <v>879</v>
      </c>
      <c r="F267" s="11" t="s">
        <v>844</v>
      </c>
      <c r="G267" s="11" t="s">
        <v>793</v>
      </c>
      <c r="H267" s="11" t="s">
        <v>126</v>
      </c>
    </row>
    <row r="268" spans="2:8" x14ac:dyDescent="0.25">
      <c r="B268" s="488" t="str">
        <f t="shared" ca="1" si="4"/>
        <v>Bandbreite von Zeta-2</v>
      </c>
      <c r="C268" s="493" t="s">
        <v>126</v>
      </c>
      <c r="D268" s="11" t="s">
        <v>667</v>
      </c>
      <c r="E268" s="11" t="s">
        <v>880</v>
      </c>
      <c r="F268" s="11" t="s">
        <v>845</v>
      </c>
      <c r="G268" s="11" t="s">
        <v>794</v>
      </c>
      <c r="H268" s="11" t="s">
        <v>126</v>
      </c>
    </row>
    <row r="269" spans="2:8" x14ac:dyDescent="0.25">
      <c r="B269" s="488" t="str">
        <f t="shared" ca="1" si="4"/>
        <v>Obere Grenze der Bandbreite (Art. 57d Abs. 2 Bst. b FiLaV)</v>
      </c>
      <c r="C269" s="493" t="s">
        <v>126</v>
      </c>
      <c r="D269" s="11" t="s">
        <v>668</v>
      </c>
      <c r="E269" s="11" t="s">
        <v>881</v>
      </c>
      <c r="F269" s="11" t="s">
        <v>846</v>
      </c>
      <c r="G269" s="11" t="s">
        <v>795</v>
      </c>
      <c r="H269" s="11" t="s">
        <v>126</v>
      </c>
    </row>
    <row r="270" spans="2:8" x14ac:dyDescent="0.25">
      <c r="B270" s="488" t="str">
        <f t="shared" ca="1" si="4"/>
        <v>Untere Grenze der Bandbreite (Art. 57d Abs. 2 Bst. b FiLaV)</v>
      </c>
      <c r="C270" s="493" t="s">
        <v>126</v>
      </c>
      <c r="D270" s="11" t="s">
        <v>669</v>
      </c>
      <c r="E270" s="11" t="s">
        <v>882</v>
      </c>
      <c r="F270" s="11" t="s">
        <v>847</v>
      </c>
      <c r="G270" s="11" t="s">
        <v>796</v>
      </c>
      <c r="H270" s="11" t="s">
        <v>126</v>
      </c>
    </row>
    <row r="271" spans="2:8" x14ac:dyDescent="0.25">
      <c r="B271" s="488" t="str">
        <f t="shared" ca="1" si="4"/>
        <v>Zeta-2</v>
      </c>
      <c r="C271" s="493" t="s">
        <v>126</v>
      </c>
      <c r="D271" s="11" t="s">
        <v>656</v>
      </c>
      <c r="E271" s="11" t="s">
        <v>699</v>
      </c>
      <c r="F271" s="11" t="s">
        <v>656</v>
      </c>
      <c r="G271" s="11" t="s">
        <v>656</v>
      </c>
      <c r="H271" s="11" t="s">
        <v>126</v>
      </c>
    </row>
    <row r="272" spans="2:8" x14ac:dyDescent="0.25">
      <c r="B272" s="488" t="str">
        <f t="shared" ca="1" si="4"/>
        <v>Berechnung Zeta-1</v>
      </c>
      <c r="C272" s="493" t="s">
        <v>126</v>
      </c>
      <c r="D272" s="11" t="s">
        <v>661</v>
      </c>
      <c r="E272" s="11" t="s">
        <v>708</v>
      </c>
      <c r="F272" s="11" t="s">
        <v>710</v>
      </c>
      <c r="G272" s="11" t="s">
        <v>709</v>
      </c>
      <c r="H272" s="11" t="s">
        <v>126</v>
      </c>
    </row>
    <row r="273" spans="2:8" x14ac:dyDescent="0.25">
      <c r="B273" s="488" t="str">
        <f t="shared" ca="1" si="4"/>
        <v>Ausschöpfung juristischer Personen (JP)</v>
      </c>
      <c r="C273" s="493" t="s">
        <v>126</v>
      </c>
      <c r="D273" s="11" t="s">
        <v>759</v>
      </c>
      <c r="E273" s="11" t="s">
        <v>900</v>
      </c>
      <c r="F273" s="11" t="s">
        <v>848</v>
      </c>
      <c r="G273" s="11" t="s">
        <v>932</v>
      </c>
      <c r="H273" s="11" t="s">
        <v>126</v>
      </c>
    </row>
    <row r="274" spans="2:8" x14ac:dyDescent="0.25">
      <c r="B274" s="488" t="str">
        <f t="shared" ca="1" si="4"/>
        <v>Forschungs- und Entwicklungsaufwand</v>
      </c>
      <c r="C274" s="493" t="s">
        <v>126</v>
      </c>
      <c r="D274" s="11" t="s">
        <v>734</v>
      </c>
      <c r="E274" s="11" t="s">
        <v>883</v>
      </c>
      <c r="F274" s="11" t="s">
        <v>849</v>
      </c>
      <c r="G274" s="11" t="s">
        <v>797</v>
      </c>
      <c r="H274" s="11" t="s">
        <v>126</v>
      </c>
    </row>
    <row r="275" spans="2:8" x14ac:dyDescent="0.25">
      <c r="B275" s="488" t="str">
        <f t="shared" ca="1" si="4"/>
        <v>Massgebendes Potenzial JP</v>
      </c>
      <c r="C275" s="493" t="s">
        <v>126</v>
      </c>
      <c r="D275" s="11" t="s">
        <v>773</v>
      </c>
      <c r="E275" s="11" t="s">
        <v>902</v>
      </c>
      <c r="F275" s="11" t="s">
        <v>850</v>
      </c>
      <c r="G275" s="11" t="s">
        <v>798</v>
      </c>
      <c r="H275" s="11" t="s">
        <v>126</v>
      </c>
    </row>
    <row r="276" spans="2:8" x14ac:dyDescent="0.25">
      <c r="B276" s="488" t="str">
        <f t="shared" ca="1" si="4"/>
        <v>Ausschöpfung JP</v>
      </c>
      <c r="C276" s="493" t="s">
        <v>126</v>
      </c>
      <c r="D276" s="11" t="s">
        <v>665</v>
      </c>
      <c r="E276" s="11" t="s">
        <v>901</v>
      </c>
      <c r="F276" s="11" t="s">
        <v>851</v>
      </c>
      <c r="G276" s="11" t="s">
        <v>933</v>
      </c>
      <c r="H276" s="11" t="s">
        <v>126</v>
      </c>
    </row>
    <row r="277" spans="2:8" x14ac:dyDescent="0.25">
      <c r="B277" s="488" t="str">
        <f t="shared" ca="1" si="4"/>
        <v>Fiskaleinnahmen natürliche Personen (NP)</v>
      </c>
      <c r="C277" s="493" t="s">
        <v>126</v>
      </c>
      <c r="D277" s="11" t="s">
        <v>760</v>
      </c>
      <c r="E277" s="11" t="s">
        <v>903</v>
      </c>
      <c r="F277" s="11" t="s">
        <v>852</v>
      </c>
      <c r="G277" s="11" t="s">
        <v>799</v>
      </c>
      <c r="H277" s="11" t="s">
        <v>126</v>
      </c>
    </row>
    <row r="278" spans="2:8" x14ac:dyDescent="0.25">
      <c r="B278" s="488" t="str">
        <f t="shared" ca="1" si="4"/>
        <v>Einkommenssteuern Kantone und Gemeinden</v>
      </c>
      <c r="C278" s="493" t="s">
        <v>126</v>
      </c>
      <c r="D278" s="11" t="s">
        <v>735</v>
      </c>
      <c r="E278" s="11" t="s">
        <v>884</v>
      </c>
      <c r="F278" s="11" t="s">
        <v>853</v>
      </c>
      <c r="G278" s="11" t="s">
        <v>800</v>
      </c>
      <c r="H278" s="11" t="s">
        <v>126</v>
      </c>
    </row>
    <row r="279" spans="2:8" x14ac:dyDescent="0.25">
      <c r="B279" s="488" t="str">
        <f t="shared" ca="1" si="4"/>
        <v>Einkommenssteuern DBSt</v>
      </c>
      <c r="C279" s="493" t="s">
        <v>126</v>
      </c>
      <c r="D279" s="11" t="s">
        <v>736</v>
      </c>
      <c r="E279" s="11" t="s">
        <v>885</v>
      </c>
      <c r="F279" s="11" t="s">
        <v>854</v>
      </c>
      <c r="G279" s="11" t="s">
        <v>801</v>
      </c>
      <c r="H279" s="11" t="s">
        <v>126</v>
      </c>
    </row>
    <row r="280" spans="2:8" x14ac:dyDescent="0.25">
      <c r="B280" s="488" t="str">
        <f t="shared" ca="1" si="4"/>
        <v>Kantonsanteil an Einkommenssteuern DBSt</v>
      </c>
      <c r="C280" s="493" t="s">
        <v>126</v>
      </c>
      <c r="D280" s="11" t="s">
        <v>737</v>
      </c>
      <c r="E280" s="11" t="s">
        <v>886</v>
      </c>
      <c r="F280" s="11" t="s">
        <v>855</v>
      </c>
      <c r="G280" s="11" t="s">
        <v>802</v>
      </c>
      <c r="H280" s="11" t="s">
        <v>126</v>
      </c>
    </row>
    <row r="281" spans="2:8" x14ac:dyDescent="0.25">
      <c r="B281" s="488" t="str">
        <f t="shared" ca="1" si="4"/>
        <v>Vermögenssteuern Kantone und Gemeinden</v>
      </c>
      <c r="C281" s="493" t="s">
        <v>126</v>
      </c>
      <c r="D281" s="11" t="s">
        <v>738</v>
      </c>
      <c r="E281" s="11" t="s">
        <v>887</v>
      </c>
      <c r="F281" s="11" t="s">
        <v>856</v>
      </c>
      <c r="G281" s="11" t="s">
        <v>803</v>
      </c>
      <c r="H281" s="11" t="s">
        <v>126</v>
      </c>
    </row>
    <row r="282" spans="2:8" x14ac:dyDescent="0.25">
      <c r="B282" s="488" t="str">
        <f t="shared" ca="1" si="4"/>
        <v>Quellensteuern Kantone und Gemeinden</v>
      </c>
      <c r="C282" s="493" t="s">
        <v>126</v>
      </c>
      <c r="D282" s="11" t="s">
        <v>739</v>
      </c>
      <c r="E282" s="11" t="s">
        <v>888</v>
      </c>
      <c r="F282" s="11" t="s">
        <v>857</v>
      </c>
      <c r="G282" s="11" t="s">
        <v>804</v>
      </c>
      <c r="H282" s="11" t="s">
        <v>126</v>
      </c>
    </row>
    <row r="283" spans="2:8" x14ac:dyDescent="0.25">
      <c r="B283" s="488" t="str">
        <f t="shared" ca="1" si="4"/>
        <v>Fiskaleinnahmen NP total Kantone und Gemeinden</v>
      </c>
      <c r="C283" s="493" t="s">
        <v>126</v>
      </c>
      <c r="D283" s="11" t="s">
        <v>740</v>
      </c>
      <c r="E283" s="11" t="s">
        <v>906</v>
      </c>
      <c r="F283" s="11" t="s">
        <v>858</v>
      </c>
      <c r="G283" s="11" t="s">
        <v>805</v>
      </c>
      <c r="H283" s="11" t="s">
        <v>126</v>
      </c>
    </row>
    <row r="284" spans="2:8" x14ac:dyDescent="0.25">
      <c r="B284" s="488" t="str">
        <f t="shared" ca="1" si="4"/>
        <v>Ausschöpfung natürlicher Personen</v>
      </c>
      <c r="C284" s="493" t="s">
        <v>126</v>
      </c>
      <c r="D284" s="11" t="s">
        <v>670</v>
      </c>
      <c r="E284" s="11" t="s">
        <v>889</v>
      </c>
      <c r="F284" s="11" t="s">
        <v>916</v>
      </c>
      <c r="G284" s="11" t="s">
        <v>934</v>
      </c>
      <c r="H284" s="11" t="s">
        <v>126</v>
      </c>
    </row>
    <row r="285" spans="2:8" x14ac:dyDescent="0.25">
      <c r="B285" s="488" t="str">
        <f t="shared" ca="1" si="4"/>
        <v>Massgebende Einkommen</v>
      </c>
      <c r="C285" s="493" t="s">
        <v>126</v>
      </c>
      <c r="D285" s="11" t="s">
        <v>518</v>
      </c>
      <c r="E285" s="11" t="s">
        <v>890</v>
      </c>
      <c r="F285" s="11" t="s">
        <v>859</v>
      </c>
      <c r="G285" s="11" t="s">
        <v>596</v>
      </c>
      <c r="H285" s="11" t="s">
        <v>126</v>
      </c>
    </row>
    <row r="286" spans="2:8" x14ac:dyDescent="0.25">
      <c r="B286" s="488" t="str">
        <f t="shared" ca="1" si="4"/>
        <v>Massgebende quellenbesteuerte Einkommen</v>
      </c>
      <c r="C286" s="493" t="s">
        <v>126</v>
      </c>
      <c r="D286" s="11" t="s">
        <v>394</v>
      </c>
      <c r="E286" s="11" t="s">
        <v>224</v>
      </c>
      <c r="F286" s="11" t="s">
        <v>335</v>
      </c>
      <c r="G286" s="11" t="s">
        <v>234</v>
      </c>
      <c r="H286" s="11" t="s">
        <v>126</v>
      </c>
    </row>
    <row r="287" spans="2:8" x14ac:dyDescent="0.25">
      <c r="B287" s="488" t="str">
        <f t="shared" ca="1" si="4"/>
        <v>Massgebende Vermögen</v>
      </c>
      <c r="C287" s="493" t="s">
        <v>126</v>
      </c>
      <c r="D287" s="11" t="s">
        <v>741</v>
      </c>
      <c r="E287" s="11" t="s">
        <v>891</v>
      </c>
      <c r="F287" s="11" t="s">
        <v>860</v>
      </c>
      <c r="G287" s="11" t="s">
        <v>806</v>
      </c>
      <c r="H287" s="11" t="s">
        <v>126</v>
      </c>
    </row>
    <row r="288" spans="2:8" x14ac:dyDescent="0.25">
      <c r="B288" s="488" t="str">
        <f t="shared" ca="1" si="4"/>
        <v>Massgebendes Potenzial NP</v>
      </c>
      <c r="C288" s="493" t="s">
        <v>126</v>
      </c>
      <c r="D288" s="11" t="s">
        <v>727</v>
      </c>
      <c r="E288" s="11" t="s">
        <v>904</v>
      </c>
      <c r="F288" s="11" t="s">
        <v>861</v>
      </c>
      <c r="G288" s="11" t="s">
        <v>807</v>
      </c>
      <c r="H288" s="11" t="s">
        <v>126</v>
      </c>
    </row>
    <row r="289" spans="2:8" x14ac:dyDescent="0.25">
      <c r="B289" s="488" t="str">
        <f t="shared" ca="1" si="4"/>
        <v>Ausschöpfung NP</v>
      </c>
      <c r="C289" s="493" t="s">
        <v>126</v>
      </c>
      <c r="D289" s="11" t="s">
        <v>671</v>
      </c>
      <c r="E289" s="11" t="s">
        <v>905</v>
      </c>
      <c r="F289" s="11" t="s">
        <v>862</v>
      </c>
      <c r="G289" s="11" t="s">
        <v>935</v>
      </c>
      <c r="H289" s="11" t="s">
        <v>126</v>
      </c>
    </row>
    <row r="290" spans="2:8" x14ac:dyDescent="0.25">
      <c r="B290" s="488" t="str">
        <f t="shared" ca="1" si="4"/>
        <v>Zeta-1 (ohne Berücksichtigung der Bandbreiten)</v>
      </c>
      <c r="C290" s="493" t="s">
        <v>126</v>
      </c>
      <c r="D290" s="11" t="s">
        <v>672</v>
      </c>
      <c r="E290" s="11" t="s">
        <v>892</v>
      </c>
      <c r="F290" s="11" t="s">
        <v>863</v>
      </c>
      <c r="G290" s="11" t="s">
        <v>808</v>
      </c>
      <c r="H290" s="11" t="s">
        <v>126</v>
      </c>
    </row>
    <row r="291" spans="2:8" x14ac:dyDescent="0.25">
      <c r="B291" s="488" t="str">
        <f t="shared" ca="1" si="4"/>
        <v>Bandbreite von Zeta-1</v>
      </c>
      <c r="C291" s="493" t="s">
        <v>126</v>
      </c>
      <c r="D291" s="11" t="s">
        <v>673</v>
      </c>
      <c r="E291" s="11" t="s">
        <v>893</v>
      </c>
      <c r="F291" s="11" t="s">
        <v>864</v>
      </c>
      <c r="G291" s="11" t="s">
        <v>809</v>
      </c>
      <c r="H291" s="11" t="s">
        <v>126</v>
      </c>
    </row>
    <row r="292" spans="2:8" x14ac:dyDescent="0.25">
      <c r="B292" s="488" t="str">
        <f t="shared" ca="1" si="4"/>
        <v>Obere Grenze der Bandbreite (Art. 57d Abs. 2 Bst. a FiLaV)</v>
      </c>
      <c r="C292" s="493" t="s">
        <v>126</v>
      </c>
      <c r="D292" s="11" t="s">
        <v>674</v>
      </c>
      <c r="E292" s="11" t="s">
        <v>894</v>
      </c>
      <c r="F292" s="11" t="s">
        <v>846</v>
      </c>
      <c r="G292" s="11" t="s">
        <v>810</v>
      </c>
      <c r="H292" s="11" t="s">
        <v>126</v>
      </c>
    </row>
    <row r="293" spans="2:8" x14ac:dyDescent="0.25">
      <c r="B293" s="488" t="str">
        <f t="shared" ca="1" si="4"/>
        <v>Untere Grenze der Bandbreite (Art. 57d Abs. 2 Bst. a FiLaV)</v>
      </c>
      <c r="C293" s="493" t="s">
        <v>126</v>
      </c>
      <c r="D293" s="11" t="s">
        <v>675</v>
      </c>
      <c r="E293" s="11" t="s">
        <v>895</v>
      </c>
      <c r="F293" s="11" t="s">
        <v>847</v>
      </c>
      <c r="G293" s="11" t="s">
        <v>811</v>
      </c>
      <c r="H293" s="11" t="s">
        <v>126</v>
      </c>
    </row>
    <row r="294" spans="2:8" x14ac:dyDescent="0.25">
      <c r="B294" s="490" t="str">
        <f t="shared" ca="1" si="4"/>
        <v>Zeta-1</v>
      </c>
      <c r="C294" s="493" t="s">
        <v>126</v>
      </c>
      <c r="D294" s="11" t="s">
        <v>655</v>
      </c>
      <c r="E294" s="11" t="s">
        <v>698</v>
      </c>
      <c r="F294" s="11" t="s">
        <v>655</v>
      </c>
      <c r="G294" s="11" t="s">
        <v>655</v>
      </c>
      <c r="H294" s="11" t="s">
        <v>126</v>
      </c>
    </row>
  </sheetData>
  <pageMargins left="0.39370078740157483" right="0.39370078740157483" top="0.78740157480314965" bottom="0.78740157480314965" header="0.31496062992125984" footer="0.31496062992125984"/>
  <pageSetup paperSize="9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G37"/>
  <sheetViews>
    <sheetView showGridLines="0" zoomScaleNormal="100" workbookViewId="0">
      <selection activeCell="A50" sqref="A50"/>
    </sheetView>
  </sheetViews>
  <sheetFormatPr baseColWidth="10" defaultColWidth="9.109375" defaultRowHeight="13.2" x14ac:dyDescent="0.25"/>
  <cols>
    <col min="1" max="1" width="3.5546875" customWidth="1"/>
    <col min="2" max="2" width="17.33203125" customWidth="1"/>
    <col min="3" max="6" width="16.6640625" customWidth="1"/>
    <col min="7" max="7" width="3.5546875" customWidth="1"/>
    <col min="8" max="8" width="11.44140625" customWidth="1"/>
  </cols>
  <sheetData>
    <row r="1" spans="1:7" ht="48" customHeight="1" x14ac:dyDescent="0.25"/>
    <row r="2" spans="1:7" ht="28.5" customHeight="1" x14ac:dyDescent="0.25">
      <c r="A2" s="19"/>
      <c r="B2" s="509" t="str">
        <f ca="1">DFIE!$B$76</f>
        <v>Zahlungen im</v>
      </c>
      <c r="C2" s="509"/>
      <c r="D2" s="509"/>
      <c r="E2" s="509"/>
      <c r="F2" s="509"/>
      <c r="G2" s="19"/>
    </row>
    <row r="3" spans="1:7" ht="27.75" customHeight="1" x14ac:dyDescent="0.25">
      <c r="A3" s="20"/>
      <c r="B3" s="510" t="str">
        <f ca="1">DFIE!$B$77</f>
        <v>Ressourcenausgleich 2025</v>
      </c>
      <c r="C3" s="510"/>
      <c r="D3" s="510"/>
      <c r="E3" s="510"/>
      <c r="F3" s="510"/>
      <c r="G3" s="20"/>
    </row>
    <row r="4" spans="1:7" ht="24" customHeight="1" x14ac:dyDescent="0.25">
      <c r="B4" s="14"/>
    </row>
    <row r="5" spans="1:7" ht="24" customHeight="1" x14ac:dyDescent="0.25">
      <c r="B5" s="14"/>
    </row>
    <row r="6" spans="1:7" x14ac:dyDescent="0.25">
      <c r="B6" s="17" t="str">
        <f ca="1">DFIE!$B$78</f>
        <v>(+) Einzahlungen; (-) Auszahlungen in CHF</v>
      </c>
    </row>
    <row r="7" spans="1:7" ht="24" customHeight="1" x14ac:dyDescent="0.25">
      <c r="B7" s="514"/>
      <c r="C7" s="516" t="str">
        <f ca="1">DFIE!$B$79</f>
        <v>Ressourcen-
index</v>
      </c>
      <c r="D7" s="512" t="str">
        <f ca="1">DFIE!$B$80</f>
        <v>Ausgleichszahlungen</v>
      </c>
      <c r="E7" s="513"/>
      <c r="F7" s="516" t="str">
        <f ca="1">DFIE!$B$82</f>
        <v>Index SSE
nach
Ausgleich</v>
      </c>
    </row>
    <row r="8" spans="1:7" ht="24" customHeight="1" x14ac:dyDescent="0.25">
      <c r="B8" s="515"/>
      <c r="C8" s="517"/>
      <c r="D8" s="28" t="str">
        <f ca="1">DFIE!$B$68</f>
        <v>Total</v>
      </c>
      <c r="E8" s="28" t="str">
        <f ca="1">DFIE!$B$81</f>
        <v>Pro Einwohner</v>
      </c>
      <c r="F8" s="517"/>
    </row>
    <row r="9" spans="1:7" x14ac:dyDescent="0.25">
      <c r="B9" s="16" t="str">
        <f ca="1">DFIE!$B$32</f>
        <v>Zürich</v>
      </c>
      <c r="C9" s="24">
        <f>RP!I9</f>
        <v>118.95371559857108</v>
      </c>
      <c r="D9" s="29">
        <f>SUM(EINZ!G9,-AUSZ!G9)</f>
        <v>546363165.25171638</v>
      </c>
      <c r="E9" s="21">
        <f>-SSE!G9</f>
        <v>351.47045488282436</v>
      </c>
      <c r="F9" s="24">
        <f>SSE!$I9</f>
        <v>115.35544595145684</v>
      </c>
    </row>
    <row r="10" spans="1:7" x14ac:dyDescent="0.25">
      <c r="B10" s="18" t="str">
        <f ca="1">DFIE!$B$33</f>
        <v>Bern</v>
      </c>
      <c r="C10" s="25">
        <f>RP!I10</f>
        <v>73.60272509466796</v>
      </c>
      <c r="D10" s="30">
        <f>SUM(EINZ!G10,-AUSZ!G10)</f>
        <v>-1368658382.8660665</v>
      </c>
      <c r="E10" s="22">
        <f>-SSE!G10</f>
        <v>-1307.2515486211371</v>
      </c>
      <c r="F10" s="25">
        <f>SSE!$I10</f>
        <v>86.986050785911942</v>
      </c>
    </row>
    <row r="11" spans="1:7" x14ac:dyDescent="0.25">
      <c r="B11" s="16" t="str">
        <f ca="1">DFIE!$B$34</f>
        <v>Luzern</v>
      </c>
      <c r="C11" s="24">
        <f>RP!I11</f>
        <v>92.477714297617922</v>
      </c>
      <c r="D11" s="31">
        <f>SUM(EINZ!G11,-AUSZ!G11)</f>
        <v>-69942659.242029458</v>
      </c>
      <c r="E11" s="21">
        <f>-SSE!G11</f>
        <v>-167.57087588518084</v>
      </c>
      <c r="F11" s="24">
        <f>SSE!$I11</f>
        <v>94.193264461397746</v>
      </c>
    </row>
    <row r="12" spans="1:7" x14ac:dyDescent="0.25">
      <c r="B12" s="18" t="str">
        <f ca="1">DFIE!$B$35</f>
        <v>Uri</v>
      </c>
      <c r="C12" s="25">
        <f>RP!I12</f>
        <v>70.55637322027448</v>
      </c>
      <c r="D12" s="30">
        <f>SUM(EINZ!G12,-AUSZ!G12)</f>
        <v>-57920992.856007457</v>
      </c>
      <c r="E12" s="22">
        <f>-SSE!G12</f>
        <v>-1563.0594868872242</v>
      </c>
      <c r="F12" s="25">
        <f>SSE!$I12</f>
        <v>86.558598813248778</v>
      </c>
    </row>
    <row r="13" spans="1:7" x14ac:dyDescent="0.25">
      <c r="B13" s="16" t="str">
        <f ca="1">DFIE!$B$36</f>
        <v>Schwyz</v>
      </c>
      <c r="C13" s="24">
        <f>RP!I13</f>
        <v>184.48973554736722</v>
      </c>
      <c r="D13" s="31">
        <f>SUM(EINZ!G13,-AUSZ!G13)</f>
        <v>253858704.61898685</v>
      </c>
      <c r="E13" s="21">
        <f>-SSE!G13</f>
        <v>1566.7453503418321</v>
      </c>
      <c r="F13" s="24">
        <f>SSE!$I13</f>
        <v>168.44977497437438</v>
      </c>
    </row>
    <row r="14" spans="1:7" x14ac:dyDescent="0.25">
      <c r="B14" s="18" t="str">
        <f ca="1">DFIE!$B$37</f>
        <v>Obwalden</v>
      </c>
      <c r="C14" s="25">
        <f>RP!I14</f>
        <v>110.89369610338187</v>
      </c>
      <c r="D14" s="30">
        <f>SUM(EINZ!G14,-AUSZ!G14)</f>
        <v>7750697.1469386369</v>
      </c>
      <c r="E14" s="22">
        <f>-SSE!G14</f>
        <v>202.00853520771048</v>
      </c>
      <c r="F14" s="25">
        <f>SSE!$I14</f>
        <v>108.82558149915934</v>
      </c>
    </row>
    <row r="15" spans="1:7" x14ac:dyDescent="0.25">
      <c r="B15" s="16" t="str">
        <f ca="1">DFIE!$B$38</f>
        <v>Nidwalden</v>
      </c>
      <c r="C15" s="24">
        <f>RP!I15</f>
        <v>159.83973596302889</v>
      </c>
      <c r="D15" s="31">
        <f>SUM(EINZ!G15,-AUSZ!G15)</f>
        <v>48362590.726706833</v>
      </c>
      <c r="E15" s="21">
        <f>-SSE!G15</f>
        <v>1109.6451832684174</v>
      </c>
      <c r="F15" s="24">
        <f>SSE!$I15</f>
        <v>148.4794565240291</v>
      </c>
    </row>
    <row r="16" spans="1:7" x14ac:dyDescent="0.25">
      <c r="B16" s="18" t="str">
        <f ca="1">DFIE!$B$39</f>
        <v>Glarus</v>
      </c>
      <c r="C16" s="25">
        <f>RP!I16</f>
        <v>72.11326036463575</v>
      </c>
      <c r="D16" s="30">
        <f>SUM(EINZ!G16,-AUSZ!G16)</f>
        <v>-58717003.87740048</v>
      </c>
      <c r="E16" s="22">
        <f>-SSE!G16</f>
        <v>-1430.1047841638131</v>
      </c>
      <c r="F16" s="25">
        <f>SSE!$I16</f>
        <v>86.754327815853202</v>
      </c>
    </row>
    <row r="17" spans="2:6" x14ac:dyDescent="0.25">
      <c r="B17" s="16" t="str">
        <f ca="1">DFIE!$B$40</f>
        <v>Zug</v>
      </c>
      <c r="C17" s="24">
        <f>RP!I17</f>
        <v>280.66179282734032</v>
      </c>
      <c r="D17" s="31">
        <f>SUM(EINZ!G17,-AUSZ!G17)</f>
        <v>434854926.06280339</v>
      </c>
      <c r="E17" s="21">
        <f>-SSE!G17</f>
        <v>3350.1232080193786</v>
      </c>
      <c r="F17" s="24">
        <f>SSE!$I17</f>
        <v>246.36404038175306</v>
      </c>
    </row>
    <row r="18" spans="2:6" x14ac:dyDescent="0.25">
      <c r="B18" s="18" t="str">
        <f ca="1">DFIE!$B$41</f>
        <v>Freiburg</v>
      </c>
      <c r="C18" s="25">
        <f>RP!I18</f>
        <v>71.919627532405542</v>
      </c>
      <c r="D18" s="30">
        <f>SUM(EINZ!G18,-AUSZ!G18)</f>
        <v>-470755986.29280949</v>
      </c>
      <c r="E18" s="22">
        <f>-SSE!G18</f>
        <v>-1446.3897392162796</v>
      </c>
      <c r="F18" s="25">
        <f>SSE!$I18</f>
        <v>86.727416421103257</v>
      </c>
    </row>
    <row r="19" spans="2:6" x14ac:dyDescent="0.25">
      <c r="B19" s="16" t="str">
        <f ca="1">DFIE!$B$42</f>
        <v>Solothurn</v>
      </c>
      <c r="C19" s="24">
        <f>RP!I19</f>
        <v>71.773395861283589</v>
      </c>
      <c r="D19" s="31">
        <f>SUM(EINZ!G19,-AUSZ!G19)</f>
        <v>-406126342.5491057</v>
      </c>
      <c r="E19" s="21">
        <f>-SSE!G19</f>
        <v>-1458.7356261330774</v>
      </c>
      <c r="F19" s="24">
        <f>SSE!$I19</f>
        <v>86.70757895905993</v>
      </c>
    </row>
    <row r="20" spans="2:6" x14ac:dyDescent="0.25">
      <c r="B20" s="18" t="str">
        <f ca="1">DFIE!$B$43</f>
        <v>Basel-Stadt</v>
      </c>
      <c r="C20" s="25">
        <f>RP!I20</f>
        <v>160.56787033609069</v>
      </c>
      <c r="D20" s="30">
        <f>SUM(EINZ!G20,-AUSZ!G20)</f>
        <v>223276280.27402788</v>
      </c>
      <c r="E20" s="22">
        <f>-SSE!G20</f>
        <v>1123.1474286716959</v>
      </c>
      <c r="F20" s="25">
        <f>SSE!$I20</f>
        <v>149.06935816905491</v>
      </c>
    </row>
    <row r="21" spans="2:6" x14ac:dyDescent="0.25">
      <c r="B21" s="16" t="str">
        <f ca="1">DFIE!$B$44</f>
        <v>Basel-Landschaft</v>
      </c>
      <c r="C21" s="24">
        <f>RP!I21</f>
        <v>98.79942443555565</v>
      </c>
      <c r="D21" s="31">
        <f>SUM(EINZ!G21,-AUSZ!G21)</f>
        <v>-2428227.9547440833</v>
      </c>
      <c r="E21" s="21">
        <f>-SSE!G21</f>
        <v>-8.3192015323894797</v>
      </c>
      <c r="F21" s="24">
        <f>SSE!$I21</f>
        <v>98.884594411997099</v>
      </c>
    </row>
    <row r="22" spans="2:6" x14ac:dyDescent="0.25">
      <c r="B22" s="18" t="str">
        <f ca="1">DFIE!$B$45</f>
        <v>Schaffhausen</v>
      </c>
      <c r="C22" s="25">
        <f>RP!I22</f>
        <v>103.4132752867917</v>
      </c>
      <c r="D22" s="30">
        <f>SUM(EINZ!G22,-AUSZ!G22)</f>
        <v>5283632.6234616013</v>
      </c>
      <c r="E22" s="22">
        <f>-SSE!G22</f>
        <v>63.294471812135093</v>
      </c>
      <c r="F22" s="25">
        <f>SSE!$I22</f>
        <v>102.76528176816819</v>
      </c>
    </row>
    <row r="23" spans="2:6" x14ac:dyDescent="0.25">
      <c r="B23" s="16" t="str">
        <f ca="1">DFIE!$B$46</f>
        <v>Appenzell A.Rh.</v>
      </c>
      <c r="C23" s="24">
        <f>RP!I23</f>
        <v>85.758287409555805</v>
      </c>
      <c r="D23" s="31">
        <f>SUM(EINZ!G23,-AUSZ!G23)</f>
        <v>-26424223.647844665</v>
      </c>
      <c r="E23" s="21">
        <f>-SSE!G23</f>
        <v>-476.23226846131752</v>
      </c>
      <c r="F23" s="24">
        <f>SSE!$I23</f>
        <v>90.633838377707647</v>
      </c>
    </row>
    <row r="24" spans="2:6" x14ac:dyDescent="0.25">
      <c r="B24" s="18" t="str">
        <f ca="1">DFIE!$B$47</f>
        <v>Appenzell I.Rh.</v>
      </c>
      <c r="C24" s="25">
        <f>RP!I24</f>
        <v>105.40059937260087</v>
      </c>
      <c r="D24" s="30">
        <f>SUM(EINZ!G24,-AUSZ!G24)</f>
        <v>1630737.9717339547</v>
      </c>
      <c r="E24" s="22">
        <f>-SSE!G24</f>
        <v>100.14664978253784</v>
      </c>
      <c r="F24" s="25">
        <f>SSE!$I24</f>
        <v>104.37532215465428</v>
      </c>
    </row>
    <row r="25" spans="2:6" x14ac:dyDescent="0.25">
      <c r="B25" s="16" t="str">
        <f ca="1">DFIE!$B$48</f>
        <v>St. Gallen</v>
      </c>
      <c r="C25" s="24">
        <f>RP!I25</f>
        <v>80.695978294817237</v>
      </c>
      <c r="D25" s="31">
        <f>SUM(EINZ!G25,-AUSZ!G25)</f>
        <v>-403780165.57499826</v>
      </c>
      <c r="E25" s="21">
        <f>-SSE!G25</f>
        <v>-783.35543166692037</v>
      </c>
      <c r="F25" s="24">
        <f>SSE!$I25</f>
        <v>88.715782046483582</v>
      </c>
    </row>
    <row r="26" spans="2:6" x14ac:dyDescent="0.25">
      <c r="B26" s="18" t="str">
        <f ca="1">DFIE!$B$49</f>
        <v>Graubünden</v>
      </c>
      <c r="C26" s="25">
        <f>RP!I26</f>
        <v>89.624725311337201</v>
      </c>
      <c r="D26" s="30">
        <f>SUM(EINZ!G26,-AUSZ!G26)</f>
        <v>-58537398.516356573</v>
      </c>
      <c r="E26" s="22">
        <f>-SSE!G26</f>
        <v>-283.60661769958637</v>
      </c>
      <c r="F26" s="25">
        <f>SSE!$I26</f>
        <v>92.528221380528493</v>
      </c>
    </row>
    <row r="27" spans="2:6" x14ac:dyDescent="0.25">
      <c r="B27" s="16" t="str">
        <f ca="1">DFIE!$B$50</f>
        <v>Aargau</v>
      </c>
      <c r="C27" s="24">
        <f>RP!I27</f>
        <v>80.772316135481375</v>
      </c>
      <c r="D27" s="31">
        <f>SUM(EINZ!G27,-AUSZ!G27)</f>
        <v>-540687601.74205577</v>
      </c>
      <c r="E27" s="21">
        <f>-SSE!G27</f>
        <v>-778.29271416491497</v>
      </c>
      <c r="F27" s="24">
        <f>SSE!$I27</f>
        <v>88.74028900786243</v>
      </c>
    </row>
    <row r="28" spans="2:6" x14ac:dyDescent="0.25">
      <c r="B28" s="18" t="str">
        <f ca="1">DFIE!$B$51</f>
        <v>Thurgau</v>
      </c>
      <c r="C28" s="25">
        <f>RP!I28</f>
        <v>81.610136166934595</v>
      </c>
      <c r="D28" s="30">
        <f>SUM(EINZ!G28,-AUSZ!G28)</f>
        <v>-204772730.56552827</v>
      </c>
      <c r="E28" s="22">
        <f>-SSE!G28</f>
        <v>-723.57216125485911</v>
      </c>
      <c r="F28" s="25">
        <f>SSE!$I28</f>
        <v>89.017893232057517</v>
      </c>
    </row>
    <row r="29" spans="2:6" x14ac:dyDescent="0.25">
      <c r="B29" s="16" t="str">
        <f ca="1">DFIE!$B$52</f>
        <v>Tessin</v>
      </c>
      <c r="C29" s="24">
        <f>RP!I29</f>
        <v>90.445750395049828</v>
      </c>
      <c r="D29" s="31">
        <f>SUM(EINZ!G29,-AUSZ!G29)</f>
        <v>-87788043.857492656</v>
      </c>
      <c r="E29" s="21">
        <f>-SSE!G29</f>
        <v>-247.81614653864347</v>
      </c>
      <c r="F29" s="24">
        <f>SSE!$I29</f>
        <v>92.982832262861763</v>
      </c>
    </row>
    <row r="30" spans="2:6" x14ac:dyDescent="0.25">
      <c r="B30" s="18" t="str">
        <f ca="1">DFIE!$B$53</f>
        <v>Waadt</v>
      </c>
      <c r="C30" s="25">
        <f>RP!I30</f>
        <v>100.02353775709014</v>
      </c>
      <c r="D30" s="30">
        <f>SUM(EINZ!G30,-AUSZ!G30)</f>
        <v>357391.61410482641</v>
      </c>
      <c r="E30" s="22">
        <f>-SSE!G30</f>
        <v>0.43647516754004295</v>
      </c>
      <c r="F30" s="25">
        <f>SSE!$I30</f>
        <v>100.01906922972105</v>
      </c>
    </row>
    <row r="31" spans="2:6" x14ac:dyDescent="0.25">
      <c r="B31" s="16" t="str">
        <f ca="1">DFIE!$B$54</f>
        <v>Wallis</v>
      </c>
      <c r="C31" s="24">
        <f>RP!I31</f>
        <v>66.357167349364047</v>
      </c>
      <c r="D31" s="31">
        <f>SUM(EINZ!G31,-AUSZ!G31)</f>
        <v>-699432650.10023117</v>
      </c>
      <c r="E31" s="21">
        <f>-SSE!G31</f>
        <v>-1967.5041752430607</v>
      </c>
      <c r="F31" s="24">
        <f>SSE!$I31</f>
        <v>86.5</v>
      </c>
    </row>
    <row r="32" spans="2:6" x14ac:dyDescent="0.25">
      <c r="B32" s="18" t="str">
        <f ca="1">DFIE!$B$55</f>
        <v>Neuenburg</v>
      </c>
      <c r="C32" s="25">
        <f>RP!I32</f>
        <v>73.618190592606197</v>
      </c>
      <c r="D32" s="30">
        <f>SUM(EINZ!G32,-AUSZ!G32)</f>
        <v>-231908332.92106295</v>
      </c>
      <c r="E32" s="22">
        <f>-SSE!G32</f>
        <v>-1305.9985147089699</v>
      </c>
      <c r="F32" s="25">
        <f>SSE!$I32</f>
        <v>86.988688025228967</v>
      </c>
    </row>
    <row r="33" spans="2:6" x14ac:dyDescent="0.25">
      <c r="B33" s="16" t="str">
        <f ca="1">DFIE!$B$56</f>
        <v>Genf</v>
      </c>
      <c r="C33" s="24">
        <f>RP!I33</f>
        <v>143.91066955838474</v>
      </c>
      <c r="D33" s="31">
        <f>SUM(EINZ!G33,-AUSZ!G33)</f>
        <v>413768659.6794647</v>
      </c>
      <c r="E33" s="21">
        <f>-SSE!G33</f>
        <v>814.26266652742174</v>
      </c>
      <c r="F33" s="24">
        <f>SSE!$I33</f>
        <v>135.57444499942227</v>
      </c>
    </row>
    <row r="34" spans="2:6" x14ac:dyDescent="0.25">
      <c r="B34" s="18" t="str">
        <f ca="1">DFIE!$B$57</f>
        <v>Jura</v>
      </c>
      <c r="C34" s="25">
        <f>RP!I34</f>
        <v>65.579947049524549</v>
      </c>
      <c r="D34" s="30">
        <f>SUM(EINZ!G34,-AUSZ!G34)</f>
        <v>-150886222.36113033</v>
      </c>
      <c r="E34" s="22">
        <f>-SSE!G34</f>
        <v>-2043.4212129080488</v>
      </c>
      <c r="F34" s="25">
        <f>SSE!$I34</f>
        <v>86.500000000000028</v>
      </c>
    </row>
    <row r="35" spans="2:6" x14ac:dyDescent="0.25">
      <c r="B35" s="15" t="str">
        <f ca="1">DFIE!$B$58</f>
        <v>Schweiz</v>
      </c>
      <c r="C35" s="26">
        <f>RP!I35</f>
        <v>100</v>
      </c>
      <c r="D35" s="27">
        <f>SUM(D9:D34)</f>
        <v>-2903260178.9549184</v>
      </c>
      <c r="E35" s="23"/>
      <c r="F35" s="26"/>
    </row>
    <row r="36" spans="2:6" ht="92.25" customHeight="1" x14ac:dyDescent="0.25">
      <c r="B36" s="511" t="str">
        <f ca="1">DFIE!$B$83</f>
        <v>Die Berechnung des Ressourcenausgleichs wird im technischen Bericht detailliert beschrieben:
www.efv.admin.ch → Themen  → Finanzausgleich  → Dokumentation</v>
      </c>
      <c r="C36" s="511"/>
      <c r="D36" s="511"/>
      <c r="E36" s="511"/>
      <c r="F36" s="511"/>
    </row>
    <row r="37" spans="2:6" ht="21.75" customHeight="1" x14ac:dyDescent="0.25"/>
  </sheetData>
  <mergeCells count="7">
    <mergeCell ref="B2:F2"/>
    <mergeCell ref="B3:F3"/>
    <mergeCell ref="B36:F36"/>
    <mergeCell ref="D7:E7"/>
    <mergeCell ref="B7:B8"/>
    <mergeCell ref="C7:C8"/>
    <mergeCell ref="F7:F8"/>
  </mergeCells>
  <pageMargins left="0.78740157480314965" right="0.78740157480314965" top="0.9055118110236221" bottom="0.78740157480314965" header="0.51181102362204722" footer="0.51181102362204722"/>
  <pageSetup paperSize="9" scale="95" orientation="portrait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I93"/>
  <sheetViews>
    <sheetView showGridLines="0" zoomScaleNormal="100" workbookViewId="0">
      <pane ySplit="8" topLeftCell="A9" activePane="bottomLeft" state="frozen"/>
      <selection activeCell="A100" sqref="A100"/>
      <selection pane="bottomLeft" activeCell="A100" sqref="A100"/>
    </sheetView>
  </sheetViews>
  <sheetFormatPr baseColWidth="10" defaultColWidth="9.109375" defaultRowHeight="13.2" x14ac:dyDescent="0.25"/>
  <cols>
    <col min="1" max="1" width="4.44140625" customWidth="1"/>
    <col min="2" max="2" width="17.33203125" customWidth="1"/>
    <col min="3" max="5" width="23.6640625" customWidth="1"/>
    <col min="6" max="6" width="1.44140625" customWidth="1"/>
    <col min="7" max="7" width="4" customWidth="1"/>
    <col min="8" max="8" width="13.109375" customWidth="1"/>
    <col min="9" max="9" width="10" customWidth="1"/>
  </cols>
  <sheetData>
    <row r="1" spans="1:9" ht="22.5" customHeight="1" x14ac:dyDescent="0.3">
      <c r="B1" s="4" t="str">
        <f ca="1">DFIE!$B$84</f>
        <v>Einkommen natürlicher Personen 2025</v>
      </c>
    </row>
    <row r="2" spans="1:9" ht="12.75" customHeight="1" x14ac:dyDescent="0.25"/>
    <row r="3" spans="1:9" ht="0.75" customHeight="1" x14ac:dyDescent="0.25"/>
    <row r="4" spans="1:9" ht="12" customHeight="1" x14ac:dyDescent="0.25">
      <c r="B4" s="32" t="str">
        <f ca="1">DFIE!$B$59</f>
        <v>Spalte</v>
      </c>
      <c r="C4" s="33" t="s">
        <v>30</v>
      </c>
      <c r="D4" s="33" t="s">
        <v>31</v>
      </c>
      <c r="E4" s="34" t="s">
        <v>32</v>
      </c>
      <c r="H4" s="34" t="s">
        <v>33</v>
      </c>
      <c r="I4" s="34" t="s">
        <v>34</v>
      </c>
    </row>
    <row r="5" spans="1:9" ht="12" customHeight="1" x14ac:dyDescent="0.25">
      <c r="B5" s="32" t="str">
        <f ca="1">DFIE!$B$60</f>
        <v>Formel</v>
      </c>
      <c r="C5" s="35"/>
      <c r="D5" s="36"/>
      <c r="E5" s="37" t="s">
        <v>97</v>
      </c>
    </row>
    <row r="6" spans="1:9" ht="28.5" customHeight="1" x14ac:dyDescent="0.25">
      <c r="B6" s="49"/>
      <c r="C6" s="526" t="str">
        <f ca="1">DFIE!$B$85</f>
        <v>Steuerpflichtige mit steuerbarem Einkommen
grösser oder gleich dem Freibetrag</v>
      </c>
      <c r="D6" s="526"/>
      <c r="E6" s="522" t="str">
        <f ca="1">DFIE!$B$88</f>
        <v>Massgebendes
Einkommen der
natürlichen
Personen</v>
      </c>
      <c r="H6" s="518" t="str">
        <f ca="1">DFIE!$B$89</f>
        <v>Freibetrag pro
steuerpflichtige Person</v>
      </c>
      <c r="I6" s="519"/>
    </row>
    <row r="7" spans="1:9" ht="30.75" customHeight="1" x14ac:dyDescent="0.25">
      <c r="A7" s="44"/>
      <c r="B7" s="50"/>
      <c r="C7" s="67" t="str">
        <f ca="1">DFIE!$B$86</f>
        <v>Steuerpflichtige</v>
      </c>
      <c r="D7" s="67" t="str">
        <f ca="1">DFIE!$B$87</f>
        <v>Steuerbares Einkommen
der Steuerpflichtigen</v>
      </c>
      <c r="E7" s="522"/>
      <c r="F7" s="44"/>
      <c r="H7" s="520"/>
      <c r="I7" s="521"/>
    </row>
    <row r="8" spans="1:9" ht="12.75" customHeight="1" x14ac:dyDescent="0.25">
      <c r="B8" s="32" t="str">
        <f ca="1">DFIE!$B$62</f>
        <v>Einheit</v>
      </c>
      <c r="C8" s="38" t="str">
        <f ca="1">DFIE!$B$65</f>
        <v>Anzahl</v>
      </c>
      <c r="D8" s="38" t="str">
        <f ca="1">DFIE!$B$64</f>
        <v>CHF 1'000</v>
      </c>
      <c r="E8" s="39" t="str">
        <f ca="1">DFIE!$B$64</f>
        <v>CHF 1'000</v>
      </c>
      <c r="H8" s="40" t="str">
        <f ca="1">DFIE!$B$90</f>
        <v>Bemessungsjahr</v>
      </c>
      <c r="I8" s="41" t="str">
        <f ca="1">DFIE!$B$63</f>
        <v>CHF</v>
      </c>
    </row>
    <row r="9" spans="1:9" ht="12.75" customHeight="1" x14ac:dyDescent="0.25">
      <c r="A9" s="523" t="str">
        <f ca="1">DFIE!$B$73</f>
        <v>Bemessungsjahr 2019</v>
      </c>
      <c r="B9" s="62" t="str">
        <f ca="1">DFIE!$B$32</f>
        <v>Zürich</v>
      </c>
      <c r="C9" s="60">
        <v>663862</v>
      </c>
      <c r="D9" s="60">
        <v>63673755.100000001</v>
      </c>
      <c r="E9" s="54">
        <f t="shared" ref="E9:E34" si="0">D9-($I$9/1000*C9)</f>
        <v>43226805.5</v>
      </c>
      <c r="F9" s="45"/>
      <c r="H9" s="43">
        <f>DFIE!$G$3-6</f>
        <v>2019</v>
      </c>
      <c r="I9" s="66">
        <v>30800</v>
      </c>
    </row>
    <row r="10" spans="1:9" x14ac:dyDescent="0.25">
      <c r="A10" s="523"/>
      <c r="B10" s="63" t="str">
        <f ca="1">DFIE!$B$33</f>
        <v>Bern</v>
      </c>
      <c r="C10" s="59">
        <v>442460</v>
      </c>
      <c r="D10" s="59">
        <v>32700137.600000001</v>
      </c>
      <c r="E10" s="53">
        <f t="shared" si="0"/>
        <v>19072369.600000001</v>
      </c>
      <c r="F10" s="45"/>
    </row>
    <row r="11" spans="1:9" ht="12.75" customHeight="1" x14ac:dyDescent="0.25">
      <c r="A11" s="523"/>
      <c r="B11" s="62" t="str">
        <f ca="1">DFIE!$B$34</f>
        <v>Luzern</v>
      </c>
      <c r="C11" s="60">
        <v>174985</v>
      </c>
      <c r="D11" s="60">
        <v>14114519.4</v>
      </c>
      <c r="E11" s="54">
        <f t="shared" si="0"/>
        <v>8724981.4000000004</v>
      </c>
      <c r="F11" s="45"/>
    </row>
    <row r="12" spans="1:9" x14ac:dyDescent="0.25">
      <c r="A12" s="523"/>
      <c r="B12" s="63" t="str">
        <f ca="1">DFIE!$B$35</f>
        <v>Uri</v>
      </c>
      <c r="C12" s="59">
        <v>15391</v>
      </c>
      <c r="D12" s="59">
        <v>1108131.3999999999</v>
      </c>
      <c r="E12" s="53">
        <f t="shared" si="0"/>
        <v>634088.59999999986</v>
      </c>
      <c r="F12" s="45"/>
    </row>
    <row r="13" spans="1:9" x14ac:dyDescent="0.25">
      <c r="A13" s="523"/>
      <c r="B13" s="62" t="str">
        <f ca="1">DFIE!$B$36</f>
        <v>Schwyz</v>
      </c>
      <c r="C13" s="60">
        <v>71302</v>
      </c>
      <c r="D13" s="60">
        <v>8848699.6999999993</v>
      </c>
      <c r="E13" s="54">
        <f t="shared" si="0"/>
        <v>6652598.0999999996</v>
      </c>
      <c r="F13" s="45"/>
    </row>
    <row r="14" spans="1:9" x14ac:dyDescent="0.25">
      <c r="A14" s="523"/>
      <c r="B14" s="63" t="str">
        <f ca="1">DFIE!$B$37</f>
        <v>Obwalden</v>
      </c>
      <c r="C14" s="59">
        <v>16123</v>
      </c>
      <c r="D14" s="59">
        <v>1564299.3</v>
      </c>
      <c r="E14" s="53">
        <f t="shared" si="0"/>
        <v>1067710.8999999999</v>
      </c>
      <c r="F14" s="45"/>
    </row>
    <row r="15" spans="1:9" x14ac:dyDescent="0.25">
      <c r="A15" s="523"/>
      <c r="B15" s="62" t="str">
        <f ca="1">DFIE!$B$38</f>
        <v>Nidwalden</v>
      </c>
      <c r="C15" s="60">
        <v>19769</v>
      </c>
      <c r="D15" s="60">
        <v>2089100.2</v>
      </c>
      <c r="E15" s="54">
        <f t="shared" si="0"/>
        <v>1480215</v>
      </c>
      <c r="F15" s="45"/>
    </row>
    <row r="16" spans="1:9" x14ac:dyDescent="0.25">
      <c r="A16" s="523"/>
      <c r="B16" s="63" t="str">
        <f ca="1">DFIE!$B$39</f>
        <v>Glarus</v>
      </c>
      <c r="C16" s="59">
        <v>16785</v>
      </c>
      <c r="D16" s="59">
        <v>1214667.6000000001</v>
      </c>
      <c r="E16" s="53">
        <f t="shared" si="0"/>
        <v>697689.60000000009</v>
      </c>
      <c r="F16" s="45"/>
    </row>
    <row r="17" spans="1:6" x14ac:dyDescent="0.25">
      <c r="A17" s="523"/>
      <c r="B17" s="62" t="str">
        <f ca="1">DFIE!$B$40</f>
        <v>Zug</v>
      </c>
      <c r="C17" s="60">
        <v>57715</v>
      </c>
      <c r="D17" s="60">
        <v>7990335.5999999996</v>
      </c>
      <c r="E17" s="54">
        <f t="shared" si="0"/>
        <v>6212713.5999999996</v>
      </c>
      <c r="F17" s="45"/>
    </row>
    <row r="18" spans="1:6" x14ac:dyDescent="0.25">
      <c r="A18" s="523"/>
      <c r="B18" s="63" t="str">
        <f ca="1">DFIE!$B$41</f>
        <v>Freiburg</v>
      </c>
      <c r="C18" s="59">
        <v>129599</v>
      </c>
      <c r="D18" s="59">
        <v>9916872.0999999996</v>
      </c>
      <c r="E18" s="53">
        <f t="shared" si="0"/>
        <v>5925222.8999999994</v>
      </c>
      <c r="F18" s="45"/>
    </row>
    <row r="19" spans="1:6" x14ac:dyDescent="0.25">
      <c r="A19" s="523"/>
      <c r="B19" s="62" t="str">
        <f ca="1">DFIE!$B$42</f>
        <v>Solothurn</v>
      </c>
      <c r="C19" s="60">
        <v>119859</v>
      </c>
      <c r="D19" s="60">
        <v>9051876.5999999996</v>
      </c>
      <c r="E19" s="54">
        <f t="shared" si="0"/>
        <v>5360219.3999999994</v>
      </c>
      <c r="F19" s="45"/>
    </row>
    <row r="20" spans="1:6" x14ac:dyDescent="0.25">
      <c r="A20" s="523"/>
      <c r="B20" s="63" t="str">
        <f ca="1">DFIE!$B$43</f>
        <v>Basel-Stadt</v>
      </c>
      <c r="C20" s="59">
        <v>81824</v>
      </c>
      <c r="D20" s="59">
        <v>8107919.7000000002</v>
      </c>
      <c r="E20" s="53">
        <f t="shared" si="0"/>
        <v>5587740.5</v>
      </c>
      <c r="F20" s="45"/>
    </row>
    <row r="21" spans="1:6" x14ac:dyDescent="0.25">
      <c r="A21" s="523"/>
      <c r="B21" s="62" t="str">
        <f ca="1">DFIE!$B$44</f>
        <v>Basel-Landschaft</v>
      </c>
      <c r="C21" s="60">
        <v>127020</v>
      </c>
      <c r="D21" s="60">
        <v>11409371.199999999</v>
      </c>
      <c r="E21" s="54">
        <f t="shared" si="0"/>
        <v>7497155.1999999993</v>
      </c>
      <c r="F21" s="45"/>
    </row>
    <row r="22" spans="1:6" x14ac:dyDescent="0.25">
      <c r="A22" s="523"/>
      <c r="B22" s="63" t="str">
        <f ca="1">DFIE!$B$45</f>
        <v>Schaffhausen</v>
      </c>
      <c r="C22" s="59">
        <v>34787</v>
      </c>
      <c r="D22" s="59">
        <v>2626148.9</v>
      </c>
      <c r="E22" s="53">
        <f t="shared" si="0"/>
        <v>1554709.2999999998</v>
      </c>
      <c r="F22" s="45"/>
    </row>
    <row r="23" spans="1:6" x14ac:dyDescent="0.25">
      <c r="A23" s="523"/>
      <c r="B23" s="62" t="str">
        <f ca="1">DFIE!$B$46</f>
        <v>Appenzell A.Rh.</v>
      </c>
      <c r="C23" s="60">
        <v>23582</v>
      </c>
      <c r="D23" s="60">
        <v>1874198.2</v>
      </c>
      <c r="E23" s="54">
        <f t="shared" si="0"/>
        <v>1147872.6000000001</v>
      </c>
      <c r="F23" s="45"/>
    </row>
    <row r="24" spans="1:6" x14ac:dyDescent="0.25">
      <c r="A24" s="523"/>
      <c r="B24" s="63" t="str">
        <f ca="1">DFIE!$B$47</f>
        <v>Appenzell I.Rh.</v>
      </c>
      <c r="C24" s="59">
        <v>6802</v>
      </c>
      <c r="D24" s="59">
        <v>598874.4</v>
      </c>
      <c r="E24" s="53">
        <f t="shared" si="0"/>
        <v>389372.80000000005</v>
      </c>
      <c r="F24" s="45"/>
    </row>
    <row r="25" spans="1:6" x14ac:dyDescent="0.25">
      <c r="A25" s="523"/>
      <c r="B25" s="62" t="str">
        <f ca="1">DFIE!$B$48</f>
        <v>St. Gallen</v>
      </c>
      <c r="C25" s="60">
        <v>211714</v>
      </c>
      <c r="D25" s="60">
        <v>16015599.9</v>
      </c>
      <c r="E25" s="54">
        <f t="shared" si="0"/>
        <v>9494808.6999999993</v>
      </c>
      <c r="F25" s="45"/>
    </row>
    <row r="26" spans="1:6" x14ac:dyDescent="0.25">
      <c r="A26" s="523"/>
      <c r="B26" s="63" t="str">
        <f ca="1">DFIE!$B$49</f>
        <v>Graubünden</v>
      </c>
      <c r="C26" s="59">
        <v>83291</v>
      </c>
      <c r="D26" s="59">
        <v>6492711.2000000002</v>
      </c>
      <c r="E26" s="53">
        <f t="shared" si="0"/>
        <v>3927348.4</v>
      </c>
      <c r="F26" s="45"/>
    </row>
    <row r="27" spans="1:6" x14ac:dyDescent="0.25">
      <c r="A27" s="523"/>
      <c r="B27" s="62" t="str">
        <f ca="1">DFIE!$B$50</f>
        <v>Aargau</v>
      </c>
      <c r="C27" s="60">
        <v>298826</v>
      </c>
      <c r="D27" s="60">
        <v>23678018.699999999</v>
      </c>
      <c r="E27" s="54">
        <f t="shared" si="0"/>
        <v>14474177.899999999</v>
      </c>
      <c r="F27" s="45"/>
    </row>
    <row r="28" spans="1:6" x14ac:dyDescent="0.25">
      <c r="A28" s="523"/>
      <c r="B28" s="63" t="str">
        <f ca="1">DFIE!$B$51</f>
        <v>Thurgau</v>
      </c>
      <c r="C28" s="59">
        <v>117865</v>
      </c>
      <c r="D28" s="59">
        <v>9140431.4000000004</v>
      </c>
      <c r="E28" s="53">
        <f t="shared" si="0"/>
        <v>5510189.4000000004</v>
      </c>
      <c r="F28" s="45"/>
    </row>
    <row r="29" spans="1:6" x14ac:dyDescent="0.25">
      <c r="A29" s="523"/>
      <c r="B29" s="62" t="str">
        <f ca="1">DFIE!$B$52</f>
        <v>Tessin</v>
      </c>
      <c r="C29" s="60">
        <v>136452</v>
      </c>
      <c r="D29" s="60">
        <v>11408921.300000001</v>
      </c>
      <c r="E29" s="54">
        <f t="shared" si="0"/>
        <v>7206199.7000000002</v>
      </c>
      <c r="F29" s="45"/>
    </row>
    <row r="30" spans="1:6" x14ac:dyDescent="0.25">
      <c r="A30" s="523"/>
      <c r="B30" s="63" t="str">
        <f ca="1">DFIE!$B$53</f>
        <v>Waadt</v>
      </c>
      <c r="C30" s="59">
        <v>310445</v>
      </c>
      <c r="D30" s="59">
        <v>28466625.300000001</v>
      </c>
      <c r="E30" s="53">
        <f t="shared" si="0"/>
        <v>18904919.300000001</v>
      </c>
      <c r="F30" s="45"/>
    </row>
    <row r="31" spans="1:6" x14ac:dyDescent="0.25">
      <c r="A31" s="523"/>
      <c r="B31" s="62" t="str">
        <f ca="1">DFIE!$B$54</f>
        <v>Wallis</v>
      </c>
      <c r="C31" s="60">
        <v>139335</v>
      </c>
      <c r="D31" s="60">
        <v>9987567.0999999996</v>
      </c>
      <c r="E31" s="54">
        <f t="shared" si="0"/>
        <v>5696049.0999999996</v>
      </c>
      <c r="F31" s="45"/>
    </row>
    <row r="32" spans="1:6" x14ac:dyDescent="0.25">
      <c r="A32" s="523"/>
      <c r="B32" s="63" t="str">
        <f ca="1">DFIE!$B$55</f>
        <v>Neuenburg</v>
      </c>
      <c r="C32" s="59">
        <v>68951</v>
      </c>
      <c r="D32" s="59">
        <v>5295228.9000000004</v>
      </c>
      <c r="E32" s="53">
        <f t="shared" si="0"/>
        <v>3171538.1</v>
      </c>
      <c r="F32" s="45"/>
    </row>
    <row r="33" spans="1:9" x14ac:dyDescent="0.25">
      <c r="A33" s="523"/>
      <c r="B33" s="62" t="str">
        <f ca="1">DFIE!$B$56</f>
        <v>Genf</v>
      </c>
      <c r="C33" s="60">
        <v>179043</v>
      </c>
      <c r="D33" s="60">
        <v>19651764.199999999</v>
      </c>
      <c r="E33" s="54">
        <f t="shared" si="0"/>
        <v>14137239.799999999</v>
      </c>
      <c r="F33" s="45"/>
    </row>
    <row r="34" spans="1:9" x14ac:dyDescent="0.25">
      <c r="A34" s="523"/>
      <c r="B34" s="63" t="str">
        <f ca="1">DFIE!$B$57</f>
        <v>Jura</v>
      </c>
      <c r="C34" s="59">
        <v>29128</v>
      </c>
      <c r="D34" s="59">
        <v>2002751</v>
      </c>
      <c r="E34" s="53">
        <f t="shared" si="0"/>
        <v>1105608.6000000001</v>
      </c>
      <c r="F34" s="45"/>
    </row>
    <row r="35" spans="1:9" x14ac:dyDescent="0.25">
      <c r="A35" s="523"/>
      <c r="B35" s="64" t="str">
        <f ca="1">DFIE!$B$58</f>
        <v>Schweiz</v>
      </c>
      <c r="C35" s="61">
        <f>SUM(C9:C34)</f>
        <v>3576915</v>
      </c>
      <c r="D35" s="61">
        <f>SUM(D9:D34)</f>
        <v>309028525.99999994</v>
      </c>
      <c r="E35" s="55">
        <f>SUM(E9:E34)</f>
        <v>198859544</v>
      </c>
      <c r="F35" s="47"/>
      <c r="H35" s="44"/>
      <c r="I35" s="44"/>
    </row>
    <row r="36" spans="1:9" ht="15" customHeight="1" x14ac:dyDescent="0.25">
      <c r="A36" s="69"/>
      <c r="C36" s="46"/>
      <c r="D36" s="46"/>
      <c r="E36" s="46"/>
      <c r="H36" s="44"/>
      <c r="I36" s="44"/>
    </row>
    <row r="37" spans="1:9" ht="12.75" customHeight="1" x14ac:dyDescent="0.25">
      <c r="A37" s="524" t="str">
        <f ca="1">DFIE!$B$74</f>
        <v>Bemessungsjahr 2020</v>
      </c>
      <c r="B37" s="65" t="str">
        <f ca="1">DFIE!$B$32</f>
        <v>Zürich</v>
      </c>
      <c r="C37" s="57">
        <v>672469</v>
      </c>
      <c r="D37" s="57">
        <v>64135209.200000003</v>
      </c>
      <c r="E37" s="58">
        <f t="shared" ref="E37:E62" si="1">D37-($I$37/1000*C37)</f>
        <v>43423164</v>
      </c>
      <c r="F37" s="48"/>
      <c r="H37" s="43">
        <f>DFIE!$G$3-5</f>
        <v>2020</v>
      </c>
      <c r="I37" s="66">
        <v>30800</v>
      </c>
    </row>
    <row r="38" spans="1:9" x14ac:dyDescent="0.25">
      <c r="A38" s="524"/>
      <c r="B38" s="63" t="str">
        <f ca="1">DFIE!$B$33</f>
        <v>Bern</v>
      </c>
      <c r="C38" s="59">
        <v>446411</v>
      </c>
      <c r="D38" s="59">
        <v>32745005.399999999</v>
      </c>
      <c r="E38" s="53">
        <f t="shared" si="1"/>
        <v>18995546.599999998</v>
      </c>
      <c r="F38" s="48"/>
    </row>
    <row r="39" spans="1:9" x14ac:dyDescent="0.25">
      <c r="A39" s="524"/>
      <c r="B39" s="62" t="str">
        <f ca="1">DFIE!$B$34</f>
        <v>Luzern</v>
      </c>
      <c r="C39" s="60">
        <v>177377</v>
      </c>
      <c r="D39" s="60">
        <v>13929719.199999999</v>
      </c>
      <c r="E39" s="54">
        <f t="shared" si="1"/>
        <v>8466507.5999999978</v>
      </c>
      <c r="F39" s="48"/>
    </row>
    <row r="40" spans="1:9" x14ac:dyDescent="0.25">
      <c r="A40" s="524"/>
      <c r="B40" s="63" t="str">
        <f ca="1">DFIE!$B$35</f>
        <v>Uri</v>
      </c>
      <c r="C40" s="59">
        <v>15588</v>
      </c>
      <c r="D40" s="59">
        <v>1097024.8</v>
      </c>
      <c r="E40" s="53">
        <f t="shared" si="1"/>
        <v>616914.4</v>
      </c>
      <c r="F40" s="48"/>
    </row>
    <row r="41" spans="1:9" x14ac:dyDescent="0.25">
      <c r="A41" s="524"/>
      <c r="B41" s="62" t="str">
        <f ca="1">DFIE!$B$36</f>
        <v>Schwyz</v>
      </c>
      <c r="C41" s="60">
        <v>72678</v>
      </c>
      <c r="D41" s="60">
        <v>8576349.1150000002</v>
      </c>
      <c r="E41" s="54">
        <f t="shared" si="1"/>
        <v>6337866.7149999999</v>
      </c>
      <c r="F41" s="48"/>
    </row>
    <row r="42" spans="1:9" x14ac:dyDescent="0.25">
      <c r="A42" s="524"/>
      <c r="B42" s="63" t="str">
        <f ca="1">DFIE!$B$37</f>
        <v>Obwalden</v>
      </c>
      <c r="C42" s="59">
        <v>16379</v>
      </c>
      <c r="D42" s="59">
        <v>1492710.621</v>
      </c>
      <c r="E42" s="53">
        <f t="shared" si="1"/>
        <v>988237.42100000009</v>
      </c>
      <c r="F42" s="48"/>
    </row>
    <row r="43" spans="1:9" x14ac:dyDescent="0.25">
      <c r="A43" s="524"/>
      <c r="B43" s="62" t="str">
        <f ca="1">DFIE!$B$38</f>
        <v>Nidwalden</v>
      </c>
      <c r="C43" s="60">
        <v>19948</v>
      </c>
      <c r="D43" s="60">
        <v>2008988.3</v>
      </c>
      <c r="E43" s="54">
        <f t="shared" si="1"/>
        <v>1394589.9</v>
      </c>
      <c r="F43" s="48"/>
    </row>
    <row r="44" spans="1:9" x14ac:dyDescent="0.25">
      <c r="A44" s="524"/>
      <c r="B44" s="63" t="str">
        <f ca="1">DFIE!$B$39</f>
        <v>Glarus</v>
      </c>
      <c r="C44" s="59">
        <v>16795</v>
      </c>
      <c r="D44" s="59">
        <v>1190229.3</v>
      </c>
      <c r="E44" s="53">
        <f t="shared" si="1"/>
        <v>672943.3</v>
      </c>
      <c r="F44" s="48"/>
    </row>
    <row r="45" spans="1:9" x14ac:dyDescent="0.25">
      <c r="A45" s="524"/>
      <c r="B45" s="62" t="str">
        <f ca="1">DFIE!$B$40</f>
        <v>Zug</v>
      </c>
      <c r="C45" s="60">
        <v>58441</v>
      </c>
      <c r="D45" s="60">
        <v>7966303.7000000002</v>
      </c>
      <c r="E45" s="54">
        <f t="shared" si="1"/>
        <v>6166320.9000000004</v>
      </c>
      <c r="F45" s="48"/>
    </row>
    <row r="46" spans="1:9" x14ac:dyDescent="0.25">
      <c r="A46" s="524"/>
      <c r="B46" s="63" t="str">
        <f ca="1">DFIE!$B$41</f>
        <v>Freiburg</v>
      </c>
      <c r="C46" s="59">
        <v>132525</v>
      </c>
      <c r="D46" s="59">
        <v>9985087.8279999997</v>
      </c>
      <c r="E46" s="53">
        <f t="shared" si="1"/>
        <v>5903317.8279999997</v>
      </c>
      <c r="F46" s="48"/>
    </row>
    <row r="47" spans="1:9" x14ac:dyDescent="0.25">
      <c r="A47" s="524"/>
      <c r="B47" s="62" t="str">
        <f ca="1">DFIE!$B$42</f>
        <v>Solothurn</v>
      </c>
      <c r="C47" s="60">
        <v>120806</v>
      </c>
      <c r="D47" s="60">
        <v>9105204.8000000007</v>
      </c>
      <c r="E47" s="54">
        <f t="shared" si="1"/>
        <v>5384380</v>
      </c>
      <c r="F47" s="48"/>
    </row>
    <row r="48" spans="1:9" x14ac:dyDescent="0.25">
      <c r="A48" s="524"/>
      <c r="B48" s="63" t="str">
        <f ca="1">DFIE!$B$43</f>
        <v>Basel-Stadt</v>
      </c>
      <c r="C48" s="59">
        <v>82522</v>
      </c>
      <c r="D48" s="59">
        <v>8189769.2000000002</v>
      </c>
      <c r="E48" s="53">
        <f t="shared" si="1"/>
        <v>5648091.5999999996</v>
      </c>
      <c r="F48" s="48"/>
    </row>
    <row r="49" spans="1:9" x14ac:dyDescent="0.25">
      <c r="A49" s="524"/>
      <c r="B49" s="62" t="str">
        <f ca="1">DFIE!$B$44</f>
        <v>Basel-Landschaft</v>
      </c>
      <c r="C49" s="60">
        <v>128380</v>
      </c>
      <c r="D49" s="60">
        <v>11473186.5</v>
      </c>
      <c r="E49" s="54">
        <f t="shared" si="1"/>
        <v>7519082.5</v>
      </c>
      <c r="F49" s="48"/>
    </row>
    <row r="50" spans="1:9" x14ac:dyDescent="0.25">
      <c r="A50" s="524"/>
      <c r="B50" s="63" t="str">
        <f ca="1">DFIE!$B$45</f>
        <v>Schaffhausen</v>
      </c>
      <c r="C50" s="59">
        <v>35394</v>
      </c>
      <c r="D50" s="59">
        <v>2670665.7999999998</v>
      </c>
      <c r="E50" s="53">
        <f t="shared" si="1"/>
        <v>1580530.5999999999</v>
      </c>
      <c r="F50" s="48"/>
    </row>
    <row r="51" spans="1:9" x14ac:dyDescent="0.25">
      <c r="A51" s="524"/>
      <c r="B51" s="62" t="str">
        <f ca="1">DFIE!$B$46</f>
        <v>Appenzell A.Rh.</v>
      </c>
      <c r="C51" s="60">
        <v>23662</v>
      </c>
      <c r="D51" s="60">
        <v>1822485.29</v>
      </c>
      <c r="E51" s="54">
        <f t="shared" si="1"/>
        <v>1093695.69</v>
      </c>
      <c r="F51" s="48"/>
    </row>
    <row r="52" spans="1:9" x14ac:dyDescent="0.25">
      <c r="A52" s="524"/>
      <c r="B52" s="63" t="str">
        <f ca="1">DFIE!$B$47</f>
        <v>Appenzell I.Rh.</v>
      </c>
      <c r="C52" s="59">
        <v>6976</v>
      </c>
      <c r="D52" s="59">
        <v>587076</v>
      </c>
      <c r="E52" s="53">
        <f t="shared" si="1"/>
        <v>372215.19999999995</v>
      </c>
      <c r="F52" s="48"/>
    </row>
    <row r="53" spans="1:9" x14ac:dyDescent="0.25">
      <c r="A53" s="524"/>
      <c r="B53" s="62" t="str">
        <f ca="1">DFIE!$B$48</f>
        <v>St. Gallen</v>
      </c>
      <c r="C53" s="60">
        <v>214830</v>
      </c>
      <c r="D53" s="60">
        <v>15795754.699999999</v>
      </c>
      <c r="E53" s="54">
        <f t="shared" si="1"/>
        <v>9178990.6999999993</v>
      </c>
      <c r="F53" s="48"/>
    </row>
    <row r="54" spans="1:9" x14ac:dyDescent="0.25">
      <c r="A54" s="524"/>
      <c r="B54" s="63" t="str">
        <f ca="1">DFIE!$B$49</f>
        <v>Graubünden</v>
      </c>
      <c r="C54" s="59">
        <v>84572</v>
      </c>
      <c r="D54" s="59">
        <v>6599545.7280000001</v>
      </c>
      <c r="E54" s="53">
        <f t="shared" si="1"/>
        <v>3994728.128</v>
      </c>
      <c r="F54" s="48"/>
    </row>
    <row r="55" spans="1:9" x14ac:dyDescent="0.25">
      <c r="A55" s="524"/>
      <c r="B55" s="62" t="str">
        <f ca="1">DFIE!$B$50</f>
        <v>Aargau</v>
      </c>
      <c r="C55" s="60">
        <v>303903</v>
      </c>
      <c r="D55" s="60">
        <v>23839189.600000001</v>
      </c>
      <c r="E55" s="54">
        <f t="shared" si="1"/>
        <v>14478977.200000001</v>
      </c>
      <c r="F55" s="48"/>
    </row>
    <row r="56" spans="1:9" x14ac:dyDescent="0.25">
      <c r="A56" s="524"/>
      <c r="B56" s="63" t="str">
        <f ca="1">DFIE!$B$51</f>
        <v>Thurgau</v>
      </c>
      <c r="C56" s="59">
        <v>119366</v>
      </c>
      <c r="D56" s="59">
        <v>9187475.5</v>
      </c>
      <c r="E56" s="53">
        <f t="shared" si="1"/>
        <v>5511002.6999999993</v>
      </c>
      <c r="F56" s="48"/>
    </row>
    <row r="57" spans="1:9" x14ac:dyDescent="0.25">
      <c r="A57" s="524"/>
      <c r="B57" s="62" t="str">
        <f ca="1">DFIE!$B$52</f>
        <v>Tessin</v>
      </c>
      <c r="C57" s="60">
        <v>137938</v>
      </c>
      <c r="D57" s="60">
        <v>11419622.300000001</v>
      </c>
      <c r="E57" s="54">
        <f t="shared" si="1"/>
        <v>7171131.9000000004</v>
      </c>
      <c r="F57" s="48"/>
    </row>
    <row r="58" spans="1:9" x14ac:dyDescent="0.25">
      <c r="A58" s="524"/>
      <c r="B58" s="63" t="str">
        <f ca="1">DFIE!$B$53</f>
        <v>Waadt</v>
      </c>
      <c r="C58" s="59">
        <v>319520</v>
      </c>
      <c r="D58" s="59">
        <v>29077349.800000001</v>
      </c>
      <c r="E58" s="53">
        <f t="shared" si="1"/>
        <v>19236133.800000001</v>
      </c>
      <c r="F58" s="48"/>
    </row>
    <row r="59" spans="1:9" x14ac:dyDescent="0.25">
      <c r="A59" s="524"/>
      <c r="B59" s="62" t="str">
        <f ca="1">DFIE!$B$54</f>
        <v>Wallis</v>
      </c>
      <c r="C59" s="60">
        <v>144303</v>
      </c>
      <c r="D59" s="60">
        <v>10341392.6</v>
      </c>
      <c r="E59" s="54">
        <f t="shared" si="1"/>
        <v>5896860.1999999993</v>
      </c>
      <c r="F59" s="48"/>
    </row>
    <row r="60" spans="1:9" x14ac:dyDescent="0.25">
      <c r="A60" s="524"/>
      <c r="B60" s="63" t="str">
        <f ca="1">DFIE!$B$55</f>
        <v>Neuenburg</v>
      </c>
      <c r="C60" s="59">
        <v>69294</v>
      </c>
      <c r="D60" s="59">
        <v>5120112.7</v>
      </c>
      <c r="E60" s="53">
        <f t="shared" si="1"/>
        <v>2985857.5</v>
      </c>
      <c r="F60" s="48"/>
    </row>
    <row r="61" spans="1:9" x14ac:dyDescent="0.25">
      <c r="A61" s="524"/>
      <c r="B61" s="62" t="str">
        <f ca="1">DFIE!$B$56</f>
        <v>Genf</v>
      </c>
      <c r="C61" s="60">
        <v>181994</v>
      </c>
      <c r="D61" s="60">
        <v>19670076.5</v>
      </c>
      <c r="E61" s="54">
        <f t="shared" si="1"/>
        <v>14064661.300000001</v>
      </c>
      <c r="F61" s="48"/>
    </row>
    <row r="62" spans="1:9" x14ac:dyDescent="0.25">
      <c r="A62" s="524"/>
      <c r="B62" s="63" t="str">
        <f ca="1">DFIE!$B$57</f>
        <v>Jura</v>
      </c>
      <c r="C62" s="59">
        <v>29455</v>
      </c>
      <c r="D62" s="59">
        <v>2010755.9</v>
      </c>
      <c r="E62" s="53">
        <f t="shared" si="1"/>
        <v>1103541.8999999999</v>
      </c>
      <c r="F62" s="48"/>
    </row>
    <row r="63" spans="1:9" x14ac:dyDescent="0.25">
      <c r="A63" s="524"/>
      <c r="B63" s="64" t="str">
        <f ca="1">DFIE!$B$58</f>
        <v>Schweiz</v>
      </c>
      <c r="C63" s="61">
        <f>SUM(C37:C62)</f>
        <v>3631526</v>
      </c>
      <c r="D63" s="61">
        <f>SUM(D37:D62)</f>
        <v>310036290.38199997</v>
      </c>
      <c r="E63" s="55">
        <f>SUM(E37:E62)</f>
        <v>198185289.58200002</v>
      </c>
      <c r="F63" s="51"/>
      <c r="H63" s="44"/>
      <c r="I63" s="44"/>
    </row>
    <row r="64" spans="1:9" ht="14.25" customHeight="1" x14ac:dyDescent="0.25">
      <c r="A64" s="70"/>
    </row>
    <row r="65" spans="1:9" x14ac:dyDescent="0.25">
      <c r="A65" s="525" t="str">
        <f ca="1">DFIE!$B$75</f>
        <v>Bemessungsjahr 2021</v>
      </c>
      <c r="B65" s="65" t="str">
        <f ca="1">DFIE!$B$32</f>
        <v>Zürich</v>
      </c>
      <c r="C65" s="57">
        <v>688951</v>
      </c>
      <c r="D65" s="57">
        <v>67162612.200000003</v>
      </c>
      <c r="E65" s="58">
        <f t="shared" ref="E65:E90" si="2">D65-($I$65/1000*C65)</f>
        <v>45942921.400000006</v>
      </c>
      <c r="F65" s="52"/>
      <c r="H65" s="43">
        <f>DFIE!$G$3-4</f>
        <v>2021</v>
      </c>
      <c r="I65" s="66">
        <v>30800</v>
      </c>
    </row>
    <row r="66" spans="1:9" x14ac:dyDescent="0.25">
      <c r="A66" s="525"/>
      <c r="B66" s="63" t="str">
        <f ca="1">DFIE!$B$33</f>
        <v>Bern</v>
      </c>
      <c r="C66" s="59">
        <v>450370</v>
      </c>
      <c r="D66" s="59">
        <v>33471282.420000002</v>
      </c>
      <c r="E66" s="53">
        <f t="shared" si="2"/>
        <v>19599886.420000002</v>
      </c>
      <c r="F66" s="52"/>
    </row>
    <row r="67" spans="1:9" x14ac:dyDescent="0.25">
      <c r="A67" s="525"/>
      <c r="B67" s="62" t="str">
        <f ca="1">DFIE!$B$34</f>
        <v>Luzern</v>
      </c>
      <c r="C67" s="60">
        <v>181984</v>
      </c>
      <c r="D67" s="60">
        <v>14568290.699999999</v>
      </c>
      <c r="E67" s="54">
        <f t="shared" si="2"/>
        <v>8963183.5</v>
      </c>
      <c r="F67" s="52"/>
    </row>
    <row r="68" spans="1:9" x14ac:dyDescent="0.25">
      <c r="A68" s="525"/>
      <c r="B68" s="63" t="str">
        <f ca="1">DFIE!$B$35</f>
        <v>Uri</v>
      </c>
      <c r="C68" s="59">
        <v>15865</v>
      </c>
      <c r="D68" s="59">
        <v>1132419.2</v>
      </c>
      <c r="E68" s="53">
        <f t="shared" si="2"/>
        <v>643777.19999999995</v>
      </c>
      <c r="F68" s="52"/>
    </row>
    <row r="69" spans="1:9" x14ac:dyDescent="0.25">
      <c r="A69" s="525"/>
      <c r="B69" s="62" t="str">
        <f ca="1">DFIE!$B$36</f>
        <v>Schwyz</v>
      </c>
      <c r="C69" s="60">
        <v>74548</v>
      </c>
      <c r="D69" s="60">
        <v>9419785.1190000009</v>
      </c>
      <c r="E69" s="54">
        <f t="shared" si="2"/>
        <v>7123706.7190000005</v>
      </c>
      <c r="F69" s="52"/>
    </row>
    <row r="70" spans="1:9" x14ac:dyDescent="0.25">
      <c r="A70" s="525"/>
      <c r="B70" s="63" t="str">
        <f ca="1">DFIE!$B$37</f>
        <v>Obwalden</v>
      </c>
      <c r="C70" s="59">
        <v>16782</v>
      </c>
      <c r="D70" s="59">
        <v>1460165.4339999999</v>
      </c>
      <c r="E70" s="53">
        <f t="shared" si="2"/>
        <v>943279.8339999998</v>
      </c>
      <c r="F70" s="52"/>
    </row>
    <row r="71" spans="1:9" x14ac:dyDescent="0.25">
      <c r="A71" s="525"/>
      <c r="B71" s="62" t="str">
        <f ca="1">DFIE!$B$38</f>
        <v>Nidwalden</v>
      </c>
      <c r="C71" s="60">
        <v>20530</v>
      </c>
      <c r="D71" s="60">
        <v>2052141.449</v>
      </c>
      <c r="E71" s="54">
        <f t="shared" si="2"/>
        <v>1419817.449</v>
      </c>
      <c r="F71" s="52"/>
    </row>
    <row r="72" spans="1:9" x14ac:dyDescent="0.25">
      <c r="A72" s="525"/>
      <c r="B72" s="63" t="str">
        <f ca="1">DFIE!$B$39</f>
        <v>Glarus</v>
      </c>
      <c r="C72" s="59">
        <v>17343</v>
      </c>
      <c r="D72" s="59">
        <v>1236788.24</v>
      </c>
      <c r="E72" s="53">
        <f t="shared" si="2"/>
        <v>702623.84</v>
      </c>
      <c r="F72" s="52"/>
    </row>
    <row r="73" spans="1:9" x14ac:dyDescent="0.25">
      <c r="A73" s="525"/>
      <c r="B73" s="62" t="str">
        <f ca="1">DFIE!$B$40</f>
        <v>Zug</v>
      </c>
      <c r="C73" s="60">
        <v>59713</v>
      </c>
      <c r="D73" s="60">
        <v>8966696.4000000004</v>
      </c>
      <c r="E73" s="54">
        <f t="shared" si="2"/>
        <v>7127536</v>
      </c>
      <c r="F73" s="52"/>
    </row>
    <row r="74" spans="1:9" x14ac:dyDescent="0.25">
      <c r="A74" s="525"/>
      <c r="B74" s="63" t="str">
        <f ca="1">DFIE!$B$41</f>
        <v>Freiburg</v>
      </c>
      <c r="C74" s="59">
        <v>137130</v>
      </c>
      <c r="D74" s="59">
        <v>10348453.981000001</v>
      </c>
      <c r="E74" s="53">
        <f t="shared" si="2"/>
        <v>6124849.9810000006</v>
      </c>
      <c r="F74" s="52"/>
    </row>
    <row r="75" spans="1:9" x14ac:dyDescent="0.25">
      <c r="A75" s="525"/>
      <c r="B75" s="62" t="str">
        <f ca="1">DFIE!$B$42</f>
        <v>Solothurn</v>
      </c>
      <c r="C75" s="60">
        <v>123624</v>
      </c>
      <c r="D75" s="60">
        <v>9349096.1999999993</v>
      </c>
      <c r="E75" s="54">
        <f t="shared" si="2"/>
        <v>5541476.9999999991</v>
      </c>
      <c r="F75" s="52"/>
    </row>
    <row r="76" spans="1:9" x14ac:dyDescent="0.25">
      <c r="A76" s="525"/>
      <c r="B76" s="63" t="str">
        <f ca="1">DFIE!$B$43</f>
        <v>Basel-Stadt</v>
      </c>
      <c r="C76" s="59">
        <v>83820</v>
      </c>
      <c r="D76" s="59">
        <v>8402998.5</v>
      </c>
      <c r="E76" s="53">
        <f t="shared" si="2"/>
        <v>5821342.5</v>
      </c>
      <c r="F76" s="52"/>
    </row>
    <row r="77" spans="1:9" x14ac:dyDescent="0.25">
      <c r="A77" s="525"/>
      <c r="B77" s="62" t="str">
        <f ca="1">DFIE!$B$44</f>
        <v>Basel-Landschaft</v>
      </c>
      <c r="C77" s="60">
        <v>130723</v>
      </c>
      <c r="D77" s="60">
        <v>11730812.6</v>
      </c>
      <c r="E77" s="54">
        <f t="shared" si="2"/>
        <v>7704544.1999999993</v>
      </c>
      <c r="F77" s="52"/>
    </row>
    <row r="78" spans="1:9" x14ac:dyDescent="0.25">
      <c r="A78" s="525"/>
      <c r="B78" s="63" t="str">
        <f ca="1">DFIE!$B$45</f>
        <v>Schaffhausen</v>
      </c>
      <c r="C78" s="59">
        <v>36328</v>
      </c>
      <c r="D78" s="59">
        <v>2768421.3</v>
      </c>
      <c r="E78" s="53">
        <f t="shared" si="2"/>
        <v>1649518.8999999997</v>
      </c>
      <c r="F78" s="52"/>
    </row>
    <row r="79" spans="1:9" x14ac:dyDescent="0.25">
      <c r="A79" s="525"/>
      <c r="B79" s="62" t="str">
        <f ca="1">DFIE!$B$46</f>
        <v>Appenzell A.Rh.</v>
      </c>
      <c r="C79" s="60">
        <v>23788</v>
      </c>
      <c r="D79" s="60">
        <v>1905457.3149999999</v>
      </c>
      <c r="E79" s="54">
        <f t="shared" si="2"/>
        <v>1172786.915</v>
      </c>
      <c r="F79" s="52"/>
    </row>
    <row r="80" spans="1:9" x14ac:dyDescent="0.25">
      <c r="A80" s="525"/>
      <c r="B80" s="63" t="str">
        <f ca="1">DFIE!$B$47</f>
        <v>Appenzell I.Rh.</v>
      </c>
      <c r="C80" s="59">
        <v>7113</v>
      </c>
      <c r="D80" s="59">
        <v>613446</v>
      </c>
      <c r="E80" s="53">
        <f t="shared" si="2"/>
        <v>394365.6</v>
      </c>
      <c r="F80" s="52"/>
    </row>
    <row r="81" spans="1:9" x14ac:dyDescent="0.25">
      <c r="A81" s="525"/>
      <c r="B81" s="62" t="str">
        <f ca="1">DFIE!$B$48</f>
        <v>St. Gallen</v>
      </c>
      <c r="C81" s="60">
        <v>218417</v>
      </c>
      <c r="D81" s="60">
        <v>16295934.6</v>
      </c>
      <c r="E81" s="54">
        <f t="shared" si="2"/>
        <v>9568691</v>
      </c>
      <c r="F81" s="52"/>
    </row>
    <row r="82" spans="1:9" x14ac:dyDescent="0.25">
      <c r="A82" s="525"/>
      <c r="B82" s="63" t="str">
        <f ca="1">DFIE!$B$49</f>
        <v>Graubünden</v>
      </c>
      <c r="C82" s="59">
        <v>86882</v>
      </c>
      <c r="D82" s="59">
        <v>6868418.0899999999</v>
      </c>
      <c r="E82" s="53">
        <f t="shared" si="2"/>
        <v>4192452.4899999998</v>
      </c>
      <c r="F82" s="52"/>
    </row>
    <row r="83" spans="1:9" x14ac:dyDescent="0.25">
      <c r="A83" s="525"/>
      <c r="B83" s="62" t="str">
        <f ca="1">DFIE!$B$50</f>
        <v>Aargau</v>
      </c>
      <c r="C83" s="60">
        <v>310684</v>
      </c>
      <c r="D83" s="60">
        <v>24434114.899999999</v>
      </c>
      <c r="E83" s="54">
        <f t="shared" si="2"/>
        <v>14865047.699999997</v>
      </c>
      <c r="F83" s="52"/>
    </row>
    <row r="84" spans="1:9" x14ac:dyDescent="0.25">
      <c r="A84" s="525"/>
      <c r="B84" s="63" t="str">
        <f ca="1">DFIE!$B$51</f>
        <v>Thurgau</v>
      </c>
      <c r="C84" s="59">
        <v>121966</v>
      </c>
      <c r="D84" s="59">
        <v>9355232.1999999993</v>
      </c>
      <c r="E84" s="53">
        <f t="shared" si="2"/>
        <v>5598679.3999999985</v>
      </c>
      <c r="F84" s="52"/>
    </row>
    <row r="85" spans="1:9" x14ac:dyDescent="0.25">
      <c r="A85" s="525"/>
      <c r="B85" s="62" t="str">
        <f ca="1">DFIE!$B$52</f>
        <v>Tessin</v>
      </c>
      <c r="C85" s="60">
        <v>140832</v>
      </c>
      <c r="D85" s="60">
        <v>11792985.5</v>
      </c>
      <c r="E85" s="54">
        <f t="shared" si="2"/>
        <v>7455359.8999999994</v>
      </c>
      <c r="F85" s="52"/>
    </row>
    <row r="86" spans="1:9" x14ac:dyDescent="0.25">
      <c r="A86" s="525"/>
      <c r="B86" s="63" t="str">
        <f ca="1">DFIE!$B$53</f>
        <v>Waadt</v>
      </c>
      <c r="C86" s="59">
        <v>331083</v>
      </c>
      <c r="D86" s="59">
        <v>30111077.100000001</v>
      </c>
      <c r="E86" s="53">
        <f t="shared" si="2"/>
        <v>19913720.700000003</v>
      </c>
      <c r="F86" s="52"/>
    </row>
    <row r="87" spans="1:9" x14ac:dyDescent="0.25">
      <c r="A87" s="525"/>
      <c r="B87" s="62" t="str">
        <f ca="1">DFIE!$B$54</f>
        <v>Wallis</v>
      </c>
      <c r="C87" s="60">
        <v>147756</v>
      </c>
      <c r="D87" s="60">
        <v>10808770.1</v>
      </c>
      <c r="E87" s="54">
        <f t="shared" si="2"/>
        <v>6257885.2999999998</v>
      </c>
      <c r="F87" s="52"/>
    </row>
    <row r="88" spans="1:9" x14ac:dyDescent="0.25">
      <c r="A88" s="525"/>
      <c r="B88" s="63" t="str">
        <f ca="1">DFIE!$B$55</f>
        <v>Neuenburg</v>
      </c>
      <c r="C88" s="59">
        <v>71509</v>
      </c>
      <c r="D88" s="59">
        <v>5369066.7999999998</v>
      </c>
      <c r="E88" s="53">
        <f t="shared" si="2"/>
        <v>3166589.5999999996</v>
      </c>
      <c r="F88" s="52"/>
    </row>
    <row r="89" spans="1:9" x14ac:dyDescent="0.25">
      <c r="A89" s="525"/>
      <c r="B89" s="62" t="str">
        <f ca="1">DFIE!$B$56</f>
        <v>Genf</v>
      </c>
      <c r="C89" s="60">
        <v>193333</v>
      </c>
      <c r="D89" s="60">
        <v>21415501.899999999</v>
      </c>
      <c r="E89" s="54">
        <f t="shared" si="2"/>
        <v>15460845.499999998</v>
      </c>
      <c r="F89" s="52"/>
    </row>
    <row r="90" spans="1:9" x14ac:dyDescent="0.25">
      <c r="A90" s="525"/>
      <c r="B90" s="63" t="str">
        <f ca="1">DFIE!$B$57</f>
        <v>Jura</v>
      </c>
      <c r="C90" s="59">
        <v>29848</v>
      </c>
      <c r="D90" s="59">
        <v>2035726.6</v>
      </c>
      <c r="E90" s="53">
        <f t="shared" si="2"/>
        <v>1116408.2000000002</v>
      </c>
      <c r="F90" s="52"/>
    </row>
    <row r="91" spans="1:9" x14ac:dyDescent="0.25">
      <c r="A91" s="525"/>
      <c r="B91" s="64" t="str">
        <f ca="1">DFIE!$B$58</f>
        <v>Schweiz</v>
      </c>
      <c r="C91" s="61">
        <f>SUM(C65:C90)</f>
        <v>3720922</v>
      </c>
      <c r="D91" s="61">
        <f>SUM(D65:D90)</f>
        <v>323075694.84800005</v>
      </c>
      <c r="E91" s="55">
        <f>SUM(E65:E90)</f>
        <v>208471297.24800006</v>
      </c>
      <c r="F91" s="56"/>
      <c r="H91" s="44"/>
      <c r="I91" s="44"/>
    </row>
    <row r="93" spans="1:9" x14ac:dyDescent="0.25">
      <c r="H93" s="42"/>
      <c r="I93" s="42"/>
    </row>
  </sheetData>
  <mergeCells count="6">
    <mergeCell ref="H6:I7"/>
    <mergeCell ref="E6:E7"/>
    <mergeCell ref="A9:A35"/>
    <mergeCell ref="A37:A63"/>
    <mergeCell ref="A65:A91"/>
    <mergeCell ref="C6:D6"/>
  </mergeCells>
  <conditionalFormatting sqref="C9:D34 C37:D62 C65:D90">
    <cfRule type="expression" dxfId="42" priority="2" stopIfTrue="1">
      <formula>ISBLANK(C9)</formula>
    </cfRule>
  </conditionalFormatting>
  <conditionalFormatting sqref="I9 I37 I65">
    <cfRule type="expression" dxfId="41" priority="10" stopIfTrue="1">
      <formula>ISBLANK(I9)</formula>
    </cfRule>
  </conditionalFormatting>
  <pageMargins left="0.78740157480314965" right="0.78740157480314965" top="0.9055118110236221" bottom="0.78740157480314965" header="0.51181102362204722" footer="0.51181102362204722"/>
  <pageSetup paperSize="9" scale="95" fitToHeight="3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AA91"/>
  <sheetViews>
    <sheetView showGridLines="0" zoomScaleNormal="100" zoomScaleSheetLayoutView="70" workbookViewId="0">
      <pane xSplit="2" ySplit="8" topLeftCell="C9" activePane="bottomRight" state="frozen"/>
      <selection activeCell="J20" sqref="J20"/>
      <selection pane="topRight" activeCell="J20" sqref="J20"/>
      <selection pane="bottomLeft" activeCell="J20" sqref="J20"/>
      <selection pane="bottomRight" activeCell="A100" sqref="A100"/>
    </sheetView>
  </sheetViews>
  <sheetFormatPr baseColWidth="10" defaultColWidth="9.109375" defaultRowHeight="13.2" x14ac:dyDescent="0.25"/>
  <cols>
    <col min="1" max="1" width="4.44140625" customWidth="1"/>
    <col min="2" max="2" width="17.33203125" customWidth="1"/>
    <col min="3" max="10" width="17.6640625" customWidth="1"/>
    <col min="11" max="11" width="1.44140625" customWidth="1"/>
    <col min="12" max="12" width="11.109375" customWidth="1"/>
    <col min="13" max="13" width="35.6640625" customWidth="1"/>
    <col min="14" max="14" width="17.109375" customWidth="1"/>
    <col min="15" max="15" width="1.44140625" customWidth="1"/>
    <col min="16" max="16" width="17.33203125" customWidth="1"/>
    <col min="17" max="26" width="18.6640625" customWidth="1"/>
    <col min="27" max="27" width="4.44140625" customWidth="1"/>
  </cols>
  <sheetData>
    <row r="1" spans="1:27" ht="22.5" customHeight="1" x14ac:dyDescent="0.3">
      <c r="B1" s="4" t="str">
        <f ca="1">DFIE!$B$91</f>
        <v>Quellenbesteuerte Einkommen natürlicher Personen 2025</v>
      </c>
      <c r="P1" s="4" t="str">
        <f ca="1">B1</f>
        <v>Quellenbesteuerte Einkommen natürlicher Personen 2025</v>
      </c>
    </row>
    <row r="2" spans="1:27" ht="12.75" customHeight="1" x14ac:dyDescent="0.25">
      <c r="A2" s="42"/>
    </row>
    <row r="3" spans="1:27" ht="12.75" customHeight="1" x14ac:dyDescent="0.25">
      <c r="C3" s="528" t="str">
        <f ca="1">DFIE!$B$92</f>
        <v>Bruttoeinkommen</v>
      </c>
      <c r="D3" s="529"/>
      <c r="E3" s="529"/>
      <c r="F3" s="529"/>
      <c r="G3" s="529"/>
      <c r="H3" s="529"/>
      <c r="I3" s="529"/>
      <c r="J3" s="530"/>
      <c r="Q3" s="528" t="str">
        <f ca="1">DFIE!B125</f>
        <v>Massgebende quellenbesteuerte Einkommen</v>
      </c>
      <c r="R3" s="531"/>
      <c r="S3" s="531"/>
      <c r="T3" s="531"/>
      <c r="U3" s="531"/>
      <c r="V3" s="531"/>
      <c r="W3" s="531"/>
      <c r="X3" s="531"/>
      <c r="Y3" s="531"/>
      <c r="Z3" s="532"/>
    </row>
    <row r="4" spans="1:27" ht="12" customHeight="1" x14ac:dyDescent="0.25">
      <c r="A4" s="11"/>
      <c r="B4" s="100" t="str">
        <f ca="1">DFIE!$B$59</f>
        <v>Spalte</v>
      </c>
      <c r="C4" s="71" t="s">
        <v>30</v>
      </c>
      <c r="D4" s="71" t="s">
        <v>31</v>
      </c>
      <c r="E4" s="71" t="s">
        <v>32</v>
      </c>
      <c r="F4" s="71" t="s">
        <v>43</v>
      </c>
      <c r="G4" s="71" t="s">
        <v>42</v>
      </c>
      <c r="H4" s="71" t="s">
        <v>33</v>
      </c>
      <c r="I4" s="71" t="s">
        <v>86</v>
      </c>
      <c r="J4" s="72" t="s">
        <v>35</v>
      </c>
      <c r="K4" s="14"/>
      <c r="L4" s="44"/>
      <c r="M4" s="44"/>
      <c r="N4" s="44"/>
      <c r="O4" s="14"/>
      <c r="P4" s="100" t="str">
        <f ca="1">DFIE!$B$59</f>
        <v>Spalte</v>
      </c>
      <c r="Q4" s="71" t="s">
        <v>71</v>
      </c>
      <c r="R4" s="71" t="s">
        <v>51</v>
      </c>
      <c r="S4" s="71" t="s">
        <v>50</v>
      </c>
      <c r="T4" s="71" t="s">
        <v>49</v>
      </c>
      <c r="U4" s="71" t="s">
        <v>60</v>
      </c>
      <c r="V4" s="71" t="s">
        <v>72</v>
      </c>
      <c r="W4" s="71" t="s">
        <v>73</v>
      </c>
      <c r="X4" s="71" t="s">
        <v>74</v>
      </c>
      <c r="Y4" s="71" t="s">
        <v>61</v>
      </c>
      <c r="Z4" s="72" t="s">
        <v>107</v>
      </c>
      <c r="AA4" s="11"/>
    </row>
    <row r="5" spans="1:27" ht="12" customHeight="1" x14ac:dyDescent="0.25">
      <c r="A5" s="44"/>
      <c r="B5" s="100" t="str">
        <f ca="1">DFIE!$B$60</f>
        <v>Formel</v>
      </c>
      <c r="C5" s="101"/>
      <c r="D5" s="101"/>
      <c r="E5" s="101"/>
      <c r="F5" s="101"/>
      <c r="G5" s="101"/>
      <c r="H5" s="101"/>
      <c r="I5" s="101"/>
      <c r="J5" s="104"/>
      <c r="K5" s="14"/>
      <c r="O5" s="14"/>
      <c r="P5" s="100" t="str">
        <f ca="1">DFIE!$B$60</f>
        <v>Formel</v>
      </c>
      <c r="Q5" s="105" t="s">
        <v>100</v>
      </c>
      <c r="R5" s="105" t="s">
        <v>101</v>
      </c>
      <c r="S5" s="105" t="s">
        <v>102</v>
      </c>
      <c r="T5" s="105" t="s">
        <v>103</v>
      </c>
      <c r="U5" s="105" t="s">
        <v>104</v>
      </c>
      <c r="V5" s="105" t="s">
        <v>105</v>
      </c>
      <c r="W5" s="105" t="s">
        <v>106</v>
      </c>
      <c r="X5" s="105" t="s">
        <v>108</v>
      </c>
      <c r="Y5" s="105" t="str">
        <f ca="1">DFIE!$B$126</f>
        <v>X * Delta</v>
      </c>
      <c r="Z5" s="106" t="s">
        <v>769</v>
      </c>
      <c r="AA5" s="44"/>
    </row>
    <row r="6" spans="1:27" ht="12" customHeight="1" x14ac:dyDescent="0.25">
      <c r="A6" s="11"/>
      <c r="B6" s="100" t="str">
        <f ca="1">DFIE!$B$61</f>
        <v>Kategorie</v>
      </c>
      <c r="C6" s="73">
        <v>0</v>
      </c>
      <c r="D6" s="73">
        <v>1</v>
      </c>
      <c r="E6" s="73" t="s">
        <v>55</v>
      </c>
      <c r="F6" s="73" t="s">
        <v>56</v>
      </c>
      <c r="G6" s="73" t="s">
        <v>57</v>
      </c>
      <c r="H6" s="73" t="s">
        <v>58</v>
      </c>
      <c r="I6" s="73" t="s">
        <v>59</v>
      </c>
      <c r="J6" s="74"/>
      <c r="K6" s="14"/>
      <c r="L6" s="44"/>
      <c r="M6" s="44"/>
      <c r="N6" s="44"/>
      <c r="O6" s="14"/>
      <c r="P6" s="100" t="str">
        <f ca="1">DFIE!$B$61</f>
        <v>Kategorie</v>
      </c>
      <c r="Q6" s="102">
        <v>0</v>
      </c>
      <c r="R6" s="102">
        <v>1</v>
      </c>
      <c r="S6" s="102" t="s">
        <v>55</v>
      </c>
      <c r="T6" s="102" t="s">
        <v>56</v>
      </c>
      <c r="U6" s="102" t="s">
        <v>57</v>
      </c>
      <c r="V6" s="102" t="s">
        <v>58</v>
      </c>
      <c r="W6" s="102" t="s">
        <v>59</v>
      </c>
      <c r="X6" s="102"/>
      <c r="Y6" s="102"/>
      <c r="Z6" s="522" t="str">
        <f ca="1">DFIE!$B$124</f>
        <v>Massgebende
quellenbesteuerte
Einkommen</v>
      </c>
      <c r="AA6" s="11"/>
    </row>
    <row r="7" spans="1:27" ht="81" customHeight="1" x14ac:dyDescent="0.25">
      <c r="A7" s="44"/>
      <c r="B7" s="50"/>
      <c r="C7" s="67" t="str">
        <f ca="1">DFIE!$B$93</f>
        <v>Gebietsansässige
Ausländer und
ausländische
Verwaltungsräte</v>
      </c>
      <c r="D7" s="67" t="str">
        <f ca="1">DFIE!$B$94</f>
        <v>Vollständig
besteuerte
Grenzgänger</v>
      </c>
      <c r="E7" s="67" t="str">
        <f ca="1">DFIE!$B$95</f>
        <v>Begrenzt
besteuerte
Grenzgänger
aus Österreich</v>
      </c>
      <c r="F7" s="67" t="str">
        <f ca="1">DFIE!$B$96</f>
        <v>Begrenzt
besteuerte
Grenzgänger
aus Deutschland</v>
      </c>
      <c r="G7" s="67" t="str">
        <f ca="1">DFIE!$B$97</f>
        <v>Begrenzt besteuerte
Grenzgänger aus
Frankreich mit
Besteuerung durch
den Kanton Genf</v>
      </c>
      <c r="H7" s="67" t="str">
        <f ca="1">DFIE!$B$98</f>
        <v>Begrenzt besteuerte
Grenzgänger aus
Frankreich mit
Besteuerung durch
Frankreich</v>
      </c>
      <c r="I7" s="67" t="str">
        <f ca="1">DFIE!B99</f>
        <v>Begrenzt
besteuerte
Grenzgänger
aus Italien</v>
      </c>
      <c r="J7" s="68" t="str">
        <f ca="1">DFIE!$B$100</f>
        <v>Total</v>
      </c>
      <c r="K7" s="14"/>
      <c r="L7" s="44"/>
      <c r="M7" s="44"/>
      <c r="N7" s="44"/>
      <c r="O7" s="14"/>
      <c r="P7" s="50"/>
      <c r="Q7" s="103" t="str">
        <f ca="1">DFIE!$B$93</f>
        <v>Gebietsansässige
Ausländer und
ausländische
Verwaltungsräte</v>
      </c>
      <c r="R7" s="103" t="str">
        <f ca="1">DFIE!$B$94</f>
        <v>Vollständig
besteuerte
Grenzgänger</v>
      </c>
      <c r="S7" s="103" t="str">
        <f ca="1">DFIE!$B$95</f>
        <v>Begrenzt
besteuerte
Grenzgänger
aus Österreich</v>
      </c>
      <c r="T7" s="103" t="str">
        <f ca="1">DFIE!$B$96</f>
        <v>Begrenzt
besteuerte
Grenzgänger
aus Deutschland</v>
      </c>
      <c r="U7" s="103" t="str">
        <f ca="1">DFIE!$B$97</f>
        <v>Begrenzt besteuerte
Grenzgänger aus
Frankreich mit
Besteuerung durch
den Kanton Genf</v>
      </c>
      <c r="V7" s="103" t="str">
        <f ca="1">DFIE!$B$98</f>
        <v>Begrenzt besteuerte
Grenzgänger aus
Frankreich mit
Besteuerung durch
Frankreich</v>
      </c>
      <c r="W7" s="103" t="str">
        <f ca="1">DFIE!$B$99</f>
        <v>Begrenzt
besteuerte
Grenzgänger
aus Italien</v>
      </c>
      <c r="X7" s="103" t="str">
        <f ca="1">DFIE!$B$122</f>
        <v>Grenzgänger
Total</v>
      </c>
      <c r="Y7" s="103" t="str">
        <f ca="1">DFIE!$B$123</f>
        <v>Ergebnis auf
der Basis der
Bruttolöhne
(Grenzgänger)</v>
      </c>
      <c r="Z7" s="527"/>
      <c r="AA7" s="44"/>
    </row>
    <row r="8" spans="1:27" ht="12.75" customHeight="1" x14ac:dyDescent="0.25">
      <c r="A8" s="14"/>
      <c r="B8" s="75" t="str">
        <f ca="1">DFIE!$B$62</f>
        <v>Einheit</v>
      </c>
      <c r="C8" s="38" t="str">
        <f ca="1">DFIE!$B$64</f>
        <v>CHF 1'000</v>
      </c>
      <c r="D8" s="38" t="str">
        <f ca="1">DFIE!$B$64</f>
        <v>CHF 1'000</v>
      </c>
      <c r="E8" s="38" t="str">
        <f ca="1">DFIE!$B$64</f>
        <v>CHF 1'000</v>
      </c>
      <c r="F8" s="38" t="str">
        <f ca="1">DFIE!$B$64</f>
        <v>CHF 1'000</v>
      </c>
      <c r="G8" s="38" t="str">
        <f ca="1">DFIE!$B$64</f>
        <v>CHF 1'000</v>
      </c>
      <c r="H8" s="38" t="str">
        <f ca="1">DFIE!$B$64</f>
        <v>CHF 1'000</v>
      </c>
      <c r="I8" s="38" t="str">
        <f ca="1">DFIE!$B$64</f>
        <v>CHF 1'000</v>
      </c>
      <c r="J8" s="39" t="str">
        <f ca="1">DFIE!$B$64</f>
        <v>CHF 1'000</v>
      </c>
      <c r="P8" s="75" t="str">
        <f ca="1">DFIE!$B$62</f>
        <v>Einheit</v>
      </c>
      <c r="Q8" s="38" t="str">
        <f ca="1">DFIE!$B$64</f>
        <v>CHF 1'000</v>
      </c>
      <c r="R8" s="38" t="str">
        <f ca="1">DFIE!$B$64</f>
        <v>CHF 1'000</v>
      </c>
      <c r="S8" s="38" t="str">
        <f ca="1">DFIE!$B$64</f>
        <v>CHF 1'000</v>
      </c>
      <c r="T8" s="38" t="str">
        <f ca="1">DFIE!$B$64</f>
        <v>CHF 1'000</v>
      </c>
      <c r="U8" s="38" t="str">
        <f ca="1">DFIE!$B$64</f>
        <v>CHF 1'000</v>
      </c>
      <c r="V8" s="38" t="str">
        <f ca="1">DFIE!$B$64</f>
        <v>CHF 1'000</v>
      </c>
      <c r="W8" s="38" t="str">
        <f ca="1">DFIE!$B$64</f>
        <v>CHF 1'000</v>
      </c>
      <c r="X8" s="38" t="str">
        <f ca="1">DFIE!$B$64</f>
        <v>CHF 1'000</v>
      </c>
      <c r="Y8" s="38" t="str">
        <f ca="1">DFIE!$B$64</f>
        <v>CHF 1'000</v>
      </c>
      <c r="Z8" s="39" t="str">
        <f ca="1">DFIE!$B$64</f>
        <v>CHF 1'000</v>
      </c>
      <c r="AA8" s="14"/>
    </row>
    <row r="9" spans="1:27" x14ac:dyDescent="0.25">
      <c r="A9" s="523" t="str">
        <f ca="1">DFIE!$B$73</f>
        <v>Bemessungsjahr 2019</v>
      </c>
      <c r="B9" s="62" t="str">
        <f ca="1">DFIE!$B$32</f>
        <v>Zürich</v>
      </c>
      <c r="C9" s="60">
        <v>5348068.7510000002</v>
      </c>
      <c r="D9" s="60">
        <v>42405.315000000002</v>
      </c>
      <c r="E9" s="60">
        <v>23838.605</v>
      </c>
      <c r="F9" s="60">
        <v>619180.929</v>
      </c>
      <c r="G9" s="60">
        <v>0</v>
      </c>
      <c r="H9" s="60">
        <v>0</v>
      </c>
      <c r="I9" s="60">
        <v>0</v>
      </c>
      <c r="J9" s="54">
        <f t="shared" ref="J9:J35" si="0">SUM(C9:I9)</f>
        <v>6033493.6000000015</v>
      </c>
      <c r="K9" s="87"/>
      <c r="L9" s="87"/>
      <c r="M9" s="87"/>
      <c r="N9" s="87"/>
      <c r="O9" s="87"/>
      <c r="P9" s="62" t="str">
        <f ca="1">DFIE!$B$32</f>
        <v>Zürich</v>
      </c>
      <c r="Q9" s="91">
        <f>C9*N$16</f>
        <v>2059006.4691350001</v>
      </c>
      <c r="R9" s="92">
        <f>D9*N$17</f>
        <v>16326.046275000001</v>
      </c>
      <c r="S9" s="92">
        <f>E9*N$18</f>
        <v>8030.6300593750011</v>
      </c>
      <c r="T9" s="92">
        <f>F9*N$19</f>
        <v>107996.67366279068</v>
      </c>
      <c r="U9" s="92">
        <f>G9*N$20</f>
        <v>0</v>
      </c>
      <c r="V9" s="92">
        <f>H9*N$21</f>
        <v>0</v>
      </c>
      <c r="W9" s="92">
        <f>I9*N$22</f>
        <v>0</v>
      </c>
      <c r="X9" s="92">
        <f>SUM(R9:W9)</f>
        <v>132353.34999716567</v>
      </c>
      <c r="Y9" s="92">
        <f>X9*$N$11</f>
        <v>99265.012497874253</v>
      </c>
      <c r="Z9" s="54">
        <f>Y9+Q9</f>
        <v>2158271.4816328743</v>
      </c>
      <c r="AA9" s="523" t="str">
        <f ca="1">DFIE!$B$73</f>
        <v>Bemessungsjahr 2019</v>
      </c>
    </row>
    <row r="10" spans="1:27" x14ac:dyDescent="0.25">
      <c r="A10" s="523"/>
      <c r="B10" s="63" t="str">
        <f ca="1">DFIE!$B$33</f>
        <v>Bern</v>
      </c>
      <c r="C10" s="59">
        <v>1491027.0080599999</v>
      </c>
      <c r="D10" s="59">
        <v>200024.44826</v>
      </c>
      <c r="E10" s="59">
        <v>351.04199999999997</v>
      </c>
      <c r="F10" s="59">
        <v>22358.20448</v>
      </c>
      <c r="G10" s="59">
        <v>0</v>
      </c>
      <c r="H10" s="59">
        <v>188416.80317</v>
      </c>
      <c r="I10" s="59">
        <v>0</v>
      </c>
      <c r="J10" s="53">
        <f t="shared" si="0"/>
        <v>1902177.5059699998</v>
      </c>
      <c r="K10" s="87"/>
      <c r="L10" s="78" t="str">
        <f ca="1">DFIE!$B$101</f>
        <v>Standardisierter Steuersatz SST(2022)</v>
      </c>
      <c r="M10" s="77"/>
      <c r="N10" s="84">
        <v>0.25800000000000001</v>
      </c>
      <c r="O10" s="87"/>
      <c r="P10" s="63" t="str">
        <f ca="1">DFIE!$B$33</f>
        <v>Bern</v>
      </c>
      <c r="Q10" s="93">
        <f t="shared" ref="Q10:Q34" si="1">C10*N$16</f>
        <v>574045.39810310001</v>
      </c>
      <c r="R10" s="93">
        <f t="shared" ref="R10:R34" si="2">D10*N$17</f>
        <v>77009.412580100005</v>
      </c>
      <c r="S10" s="93">
        <f t="shared" ref="S10:S34" si="3">E10*N$18</f>
        <v>118.25727375000001</v>
      </c>
      <c r="T10" s="93">
        <f t="shared" ref="T10:T34" si="4">F10*N$19</f>
        <v>3899.6868279069763</v>
      </c>
      <c r="U10" s="93">
        <f t="shared" ref="U10:U34" si="5">G10*N$20</f>
        <v>0</v>
      </c>
      <c r="V10" s="93">
        <f t="shared" ref="V10:V34" si="6">H10*N$21</f>
        <v>32863.395901744181</v>
      </c>
      <c r="W10" s="93">
        <f t="shared" ref="W10:W34" si="7">I10*N$22</f>
        <v>0</v>
      </c>
      <c r="X10" s="93">
        <f t="shared" ref="X10:X34" si="8">SUM(R10:W10)</f>
        <v>113890.75258350116</v>
      </c>
      <c r="Y10" s="93">
        <f t="shared" ref="Y10:Y34" si="9">X10*$N$11</f>
        <v>85418.064437625872</v>
      </c>
      <c r="Z10" s="53">
        <f t="shared" ref="Z10:Z34" si="10">Y10+Q10</f>
        <v>659463.46254072594</v>
      </c>
      <c r="AA10" s="523"/>
    </row>
    <row r="11" spans="1:27" x14ac:dyDescent="0.25">
      <c r="A11" s="523"/>
      <c r="B11" s="62" t="str">
        <f ca="1">DFIE!$B$34</f>
        <v>Luzern</v>
      </c>
      <c r="C11" s="60">
        <v>783443.68500000006</v>
      </c>
      <c r="D11" s="60">
        <v>116306.183</v>
      </c>
      <c r="E11" s="60">
        <v>1384.2349999999999</v>
      </c>
      <c r="F11" s="60">
        <v>8977.0450000000001</v>
      </c>
      <c r="G11" s="60">
        <v>0</v>
      </c>
      <c r="H11" s="60">
        <v>0</v>
      </c>
      <c r="I11" s="60">
        <v>0</v>
      </c>
      <c r="J11" s="54">
        <f t="shared" si="0"/>
        <v>910111.14800000004</v>
      </c>
      <c r="K11" s="95"/>
      <c r="L11" s="78" t="str">
        <f ca="1">DFIE!$B$104</f>
        <v>Faktor Delta 2019</v>
      </c>
      <c r="M11" s="78"/>
      <c r="N11" s="84">
        <v>0.75</v>
      </c>
      <c r="O11" s="95"/>
      <c r="P11" s="62" t="str">
        <f ca="1">DFIE!$B$34</f>
        <v>Luzern</v>
      </c>
      <c r="Q11" s="94">
        <f t="shared" si="1"/>
        <v>301625.81872500002</v>
      </c>
      <c r="R11" s="94">
        <f t="shared" si="2"/>
        <v>44777.880455000006</v>
      </c>
      <c r="S11" s="94">
        <f t="shared" si="3"/>
        <v>466.31416562500004</v>
      </c>
      <c r="T11" s="94">
        <f t="shared" si="4"/>
        <v>1565.7636627906975</v>
      </c>
      <c r="U11" s="94">
        <f t="shared" si="5"/>
        <v>0</v>
      </c>
      <c r="V11" s="94">
        <f t="shared" si="6"/>
        <v>0</v>
      </c>
      <c r="W11" s="94">
        <f t="shared" si="7"/>
        <v>0</v>
      </c>
      <c r="X11" s="94">
        <f t="shared" si="8"/>
        <v>46809.958283415704</v>
      </c>
      <c r="Y11" s="94">
        <f t="shared" si="9"/>
        <v>35107.468712561778</v>
      </c>
      <c r="Z11" s="54">
        <f t="shared" si="10"/>
        <v>336733.28743756178</v>
      </c>
      <c r="AA11" s="523"/>
    </row>
    <row r="12" spans="1:27" x14ac:dyDescent="0.25">
      <c r="A12" s="523"/>
      <c r="B12" s="63" t="str">
        <f ca="1">DFIE!$B$35</f>
        <v>Uri</v>
      </c>
      <c r="C12" s="59">
        <v>86845.043799999999</v>
      </c>
      <c r="D12" s="59">
        <v>787.07270000000005</v>
      </c>
      <c r="E12" s="59">
        <v>0</v>
      </c>
      <c r="F12" s="59">
        <v>132.435</v>
      </c>
      <c r="G12" s="59">
        <v>0</v>
      </c>
      <c r="H12" s="59">
        <v>0</v>
      </c>
      <c r="I12" s="59">
        <v>0</v>
      </c>
      <c r="J12" s="53">
        <f t="shared" si="0"/>
        <v>87764.551500000001</v>
      </c>
      <c r="K12" s="45"/>
      <c r="L12" s="45"/>
      <c r="M12" s="45"/>
      <c r="N12" s="96"/>
      <c r="O12" s="45"/>
      <c r="P12" s="63" t="str">
        <f ca="1">DFIE!$B$35</f>
        <v>Uri</v>
      </c>
      <c r="Q12" s="93">
        <f t="shared" si="1"/>
        <v>33435.341863000001</v>
      </c>
      <c r="R12" s="93">
        <f t="shared" si="2"/>
        <v>303.02298950000005</v>
      </c>
      <c r="S12" s="93">
        <f t="shared" si="3"/>
        <v>0</v>
      </c>
      <c r="T12" s="93">
        <f t="shared" si="4"/>
        <v>23.09912790697674</v>
      </c>
      <c r="U12" s="93">
        <f t="shared" si="5"/>
        <v>0</v>
      </c>
      <c r="V12" s="93">
        <f t="shared" si="6"/>
        <v>0</v>
      </c>
      <c r="W12" s="93">
        <f t="shared" si="7"/>
        <v>0</v>
      </c>
      <c r="X12" s="93">
        <f t="shared" si="8"/>
        <v>326.12211740697677</v>
      </c>
      <c r="Y12" s="93">
        <f t="shared" si="9"/>
        <v>244.59158805523259</v>
      </c>
      <c r="Z12" s="53">
        <f t="shared" si="10"/>
        <v>33679.933451055236</v>
      </c>
      <c r="AA12" s="523"/>
    </row>
    <row r="13" spans="1:27" x14ac:dyDescent="0.25">
      <c r="A13" s="523"/>
      <c r="B13" s="62" t="str">
        <f ca="1">DFIE!$B$36</f>
        <v>Schwyz</v>
      </c>
      <c r="C13" s="60">
        <v>369882.86157000001</v>
      </c>
      <c r="D13" s="60">
        <v>90869.498019999999</v>
      </c>
      <c r="E13" s="60">
        <v>4827.1020099999996</v>
      </c>
      <c r="F13" s="60">
        <v>285.64371999999997</v>
      </c>
      <c r="G13" s="60">
        <v>0</v>
      </c>
      <c r="H13" s="60">
        <v>0</v>
      </c>
      <c r="I13" s="60">
        <v>0</v>
      </c>
      <c r="J13" s="54">
        <f t="shared" si="0"/>
        <v>465865.10531999997</v>
      </c>
      <c r="K13" s="95"/>
      <c r="L13" s="77" t="str">
        <f ca="1">DFIE!$B$107</f>
        <v>Faktor Gamma 2019 (γ)</v>
      </c>
      <c r="M13" s="77"/>
      <c r="N13" s="84">
        <v>0.38500000000000001</v>
      </c>
      <c r="O13" s="95"/>
      <c r="P13" s="62" t="str">
        <f ca="1">DFIE!$B$36</f>
        <v>Schwyz</v>
      </c>
      <c r="Q13" s="94">
        <f t="shared" si="1"/>
        <v>142404.90170444999</v>
      </c>
      <c r="R13" s="94">
        <f t="shared" si="2"/>
        <v>34984.756737700001</v>
      </c>
      <c r="S13" s="94">
        <f t="shared" si="3"/>
        <v>1626.12998961875</v>
      </c>
      <c r="T13" s="94">
        <f t="shared" si="4"/>
        <v>49.821579069767431</v>
      </c>
      <c r="U13" s="94">
        <f t="shared" si="5"/>
        <v>0</v>
      </c>
      <c r="V13" s="94">
        <f t="shared" si="6"/>
        <v>0</v>
      </c>
      <c r="W13" s="94">
        <f t="shared" si="7"/>
        <v>0</v>
      </c>
      <c r="X13" s="94">
        <f t="shared" si="8"/>
        <v>36660.708306388515</v>
      </c>
      <c r="Y13" s="94">
        <f t="shared" si="9"/>
        <v>27495.531229791384</v>
      </c>
      <c r="Z13" s="54">
        <f t="shared" si="10"/>
        <v>169900.43293424137</v>
      </c>
      <c r="AA13" s="523"/>
    </row>
    <row r="14" spans="1:27" x14ac:dyDescent="0.25">
      <c r="A14" s="523"/>
      <c r="B14" s="63" t="str">
        <f ca="1">DFIE!$B$37</f>
        <v>Obwalden</v>
      </c>
      <c r="C14" s="59">
        <v>100387.77081</v>
      </c>
      <c r="D14" s="59">
        <v>11550.54787</v>
      </c>
      <c r="E14" s="59">
        <v>312.14747</v>
      </c>
      <c r="F14" s="59">
        <v>1053.8328799999999</v>
      </c>
      <c r="G14" s="59">
        <v>0</v>
      </c>
      <c r="H14" s="59">
        <v>0</v>
      </c>
      <c r="I14" s="59">
        <v>0</v>
      </c>
      <c r="J14" s="53">
        <f t="shared" si="0"/>
        <v>113304.29902999999</v>
      </c>
      <c r="K14" s="95"/>
      <c r="L14" s="45"/>
      <c r="M14" s="45"/>
      <c r="N14" s="45"/>
      <c r="O14" s="95"/>
      <c r="P14" s="63" t="str">
        <f ca="1">DFIE!$B$37</f>
        <v>Obwalden</v>
      </c>
      <c r="Q14" s="93">
        <f t="shared" si="1"/>
        <v>38649.29176185</v>
      </c>
      <c r="R14" s="93">
        <f t="shared" si="2"/>
        <v>4446.9609299499998</v>
      </c>
      <c r="S14" s="93">
        <f t="shared" si="3"/>
        <v>105.15467895625001</v>
      </c>
      <c r="T14" s="93">
        <f t="shared" si="4"/>
        <v>183.80806046511626</v>
      </c>
      <c r="U14" s="93">
        <f t="shared" si="5"/>
        <v>0</v>
      </c>
      <c r="V14" s="93">
        <f t="shared" si="6"/>
        <v>0</v>
      </c>
      <c r="W14" s="93">
        <f t="shared" si="7"/>
        <v>0</v>
      </c>
      <c r="X14" s="93">
        <f t="shared" si="8"/>
        <v>4735.9236693713656</v>
      </c>
      <c r="Y14" s="93">
        <f t="shared" si="9"/>
        <v>3551.9427520285244</v>
      </c>
      <c r="Z14" s="53">
        <f t="shared" si="10"/>
        <v>42201.234513878524</v>
      </c>
      <c r="AA14" s="523"/>
    </row>
    <row r="15" spans="1:27" x14ac:dyDescent="0.25">
      <c r="A15" s="523"/>
      <c r="B15" s="62" t="str">
        <f ca="1">DFIE!$B$38</f>
        <v>Nidwalden</v>
      </c>
      <c r="C15" s="60">
        <v>109094.00838</v>
      </c>
      <c r="D15" s="60">
        <v>8223.9482800000005</v>
      </c>
      <c r="E15" s="60">
        <v>3114.7255399999999</v>
      </c>
      <c r="F15" s="60">
        <v>597.81654000000003</v>
      </c>
      <c r="G15" s="60">
        <v>0</v>
      </c>
      <c r="H15" s="60">
        <v>0</v>
      </c>
      <c r="I15" s="60">
        <v>0</v>
      </c>
      <c r="J15" s="54">
        <f t="shared" si="0"/>
        <v>121030.49874</v>
      </c>
      <c r="K15" s="95"/>
      <c r="L15" s="77" t="str">
        <f ca="1">DFIE!$B$61</f>
        <v>Kategorie</v>
      </c>
      <c r="M15" s="77" t="str">
        <f ca="1">DFIE!$B$114</f>
        <v>Formel für Gewicht</v>
      </c>
      <c r="N15" s="86" t="str">
        <f ca="1">DFIE!$B$115</f>
        <v>Gewicht (ω)</v>
      </c>
      <c r="O15" s="95"/>
      <c r="P15" s="62" t="str">
        <f ca="1">DFIE!$B$38</f>
        <v>Nidwalden</v>
      </c>
      <c r="Q15" s="94">
        <f t="shared" si="1"/>
        <v>42001.193226299998</v>
      </c>
      <c r="R15" s="94">
        <f t="shared" si="2"/>
        <v>3166.2200878000003</v>
      </c>
      <c r="S15" s="94">
        <f t="shared" si="3"/>
        <v>1049.2731662875001</v>
      </c>
      <c r="T15" s="94">
        <f t="shared" si="4"/>
        <v>104.27032674418604</v>
      </c>
      <c r="U15" s="94">
        <f t="shared" si="5"/>
        <v>0</v>
      </c>
      <c r="V15" s="94">
        <f t="shared" si="6"/>
        <v>0</v>
      </c>
      <c r="W15" s="94">
        <f t="shared" si="7"/>
        <v>0</v>
      </c>
      <c r="X15" s="94">
        <f t="shared" si="8"/>
        <v>4319.7635808316863</v>
      </c>
      <c r="Y15" s="94">
        <f t="shared" si="9"/>
        <v>3239.8226856237648</v>
      </c>
      <c r="Z15" s="54">
        <f t="shared" si="10"/>
        <v>45241.015911923765</v>
      </c>
      <c r="AA15" s="523"/>
    </row>
    <row r="16" spans="1:27" x14ac:dyDescent="0.25">
      <c r="A16" s="523"/>
      <c r="B16" s="63" t="str">
        <f ca="1">DFIE!$B$39</f>
        <v>Glarus</v>
      </c>
      <c r="C16" s="59">
        <v>123873.69448999999</v>
      </c>
      <c r="D16" s="59">
        <v>948.79147999999998</v>
      </c>
      <c r="E16" s="59">
        <v>0</v>
      </c>
      <c r="F16" s="59">
        <v>242.6156</v>
      </c>
      <c r="G16" s="59">
        <v>0</v>
      </c>
      <c r="H16" s="59">
        <v>0</v>
      </c>
      <c r="I16" s="59">
        <v>0</v>
      </c>
      <c r="J16" s="53">
        <f t="shared" si="0"/>
        <v>125065.10157</v>
      </c>
      <c r="K16" s="95"/>
      <c r="L16" s="82">
        <v>0</v>
      </c>
      <c r="M16" s="82" t="s">
        <v>66</v>
      </c>
      <c r="N16" s="85">
        <f>N13</f>
        <v>0.38500000000000001</v>
      </c>
      <c r="O16" s="95"/>
      <c r="P16" s="63" t="str">
        <f ca="1">DFIE!$B$39</f>
        <v>Glarus</v>
      </c>
      <c r="Q16" s="93">
        <f t="shared" si="1"/>
        <v>47691.372378649998</v>
      </c>
      <c r="R16" s="93">
        <f t="shared" si="2"/>
        <v>365.2847198</v>
      </c>
      <c r="S16" s="93">
        <f t="shared" si="3"/>
        <v>0</v>
      </c>
      <c r="T16" s="93">
        <f t="shared" si="4"/>
        <v>42.316674418604649</v>
      </c>
      <c r="U16" s="93">
        <f t="shared" si="5"/>
        <v>0</v>
      </c>
      <c r="V16" s="93">
        <f t="shared" si="6"/>
        <v>0</v>
      </c>
      <c r="W16" s="93">
        <f t="shared" si="7"/>
        <v>0</v>
      </c>
      <c r="X16" s="93">
        <f t="shared" si="8"/>
        <v>407.60139421860464</v>
      </c>
      <c r="Y16" s="93">
        <f t="shared" si="9"/>
        <v>305.70104566395349</v>
      </c>
      <c r="Z16" s="53">
        <f t="shared" si="10"/>
        <v>47997.073424313952</v>
      </c>
      <c r="AA16" s="523"/>
    </row>
    <row r="17" spans="1:27" x14ac:dyDescent="0.25">
      <c r="A17" s="523"/>
      <c r="B17" s="62" t="str">
        <f ca="1">DFIE!$B$40</f>
        <v>Zug</v>
      </c>
      <c r="C17" s="60">
        <v>435630.04700000002</v>
      </c>
      <c r="D17" s="60">
        <v>292558.87599999999</v>
      </c>
      <c r="E17" s="60">
        <v>7159.83</v>
      </c>
      <c r="F17" s="60">
        <v>16708.654999999999</v>
      </c>
      <c r="G17" s="60">
        <v>0</v>
      </c>
      <c r="H17" s="60">
        <v>0</v>
      </c>
      <c r="I17" s="60">
        <v>0</v>
      </c>
      <c r="J17" s="54">
        <f t="shared" si="0"/>
        <v>752057.40799999994</v>
      </c>
      <c r="K17" s="95"/>
      <c r="L17" s="82">
        <v>1</v>
      </c>
      <c r="M17" s="82" t="s">
        <v>66</v>
      </c>
      <c r="N17" s="85">
        <f>N13</f>
        <v>0.38500000000000001</v>
      </c>
      <c r="O17" s="95"/>
      <c r="P17" s="62" t="str">
        <f ca="1">DFIE!$B$40</f>
        <v>Zug</v>
      </c>
      <c r="Q17" s="94">
        <f t="shared" si="1"/>
        <v>167717.56809500002</v>
      </c>
      <c r="R17" s="94">
        <f t="shared" si="2"/>
        <v>112635.16726</v>
      </c>
      <c r="S17" s="94">
        <f t="shared" si="3"/>
        <v>2411.9677312500003</v>
      </c>
      <c r="T17" s="94">
        <f t="shared" si="4"/>
        <v>2914.300290697674</v>
      </c>
      <c r="U17" s="94">
        <f t="shared" si="5"/>
        <v>0</v>
      </c>
      <c r="V17" s="94">
        <f t="shared" si="6"/>
        <v>0</v>
      </c>
      <c r="W17" s="94">
        <f t="shared" si="7"/>
        <v>0</v>
      </c>
      <c r="X17" s="94">
        <f t="shared" si="8"/>
        <v>117961.43528194768</v>
      </c>
      <c r="Y17" s="94">
        <f t="shared" si="9"/>
        <v>88471.076461460761</v>
      </c>
      <c r="Z17" s="54">
        <f t="shared" si="10"/>
        <v>256188.64455646079</v>
      </c>
      <c r="AA17" s="523"/>
    </row>
    <row r="18" spans="1:27" x14ac:dyDescent="0.25">
      <c r="A18" s="523"/>
      <c r="B18" s="63" t="str">
        <f ca="1">DFIE!$B$41</f>
        <v>Freiburg</v>
      </c>
      <c r="C18" s="59">
        <v>615953.62300000002</v>
      </c>
      <c r="D18" s="59">
        <v>105705.327</v>
      </c>
      <c r="E18" s="59">
        <v>232.44800000000001</v>
      </c>
      <c r="F18" s="59">
        <v>711.13199999999995</v>
      </c>
      <c r="G18" s="59">
        <v>0</v>
      </c>
      <c r="H18" s="59">
        <v>0</v>
      </c>
      <c r="I18" s="59">
        <v>0</v>
      </c>
      <c r="J18" s="53">
        <f t="shared" si="0"/>
        <v>722602.53</v>
      </c>
      <c r="K18" s="45"/>
      <c r="L18" s="82" t="s">
        <v>55</v>
      </c>
      <c r="M18" s="82" t="s">
        <v>84</v>
      </c>
      <c r="N18" s="85">
        <f>0.875*N13</f>
        <v>0.33687500000000004</v>
      </c>
      <c r="O18" s="45"/>
      <c r="P18" s="63" t="str">
        <f ca="1">DFIE!$B$41</f>
        <v>Freiburg</v>
      </c>
      <c r="Q18" s="93">
        <f t="shared" si="1"/>
        <v>237142.14485500002</v>
      </c>
      <c r="R18" s="93">
        <f t="shared" si="2"/>
        <v>40696.550895</v>
      </c>
      <c r="S18" s="93">
        <f t="shared" si="3"/>
        <v>78.305920000000015</v>
      </c>
      <c r="T18" s="93">
        <f t="shared" si="4"/>
        <v>124.03465116279067</v>
      </c>
      <c r="U18" s="93">
        <f t="shared" si="5"/>
        <v>0</v>
      </c>
      <c r="V18" s="93">
        <f t="shared" si="6"/>
        <v>0</v>
      </c>
      <c r="W18" s="93">
        <f t="shared" si="7"/>
        <v>0</v>
      </c>
      <c r="X18" s="93">
        <f t="shared" si="8"/>
        <v>40898.891466162793</v>
      </c>
      <c r="Y18" s="93">
        <f t="shared" si="9"/>
        <v>30674.168599622095</v>
      </c>
      <c r="Z18" s="53">
        <f t="shared" si="10"/>
        <v>267816.31345462211</v>
      </c>
      <c r="AA18" s="523"/>
    </row>
    <row r="19" spans="1:27" x14ac:dyDescent="0.25">
      <c r="A19" s="523"/>
      <c r="B19" s="62" t="str">
        <f ca="1">DFIE!$B$42</f>
        <v>Solothurn</v>
      </c>
      <c r="C19" s="60">
        <v>502077.05499999999</v>
      </c>
      <c r="D19" s="60">
        <v>39451.552000000003</v>
      </c>
      <c r="E19" s="60">
        <v>1897.598</v>
      </c>
      <c r="F19" s="60">
        <v>55092.146000000001</v>
      </c>
      <c r="G19" s="60">
        <v>0</v>
      </c>
      <c r="H19" s="60">
        <v>94077.906000000003</v>
      </c>
      <c r="I19" s="60">
        <v>0</v>
      </c>
      <c r="J19" s="54">
        <f t="shared" si="0"/>
        <v>692596.25699999987</v>
      </c>
      <c r="K19" s="45"/>
      <c r="L19" s="82" t="s">
        <v>56</v>
      </c>
      <c r="M19" s="82" t="str">
        <f ca="1">DFIE!$B$116</f>
        <v>0.045 / SST(2022)</v>
      </c>
      <c r="N19" s="85">
        <f>0.045/$N$10</f>
        <v>0.17441860465116277</v>
      </c>
      <c r="O19" s="45"/>
      <c r="P19" s="62" t="str">
        <f ca="1">DFIE!$B$42</f>
        <v>Solothurn</v>
      </c>
      <c r="Q19" s="94">
        <f t="shared" si="1"/>
        <v>193299.66617499999</v>
      </c>
      <c r="R19" s="94">
        <f t="shared" si="2"/>
        <v>15188.847520000001</v>
      </c>
      <c r="S19" s="94">
        <f t="shared" si="3"/>
        <v>639.2533262500001</v>
      </c>
      <c r="T19" s="94">
        <f t="shared" si="4"/>
        <v>9609.0952325581384</v>
      </c>
      <c r="U19" s="94">
        <f t="shared" si="5"/>
        <v>0</v>
      </c>
      <c r="V19" s="94">
        <f t="shared" si="6"/>
        <v>16408.937093023254</v>
      </c>
      <c r="W19" s="94">
        <f t="shared" si="7"/>
        <v>0</v>
      </c>
      <c r="X19" s="94">
        <f t="shared" si="8"/>
        <v>41846.133171831396</v>
      </c>
      <c r="Y19" s="94">
        <f t="shared" si="9"/>
        <v>31384.599878873545</v>
      </c>
      <c r="Z19" s="54">
        <f t="shared" si="10"/>
        <v>224684.26605387352</v>
      </c>
      <c r="AA19" s="523"/>
    </row>
    <row r="20" spans="1:27" x14ac:dyDescent="0.25">
      <c r="A20" s="523"/>
      <c r="B20" s="63" t="str">
        <f ca="1">DFIE!$B$43</f>
        <v>Basel-Stadt</v>
      </c>
      <c r="C20" s="59">
        <v>678794.91529999999</v>
      </c>
      <c r="D20" s="59">
        <v>546538.82091000001</v>
      </c>
      <c r="E20" s="59">
        <v>4843.7819</v>
      </c>
      <c r="F20" s="59">
        <v>1566793.09399</v>
      </c>
      <c r="G20" s="59">
        <v>0</v>
      </c>
      <c r="H20" s="59">
        <v>1661338.8643199999</v>
      </c>
      <c r="I20" s="59">
        <v>0</v>
      </c>
      <c r="J20" s="53">
        <f t="shared" si="0"/>
        <v>4458309.4764200002</v>
      </c>
      <c r="K20" s="45"/>
      <c r="L20" s="82" t="s">
        <v>57</v>
      </c>
      <c r="M20" s="82" t="str">
        <f ca="1">DFIE!$B$117</f>
        <v>γ - 0.035 / SST(2022)</v>
      </c>
      <c r="N20" s="85">
        <f>N13-0.035/$N$10</f>
        <v>0.24934108527131782</v>
      </c>
      <c r="O20" s="45"/>
      <c r="P20" s="63" t="str">
        <f ca="1">DFIE!$B$43</f>
        <v>Basel-Stadt</v>
      </c>
      <c r="Q20" s="93">
        <f t="shared" si="1"/>
        <v>261336.04239049999</v>
      </c>
      <c r="R20" s="93">
        <f t="shared" si="2"/>
        <v>210417.44605035</v>
      </c>
      <c r="S20" s="93">
        <f t="shared" si="3"/>
        <v>1631.7490275625003</v>
      </c>
      <c r="T20" s="93">
        <f t="shared" si="4"/>
        <v>273277.86523081391</v>
      </c>
      <c r="U20" s="93">
        <f t="shared" si="5"/>
        <v>0</v>
      </c>
      <c r="V20" s="93">
        <f t="shared" si="6"/>
        <v>289768.40656744182</v>
      </c>
      <c r="W20" s="93">
        <f t="shared" si="7"/>
        <v>0</v>
      </c>
      <c r="X20" s="93">
        <f t="shared" si="8"/>
        <v>775095.46687616827</v>
      </c>
      <c r="Y20" s="93">
        <f t="shared" si="9"/>
        <v>581321.6001571262</v>
      </c>
      <c r="Z20" s="53">
        <f t="shared" si="10"/>
        <v>842657.64254762616</v>
      </c>
      <c r="AA20" s="523"/>
    </row>
    <row r="21" spans="1:27" x14ac:dyDescent="0.25">
      <c r="A21" s="523"/>
      <c r="B21" s="62" t="str">
        <f ca="1">DFIE!$B$44</f>
        <v>Basel-Landschaft</v>
      </c>
      <c r="C21" s="60">
        <v>433138.53100000002</v>
      </c>
      <c r="D21" s="60">
        <v>111012.088</v>
      </c>
      <c r="E21" s="60">
        <v>2091.2820000000002</v>
      </c>
      <c r="F21" s="60">
        <v>811444.41</v>
      </c>
      <c r="G21" s="60">
        <v>0</v>
      </c>
      <c r="H21" s="60">
        <v>985892.93900000001</v>
      </c>
      <c r="I21" s="60">
        <v>0</v>
      </c>
      <c r="J21" s="54">
        <f t="shared" si="0"/>
        <v>2343579.25</v>
      </c>
      <c r="K21" s="45"/>
      <c r="L21" s="82" t="s">
        <v>58</v>
      </c>
      <c r="M21" s="82" t="str">
        <f ca="1">DFIE!$B$116</f>
        <v>0.045 / SST(2022)</v>
      </c>
      <c r="N21" s="85">
        <f>0.045/$N$10</f>
        <v>0.17441860465116277</v>
      </c>
      <c r="O21" s="45"/>
      <c r="P21" s="62" t="str">
        <f ca="1">DFIE!$B$44</f>
        <v>Basel-Landschaft</v>
      </c>
      <c r="Q21" s="94">
        <f t="shared" si="1"/>
        <v>166758.334435</v>
      </c>
      <c r="R21" s="94">
        <f t="shared" si="2"/>
        <v>42739.653880000005</v>
      </c>
      <c r="S21" s="94">
        <f t="shared" si="3"/>
        <v>704.50062375000016</v>
      </c>
      <c r="T21" s="94">
        <f t="shared" si="4"/>
        <v>141531.00174418604</v>
      </c>
      <c r="U21" s="94">
        <f t="shared" si="5"/>
        <v>0</v>
      </c>
      <c r="V21" s="94">
        <f t="shared" si="6"/>
        <v>171958.07075581394</v>
      </c>
      <c r="W21" s="94">
        <f t="shared" si="7"/>
        <v>0</v>
      </c>
      <c r="X21" s="94">
        <f t="shared" si="8"/>
        <v>356933.22700374998</v>
      </c>
      <c r="Y21" s="94">
        <f t="shared" si="9"/>
        <v>267699.9202528125</v>
      </c>
      <c r="Z21" s="54">
        <f t="shared" si="10"/>
        <v>434458.25468781253</v>
      </c>
      <c r="AA21" s="523"/>
    </row>
    <row r="22" spans="1:27" x14ac:dyDescent="0.25">
      <c r="A22" s="523"/>
      <c r="B22" s="63" t="str">
        <f ca="1">DFIE!$B$45</f>
        <v>Schaffhausen</v>
      </c>
      <c r="C22" s="59">
        <v>246911.68841</v>
      </c>
      <c r="D22" s="59">
        <v>37402.253879999997</v>
      </c>
      <c r="E22" s="59">
        <v>1597.4874500000001</v>
      </c>
      <c r="F22" s="59">
        <v>394890.08298000001</v>
      </c>
      <c r="G22" s="59">
        <v>0</v>
      </c>
      <c r="H22" s="59">
        <v>0</v>
      </c>
      <c r="I22" s="59">
        <v>0</v>
      </c>
      <c r="J22" s="53">
        <f t="shared" si="0"/>
        <v>680801.51272</v>
      </c>
      <c r="K22" s="45"/>
      <c r="L22" s="82" t="s">
        <v>59</v>
      </c>
      <c r="M22" s="82" t="s">
        <v>85</v>
      </c>
      <c r="N22" s="85">
        <f>0.6*N13</f>
        <v>0.23099999999999998</v>
      </c>
      <c r="O22" s="45"/>
      <c r="P22" s="63" t="str">
        <f ca="1">DFIE!$B$45</f>
        <v>Schaffhausen</v>
      </c>
      <c r="Q22" s="93">
        <f t="shared" si="1"/>
        <v>95061.000037849997</v>
      </c>
      <c r="R22" s="93">
        <f t="shared" si="2"/>
        <v>14399.8677438</v>
      </c>
      <c r="S22" s="93">
        <f t="shared" si="3"/>
        <v>538.15358471875004</v>
      </c>
      <c r="T22" s="93">
        <f t="shared" si="4"/>
        <v>68876.177263953476</v>
      </c>
      <c r="U22" s="93">
        <f t="shared" si="5"/>
        <v>0</v>
      </c>
      <c r="V22" s="93">
        <f t="shared" si="6"/>
        <v>0</v>
      </c>
      <c r="W22" s="93">
        <f t="shared" si="7"/>
        <v>0</v>
      </c>
      <c r="X22" s="93">
        <f t="shared" si="8"/>
        <v>83814.198592472225</v>
      </c>
      <c r="Y22" s="93">
        <f t="shared" si="9"/>
        <v>62860.648944354165</v>
      </c>
      <c r="Z22" s="53">
        <f t="shared" si="10"/>
        <v>157921.64898220415</v>
      </c>
      <c r="AA22" s="523"/>
    </row>
    <row r="23" spans="1:27" x14ac:dyDescent="0.25">
      <c r="A23" s="523"/>
      <c r="B23" s="62" t="str">
        <f ca="1">DFIE!$B$46</f>
        <v>Appenzell A.Rh.</v>
      </c>
      <c r="C23" s="60">
        <v>19326.573850000001</v>
      </c>
      <c r="D23" s="60">
        <v>28257.72493</v>
      </c>
      <c r="E23" s="60">
        <v>18295.58569</v>
      </c>
      <c r="F23" s="60">
        <v>5408.7511699999995</v>
      </c>
      <c r="G23" s="60">
        <v>0</v>
      </c>
      <c r="H23" s="60">
        <v>0</v>
      </c>
      <c r="I23" s="60">
        <v>0</v>
      </c>
      <c r="J23" s="54">
        <f t="shared" si="0"/>
        <v>71288.635639999993</v>
      </c>
      <c r="K23" s="45"/>
      <c r="L23" s="45"/>
      <c r="M23" s="45"/>
      <c r="N23" s="45"/>
      <c r="O23" s="45"/>
      <c r="P23" s="62" t="str">
        <f ca="1">DFIE!$B$46</f>
        <v>Appenzell A.Rh.</v>
      </c>
      <c r="Q23" s="94">
        <f t="shared" si="1"/>
        <v>7440.7309322500005</v>
      </c>
      <c r="R23" s="94">
        <f t="shared" si="2"/>
        <v>10879.224098050001</v>
      </c>
      <c r="S23" s="94">
        <f t="shared" si="3"/>
        <v>6163.325429318751</v>
      </c>
      <c r="T23" s="94">
        <f t="shared" si="4"/>
        <v>943.38683197674402</v>
      </c>
      <c r="U23" s="94">
        <f t="shared" si="5"/>
        <v>0</v>
      </c>
      <c r="V23" s="94">
        <f t="shared" si="6"/>
        <v>0</v>
      </c>
      <c r="W23" s="94">
        <f t="shared" si="7"/>
        <v>0</v>
      </c>
      <c r="X23" s="94">
        <f t="shared" si="8"/>
        <v>17985.936359345495</v>
      </c>
      <c r="Y23" s="94">
        <f t="shared" si="9"/>
        <v>13489.452269509122</v>
      </c>
      <c r="Z23" s="54">
        <f t="shared" si="10"/>
        <v>20930.183201759122</v>
      </c>
      <c r="AA23" s="523"/>
    </row>
    <row r="24" spans="1:27" x14ac:dyDescent="0.25">
      <c r="A24" s="523"/>
      <c r="B24" s="63" t="str">
        <f ca="1">DFIE!$B$47</f>
        <v>Appenzell I.Rh.</v>
      </c>
      <c r="C24" s="59">
        <v>20614.867590000002</v>
      </c>
      <c r="D24" s="59">
        <v>2345.0628499999998</v>
      </c>
      <c r="E24" s="59">
        <v>5002.7493599999998</v>
      </c>
      <c r="F24" s="59">
        <v>823.56960000000004</v>
      </c>
      <c r="G24" s="59">
        <v>0</v>
      </c>
      <c r="H24" s="59">
        <v>0</v>
      </c>
      <c r="I24" s="59">
        <v>0</v>
      </c>
      <c r="J24" s="53">
        <f t="shared" si="0"/>
        <v>28786.249399999997</v>
      </c>
      <c r="K24" s="45"/>
      <c r="L24" s="45"/>
      <c r="M24" s="45"/>
      <c r="N24" s="45"/>
      <c r="O24" s="45"/>
      <c r="P24" s="63" t="str">
        <f ca="1">DFIE!$B$47</f>
        <v>Appenzell I.Rh.</v>
      </c>
      <c r="Q24" s="93">
        <f t="shared" si="1"/>
        <v>7936.7240221500006</v>
      </c>
      <c r="R24" s="93">
        <f t="shared" si="2"/>
        <v>902.84919724999997</v>
      </c>
      <c r="S24" s="93">
        <f t="shared" si="3"/>
        <v>1685.3011906500001</v>
      </c>
      <c r="T24" s="93">
        <f t="shared" si="4"/>
        <v>143.64586046511627</v>
      </c>
      <c r="U24" s="93">
        <f t="shared" si="5"/>
        <v>0</v>
      </c>
      <c r="V24" s="93">
        <f t="shared" si="6"/>
        <v>0</v>
      </c>
      <c r="W24" s="93">
        <f t="shared" si="7"/>
        <v>0</v>
      </c>
      <c r="X24" s="93">
        <f t="shared" si="8"/>
        <v>2731.7962483651163</v>
      </c>
      <c r="Y24" s="93">
        <f t="shared" si="9"/>
        <v>2048.847186273837</v>
      </c>
      <c r="Z24" s="53">
        <f t="shared" si="10"/>
        <v>9985.5712084238367</v>
      </c>
      <c r="AA24" s="523"/>
    </row>
    <row r="25" spans="1:27" x14ac:dyDescent="0.25">
      <c r="A25" s="523"/>
      <c r="B25" s="62" t="str">
        <f ca="1">DFIE!$B$48</f>
        <v>St. Gallen</v>
      </c>
      <c r="C25" s="60">
        <v>888818.78770999995</v>
      </c>
      <c r="D25" s="60">
        <v>122701.96388</v>
      </c>
      <c r="E25" s="60">
        <v>534441.33001999999</v>
      </c>
      <c r="F25" s="60">
        <v>110389.85368</v>
      </c>
      <c r="G25" s="60">
        <v>0</v>
      </c>
      <c r="H25" s="60">
        <v>0</v>
      </c>
      <c r="I25" s="60">
        <v>0</v>
      </c>
      <c r="J25" s="54">
        <f t="shared" si="0"/>
        <v>1656351.9352899999</v>
      </c>
      <c r="K25" s="45"/>
      <c r="L25" s="45"/>
      <c r="M25" s="45"/>
      <c r="N25" s="45"/>
      <c r="O25" s="45"/>
      <c r="P25" s="62" t="str">
        <f ca="1">DFIE!$B$48</f>
        <v>St. Gallen</v>
      </c>
      <c r="Q25" s="94">
        <f t="shared" si="1"/>
        <v>342195.23326835001</v>
      </c>
      <c r="R25" s="94">
        <f t="shared" si="2"/>
        <v>47240.256093800002</v>
      </c>
      <c r="S25" s="94">
        <f t="shared" si="3"/>
        <v>180039.92305048753</v>
      </c>
      <c r="T25" s="94">
        <f t="shared" si="4"/>
        <v>19254.044246511625</v>
      </c>
      <c r="U25" s="94">
        <f t="shared" si="5"/>
        <v>0</v>
      </c>
      <c r="V25" s="94">
        <f t="shared" si="6"/>
        <v>0</v>
      </c>
      <c r="W25" s="94">
        <f t="shared" si="7"/>
        <v>0</v>
      </c>
      <c r="X25" s="94">
        <f t="shared" si="8"/>
        <v>246534.22339079916</v>
      </c>
      <c r="Y25" s="94">
        <f t="shared" si="9"/>
        <v>184900.66754309938</v>
      </c>
      <c r="Z25" s="54">
        <f t="shared" si="10"/>
        <v>527095.90081144939</v>
      </c>
      <c r="AA25" s="523"/>
    </row>
    <row r="26" spans="1:27" x14ac:dyDescent="0.25">
      <c r="A26" s="523"/>
      <c r="B26" s="63" t="str">
        <f ca="1">DFIE!$B$49</f>
        <v>Graubünden</v>
      </c>
      <c r="C26" s="59">
        <v>926477.29949999996</v>
      </c>
      <c r="D26" s="59">
        <v>218580.0091</v>
      </c>
      <c r="E26" s="59">
        <v>26020.059000000001</v>
      </c>
      <c r="F26" s="59">
        <v>1244.7090000000001</v>
      </c>
      <c r="G26" s="59">
        <v>0</v>
      </c>
      <c r="H26" s="59">
        <v>0</v>
      </c>
      <c r="I26" s="59">
        <v>119627.413</v>
      </c>
      <c r="J26" s="53">
        <f t="shared" si="0"/>
        <v>1291949.4895999997</v>
      </c>
      <c r="K26" s="45"/>
      <c r="L26" s="45"/>
      <c r="M26" s="45"/>
      <c r="N26" s="45"/>
      <c r="O26" s="45"/>
      <c r="P26" s="63" t="str">
        <f ca="1">DFIE!$B$49</f>
        <v>Graubünden</v>
      </c>
      <c r="Q26" s="93">
        <f t="shared" si="1"/>
        <v>356693.76030750002</v>
      </c>
      <c r="R26" s="93">
        <f t="shared" si="2"/>
        <v>84153.303503500007</v>
      </c>
      <c r="S26" s="93">
        <f t="shared" si="3"/>
        <v>8765.5073756250022</v>
      </c>
      <c r="T26" s="93">
        <f t="shared" si="4"/>
        <v>217.10040697674415</v>
      </c>
      <c r="U26" s="93">
        <f t="shared" si="5"/>
        <v>0</v>
      </c>
      <c r="V26" s="93">
        <f t="shared" si="6"/>
        <v>0</v>
      </c>
      <c r="W26" s="93">
        <f t="shared" si="7"/>
        <v>27633.932402999999</v>
      </c>
      <c r="X26" s="93">
        <f t="shared" si="8"/>
        <v>120769.84368910176</v>
      </c>
      <c r="Y26" s="93">
        <f t="shared" si="9"/>
        <v>90577.382766826326</v>
      </c>
      <c r="Z26" s="53">
        <f t="shared" si="10"/>
        <v>447271.14307432633</v>
      </c>
      <c r="AA26" s="523"/>
    </row>
    <row r="27" spans="1:27" x14ac:dyDescent="0.25">
      <c r="A27" s="523"/>
      <c r="B27" s="62" t="str">
        <f ca="1">DFIE!$B$50</f>
        <v>Aargau</v>
      </c>
      <c r="C27" s="60">
        <v>1423666.513</v>
      </c>
      <c r="D27" s="60">
        <v>368342.19750000001</v>
      </c>
      <c r="E27" s="60">
        <v>5102.6724999999997</v>
      </c>
      <c r="F27" s="60">
        <v>1005037.037</v>
      </c>
      <c r="G27" s="60">
        <v>0</v>
      </c>
      <c r="H27" s="60">
        <v>0</v>
      </c>
      <c r="I27" s="60">
        <v>0</v>
      </c>
      <c r="J27" s="54">
        <f t="shared" si="0"/>
        <v>2802148.42</v>
      </c>
      <c r="K27" s="45"/>
      <c r="L27" s="45"/>
      <c r="M27" s="45"/>
      <c r="N27" s="45"/>
      <c r="O27" s="45"/>
      <c r="P27" s="62" t="str">
        <f ca="1">DFIE!$B$50</f>
        <v>Aargau</v>
      </c>
      <c r="Q27" s="94">
        <f t="shared" si="1"/>
        <v>548111.60750500008</v>
      </c>
      <c r="R27" s="94">
        <f t="shared" si="2"/>
        <v>141811.74603750001</v>
      </c>
      <c r="S27" s="94">
        <f t="shared" si="3"/>
        <v>1718.9627984375002</v>
      </c>
      <c r="T27" s="94">
        <f t="shared" si="4"/>
        <v>175297.15761627906</v>
      </c>
      <c r="U27" s="94">
        <f t="shared" si="5"/>
        <v>0</v>
      </c>
      <c r="V27" s="94">
        <f t="shared" si="6"/>
        <v>0</v>
      </c>
      <c r="W27" s="94">
        <f t="shared" si="7"/>
        <v>0</v>
      </c>
      <c r="X27" s="94">
        <f t="shared" si="8"/>
        <v>318827.86645221658</v>
      </c>
      <c r="Y27" s="94">
        <f t="shared" si="9"/>
        <v>239120.89983916242</v>
      </c>
      <c r="Z27" s="54">
        <f t="shared" si="10"/>
        <v>787232.50734416256</v>
      </c>
      <c r="AA27" s="523"/>
    </row>
    <row r="28" spans="1:27" x14ac:dyDescent="0.25">
      <c r="A28" s="523"/>
      <c r="B28" s="63" t="str">
        <f ca="1">DFIE!$B$51</f>
        <v>Thurgau</v>
      </c>
      <c r="C28" s="59">
        <v>732265.88</v>
      </c>
      <c r="D28" s="59">
        <v>86847.29</v>
      </c>
      <c r="E28" s="59">
        <v>23494.671999999999</v>
      </c>
      <c r="F28" s="59">
        <v>334617.63900000002</v>
      </c>
      <c r="G28" s="59">
        <v>0</v>
      </c>
      <c r="H28" s="59">
        <v>0</v>
      </c>
      <c r="I28" s="59">
        <v>0</v>
      </c>
      <c r="J28" s="53">
        <f t="shared" si="0"/>
        <v>1177225.4810000001</v>
      </c>
      <c r="K28" s="45"/>
      <c r="L28" s="45"/>
      <c r="M28" s="45"/>
      <c r="N28" s="45"/>
      <c r="O28" s="45"/>
      <c r="P28" s="63" t="str">
        <f ca="1">DFIE!$B$51</f>
        <v>Thurgau</v>
      </c>
      <c r="Q28" s="93">
        <f t="shared" si="1"/>
        <v>281922.36379999999</v>
      </c>
      <c r="R28" s="93">
        <f t="shared" si="2"/>
        <v>33436.20665</v>
      </c>
      <c r="S28" s="93">
        <f t="shared" si="3"/>
        <v>7914.7676300000003</v>
      </c>
      <c r="T28" s="93">
        <f t="shared" si="4"/>
        <v>58363.541686046505</v>
      </c>
      <c r="U28" s="93">
        <f t="shared" si="5"/>
        <v>0</v>
      </c>
      <c r="V28" s="93">
        <f t="shared" si="6"/>
        <v>0</v>
      </c>
      <c r="W28" s="93">
        <f t="shared" si="7"/>
        <v>0</v>
      </c>
      <c r="X28" s="93">
        <f t="shared" si="8"/>
        <v>99714.515966046514</v>
      </c>
      <c r="Y28" s="93">
        <f t="shared" si="9"/>
        <v>74785.886974534893</v>
      </c>
      <c r="Z28" s="53">
        <f t="shared" si="10"/>
        <v>356708.25077453488</v>
      </c>
      <c r="AA28" s="523"/>
    </row>
    <row r="29" spans="1:27" x14ac:dyDescent="0.25">
      <c r="A29" s="523"/>
      <c r="B29" s="62" t="str">
        <f ca="1">DFIE!$B$52</f>
        <v>Tessin</v>
      </c>
      <c r="C29" s="60">
        <v>1017057.3419999999</v>
      </c>
      <c r="D29" s="60">
        <v>719590.37399999995</v>
      </c>
      <c r="E29" s="60">
        <v>693.43700000000001</v>
      </c>
      <c r="F29" s="60">
        <v>0</v>
      </c>
      <c r="G29" s="60">
        <v>0</v>
      </c>
      <c r="H29" s="60">
        <v>0</v>
      </c>
      <c r="I29" s="60">
        <v>3323357.9810000001</v>
      </c>
      <c r="J29" s="54">
        <f t="shared" si="0"/>
        <v>5060699.1339999996</v>
      </c>
      <c r="K29" s="45"/>
      <c r="L29" s="45"/>
      <c r="M29" s="45"/>
      <c r="N29" s="96"/>
      <c r="O29" s="45"/>
      <c r="P29" s="62" t="str">
        <f ca="1">DFIE!$B$52</f>
        <v>Tessin</v>
      </c>
      <c r="Q29" s="94">
        <f t="shared" si="1"/>
        <v>391567.07666999998</v>
      </c>
      <c r="R29" s="94">
        <f t="shared" si="2"/>
        <v>277042.29398999998</v>
      </c>
      <c r="S29" s="94">
        <f t="shared" si="3"/>
        <v>233.60158937500003</v>
      </c>
      <c r="T29" s="94">
        <f t="shared" si="4"/>
        <v>0</v>
      </c>
      <c r="U29" s="94">
        <f t="shared" si="5"/>
        <v>0</v>
      </c>
      <c r="V29" s="94">
        <f t="shared" si="6"/>
        <v>0</v>
      </c>
      <c r="W29" s="94">
        <f t="shared" si="7"/>
        <v>767695.69361099997</v>
      </c>
      <c r="X29" s="94">
        <f t="shared" si="8"/>
        <v>1044971.5891903749</v>
      </c>
      <c r="Y29" s="94">
        <f t="shared" si="9"/>
        <v>783728.69189278118</v>
      </c>
      <c r="Z29" s="54">
        <f t="shared" si="10"/>
        <v>1175295.7685627812</v>
      </c>
      <c r="AA29" s="523"/>
    </row>
    <row r="30" spans="1:27" x14ac:dyDescent="0.25">
      <c r="A30" s="523"/>
      <c r="B30" s="63" t="str">
        <f ca="1">DFIE!$B$53</f>
        <v>Waadt</v>
      </c>
      <c r="C30" s="59">
        <v>2701069.3119999999</v>
      </c>
      <c r="D30" s="59">
        <v>0</v>
      </c>
      <c r="E30" s="59">
        <v>0</v>
      </c>
      <c r="F30" s="59">
        <v>0</v>
      </c>
      <c r="G30" s="59">
        <v>0</v>
      </c>
      <c r="H30" s="59">
        <v>2710171.6850000001</v>
      </c>
      <c r="I30" s="59">
        <v>0</v>
      </c>
      <c r="J30" s="53">
        <f t="shared" si="0"/>
        <v>5411240.9969999995</v>
      </c>
      <c r="K30" s="45"/>
      <c r="L30" s="45"/>
      <c r="M30" s="45"/>
      <c r="N30" s="45"/>
      <c r="O30" s="45"/>
      <c r="P30" s="63" t="str">
        <f ca="1">DFIE!$B$53</f>
        <v>Waadt</v>
      </c>
      <c r="Q30" s="93">
        <f t="shared" si="1"/>
        <v>1039911.68512</v>
      </c>
      <c r="R30" s="93">
        <f t="shared" si="2"/>
        <v>0</v>
      </c>
      <c r="S30" s="93">
        <f t="shared" si="3"/>
        <v>0</v>
      </c>
      <c r="T30" s="93">
        <f t="shared" si="4"/>
        <v>0</v>
      </c>
      <c r="U30" s="93">
        <f t="shared" si="5"/>
        <v>0</v>
      </c>
      <c r="V30" s="93">
        <f t="shared" si="6"/>
        <v>472704.36366279062</v>
      </c>
      <c r="W30" s="93">
        <f t="shared" si="7"/>
        <v>0</v>
      </c>
      <c r="X30" s="93">
        <f t="shared" si="8"/>
        <v>472704.36366279062</v>
      </c>
      <c r="Y30" s="93">
        <f t="shared" si="9"/>
        <v>354528.272747093</v>
      </c>
      <c r="Z30" s="53">
        <f t="shared" si="10"/>
        <v>1394439.9578670929</v>
      </c>
      <c r="AA30" s="523"/>
    </row>
    <row r="31" spans="1:27" x14ac:dyDescent="0.25">
      <c r="A31" s="523"/>
      <c r="B31" s="62" t="str">
        <f ca="1">DFIE!$B$54</f>
        <v>Wallis</v>
      </c>
      <c r="C31" s="60">
        <v>1084049.9680000001</v>
      </c>
      <c r="D31" s="60">
        <v>18526.849999999999</v>
      </c>
      <c r="E31" s="60">
        <v>0</v>
      </c>
      <c r="F31" s="60">
        <v>1273.913</v>
      </c>
      <c r="G31" s="60">
        <v>0</v>
      </c>
      <c r="H31" s="60">
        <v>125257.446</v>
      </c>
      <c r="I31" s="60">
        <v>82496.854999999996</v>
      </c>
      <c r="J31" s="54">
        <f t="shared" si="0"/>
        <v>1311605.0320000001</v>
      </c>
      <c r="K31" s="45"/>
      <c r="L31" s="45"/>
      <c r="M31" s="45"/>
      <c r="N31" s="45"/>
      <c r="O31" s="45"/>
      <c r="P31" s="62" t="str">
        <f ca="1">DFIE!$B$54</f>
        <v>Wallis</v>
      </c>
      <c r="Q31" s="94">
        <f t="shared" si="1"/>
        <v>417359.23768000008</v>
      </c>
      <c r="R31" s="94">
        <f t="shared" si="2"/>
        <v>7132.8372499999996</v>
      </c>
      <c r="S31" s="94">
        <f t="shared" si="3"/>
        <v>0</v>
      </c>
      <c r="T31" s="94">
        <f t="shared" si="4"/>
        <v>222.19412790697672</v>
      </c>
      <c r="U31" s="94">
        <f t="shared" si="5"/>
        <v>0</v>
      </c>
      <c r="V31" s="94">
        <f t="shared" si="6"/>
        <v>21847.228953488368</v>
      </c>
      <c r="W31" s="94">
        <f t="shared" si="7"/>
        <v>19056.773504999997</v>
      </c>
      <c r="X31" s="94">
        <f t="shared" si="8"/>
        <v>48259.033836395341</v>
      </c>
      <c r="Y31" s="94">
        <f t="shared" si="9"/>
        <v>36194.275377296508</v>
      </c>
      <c r="Z31" s="54">
        <f t="shared" si="10"/>
        <v>453553.51305729657</v>
      </c>
      <c r="AA31" s="523"/>
    </row>
    <row r="32" spans="1:27" x14ac:dyDescent="0.25">
      <c r="A32" s="523"/>
      <c r="B32" s="63" t="str">
        <f ca="1">DFIE!$B$55</f>
        <v>Neuenburg</v>
      </c>
      <c r="C32" s="59">
        <v>338724.90600000002</v>
      </c>
      <c r="D32" s="59">
        <v>82258.589000000007</v>
      </c>
      <c r="E32" s="59">
        <v>0</v>
      </c>
      <c r="F32" s="59">
        <v>485.39800000000002</v>
      </c>
      <c r="G32" s="59">
        <v>0</v>
      </c>
      <c r="H32" s="59">
        <v>1064718.071</v>
      </c>
      <c r="I32" s="59">
        <v>0</v>
      </c>
      <c r="J32" s="53">
        <f t="shared" si="0"/>
        <v>1486186.9639999999</v>
      </c>
      <c r="K32" s="45"/>
      <c r="L32" s="45"/>
      <c r="M32" s="45"/>
      <c r="N32" s="45"/>
      <c r="O32" s="45"/>
      <c r="P32" s="63" t="str">
        <f ca="1">DFIE!$B$55</f>
        <v>Neuenburg</v>
      </c>
      <c r="Q32" s="93">
        <f t="shared" si="1"/>
        <v>130409.08881000002</v>
      </c>
      <c r="R32" s="93">
        <f t="shared" si="2"/>
        <v>31669.556765000005</v>
      </c>
      <c r="S32" s="93">
        <f t="shared" si="3"/>
        <v>0</v>
      </c>
      <c r="T32" s="93">
        <f t="shared" si="4"/>
        <v>84.662441860465108</v>
      </c>
      <c r="U32" s="93">
        <f t="shared" si="5"/>
        <v>0</v>
      </c>
      <c r="V32" s="93">
        <f t="shared" si="6"/>
        <v>185706.64029069766</v>
      </c>
      <c r="W32" s="93">
        <f t="shared" si="7"/>
        <v>0</v>
      </c>
      <c r="X32" s="93">
        <f t="shared" si="8"/>
        <v>217460.85949755812</v>
      </c>
      <c r="Y32" s="93">
        <f t="shared" si="9"/>
        <v>163095.6446231686</v>
      </c>
      <c r="Z32" s="53">
        <f t="shared" si="10"/>
        <v>293504.73343316861</v>
      </c>
      <c r="AA32" s="523"/>
    </row>
    <row r="33" spans="1:27" x14ac:dyDescent="0.25">
      <c r="A33" s="523"/>
      <c r="B33" s="62" t="str">
        <f ca="1">DFIE!$B$56</f>
        <v>Genf</v>
      </c>
      <c r="C33" s="60">
        <v>2151244.3319999999</v>
      </c>
      <c r="D33" s="60">
        <v>789698.38699999999</v>
      </c>
      <c r="E33" s="60">
        <v>5267.5069999999996</v>
      </c>
      <c r="F33" s="60">
        <v>0</v>
      </c>
      <c r="G33" s="60">
        <v>9292820.1060000006</v>
      </c>
      <c r="H33" s="60">
        <v>0</v>
      </c>
      <c r="I33" s="60">
        <v>0</v>
      </c>
      <c r="J33" s="54">
        <f t="shared" si="0"/>
        <v>12239030.332</v>
      </c>
      <c r="K33" s="45"/>
      <c r="L33" s="45"/>
      <c r="M33" s="45"/>
      <c r="N33" s="45"/>
      <c r="O33" s="45"/>
      <c r="P33" s="62" t="str">
        <f ca="1">DFIE!$B$56</f>
        <v>Genf</v>
      </c>
      <c r="Q33" s="94">
        <f t="shared" si="1"/>
        <v>828229.06782</v>
      </c>
      <c r="R33" s="94">
        <f t="shared" si="2"/>
        <v>304033.87899499998</v>
      </c>
      <c r="S33" s="94">
        <f t="shared" si="3"/>
        <v>1774.491420625</v>
      </c>
      <c r="T33" s="94">
        <f t="shared" si="4"/>
        <v>0</v>
      </c>
      <c r="U33" s="94">
        <f t="shared" si="5"/>
        <v>2317081.8504611626</v>
      </c>
      <c r="V33" s="94">
        <f t="shared" si="6"/>
        <v>0</v>
      </c>
      <c r="W33" s="94">
        <f t="shared" si="7"/>
        <v>0</v>
      </c>
      <c r="X33" s="94">
        <f t="shared" si="8"/>
        <v>2622890.2208767878</v>
      </c>
      <c r="Y33" s="94">
        <f t="shared" si="9"/>
        <v>1967167.6656575908</v>
      </c>
      <c r="Z33" s="54">
        <f t="shared" si="10"/>
        <v>2795396.7334775906</v>
      </c>
      <c r="AA33" s="523"/>
    </row>
    <row r="34" spans="1:27" x14ac:dyDescent="0.25">
      <c r="A34" s="523"/>
      <c r="B34" s="63" t="str">
        <f ca="1">DFIE!$B$57</f>
        <v>Jura</v>
      </c>
      <c r="C34" s="59">
        <v>72250.432000000001</v>
      </c>
      <c r="D34" s="59">
        <v>15242.578</v>
      </c>
      <c r="E34" s="59">
        <v>0</v>
      </c>
      <c r="F34" s="59">
        <v>969.73299999999995</v>
      </c>
      <c r="G34" s="59">
        <v>0</v>
      </c>
      <c r="H34" s="59">
        <v>619906.02599999995</v>
      </c>
      <c r="I34" s="59">
        <v>0</v>
      </c>
      <c r="J34" s="53">
        <f t="shared" si="0"/>
        <v>708368.76899999997</v>
      </c>
      <c r="K34" s="45"/>
      <c r="L34" s="45"/>
      <c r="M34" s="45"/>
      <c r="N34" s="45"/>
      <c r="O34" s="45"/>
      <c r="P34" s="63" t="str">
        <f ca="1">DFIE!$B$57</f>
        <v>Jura</v>
      </c>
      <c r="Q34" s="93">
        <f t="shared" si="1"/>
        <v>27816.41632</v>
      </c>
      <c r="R34" s="93">
        <f t="shared" si="2"/>
        <v>5868.3925300000001</v>
      </c>
      <c r="S34" s="93">
        <f t="shared" si="3"/>
        <v>0</v>
      </c>
      <c r="T34" s="93">
        <f t="shared" si="4"/>
        <v>169.13947674418603</v>
      </c>
      <c r="U34" s="93">
        <f t="shared" si="5"/>
        <v>0</v>
      </c>
      <c r="V34" s="93">
        <f t="shared" si="6"/>
        <v>108123.14406976743</v>
      </c>
      <c r="W34" s="93">
        <f t="shared" si="7"/>
        <v>0</v>
      </c>
      <c r="X34" s="93">
        <f t="shared" si="8"/>
        <v>114160.67607651162</v>
      </c>
      <c r="Y34" s="93">
        <f t="shared" si="9"/>
        <v>85620.507057383715</v>
      </c>
      <c r="Z34" s="53">
        <f t="shared" si="10"/>
        <v>113436.92337738372</v>
      </c>
      <c r="AA34" s="523"/>
    </row>
    <row r="35" spans="1:27" x14ac:dyDescent="0.25">
      <c r="A35" s="523"/>
      <c r="B35" s="64" t="str">
        <f ca="1">DFIE!$B$58</f>
        <v>Schweiz</v>
      </c>
      <c r="C35" s="61">
        <f t="shared" ref="C35:I35" si="11">SUM(C9:C34)</f>
        <v>22700694.896469999</v>
      </c>
      <c r="D35" s="61">
        <f t="shared" si="11"/>
        <v>4056175.7486600005</v>
      </c>
      <c r="E35" s="61">
        <f t="shared" si="11"/>
        <v>669968.29694000003</v>
      </c>
      <c r="F35" s="61">
        <f t="shared" si="11"/>
        <v>4958718.6456400007</v>
      </c>
      <c r="G35" s="61">
        <f t="shared" si="11"/>
        <v>9292820.1060000006</v>
      </c>
      <c r="H35" s="61">
        <f t="shared" si="11"/>
        <v>7449779.7404899998</v>
      </c>
      <c r="I35" s="61">
        <f t="shared" si="11"/>
        <v>3525482.2490000003</v>
      </c>
      <c r="J35" s="55">
        <f t="shared" si="0"/>
        <v>52653639.683199994</v>
      </c>
      <c r="K35" s="45"/>
      <c r="L35" s="45"/>
      <c r="M35" s="45"/>
      <c r="N35" s="45"/>
      <c r="O35" s="45"/>
      <c r="P35" s="64" t="str">
        <f ca="1">DFIE!$B$58</f>
        <v>Schweiz</v>
      </c>
      <c r="Q35" s="61">
        <f>SUM(Q9:Q34)</f>
        <v>8739767.5351409502</v>
      </c>
      <c r="R35" s="61">
        <f t="shared" ref="R35:Y35" si="12">SUM(R9:R34)</f>
        <v>1561627.6632341002</v>
      </c>
      <c r="S35" s="61">
        <f t="shared" si="12"/>
        <v>225695.57003166253</v>
      </c>
      <c r="T35" s="61">
        <f t="shared" si="12"/>
        <v>864892.78703023249</v>
      </c>
      <c r="U35" s="61">
        <f t="shared" si="12"/>
        <v>2317081.8504611626</v>
      </c>
      <c r="V35" s="61">
        <f t="shared" si="12"/>
        <v>1299380.1872947672</v>
      </c>
      <c r="W35" s="61">
        <f t="shared" si="12"/>
        <v>814386.39951899997</v>
      </c>
      <c r="X35" s="61">
        <f t="shared" si="12"/>
        <v>7083064.4575709254</v>
      </c>
      <c r="Y35" s="61">
        <f t="shared" si="12"/>
        <v>5312298.343178194</v>
      </c>
      <c r="Z35" s="55">
        <f>SUM(Z9:Z34)</f>
        <v>14052065.878319144</v>
      </c>
      <c r="AA35" s="523"/>
    </row>
    <row r="36" spans="1:27" ht="14.25" customHeight="1" x14ac:dyDescent="0.25">
      <c r="A36" s="70"/>
      <c r="B36" s="76"/>
      <c r="C36" s="76"/>
      <c r="D36" s="76"/>
      <c r="E36" s="76"/>
      <c r="F36" s="76"/>
      <c r="G36" s="76"/>
      <c r="H36" s="76"/>
      <c r="I36" s="76"/>
      <c r="J36" s="76"/>
      <c r="P36" s="89"/>
      <c r="Q36" s="90"/>
      <c r="R36" s="90"/>
      <c r="S36" s="90"/>
      <c r="T36" s="90"/>
      <c r="U36" s="90"/>
      <c r="V36" s="90"/>
      <c r="W36" s="90"/>
      <c r="X36" s="90"/>
      <c r="Y36" s="90"/>
      <c r="Z36" s="90"/>
    </row>
    <row r="37" spans="1:27" x14ac:dyDescent="0.25">
      <c r="A37" s="524" t="str">
        <f ca="1">DFIE!$B$74</f>
        <v>Bemessungsjahr 2020</v>
      </c>
      <c r="B37" s="65" t="str">
        <f ca="1">DFIE!$B$32</f>
        <v>Zürich</v>
      </c>
      <c r="C37" s="57">
        <v>5077971.1849999996</v>
      </c>
      <c r="D37" s="57">
        <v>83312.434999999998</v>
      </c>
      <c r="E37" s="57">
        <v>24366.370999999999</v>
      </c>
      <c r="F37" s="57">
        <v>639520.91399999999</v>
      </c>
      <c r="G37" s="57">
        <v>0</v>
      </c>
      <c r="H37" s="57">
        <v>0</v>
      </c>
      <c r="I37" s="57">
        <v>0</v>
      </c>
      <c r="J37" s="58">
        <f t="shared" ref="J37:J63" si="13">SUM(C37:I37)</f>
        <v>5825170.9049999993</v>
      </c>
      <c r="K37" s="97"/>
      <c r="L37" s="48"/>
      <c r="M37" s="48"/>
      <c r="N37" s="48"/>
      <c r="O37" s="97"/>
      <c r="P37" s="65" t="str">
        <f ca="1">DFIE!$B$32</f>
        <v>Zürich</v>
      </c>
      <c r="Q37" s="91">
        <f>C37*N$44</f>
        <v>1990564.7045199999</v>
      </c>
      <c r="R37" s="92">
        <f>D37*N$45</f>
        <v>32658.47452</v>
      </c>
      <c r="S37" s="92">
        <f>E37*N$46</f>
        <v>8357.665253000001</v>
      </c>
      <c r="T37" s="92">
        <f>F37*N$47</f>
        <v>112856.63188235293</v>
      </c>
      <c r="U37" s="92">
        <f>G37*N$48</f>
        <v>0</v>
      </c>
      <c r="V37" s="92">
        <f>H37*N$49</f>
        <v>0</v>
      </c>
      <c r="W37" s="92">
        <f>I37*N$50</f>
        <v>0</v>
      </c>
      <c r="X37" s="92">
        <f t="shared" ref="X37:X62" si="14">SUM(R37:W37)</f>
        <v>153872.77165535293</v>
      </c>
      <c r="Y37" s="92">
        <f>X37*$N$39</f>
        <v>115404.57874151471</v>
      </c>
      <c r="Z37" s="58">
        <f t="shared" ref="Z37:Z62" si="15">Y37+Q37</f>
        <v>2105969.2832615147</v>
      </c>
      <c r="AA37" s="524" t="str">
        <f ca="1">DFIE!$B$74</f>
        <v>Bemessungsjahr 2020</v>
      </c>
    </row>
    <row r="38" spans="1:27" x14ac:dyDescent="0.25">
      <c r="A38" s="524"/>
      <c r="B38" s="63" t="str">
        <f ca="1">DFIE!$B$33</f>
        <v>Bern</v>
      </c>
      <c r="C38" s="59">
        <v>1483506.172</v>
      </c>
      <c r="D38" s="59">
        <v>204859.867</v>
      </c>
      <c r="E38" s="59">
        <v>323.93900000000002</v>
      </c>
      <c r="F38" s="59">
        <v>22139.992999999999</v>
      </c>
      <c r="G38" s="59">
        <v>0</v>
      </c>
      <c r="H38" s="59">
        <v>193990.177</v>
      </c>
      <c r="I38" s="59">
        <v>0</v>
      </c>
      <c r="J38" s="53">
        <f t="shared" si="13"/>
        <v>1904820.148</v>
      </c>
      <c r="K38" s="97"/>
      <c r="L38" s="78" t="str">
        <f ca="1">DFIE!$B$102</f>
        <v>Standardisierter Steuersatz SST(2023)</v>
      </c>
      <c r="M38" s="77"/>
      <c r="N38" s="84">
        <v>0.255</v>
      </c>
      <c r="O38" s="97"/>
      <c r="P38" s="63" t="str">
        <f ca="1">DFIE!$B$33</f>
        <v>Bern</v>
      </c>
      <c r="Q38" s="93">
        <f t="shared" ref="Q38:Q62" si="16">C38*N$44</f>
        <v>581534.41942400008</v>
      </c>
      <c r="R38" s="93">
        <f t="shared" ref="R38:R62" si="17">D38*N$45</f>
        <v>80305.067863999997</v>
      </c>
      <c r="S38" s="93">
        <f t="shared" ref="S38:S62" si="18">E38*N$46</f>
        <v>111.11107700000002</v>
      </c>
      <c r="T38" s="93">
        <f t="shared" ref="T38:T62" si="19">F38*N$47</f>
        <v>3907.0575882352937</v>
      </c>
      <c r="U38" s="93">
        <f t="shared" ref="U38:U62" si="20">G38*N$48</f>
        <v>0</v>
      </c>
      <c r="V38" s="93">
        <f t="shared" ref="V38:V62" si="21">H38*N$49</f>
        <v>34233.560647058817</v>
      </c>
      <c r="W38" s="93">
        <f t="shared" ref="W38:W62" si="22">I38*N$50</f>
        <v>0</v>
      </c>
      <c r="X38" s="93">
        <f t="shared" si="14"/>
        <v>118556.79717629412</v>
      </c>
      <c r="Y38" s="93">
        <f t="shared" ref="Y38:Y62" si="23">X38*$N$39</f>
        <v>88917.59788222058</v>
      </c>
      <c r="Z38" s="53">
        <f t="shared" si="15"/>
        <v>670452.01730622072</v>
      </c>
      <c r="AA38" s="524"/>
    </row>
    <row r="39" spans="1:27" x14ac:dyDescent="0.25">
      <c r="A39" s="524"/>
      <c r="B39" s="62" t="str">
        <f ca="1">DFIE!$B$34</f>
        <v>Luzern</v>
      </c>
      <c r="C39" s="60">
        <v>774273.74699999997</v>
      </c>
      <c r="D39" s="60">
        <v>117374.80499999999</v>
      </c>
      <c r="E39" s="60">
        <v>1222.991</v>
      </c>
      <c r="F39" s="60">
        <v>9939.1149999999998</v>
      </c>
      <c r="G39" s="60">
        <v>0</v>
      </c>
      <c r="H39" s="60">
        <v>0</v>
      </c>
      <c r="I39" s="60">
        <v>0</v>
      </c>
      <c r="J39" s="54">
        <f t="shared" si="13"/>
        <v>902810.65799999994</v>
      </c>
      <c r="K39" s="97"/>
      <c r="L39" s="78" t="str">
        <f ca="1">DFIE!$B$105</f>
        <v>Faktor Delta 2020</v>
      </c>
      <c r="M39" s="78"/>
      <c r="N39" s="84">
        <v>0.75</v>
      </c>
      <c r="O39" s="97"/>
      <c r="P39" s="62" t="str">
        <f ca="1">DFIE!$B$34</f>
        <v>Luzern</v>
      </c>
      <c r="Q39" s="94">
        <f t="shared" si="16"/>
        <v>303515.30882400001</v>
      </c>
      <c r="R39" s="94">
        <f t="shared" si="17"/>
        <v>46010.923559999996</v>
      </c>
      <c r="S39" s="94">
        <f t="shared" si="18"/>
        <v>419.48591300000004</v>
      </c>
      <c r="T39" s="94">
        <f t="shared" si="19"/>
        <v>1753.961470588235</v>
      </c>
      <c r="U39" s="94">
        <f t="shared" si="20"/>
        <v>0</v>
      </c>
      <c r="V39" s="94">
        <f t="shared" si="21"/>
        <v>0</v>
      </c>
      <c r="W39" s="94">
        <f t="shared" si="22"/>
        <v>0</v>
      </c>
      <c r="X39" s="94">
        <f t="shared" si="14"/>
        <v>48184.370943588227</v>
      </c>
      <c r="Y39" s="94">
        <f t="shared" si="23"/>
        <v>36138.278207691168</v>
      </c>
      <c r="Z39" s="54">
        <f t="shared" si="15"/>
        <v>339653.58703169116</v>
      </c>
      <c r="AA39" s="524"/>
    </row>
    <row r="40" spans="1:27" x14ac:dyDescent="0.25">
      <c r="A40" s="524"/>
      <c r="B40" s="63" t="str">
        <f ca="1">DFIE!$B$35</f>
        <v>Uri</v>
      </c>
      <c r="C40" s="59">
        <v>83234.436000000002</v>
      </c>
      <c r="D40" s="59">
        <v>1446.0530000000001</v>
      </c>
      <c r="E40" s="59">
        <v>0</v>
      </c>
      <c r="F40" s="59">
        <v>167.41300000000001</v>
      </c>
      <c r="G40" s="59">
        <v>0</v>
      </c>
      <c r="H40" s="59">
        <v>0</v>
      </c>
      <c r="I40" s="59">
        <v>0</v>
      </c>
      <c r="J40" s="53">
        <f t="shared" si="13"/>
        <v>84847.902000000002</v>
      </c>
      <c r="K40" s="97"/>
      <c r="L40" s="48"/>
      <c r="M40" s="48"/>
      <c r="N40" s="48"/>
      <c r="O40" s="97"/>
      <c r="P40" s="63" t="str">
        <f ca="1">DFIE!$B$35</f>
        <v>Uri</v>
      </c>
      <c r="Q40" s="93">
        <f t="shared" si="16"/>
        <v>32627.898912000001</v>
      </c>
      <c r="R40" s="93">
        <f t="shared" si="17"/>
        <v>566.85277600000006</v>
      </c>
      <c r="S40" s="93">
        <f t="shared" si="18"/>
        <v>0</v>
      </c>
      <c r="T40" s="93">
        <f t="shared" si="19"/>
        <v>29.543470588235294</v>
      </c>
      <c r="U40" s="93">
        <f t="shared" si="20"/>
        <v>0</v>
      </c>
      <c r="V40" s="93">
        <f t="shared" si="21"/>
        <v>0</v>
      </c>
      <c r="W40" s="93">
        <f t="shared" si="22"/>
        <v>0</v>
      </c>
      <c r="X40" s="93">
        <f t="shared" si="14"/>
        <v>596.39624658823539</v>
      </c>
      <c r="Y40" s="93">
        <f t="shared" si="23"/>
        <v>447.29718494117651</v>
      </c>
      <c r="Z40" s="53">
        <f t="shared" si="15"/>
        <v>33075.196096941174</v>
      </c>
      <c r="AA40" s="524"/>
    </row>
    <row r="41" spans="1:27" x14ac:dyDescent="0.25">
      <c r="A41" s="524"/>
      <c r="B41" s="62" t="str">
        <f ca="1">DFIE!$B$36</f>
        <v>Schwyz</v>
      </c>
      <c r="C41" s="60">
        <v>370119.33799999999</v>
      </c>
      <c r="D41" s="60">
        <v>97187.398000000001</v>
      </c>
      <c r="E41" s="60">
        <v>7174.0320000000002</v>
      </c>
      <c r="F41" s="60">
        <v>345.25400000000002</v>
      </c>
      <c r="G41" s="60">
        <v>0</v>
      </c>
      <c r="H41" s="60">
        <v>0</v>
      </c>
      <c r="I41" s="60">
        <v>0</v>
      </c>
      <c r="J41" s="54">
        <f t="shared" si="13"/>
        <v>474826.022</v>
      </c>
      <c r="K41" s="97"/>
      <c r="L41" s="77" t="str">
        <f ca="1">DFIE!$B$108</f>
        <v>Faktor Gamma 2020 (γ)</v>
      </c>
      <c r="M41" s="77"/>
      <c r="N41" s="84">
        <v>0.39200000000000002</v>
      </c>
      <c r="O41" s="97"/>
      <c r="P41" s="62" t="str">
        <f ca="1">DFIE!$B$36</f>
        <v>Schwyz</v>
      </c>
      <c r="Q41" s="94">
        <f t="shared" si="16"/>
        <v>145086.78049599999</v>
      </c>
      <c r="R41" s="94">
        <f t="shared" si="17"/>
        <v>38097.460016000005</v>
      </c>
      <c r="S41" s="94">
        <f t="shared" si="18"/>
        <v>2460.6929760000003</v>
      </c>
      <c r="T41" s="94">
        <f t="shared" si="19"/>
        <v>60.927176470588236</v>
      </c>
      <c r="U41" s="94">
        <f t="shared" si="20"/>
        <v>0</v>
      </c>
      <c r="V41" s="94">
        <f t="shared" si="21"/>
        <v>0</v>
      </c>
      <c r="W41" s="94">
        <f t="shared" si="22"/>
        <v>0</v>
      </c>
      <c r="X41" s="94">
        <f t="shared" si="14"/>
        <v>40619.080168470595</v>
      </c>
      <c r="Y41" s="94">
        <f t="shared" si="23"/>
        <v>30464.310126352946</v>
      </c>
      <c r="Z41" s="54">
        <f t="shared" si="15"/>
        <v>175551.09062235293</v>
      </c>
      <c r="AA41" s="524"/>
    </row>
    <row r="42" spans="1:27" x14ac:dyDescent="0.25">
      <c r="A42" s="524"/>
      <c r="B42" s="63" t="str">
        <f ca="1">DFIE!$B$37</f>
        <v>Obwalden</v>
      </c>
      <c r="C42" s="59">
        <v>97176.021999999997</v>
      </c>
      <c r="D42" s="59">
        <v>14414.78</v>
      </c>
      <c r="E42" s="59">
        <v>498.73</v>
      </c>
      <c r="F42" s="59">
        <v>792.029</v>
      </c>
      <c r="G42" s="59">
        <v>0</v>
      </c>
      <c r="H42" s="59">
        <v>0</v>
      </c>
      <c r="I42" s="59">
        <v>0</v>
      </c>
      <c r="J42" s="53">
        <f t="shared" si="13"/>
        <v>112881.56099999999</v>
      </c>
      <c r="K42" s="97"/>
      <c r="L42" s="48"/>
      <c r="M42" s="48"/>
      <c r="N42" s="48"/>
      <c r="O42" s="97"/>
      <c r="P42" s="63" t="str">
        <f ca="1">DFIE!$B$37</f>
        <v>Obwalden</v>
      </c>
      <c r="Q42" s="93">
        <f t="shared" si="16"/>
        <v>38093.000624</v>
      </c>
      <c r="R42" s="93">
        <f t="shared" si="17"/>
        <v>5650.5937600000007</v>
      </c>
      <c r="S42" s="93">
        <f t="shared" si="18"/>
        <v>171.06439000000003</v>
      </c>
      <c r="T42" s="93">
        <f t="shared" si="19"/>
        <v>139.76982352941175</v>
      </c>
      <c r="U42" s="93">
        <f t="shared" si="20"/>
        <v>0</v>
      </c>
      <c r="V42" s="93">
        <f t="shared" si="21"/>
        <v>0</v>
      </c>
      <c r="W42" s="93">
        <f t="shared" si="22"/>
        <v>0</v>
      </c>
      <c r="X42" s="93">
        <f t="shared" si="14"/>
        <v>5961.4279735294131</v>
      </c>
      <c r="Y42" s="93">
        <f t="shared" si="23"/>
        <v>4471.0709801470603</v>
      </c>
      <c r="Z42" s="53">
        <f t="shared" si="15"/>
        <v>42564.071604147059</v>
      </c>
      <c r="AA42" s="524"/>
    </row>
    <row r="43" spans="1:27" x14ac:dyDescent="0.25">
      <c r="A43" s="524"/>
      <c r="B43" s="62" t="str">
        <f ca="1">DFIE!$B$38</f>
        <v>Nidwalden</v>
      </c>
      <c r="C43" s="60">
        <v>107229.56600000001</v>
      </c>
      <c r="D43" s="60">
        <v>9289.5229999999992</v>
      </c>
      <c r="E43" s="60">
        <v>2431.5219999999999</v>
      </c>
      <c r="F43" s="60">
        <v>516.74800000000005</v>
      </c>
      <c r="G43" s="60">
        <v>0</v>
      </c>
      <c r="H43" s="60">
        <v>0</v>
      </c>
      <c r="I43" s="60">
        <v>0</v>
      </c>
      <c r="J43" s="54">
        <f t="shared" si="13"/>
        <v>119467.35900000001</v>
      </c>
      <c r="K43" s="97"/>
      <c r="L43" s="77" t="str">
        <f ca="1">DFIE!$B$61</f>
        <v>Kategorie</v>
      </c>
      <c r="M43" s="77" t="str">
        <f ca="1">DFIE!$B$114</f>
        <v>Formel für Gewicht</v>
      </c>
      <c r="N43" s="86" t="str">
        <f ca="1">DFIE!$B$115</f>
        <v>Gewicht (ω)</v>
      </c>
      <c r="O43" s="97"/>
      <c r="P43" s="62" t="str">
        <f ca="1">DFIE!$B$38</f>
        <v>Nidwalden</v>
      </c>
      <c r="Q43" s="94">
        <f t="shared" si="16"/>
        <v>42033.989872000006</v>
      </c>
      <c r="R43" s="94">
        <f t="shared" si="17"/>
        <v>3641.4930159999999</v>
      </c>
      <c r="S43" s="94">
        <f t="shared" si="18"/>
        <v>834.01204600000005</v>
      </c>
      <c r="T43" s="94">
        <f t="shared" si="19"/>
        <v>91.190823529411759</v>
      </c>
      <c r="U43" s="94">
        <f t="shared" si="20"/>
        <v>0</v>
      </c>
      <c r="V43" s="94">
        <f t="shared" si="21"/>
        <v>0</v>
      </c>
      <c r="W43" s="94">
        <f t="shared" si="22"/>
        <v>0</v>
      </c>
      <c r="X43" s="94">
        <f t="shared" si="14"/>
        <v>4566.6958855294115</v>
      </c>
      <c r="Y43" s="94">
        <f t="shared" si="23"/>
        <v>3425.0219141470589</v>
      </c>
      <c r="Z43" s="54">
        <f t="shared" si="15"/>
        <v>45459.011786147064</v>
      </c>
      <c r="AA43" s="524"/>
    </row>
    <row r="44" spans="1:27" x14ac:dyDescent="0.25">
      <c r="A44" s="524"/>
      <c r="B44" s="63" t="str">
        <f ca="1">DFIE!$B$39</f>
        <v>Glarus</v>
      </c>
      <c r="C44" s="59">
        <v>130227.022</v>
      </c>
      <c r="D44" s="59">
        <v>497.01299999999998</v>
      </c>
      <c r="E44" s="59">
        <v>304.68400000000003</v>
      </c>
      <c r="F44" s="59">
        <v>165.19300000000001</v>
      </c>
      <c r="G44" s="59">
        <v>0</v>
      </c>
      <c r="H44" s="59">
        <v>0</v>
      </c>
      <c r="I44" s="59">
        <v>0</v>
      </c>
      <c r="J44" s="53">
        <f t="shared" si="13"/>
        <v>131193.91200000001</v>
      </c>
      <c r="K44" s="97"/>
      <c r="L44" s="82">
        <v>0</v>
      </c>
      <c r="M44" s="82" t="s">
        <v>66</v>
      </c>
      <c r="N44" s="85">
        <f>N41</f>
        <v>0.39200000000000002</v>
      </c>
      <c r="O44" s="97"/>
      <c r="P44" s="63" t="str">
        <f ca="1">DFIE!$B$39</f>
        <v>Glarus</v>
      </c>
      <c r="Q44" s="93">
        <f t="shared" si="16"/>
        <v>51048.992623999999</v>
      </c>
      <c r="R44" s="93">
        <f t="shared" si="17"/>
        <v>194.82909599999999</v>
      </c>
      <c r="S44" s="93">
        <f t="shared" si="18"/>
        <v>104.50661200000002</v>
      </c>
      <c r="T44" s="93">
        <f t="shared" si="19"/>
        <v>29.151705882352939</v>
      </c>
      <c r="U44" s="93">
        <f t="shared" si="20"/>
        <v>0</v>
      </c>
      <c r="V44" s="93">
        <f t="shared" si="21"/>
        <v>0</v>
      </c>
      <c r="W44" s="93">
        <f t="shared" si="22"/>
        <v>0</v>
      </c>
      <c r="X44" s="93">
        <f t="shared" si="14"/>
        <v>328.48741388235294</v>
      </c>
      <c r="Y44" s="93">
        <f t="shared" si="23"/>
        <v>246.3655604117647</v>
      </c>
      <c r="Z44" s="53">
        <f t="shared" si="15"/>
        <v>51295.358184411765</v>
      </c>
      <c r="AA44" s="524"/>
    </row>
    <row r="45" spans="1:27" x14ac:dyDescent="0.25">
      <c r="A45" s="524"/>
      <c r="B45" s="62" t="str">
        <f ca="1">DFIE!$B$40</f>
        <v>Zug</v>
      </c>
      <c r="C45" s="60">
        <v>437752.82799999998</v>
      </c>
      <c r="D45" s="60">
        <v>288564.53700000001</v>
      </c>
      <c r="E45" s="60">
        <v>6080.77</v>
      </c>
      <c r="F45" s="60">
        <v>19686.194</v>
      </c>
      <c r="G45" s="60">
        <v>0</v>
      </c>
      <c r="H45" s="60">
        <v>0</v>
      </c>
      <c r="I45" s="60">
        <v>0</v>
      </c>
      <c r="J45" s="54">
        <f t="shared" si="13"/>
        <v>752084.32900000003</v>
      </c>
      <c r="K45" s="97"/>
      <c r="L45" s="82">
        <v>1</v>
      </c>
      <c r="M45" s="82" t="s">
        <v>66</v>
      </c>
      <c r="N45" s="85">
        <f>N41</f>
        <v>0.39200000000000002</v>
      </c>
      <c r="O45" s="97"/>
      <c r="P45" s="62" t="str">
        <f ca="1">DFIE!$B$40</f>
        <v>Zug</v>
      </c>
      <c r="Q45" s="94">
        <f t="shared" si="16"/>
        <v>171599.108576</v>
      </c>
      <c r="R45" s="94">
        <f t="shared" si="17"/>
        <v>113117.29850400001</v>
      </c>
      <c r="S45" s="94">
        <f t="shared" si="18"/>
        <v>2085.7041100000001</v>
      </c>
      <c r="T45" s="94">
        <f t="shared" si="19"/>
        <v>3474.034235294117</v>
      </c>
      <c r="U45" s="94">
        <f t="shared" si="20"/>
        <v>0</v>
      </c>
      <c r="V45" s="94">
        <f t="shared" si="21"/>
        <v>0</v>
      </c>
      <c r="W45" s="94">
        <f t="shared" si="22"/>
        <v>0</v>
      </c>
      <c r="X45" s="94">
        <f t="shared" si="14"/>
        <v>118677.03684929413</v>
      </c>
      <c r="Y45" s="94">
        <f t="shared" si="23"/>
        <v>89007.777636970597</v>
      </c>
      <c r="Z45" s="54">
        <f t="shared" si="15"/>
        <v>260606.8862129706</v>
      </c>
      <c r="AA45" s="524"/>
    </row>
    <row r="46" spans="1:27" x14ac:dyDescent="0.25">
      <c r="A46" s="524"/>
      <c r="B46" s="63" t="str">
        <f ca="1">DFIE!$B$41</f>
        <v>Freiburg</v>
      </c>
      <c r="C46" s="59">
        <v>610304.33700000006</v>
      </c>
      <c r="D46" s="59">
        <v>115728.89</v>
      </c>
      <c r="E46" s="59">
        <v>370.69200000000001</v>
      </c>
      <c r="F46" s="59">
        <v>1427.64</v>
      </c>
      <c r="G46" s="59">
        <v>0</v>
      </c>
      <c r="H46" s="59">
        <v>0</v>
      </c>
      <c r="I46" s="59">
        <v>0</v>
      </c>
      <c r="J46" s="53">
        <f t="shared" si="13"/>
        <v>727831.55900000012</v>
      </c>
      <c r="K46" s="97"/>
      <c r="L46" s="82" t="s">
        <v>55</v>
      </c>
      <c r="M46" s="82" t="s">
        <v>84</v>
      </c>
      <c r="N46" s="85">
        <f>0.875*N41</f>
        <v>0.34300000000000003</v>
      </c>
      <c r="O46" s="97"/>
      <c r="P46" s="63" t="str">
        <f ca="1">DFIE!$B$41</f>
        <v>Freiburg</v>
      </c>
      <c r="Q46" s="93">
        <f t="shared" si="16"/>
        <v>239239.30010400002</v>
      </c>
      <c r="R46" s="93">
        <f t="shared" si="17"/>
        <v>45365.724880000002</v>
      </c>
      <c r="S46" s="93">
        <f t="shared" si="18"/>
        <v>127.14735600000002</v>
      </c>
      <c r="T46" s="93">
        <f t="shared" si="19"/>
        <v>251.9364705882353</v>
      </c>
      <c r="U46" s="93">
        <f t="shared" si="20"/>
        <v>0</v>
      </c>
      <c r="V46" s="93">
        <f t="shared" si="21"/>
        <v>0</v>
      </c>
      <c r="W46" s="93">
        <f t="shared" si="22"/>
        <v>0</v>
      </c>
      <c r="X46" s="93">
        <f t="shared" si="14"/>
        <v>45744.808706588236</v>
      </c>
      <c r="Y46" s="93">
        <f t="shared" si="23"/>
        <v>34308.606529941178</v>
      </c>
      <c r="Z46" s="53">
        <f t="shared" si="15"/>
        <v>273547.90663394122</v>
      </c>
      <c r="AA46" s="524"/>
    </row>
    <row r="47" spans="1:27" x14ac:dyDescent="0.25">
      <c r="A47" s="524"/>
      <c r="B47" s="62" t="str">
        <f ca="1">DFIE!$B$42</f>
        <v>Solothurn</v>
      </c>
      <c r="C47" s="60">
        <v>503892.20500000002</v>
      </c>
      <c r="D47" s="60">
        <v>37812.055</v>
      </c>
      <c r="E47" s="60">
        <v>1506.944</v>
      </c>
      <c r="F47" s="60">
        <v>55238.571000000004</v>
      </c>
      <c r="G47" s="60">
        <v>0</v>
      </c>
      <c r="H47" s="60">
        <v>97837.142000000007</v>
      </c>
      <c r="I47" s="60">
        <v>0</v>
      </c>
      <c r="J47" s="54">
        <f t="shared" si="13"/>
        <v>696286.91700000002</v>
      </c>
      <c r="K47" s="97"/>
      <c r="L47" s="82" t="s">
        <v>56</v>
      </c>
      <c r="M47" s="82" t="str">
        <f ca="1">DFIE!$B$118</f>
        <v>0.045 / SST(2023)</v>
      </c>
      <c r="N47" s="85">
        <f>0.045/$N$38</f>
        <v>0.1764705882352941</v>
      </c>
      <c r="O47" s="97"/>
      <c r="P47" s="62" t="str">
        <f ca="1">DFIE!$B$42</f>
        <v>Solothurn</v>
      </c>
      <c r="Q47" s="94">
        <f t="shared" si="16"/>
        <v>197525.74436000001</v>
      </c>
      <c r="R47" s="94">
        <f t="shared" si="17"/>
        <v>14822.325560000001</v>
      </c>
      <c r="S47" s="94">
        <f t="shared" si="18"/>
        <v>516.88179200000002</v>
      </c>
      <c r="T47" s="94">
        <f t="shared" si="19"/>
        <v>9747.983117647058</v>
      </c>
      <c r="U47" s="94">
        <f t="shared" si="20"/>
        <v>0</v>
      </c>
      <c r="V47" s="94">
        <f t="shared" si="21"/>
        <v>17265.378000000001</v>
      </c>
      <c r="W47" s="94">
        <f t="shared" si="22"/>
        <v>0</v>
      </c>
      <c r="X47" s="94">
        <f t="shared" si="14"/>
        <v>42352.568469647056</v>
      </c>
      <c r="Y47" s="94">
        <f t="shared" si="23"/>
        <v>31764.426352235292</v>
      </c>
      <c r="Z47" s="54">
        <f t="shared" si="15"/>
        <v>229290.1707122353</v>
      </c>
      <c r="AA47" s="524"/>
    </row>
    <row r="48" spans="1:27" x14ac:dyDescent="0.25">
      <c r="A48" s="524"/>
      <c r="B48" s="63" t="str">
        <f ca="1">DFIE!$B$43</f>
        <v>Basel-Stadt</v>
      </c>
      <c r="C48" s="59">
        <v>725357.31099999999</v>
      </c>
      <c r="D48" s="59">
        <v>486407.75900000002</v>
      </c>
      <c r="E48" s="59">
        <v>3565.81</v>
      </c>
      <c r="F48" s="59">
        <v>1584652.3459999999</v>
      </c>
      <c r="G48" s="59">
        <v>0</v>
      </c>
      <c r="H48" s="59">
        <v>1696220.5919999999</v>
      </c>
      <c r="I48" s="59">
        <v>0</v>
      </c>
      <c r="J48" s="53">
        <f t="shared" si="13"/>
        <v>4496203.818</v>
      </c>
      <c r="K48" s="97"/>
      <c r="L48" s="82" t="s">
        <v>57</v>
      </c>
      <c r="M48" s="82" t="str">
        <f ca="1">DFIE!$B$119</f>
        <v>γ - 0.035 / SST(2023)</v>
      </c>
      <c r="N48" s="85">
        <f>N41-0.035/$N$38</f>
        <v>0.25474509803921569</v>
      </c>
      <c r="O48" s="97"/>
      <c r="P48" s="63" t="str">
        <f ca="1">DFIE!$B$43</f>
        <v>Basel-Stadt</v>
      </c>
      <c r="Q48" s="93">
        <f t="shared" si="16"/>
        <v>284340.06591200002</v>
      </c>
      <c r="R48" s="93">
        <f t="shared" si="17"/>
        <v>190671.84152800002</v>
      </c>
      <c r="S48" s="93">
        <f t="shared" si="18"/>
        <v>1223.0728300000001</v>
      </c>
      <c r="T48" s="93">
        <f t="shared" si="19"/>
        <v>279644.53164705879</v>
      </c>
      <c r="U48" s="93">
        <f t="shared" si="20"/>
        <v>0</v>
      </c>
      <c r="V48" s="93">
        <f t="shared" si="21"/>
        <v>299333.04564705881</v>
      </c>
      <c r="W48" s="93">
        <f t="shared" si="22"/>
        <v>0</v>
      </c>
      <c r="X48" s="93">
        <f t="shared" si="14"/>
        <v>770872.49165211758</v>
      </c>
      <c r="Y48" s="93">
        <f t="shared" si="23"/>
        <v>578154.36873908818</v>
      </c>
      <c r="Z48" s="53">
        <f t="shared" si="15"/>
        <v>862494.4346510882</v>
      </c>
      <c r="AA48" s="524"/>
    </row>
    <row r="49" spans="1:27" x14ac:dyDescent="0.25">
      <c r="A49" s="524"/>
      <c r="B49" s="62" t="str">
        <f ca="1">DFIE!$B$44</f>
        <v>Basel-Landschaft</v>
      </c>
      <c r="C49" s="60">
        <v>422434.56699999998</v>
      </c>
      <c r="D49" s="60">
        <v>111544.58100000001</v>
      </c>
      <c r="E49" s="60">
        <v>1999.336</v>
      </c>
      <c r="F49" s="60">
        <v>817196.45</v>
      </c>
      <c r="G49" s="60">
        <v>0</v>
      </c>
      <c r="H49" s="60">
        <v>1050680.044</v>
      </c>
      <c r="I49" s="60">
        <v>0</v>
      </c>
      <c r="J49" s="54">
        <f t="shared" si="13"/>
        <v>2403854.9780000001</v>
      </c>
      <c r="K49" s="97"/>
      <c r="L49" s="82" t="s">
        <v>58</v>
      </c>
      <c r="M49" s="82" t="str">
        <f ca="1">DFIE!$B$118</f>
        <v>0.045 / SST(2023)</v>
      </c>
      <c r="N49" s="85">
        <f>0.045/$N$38</f>
        <v>0.1764705882352941</v>
      </c>
      <c r="O49" s="97"/>
      <c r="P49" s="62" t="str">
        <f ca="1">DFIE!$B$44</f>
        <v>Basel-Landschaft</v>
      </c>
      <c r="Q49" s="94">
        <f t="shared" si="16"/>
        <v>165594.35026400001</v>
      </c>
      <c r="R49" s="94">
        <f t="shared" si="17"/>
        <v>43725.475752000006</v>
      </c>
      <c r="S49" s="94">
        <f t="shared" si="18"/>
        <v>685.7722480000001</v>
      </c>
      <c r="T49" s="94">
        <f t="shared" si="19"/>
        <v>144211.13823529409</v>
      </c>
      <c r="U49" s="94">
        <f t="shared" si="20"/>
        <v>0</v>
      </c>
      <c r="V49" s="94">
        <f t="shared" si="21"/>
        <v>185414.12541176469</v>
      </c>
      <c r="W49" s="94">
        <f t="shared" si="22"/>
        <v>0</v>
      </c>
      <c r="X49" s="94">
        <f t="shared" si="14"/>
        <v>374036.51164705877</v>
      </c>
      <c r="Y49" s="94">
        <f t="shared" si="23"/>
        <v>280527.3837352941</v>
      </c>
      <c r="Z49" s="54">
        <f t="shared" si="15"/>
        <v>446121.73399929411</v>
      </c>
      <c r="AA49" s="524"/>
    </row>
    <row r="50" spans="1:27" x14ac:dyDescent="0.25">
      <c r="A50" s="524"/>
      <c r="B50" s="63" t="str">
        <f ca="1">DFIE!$B$45</f>
        <v>Schaffhausen</v>
      </c>
      <c r="C50" s="59">
        <v>186942.65900000001</v>
      </c>
      <c r="D50" s="59">
        <v>33047.627999999997</v>
      </c>
      <c r="E50" s="59">
        <v>1592.5820000000001</v>
      </c>
      <c r="F50" s="59">
        <v>407562.55599999998</v>
      </c>
      <c r="G50" s="59">
        <v>0</v>
      </c>
      <c r="H50" s="59">
        <v>0</v>
      </c>
      <c r="I50" s="59">
        <v>0</v>
      </c>
      <c r="J50" s="53">
        <f t="shared" si="13"/>
        <v>629145.42500000005</v>
      </c>
      <c r="K50" s="97"/>
      <c r="L50" s="82" t="s">
        <v>59</v>
      </c>
      <c r="M50" s="82" t="s">
        <v>85</v>
      </c>
      <c r="N50" s="85">
        <f>0.6*N41</f>
        <v>0.23519999999999999</v>
      </c>
      <c r="O50" s="97"/>
      <c r="P50" s="63" t="str">
        <f ca="1">DFIE!$B$45</f>
        <v>Schaffhausen</v>
      </c>
      <c r="Q50" s="93">
        <f t="shared" si="16"/>
        <v>73281.522328000006</v>
      </c>
      <c r="R50" s="93">
        <f t="shared" si="17"/>
        <v>12954.670176</v>
      </c>
      <c r="S50" s="93">
        <f t="shared" si="18"/>
        <v>546.25562600000012</v>
      </c>
      <c r="T50" s="93">
        <f t="shared" si="19"/>
        <v>71922.803999999989</v>
      </c>
      <c r="U50" s="93">
        <f t="shared" si="20"/>
        <v>0</v>
      </c>
      <c r="V50" s="93">
        <f t="shared" si="21"/>
        <v>0</v>
      </c>
      <c r="W50" s="93">
        <f t="shared" si="22"/>
        <v>0</v>
      </c>
      <c r="X50" s="93">
        <f t="shared" si="14"/>
        <v>85423.729801999987</v>
      </c>
      <c r="Y50" s="93">
        <f t="shared" si="23"/>
        <v>64067.79735149999</v>
      </c>
      <c r="Z50" s="53">
        <f t="shared" si="15"/>
        <v>137349.31967950001</v>
      </c>
      <c r="AA50" s="524"/>
    </row>
    <row r="51" spans="1:27" x14ac:dyDescent="0.25">
      <c r="A51" s="524"/>
      <c r="B51" s="62" t="str">
        <f ca="1">DFIE!$B$46</f>
        <v>Appenzell A.Rh.</v>
      </c>
      <c r="C51" s="60">
        <v>27632.111000000001</v>
      </c>
      <c r="D51" s="60">
        <v>28104.901000000002</v>
      </c>
      <c r="E51" s="60">
        <v>18610.02</v>
      </c>
      <c r="F51" s="60">
        <v>4966.1450000000004</v>
      </c>
      <c r="G51" s="60">
        <v>0</v>
      </c>
      <c r="H51" s="60">
        <v>0</v>
      </c>
      <c r="I51" s="60">
        <v>0</v>
      </c>
      <c r="J51" s="54">
        <f t="shared" si="13"/>
        <v>79313.177000000011</v>
      </c>
      <c r="K51" s="97"/>
      <c r="L51" s="48"/>
      <c r="M51" s="48"/>
      <c r="N51" s="98"/>
      <c r="O51" s="97"/>
      <c r="P51" s="62" t="str">
        <f ca="1">DFIE!$B$46</f>
        <v>Appenzell A.Rh.</v>
      </c>
      <c r="Q51" s="94">
        <f t="shared" si="16"/>
        <v>10831.787512000001</v>
      </c>
      <c r="R51" s="94">
        <f t="shared" si="17"/>
        <v>11017.121192000001</v>
      </c>
      <c r="S51" s="94">
        <f t="shared" si="18"/>
        <v>6383.2368600000009</v>
      </c>
      <c r="T51" s="94">
        <f t="shared" si="19"/>
        <v>876.3785294117647</v>
      </c>
      <c r="U51" s="94">
        <f t="shared" si="20"/>
        <v>0</v>
      </c>
      <c r="V51" s="94">
        <f t="shared" si="21"/>
        <v>0</v>
      </c>
      <c r="W51" s="94">
        <f t="shared" si="22"/>
        <v>0</v>
      </c>
      <c r="X51" s="94">
        <f t="shared" si="14"/>
        <v>18276.736581411769</v>
      </c>
      <c r="Y51" s="94">
        <f t="shared" si="23"/>
        <v>13707.552436058828</v>
      </c>
      <c r="Z51" s="54">
        <f t="shared" si="15"/>
        <v>24539.339948058827</v>
      </c>
      <c r="AA51" s="524"/>
    </row>
    <row r="52" spans="1:27" x14ac:dyDescent="0.25">
      <c r="A52" s="524"/>
      <c r="B52" s="63" t="str">
        <f ca="1">DFIE!$B$47</f>
        <v>Appenzell I.Rh.</v>
      </c>
      <c r="C52" s="59">
        <v>20371.538</v>
      </c>
      <c r="D52" s="59">
        <v>2834.761</v>
      </c>
      <c r="E52" s="59">
        <v>4434.9189999999999</v>
      </c>
      <c r="F52" s="59">
        <v>813.08900000000006</v>
      </c>
      <c r="G52" s="59">
        <v>0</v>
      </c>
      <c r="H52" s="59">
        <v>0</v>
      </c>
      <c r="I52" s="59">
        <v>0</v>
      </c>
      <c r="J52" s="53">
        <f t="shared" si="13"/>
        <v>28454.307000000001</v>
      </c>
      <c r="K52" s="97"/>
      <c r="L52" s="48"/>
      <c r="M52" s="48"/>
      <c r="N52" s="48"/>
      <c r="O52" s="97"/>
      <c r="P52" s="63" t="str">
        <f ca="1">DFIE!$B$47</f>
        <v>Appenzell I.Rh.</v>
      </c>
      <c r="Q52" s="93">
        <f t="shared" si="16"/>
        <v>7985.6428960000003</v>
      </c>
      <c r="R52" s="93">
        <f t="shared" si="17"/>
        <v>1111.226312</v>
      </c>
      <c r="S52" s="93">
        <f t="shared" si="18"/>
        <v>1521.1772170000002</v>
      </c>
      <c r="T52" s="93">
        <f t="shared" si="19"/>
        <v>143.48629411764705</v>
      </c>
      <c r="U52" s="93">
        <f t="shared" si="20"/>
        <v>0</v>
      </c>
      <c r="V52" s="93">
        <f t="shared" si="21"/>
        <v>0</v>
      </c>
      <c r="W52" s="93">
        <f t="shared" si="22"/>
        <v>0</v>
      </c>
      <c r="X52" s="93">
        <f t="shared" si="14"/>
        <v>2775.8898231176472</v>
      </c>
      <c r="Y52" s="93">
        <f t="shared" si="23"/>
        <v>2081.9173673382356</v>
      </c>
      <c r="Z52" s="53">
        <f t="shared" si="15"/>
        <v>10067.560263338237</v>
      </c>
      <c r="AA52" s="524"/>
    </row>
    <row r="53" spans="1:27" x14ac:dyDescent="0.25">
      <c r="A53" s="524"/>
      <c r="B53" s="62" t="str">
        <f ca="1">DFIE!$B$48</f>
        <v>St. Gallen</v>
      </c>
      <c r="C53" s="60">
        <v>914395.94200000004</v>
      </c>
      <c r="D53" s="60">
        <v>129661.541</v>
      </c>
      <c r="E53" s="60">
        <v>501652.728</v>
      </c>
      <c r="F53" s="60">
        <v>111070.552</v>
      </c>
      <c r="G53" s="60">
        <v>0</v>
      </c>
      <c r="H53" s="60">
        <v>0</v>
      </c>
      <c r="I53" s="60">
        <v>0</v>
      </c>
      <c r="J53" s="54">
        <f t="shared" si="13"/>
        <v>1656780.763</v>
      </c>
      <c r="K53" s="97"/>
      <c r="L53" s="48"/>
      <c r="M53" s="48"/>
      <c r="N53" s="98"/>
      <c r="O53" s="97"/>
      <c r="P53" s="62" t="str">
        <f ca="1">DFIE!$B$48</f>
        <v>St. Gallen</v>
      </c>
      <c r="Q53" s="94">
        <f t="shared" si="16"/>
        <v>358443.209264</v>
      </c>
      <c r="R53" s="94">
        <f t="shared" si="17"/>
        <v>50827.324072000003</v>
      </c>
      <c r="S53" s="94">
        <f t="shared" si="18"/>
        <v>172066.88570400001</v>
      </c>
      <c r="T53" s="94">
        <f t="shared" si="19"/>
        <v>19600.685647058821</v>
      </c>
      <c r="U53" s="94">
        <f t="shared" si="20"/>
        <v>0</v>
      </c>
      <c r="V53" s="94">
        <f t="shared" si="21"/>
        <v>0</v>
      </c>
      <c r="W53" s="94">
        <f t="shared" si="22"/>
        <v>0</v>
      </c>
      <c r="X53" s="94">
        <f t="shared" si="14"/>
        <v>242494.89542305883</v>
      </c>
      <c r="Y53" s="94">
        <f t="shared" si="23"/>
        <v>181871.17156729411</v>
      </c>
      <c r="Z53" s="54">
        <f t="shared" si="15"/>
        <v>540314.38083129411</v>
      </c>
      <c r="AA53" s="524"/>
    </row>
    <row r="54" spans="1:27" x14ac:dyDescent="0.25">
      <c r="A54" s="524"/>
      <c r="B54" s="63" t="str">
        <f ca="1">DFIE!$B$49</f>
        <v>Graubünden</v>
      </c>
      <c r="C54" s="59">
        <v>909621.09900000005</v>
      </c>
      <c r="D54" s="59">
        <v>227520.93900000001</v>
      </c>
      <c r="E54" s="59">
        <v>24781.912</v>
      </c>
      <c r="F54" s="59">
        <v>1498.6949999999999</v>
      </c>
      <c r="G54" s="59">
        <v>0</v>
      </c>
      <c r="H54" s="59">
        <v>0</v>
      </c>
      <c r="I54" s="59">
        <v>125895.36599999999</v>
      </c>
      <c r="J54" s="53">
        <f t="shared" si="13"/>
        <v>1289318.0110000002</v>
      </c>
      <c r="K54" s="97"/>
      <c r="L54" s="48"/>
      <c r="M54" s="48"/>
      <c r="N54" s="48"/>
      <c r="O54" s="97"/>
      <c r="P54" s="63" t="str">
        <f ca="1">DFIE!$B$49</f>
        <v>Graubünden</v>
      </c>
      <c r="Q54" s="93">
        <f t="shared" si="16"/>
        <v>356571.47080800001</v>
      </c>
      <c r="R54" s="93">
        <f t="shared" si="17"/>
        <v>89188.208088000014</v>
      </c>
      <c r="S54" s="93">
        <f t="shared" si="18"/>
        <v>8500.1958160000013</v>
      </c>
      <c r="T54" s="93">
        <f t="shared" si="19"/>
        <v>264.47558823529408</v>
      </c>
      <c r="U54" s="93">
        <f t="shared" si="20"/>
        <v>0</v>
      </c>
      <c r="V54" s="93">
        <f t="shared" si="21"/>
        <v>0</v>
      </c>
      <c r="W54" s="93">
        <f t="shared" si="22"/>
        <v>29610.590083199997</v>
      </c>
      <c r="X54" s="93">
        <f t="shared" si="14"/>
        <v>127563.4695754353</v>
      </c>
      <c r="Y54" s="93">
        <f t="shared" si="23"/>
        <v>95672.602181576483</v>
      </c>
      <c r="Z54" s="53">
        <f t="shared" si="15"/>
        <v>452244.0729895765</v>
      </c>
      <c r="AA54" s="524"/>
    </row>
    <row r="55" spans="1:27" x14ac:dyDescent="0.25">
      <c r="A55" s="524"/>
      <c r="B55" s="62" t="str">
        <f ca="1">DFIE!$B$50</f>
        <v>Aargau</v>
      </c>
      <c r="C55" s="60">
        <v>1446109.733</v>
      </c>
      <c r="D55" s="60">
        <v>364184.304</v>
      </c>
      <c r="E55" s="60">
        <v>5412.1360000000004</v>
      </c>
      <c r="F55" s="60">
        <v>1017616.584</v>
      </c>
      <c r="G55" s="60">
        <v>0</v>
      </c>
      <c r="H55" s="60">
        <v>0</v>
      </c>
      <c r="I55" s="60">
        <v>0</v>
      </c>
      <c r="J55" s="54">
        <f t="shared" si="13"/>
        <v>2833322.7570000002</v>
      </c>
      <c r="K55" s="97"/>
      <c r="L55" s="48"/>
      <c r="M55" s="48"/>
      <c r="N55" s="98"/>
      <c r="O55" s="97"/>
      <c r="P55" s="62" t="str">
        <f ca="1">DFIE!$B$50</f>
        <v>Aargau</v>
      </c>
      <c r="Q55" s="94">
        <f t="shared" si="16"/>
        <v>566875.01533600001</v>
      </c>
      <c r="R55" s="94">
        <f t="shared" si="17"/>
        <v>142760.247168</v>
      </c>
      <c r="S55" s="94">
        <f t="shared" si="18"/>
        <v>1856.3626480000003</v>
      </c>
      <c r="T55" s="94">
        <f t="shared" si="19"/>
        <v>179579.39717647058</v>
      </c>
      <c r="U55" s="94">
        <f t="shared" si="20"/>
        <v>0</v>
      </c>
      <c r="V55" s="94">
        <f t="shared" si="21"/>
        <v>0</v>
      </c>
      <c r="W55" s="94">
        <f t="shared" si="22"/>
        <v>0</v>
      </c>
      <c r="X55" s="94">
        <f t="shared" si="14"/>
        <v>324196.00699247059</v>
      </c>
      <c r="Y55" s="94">
        <f t="shared" si="23"/>
        <v>243147.00524435294</v>
      </c>
      <c r="Z55" s="54">
        <f t="shared" si="15"/>
        <v>810022.02058035298</v>
      </c>
      <c r="AA55" s="524"/>
    </row>
    <row r="56" spans="1:27" x14ac:dyDescent="0.25">
      <c r="A56" s="524"/>
      <c r="B56" s="63" t="str">
        <f ca="1">DFIE!$B$51</f>
        <v>Thurgau</v>
      </c>
      <c r="C56" s="59">
        <v>767206.13500000001</v>
      </c>
      <c r="D56" s="59">
        <v>93891.89</v>
      </c>
      <c r="E56" s="59">
        <v>21609.646000000001</v>
      </c>
      <c r="F56" s="59">
        <v>338117.36</v>
      </c>
      <c r="G56" s="59">
        <v>0</v>
      </c>
      <c r="H56" s="59">
        <v>0</v>
      </c>
      <c r="I56" s="59">
        <v>0</v>
      </c>
      <c r="J56" s="53">
        <f t="shared" si="13"/>
        <v>1220825.031</v>
      </c>
      <c r="K56" s="97"/>
      <c r="L56" s="48"/>
      <c r="M56" s="48"/>
      <c r="N56" s="48"/>
      <c r="O56" s="97"/>
      <c r="P56" s="63" t="str">
        <f ca="1">DFIE!$B$51</f>
        <v>Thurgau</v>
      </c>
      <c r="Q56" s="93">
        <f t="shared" si="16"/>
        <v>300744.80492000002</v>
      </c>
      <c r="R56" s="93">
        <f t="shared" si="17"/>
        <v>36805.620880000002</v>
      </c>
      <c r="S56" s="93">
        <f t="shared" si="18"/>
        <v>7412.1085780000012</v>
      </c>
      <c r="T56" s="93">
        <f t="shared" si="19"/>
        <v>59667.769411764697</v>
      </c>
      <c r="U56" s="93">
        <f t="shared" si="20"/>
        <v>0</v>
      </c>
      <c r="V56" s="93">
        <f t="shared" si="21"/>
        <v>0</v>
      </c>
      <c r="W56" s="93">
        <f t="shared" si="22"/>
        <v>0</v>
      </c>
      <c r="X56" s="93">
        <f t="shared" si="14"/>
        <v>103885.49886976471</v>
      </c>
      <c r="Y56" s="93">
        <f t="shared" si="23"/>
        <v>77914.124152323522</v>
      </c>
      <c r="Z56" s="53">
        <f t="shared" si="15"/>
        <v>378658.92907232355</v>
      </c>
      <c r="AA56" s="524"/>
    </row>
    <row r="57" spans="1:27" x14ac:dyDescent="0.25">
      <c r="A57" s="524"/>
      <c r="B57" s="62" t="str">
        <f ca="1">DFIE!$B$52</f>
        <v>Tessin</v>
      </c>
      <c r="C57" s="60">
        <v>919892.86100000003</v>
      </c>
      <c r="D57" s="60">
        <v>609624.38699999999</v>
      </c>
      <c r="E57" s="60">
        <v>905.35</v>
      </c>
      <c r="F57" s="60">
        <v>0</v>
      </c>
      <c r="G57" s="60">
        <v>0</v>
      </c>
      <c r="H57" s="60">
        <v>0</v>
      </c>
      <c r="I57" s="60">
        <v>3365204.6189999999</v>
      </c>
      <c r="J57" s="54">
        <f t="shared" si="13"/>
        <v>4895627.2170000002</v>
      </c>
      <c r="K57" s="97"/>
      <c r="L57" s="48"/>
      <c r="M57" s="48"/>
      <c r="N57" s="98"/>
      <c r="O57" s="97"/>
      <c r="P57" s="62" t="str">
        <f ca="1">DFIE!$B$52</f>
        <v>Tessin</v>
      </c>
      <c r="Q57" s="94">
        <f t="shared" si="16"/>
        <v>360598.00151200005</v>
      </c>
      <c r="R57" s="94">
        <f t="shared" si="17"/>
        <v>238972.759704</v>
      </c>
      <c r="S57" s="94">
        <f t="shared" si="18"/>
        <v>310.53505000000001</v>
      </c>
      <c r="T57" s="94">
        <f t="shared" si="19"/>
        <v>0</v>
      </c>
      <c r="U57" s="94">
        <f t="shared" si="20"/>
        <v>0</v>
      </c>
      <c r="V57" s="94">
        <f t="shared" si="21"/>
        <v>0</v>
      </c>
      <c r="W57" s="94">
        <f t="shared" si="22"/>
        <v>791496.12638879998</v>
      </c>
      <c r="X57" s="94">
        <f t="shared" si="14"/>
        <v>1030779.4211428</v>
      </c>
      <c r="Y57" s="94">
        <f t="shared" si="23"/>
        <v>773084.56585710007</v>
      </c>
      <c r="Z57" s="54">
        <f t="shared" si="15"/>
        <v>1133682.5673691002</v>
      </c>
      <c r="AA57" s="524"/>
    </row>
    <row r="58" spans="1:27" x14ac:dyDescent="0.25">
      <c r="A58" s="524"/>
      <c r="B58" s="63" t="str">
        <f ca="1">DFIE!$B$53</f>
        <v>Waadt</v>
      </c>
      <c r="C58" s="59">
        <v>2581018.69</v>
      </c>
      <c r="D58" s="59">
        <v>0</v>
      </c>
      <c r="E58" s="59">
        <v>0</v>
      </c>
      <c r="F58" s="59">
        <v>0</v>
      </c>
      <c r="G58" s="59">
        <v>0</v>
      </c>
      <c r="H58" s="59">
        <v>2778456.7340000002</v>
      </c>
      <c r="I58" s="59">
        <v>0</v>
      </c>
      <c r="J58" s="53">
        <f t="shared" si="13"/>
        <v>5359475.4240000006</v>
      </c>
      <c r="K58" s="97"/>
      <c r="L58" s="48"/>
      <c r="M58" s="48"/>
      <c r="N58" s="48"/>
      <c r="O58" s="97"/>
      <c r="P58" s="63" t="str">
        <f ca="1">DFIE!$B$53</f>
        <v>Waadt</v>
      </c>
      <c r="Q58" s="93">
        <f t="shared" si="16"/>
        <v>1011759.32648</v>
      </c>
      <c r="R58" s="93">
        <f t="shared" si="17"/>
        <v>0</v>
      </c>
      <c r="S58" s="93">
        <f t="shared" si="18"/>
        <v>0</v>
      </c>
      <c r="T58" s="93">
        <f t="shared" si="19"/>
        <v>0</v>
      </c>
      <c r="U58" s="93">
        <f t="shared" si="20"/>
        <v>0</v>
      </c>
      <c r="V58" s="93">
        <f t="shared" si="21"/>
        <v>490315.89423529408</v>
      </c>
      <c r="W58" s="93">
        <f t="shared" si="22"/>
        <v>0</v>
      </c>
      <c r="X58" s="93">
        <f t="shared" si="14"/>
        <v>490315.89423529408</v>
      </c>
      <c r="Y58" s="93">
        <f t="shared" si="23"/>
        <v>367736.92067647056</v>
      </c>
      <c r="Z58" s="53">
        <f t="shared" si="15"/>
        <v>1379496.2471564705</v>
      </c>
      <c r="AA58" s="524"/>
    </row>
    <row r="59" spans="1:27" x14ac:dyDescent="0.25">
      <c r="A59" s="524"/>
      <c r="B59" s="62" t="str">
        <f ca="1">DFIE!$B$54</f>
        <v>Wallis</v>
      </c>
      <c r="C59" s="60">
        <v>956979.47699999996</v>
      </c>
      <c r="D59" s="60">
        <v>10431.983</v>
      </c>
      <c r="E59" s="60">
        <v>0</v>
      </c>
      <c r="F59" s="60">
        <v>1985.8679999999999</v>
      </c>
      <c r="G59" s="60">
        <v>0</v>
      </c>
      <c r="H59" s="60">
        <v>118785.13400000001</v>
      </c>
      <c r="I59" s="60">
        <v>82252.495999999999</v>
      </c>
      <c r="J59" s="54">
        <f t="shared" si="13"/>
        <v>1170434.9580000001</v>
      </c>
      <c r="K59" s="97"/>
      <c r="L59" s="48"/>
      <c r="M59" s="48"/>
      <c r="N59" s="48"/>
      <c r="O59" s="97"/>
      <c r="P59" s="62" t="str">
        <f ca="1">DFIE!$B$54</f>
        <v>Wallis</v>
      </c>
      <c r="Q59" s="94">
        <f t="shared" si="16"/>
        <v>375135.95498400001</v>
      </c>
      <c r="R59" s="94">
        <f t="shared" si="17"/>
        <v>4089.3373360000001</v>
      </c>
      <c r="S59" s="94">
        <f t="shared" si="18"/>
        <v>0</v>
      </c>
      <c r="T59" s="94">
        <f t="shared" si="19"/>
        <v>350.447294117647</v>
      </c>
      <c r="U59" s="94">
        <f t="shared" si="20"/>
        <v>0</v>
      </c>
      <c r="V59" s="94">
        <f t="shared" si="21"/>
        <v>20962.082470588233</v>
      </c>
      <c r="W59" s="94">
        <f t="shared" si="22"/>
        <v>19345.7870592</v>
      </c>
      <c r="X59" s="94">
        <f t="shared" si="14"/>
        <v>44747.654159905884</v>
      </c>
      <c r="Y59" s="94">
        <f t="shared" si="23"/>
        <v>33560.740619929413</v>
      </c>
      <c r="Z59" s="54">
        <f t="shared" si="15"/>
        <v>408696.6956039294</v>
      </c>
      <c r="AA59" s="524"/>
    </row>
    <row r="60" spans="1:27" x14ac:dyDescent="0.25">
      <c r="A60" s="524"/>
      <c r="B60" s="63" t="str">
        <f ca="1">DFIE!$B$55</f>
        <v>Neuenburg</v>
      </c>
      <c r="C60" s="59">
        <v>305654.511</v>
      </c>
      <c r="D60" s="59">
        <v>95435.551999999996</v>
      </c>
      <c r="E60" s="59">
        <v>0</v>
      </c>
      <c r="F60" s="59">
        <v>880.52</v>
      </c>
      <c r="G60" s="59">
        <v>0</v>
      </c>
      <c r="H60" s="59">
        <v>1065143.1580000001</v>
      </c>
      <c r="I60" s="59">
        <v>0</v>
      </c>
      <c r="J60" s="53">
        <f t="shared" si="13"/>
        <v>1467113.7409999999</v>
      </c>
      <c r="K60" s="97"/>
      <c r="L60" s="48"/>
      <c r="M60" s="48"/>
      <c r="N60" s="48"/>
      <c r="O60" s="97"/>
      <c r="P60" s="63" t="str">
        <f ca="1">DFIE!$B$55</f>
        <v>Neuenburg</v>
      </c>
      <c r="Q60" s="93">
        <f t="shared" si="16"/>
        <v>119816.568312</v>
      </c>
      <c r="R60" s="93">
        <f t="shared" si="17"/>
        <v>37410.736384000003</v>
      </c>
      <c r="S60" s="93">
        <f t="shared" si="18"/>
        <v>0</v>
      </c>
      <c r="T60" s="93">
        <f t="shared" si="19"/>
        <v>155.38588235294117</v>
      </c>
      <c r="U60" s="93">
        <f t="shared" si="20"/>
        <v>0</v>
      </c>
      <c r="V60" s="93">
        <f t="shared" si="21"/>
        <v>187966.43964705881</v>
      </c>
      <c r="W60" s="93">
        <f t="shared" si="22"/>
        <v>0</v>
      </c>
      <c r="X60" s="93">
        <f t="shared" si="14"/>
        <v>225532.56191341177</v>
      </c>
      <c r="Y60" s="93">
        <f t="shared" si="23"/>
        <v>169149.42143505882</v>
      </c>
      <c r="Z60" s="53">
        <f t="shared" si="15"/>
        <v>288965.98974705883</v>
      </c>
      <c r="AA60" s="524"/>
    </row>
    <row r="61" spans="1:27" x14ac:dyDescent="0.25">
      <c r="A61" s="524"/>
      <c r="B61" s="62" t="str">
        <f ca="1">DFIE!$B$56</f>
        <v>Genf</v>
      </c>
      <c r="C61" s="60">
        <v>2090504.202</v>
      </c>
      <c r="D61" s="60">
        <v>742188.10400000005</v>
      </c>
      <c r="E61" s="60">
        <v>3790.125</v>
      </c>
      <c r="F61" s="60">
        <v>0</v>
      </c>
      <c r="G61" s="60">
        <v>9324279.4079999998</v>
      </c>
      <c r="H61" s="60">
        <v>0</v>
      </c>
      <c r="I61" s="60">
        <v>0</v>
      </c>
      <c r="J61" s="54">
        <f t="shared" si="13"/>
        <v>12160761.839</v>
      </c>
      <c r="K61" s="97"/>
      <c r="L61" s="48"/>
      <c r="M61" s="48"/>
      <c r="N61" s="48"/>
      <c r="O61" s="97"/>
      <c r="P61" s="62" t="str">
        <f ca="1">DFIE!$B$56</f>
        <v>Genf</v>
      </c>
      <c r="Q61" s="94">
        <f t="shared" si="16"/>
        <v>819477.647184</v>
      </c>
      <c r="R61" s="94">
        <f t="shared" si="17"/>
        <v>290937.736768</v>
      </c>
      <c r="S61" s="94">
        <f t="shared" si="18"/>
        <v>1300.0128750000001</v>
      </c>
      <c r="T61" s="94">
        <f t="shared" si="19"/>
        <v>0</v>
      </c>
      <c r="U61" s="94">
        <f t="shared" si="20"/>
        <v>2375314.471936</v>
      </c>
      <c r="V61" s="94">
        <f t="shared" si="21"/>
        <v>0</v>
      </c>
      <c r="W61" s="94">
        <f t="shared" si="22"/>
        <v>0</v>
      </c>
      <c r="X61" s="94">
        <f t="shared" si="14"/>
        <v>2667552.2215789999</v>
      </c>
      <c r="Y61" s="94">
        <f t="shared" si="23"/>
        <v>2000664.1661842498</v>
      </c>
      <c r="Z61" s="54">
        <f t="shared" si="15"/>
        <v>2820141.8133682497</v>
      </c>
      <c r="AA61" s="524"/>
    </row>
    <row r="62" spans="1:27" x14ac:dyDescent="0.25">
      <c r="A62" s="524"/>
      <c r="B62" s="63" t="str">
        <f ca="1">DFIE!$B$57</f>
        <v>Jura</v>
      </c>
      <c r="C62" s="59">
        <v>66331.032999999996</v>
      </c>
      <c r="D62" s="59">
        <v>15234.334999999999</v>
      </c>
      <c r="E62" s="59">
        <v>0</v>
      </c>
      <c r="F62" s="59">
        <v>800.24300000000005</v>
      </c>
      <c r="G62" s="59">
        <v>0</v>
      </c>
      <c r="H62" s="59">
        <v>587997.26800000004</v>
      </c>
      <c r="I62" s="59">
        <v>0</v>
      </c>
      <c r="J62" s="53">
        <f t="shared" si="13"/>
        <v>670362.87900000007</v>
      </c>
      <c r="K62" s="97"/>
      <c r="L62" s="48"/>
      <c r="M62" s="48"/>
      <c r="N62" s="48"/>
      <c r="O62" s="97"/>
      <c r="P62" s="63" t="str">
        <f ca="1">DFIE!$B$57</f>
        <v>Jura</v>
      </c>
      <c r="Q62" s="93">
        <f t="shared" si="16"/>
        <v>26001.764936</v>
      </c>
      <c r="R62" s="93">
        <f t="shared" si="17"/>
        <v>5971.8593199999996</v>
      </c>
      <c r="S62" s="93">
        <f t="shared" si="18"/>
        <v>0</v>
      </c>
      <c r="T62" s="93">
        <f t="shared" si="19"/>
        <v>141.21935294117645</v>
      </c>
      <c r="U62" s="93">
        <f t="shared" si="20"/>
        <v>0</v>
      </c>
      <c r="V62" s="93">
        <f t="shared" si="21"/>
        <v>103764.22376470588</v>
      </c>
      <c r="W62" s="93">
        <f t="shared" si="22"/>
        <v>0</v>
      </c>
      <c r="X62" s="93">
        <f t="shared" si="14"/>
        <v>109877.30243764706</v>
      </c>
      <c r="Y62" s="93">
        <f t="shared" si="23"/>
        <v>82407.976828235289</v>
      </c>
      <c r="Z62" s="53">
        <f t="shared" si="15"/>
        <v>108409.74176423528</v>
      </c>
      <c r="AA62" s="524"/>
    </row>
    <row r="63" spans="1:27" x14ac:dyDescent="0.25">
      <c r="A63" s="524"/>
      <c r="B63" s="64" t="str">
        <f ca="1">DFIE!$B$58</f>
        <v>Schweiz</v>
      </c>
      <c r="C63" s="61">
        <f t="shared" ref="C63:I63" si="24">SUM(C37:C62)</f>
        <v>22016138.726999998</v>
      </c>
      <c r="D63" s="61">
        <f t="shared" si="24"/>
        <v>3920600.0210000006</v>
      </c>
      <c r="E63" s="61">
        <f t="shared" si="24"/>
        <v>632635.23900000006</v>
      </c>
      <c r="F63" s="61">
        <f t="shared" si="24"/>
        <v>5037099.4719999991</v>
      </c>
      <c r="G63" s="61">
        <f t="shared" si="24"/>
        <v>9324279.4079999998</v>
      </c>
      <c r="H63" s="61">
        <f t="shared" si="24"/>
        <v>7589110.2489999998</v>
      </c>
      <c r="I63" s="61">
        <f t="shared" si="24"/>
        <v>3573352.4809999997</v>
      </c>
      <c r="J63" s="55">
        <f t="shared" si="13"/>
        <v>52093215.596999995</v>
      </c>
      <c r="K63" s="48"/>
      <c r="L63" s="48"/>
      <c r="M63" s="48"/>
      <c r="N63" s="48"/>
      <c r="O63" s="48"/>
      <c r="P63" s="64" t="str">
        <f ca="1">DFIE!$B$58</f>
        <v>Schweiz</v>
      </c>
      <c r="Q63" s="61">
        <f t="shared" ref="Q63:X63" si="25">SUM(Q37:Q62)</f>
        <v>8630326.3809840009</v>
      </c>
      <c r="R63" s="61">
        <f t="shared" si="25"/>
        <v>1536875.208232</v>
      </c>
      <c r="S63" s="61">
        <f t="shared" si="25"/>
        <v>216993.88697700002</v>
      </c>
      <c r="T63" s="61">
        <f t="shared" si="25"/>
        <v>888899.90682352928</v>
      </c>
      <c r="U63" s="61">
        <f t="shared" si="25"/>
        <v>2375314.471936</v>
      </c>
      <c r="V63" s="61">
        <f t="shared" si="25"/>
        <v>1339254.7498235295</v>
      </c>
      <c r="W63" s="61">
        <f t="shared" si="25"/>
        <v>840452.5035312</v>
      </c>
      <c r="X63" s="61">
        <f t="shared" si="25"/>
        <v>7197790.7273232592</v>
      </c>
      <c r="Y63" s="61">
        <f>SUM(Y37:Y62)</f>
        <v>5398343.0454924433</v>
      </c>
      <c r="Z63" s="55">
        <f>SUM(Z37:Z62)</f>
        <v>14028669.426476443</v>
      </c>
      <c r="AA63" s="524"/>
    </row>
    <row r="64" spans="1:27" ht="14.25" customHeight="1" x14ac:dyDescent="0.25">
      <c r="A64" s="70"/>
      <c r="B64" s="76"/>
      <c r="C64" s="76"/>
      <c r="D64" s="76"/>
      <c r="E64" s="76"/>
      <c r="F64" s="76"/>
      <c r="G64" s="76"/>
      <c r="H64" s="76"/>
      <c r="I64" s="76"/>
      <c r="J64" s="76"/>
      <c r="P64" s="89"/>
      <c r="Q64" s="90"/>
      <c r="R64" s="90"/>
      <c r="S64" s="90"/>
      <c r="T64" s="90"/>
      <c r="U64" s="90"/>
      <c r="V64" s="90"/>
      <c r="W64" s="90"/>
      <c r="X64" s="90"/>
      <c r="Y64" s="90"/>
      <c r="Z64" s="90"/>
    </row>
    <row r="65" spans="1:27" ht="12.75" customHeight="1" x14ac:dyDescent="0.25">
      <c r="A65" s="525" t="str">
        <f ca="1">DFIE!$B$75</f>
        <v>Bemessungsjahr 2021</v>
      </c>
      <c r="B65" s="65" t="str">
        <f ca="1">DFIE!$B$32</f>
        <v>Zürich</v>
      </c>
      <c r="C65" s="57">
        <v>4466115.5820000004</v>
      </c>
      <c r="D65" s="57">
        <v>140040.24100000001</v>
      </c>
      <c r="E65" s="57">
        <v>27785.478999999999</v>
      </c>
      <c r="F65" s="57">
        <v>657456.86399999994</v>
      </c>
      <c r="G65" s="57">
        <v>0</v>
      </c>
      <c r="H65" s="57">
        <v>0</v>
      </c>
      <c r="I65" s="57">
        <v>0</v>
      </c>
      <c r="J65" s="58">
        <f t="shared" ref="J65:J91" si="26">SUM(C65:I65)</f>
        <v>5291398.1660000011</v>
      </c>
      <c r="K65" s="99"/>
      <c r="L65" s="52"/>
      <c r="M65" s="52"/>
      <c r="N65" s="52"/>
      <c r="O65" s="99"/>
      <c r="P65" s="65" t="str">
        <f ca="1">DFIE!$B$32</f>
        <v>Zürich</v>
      </c>
      <c r="Q65" s="91">
        <f>C65*N$77</f>
        <v>1777514.0016360004</v>
      </c>
      <c r="R65" s="92">
        <f>D65*N$78</f>
        <v>55736.015918000005</v>
      </c>
      <c r="S65" s="92">
        <f>E65*N$79</f>
        <v>9676.2930617500006</v>
      </c>
      <c r="T65" s="92">
        <f>F65*N$80</f>
        <v>109576.14399999999</v>
      </c>
      <c r="U65" s="92">
        <f>G65*N$81</f>
        <v>0</v>
      </c>
      <c r="V65" s="92">
        <f>H65*N$82</f>
        <v>0</v>
      </c>
      <c r="W65" s="92">
        <f>I65*N$83</f>
        <v>0</v>
      </c>
      <c r="X65" s="92">
        <f t="shared" ref="X65:X90" si="27">SUM(R65:W65)</f>
        <v>174988.45297975</v>
      </c>
      <c r="Y65" s="92">
        <f>X65*$N$67</f>
        <v>131241.3397348125</v>
      </c>
      <c r="Z65" s="58">
        <f t="shared" ref="Z65:Z90" si="28">Y65+Q65</f>
        <v>1908755.3413708129</v>
      </c>
      <c r="AA65" s="525" t="str">
        <f ca="1">DFIE!$B$75</f>
        <v>Bemessungsjahr 2021</v>
      </c>
    </row>
    <row r="66" spans="1:27" x14ac:dyDescent="0.25">
      <c r="A66" s="525"/>
      <c r="B66" s="63" t="str">
        <f ca="1">DFIE!$B$33</f>
        <v>Bern</v>
      </c>
      <c r="C66" s="59">
        <v>1515145.3259999999</v>
      </c>
      <c r="D66" s="59">
        <v>191791.826</v>
      </c>
      <c r="E66" s="59">
        <v>285.23700000000002</v>
      </c>
      <c r="F66" s="59">
        <v>23051.225999999999</v>
      </c>
      <c r="G66" s="59">
        <v>0</v>
      </c>
      <c r="H66" s="59">
        <v>210052.61199999999</v>
      </c>
      <c r="I66" s="59">
        <v>0</v>
      </c>
      <c r="J66" s="53">
        <f t="shared" si="26"/>
        <v>1940326.2269999997</v>
      </c>
      <c r="K66" s="99"/>
      <c r="L66" s="78" t="str">
        <f ca="1">DFIE!$B$103</f>
        <v>Standardisierter Steuersatz SST(2024)</v>
      </c>
      <c r="M66" s="77"/>
      <c r="N66" s="84">
        <v>0.27</v>
      </c>
      <c r="O66" s="99"/>
      <c r="P66" s="63" t="str">
        <f ca="1">DFIE!$B$33</f>
        <v>Bern</v>
      </c>
      <c r="Q66" s="93">
        <f t="shared" ref="Q66:Q90" si="29">C66*N$77</f>
        <v>603027.83974800003</v>
      </c>
      <c r="R66" s="93">
        <f t="shared" ref="R66:R90" si="30">D66*N$78</f>
        <v>76333.146747999999</v>
      </c>
      <c r="S66" s="93">
        <f t="shared" ref="S66:S90" si="31">E66*N$79</f>
        <v>99.333785250000005</v>
      </c>
      <c r="T66" s="93">
        <f t="shared" ref="T66:T90" si="32">F66*N$80</f>
        <v>3841.8709999999996</v>
      </c>
      <c r="U66" s="93">
        <f t="shared" ref="U66:U90" si="33">G66*N$81</f>
        <v>0</v>
      </c>
      <c r="V66" s="93">
        <f t="shared" ref="V66:V90" si="34">H66*N$82</f>
        <v>35008.768666666663</v>
      </c>
      <c r="W66" s="93">
        <f t="shared" ref="W66:W90" si="35">I66*N$83</f>
        <v>0</v>
      </c>
      <c r="X66" s="93">
        <f t="shared" si="27"/>
        <v>115283.12019991665</v>
      </c>
      <c r="Y66" s="93">
        <f t="shared" ref="Y66:Y90" si="36">X66*$N$67</f>
        <v>86462.340149937489</v>
      </c>
      <c r="Z66" s="53">
        <f t="shared" si="28"/>
        <v>689490.17989793746</v>
      </c>
      <c r="AA66" s="525"/>
    </row>
    <row r="67" spans="1:27" x14ac:dyDescent="0.25">
      <c r="A67" s="525"/>
      <c r="B67" s="62" t="str">
        <f ca="1">DFIE!$B$34</f>
        <v>Luzern</v>
      </c>
      <c r="C67" s="60">
        <v>702192.21</v>
      </c>
      <c r="D67" s="60">
        <v>103308.91800000001</v>
      </c>
      <c r="E67" s="60">
        <v>1303.6959999999999</v>
      </c>
      <c r="F67" s="60">
        <v>11079.907999999999</v>
      </c>
      <c r="G67" s="60">
        <v>0</v>
      </c>
      <c r="H67" s="60">
        <v>0</v>
      </c>
      <c r="I67" s="60">
        <v>0</v>
      </c>
      <c r="J67" s="54">
        <f t="shared" si="26"/>
        <v>817884.73200000008</v>
      </c>
      <c r="K67" s="99"/>
      <c r="L67" s="78" t="str">
        <f ca="1">DFIE!$B$106</f>
        <v>Faktor Delta 2021</v>
      </c>
      <c r="M67" s="78"/>
      <c r="N67" s="84">
        <v>0.75</v>
      </c>
      <c r="O67" s="99"/>
      <c r="P67" s="62" t="str">
        <f ca="1">DFIE!$B$34</f>
        <v>Luzern</v>
      </c>
      <c r="Q67" s="94">
        <f t="shared" si="29"/>
        <v>279472.49958</v>
      </c>
      <c r="R67" s="94">
        <f t="shared" si="30"/>
        <v>41116.949364000007</v>
      </c>
      <c r="S67" s="94">
        <f t="shared" si="31"/>
        <v>454.01213199999995</v>
      </c>
      <c r="T67" s="94">
        <f t="shared" si="32"/>
        <v>1846.6513333333332</v>
      </c>
      <c r="U67" s="94">
        <f t="shared" si="33"/>
        <v>0</v>
      </c>
      <c r="V67" s="94">
        <f t="shared" si="34"/>
        <v>0</v>
      </c>
      <c r="W67" s="94">
        <f t="shared" si="35"/>
        <v>0</v>
      </c>
      <c r="X67" s="94">
        <f t="shared" si="27"/>
        <v>43417.612829333346</v>
      </c>
      <c r="Y67" s="94">
        <f t="shared" si="36"/>
        <v>32563.209622000009</v>
      </c>
      <c r="Z67" s="54">
        <f t="shared" si="28"/>
        <v>312035.709202</v>
      </c>
      <c r="AA67" s="525"/>
    </row>
    <row r="68" spans="1:27" x14ac:dyDescent="0.25">
      <c r="A68" s="525"/>
      <c r="B68" s="63" t="str">
        <f ca="1">DFIE!$B$35</f>
        <v>Uri</v>
      </c>
      <c r="C68" s="59">
        <v>81683.08</v>
      </c>
      <c r="D68" s="59">
        <v>1609.903</v>
      </c>
      <c r="E68" s="59">
        <v>0</v>
      </c>
      <c r="F68" s="59">
        <v>230.34700000000001</v>
      </c>
      <c r="G68" s="59">
        <v>0</v>
      </c>
      <c r="H68" s="59">
        <v>0</v>
      </c>
      <c r="I68" s="59">
        <v>0</v>
      </c>
      <c r="J68" s="53">
        <f t="shared" si="26"/>
        <v>83523.33</v>
      </c>
      <c r="K68" s="99"/>
      <c r="L68" s="52"/>
      <c r="M68" s="52"/>
      <c r="N68" s="52"/>
      <c r="O68" s="99"/>
      <c r="P68" s="63" t="str">
        <f ca="1">DFIE!$B$35</f>
        <v>Uri</v>
      </c>
      <c r="Q68" s="93">
        <f t="shared" si="29"/>
        <v>32509.865840000002</v>
      </c>
      <c r="R68" s="93">
        <f t="shared" si="30"/>
        <v>640.74139400000001</v>
      </c>
      <c r="S68" s="93">
        <f t="shared" si="31"/>
        <v>0</v>
      </c>
      <c r="T68" s="93">
        <f t="shared" si="32"/>
        <v>38.391166666666663</v>
      </c>
      <c r="U68" s="93">
        <f t="shared" si="33"/>
        <v>0</v>
      </c>
      <c r="V68" s="93">
        <f t="shared" si="34"/>
        <v>0</v>
      </c>
      <c r="W68" s="93">
        <f t="shared" si="35"/>
        <v>0</v>
      </c>
      <c r="X68" s="93">
        <f t="shared" si="27"/>
        <v>679.13256066666668</v>
      </c>
      <c r="Y68" s="93">
        <f t="shared" si="36"/>
        <v>509.34942050000001</v>
      </c>
      <c r="Z68" s="53">
        <f t="shared" si="28"/>
        <v>33019.215260500001</v>
      </c>
      <c r="AA68" s="525"/>
    </row>
    <row r="69" spans="1:27" x14ac:dyDescent="0.25">
      <c r="A69" s="525"/>
      <c r="B69" s="62" t="str">
        <f ca="1">DFIE!$B$36</f>
        <v>Schwyz</v>
      </c>
      <c r="C69" s="60">
        <v>312555.08500000002</v>
      </c>
      <c r="D69" s="60">
        <v>112302.523</v>
      </c>
      <c r="E69" s="60">
        <v>4107.8310000000001</v>
      </c>
      <c r="F69" s="60">
        <v>5205.8999999999996</v>
      </c>
      <c r="G69" s="60">
        <v>0</v>
      </c>
      <c r="H69" s="60">
        <v>0</v>
      </c>
      <c r="I69" s="60">
        <v>0</v>
      </c>
      <c r="J69" s="54">
        <f t="shared" si="26"/>
        <v>434171.33900000004</v>
      </c>
      <c r="K69" s="99"/>
      <c r="L69" s="77" t="str">
        <f ca="1">DFIE!$B$109</f>
        <v>Berechnung Faktor Gamma 2021</v>
      </c>
      <c r="M69" s="77"/>
      <c r="N69" s="78"/>
      <c r="O69" s="99"/>
      <c r="P69" s="62" t="str">
        <f ca="1">DFIE!$B$36</f>
        <v>Schwyz</v>
      </c>
      <c r="Q69" s="94">
        <f t="shared" si="29"/>
        <v>124396.92383000001</v>
      </c>
      <c r="R69" s="94">
        <f t="shared" si="30"/>
        <v>44696.404154000003</v>
      </c>
      <c r="S69" s="94">
        <f t="shared" si="31"/>
        <v>1430.5521457500001</v>
      </c>
      <c r="T69" s="94">
        <f t="shared" si="32"/>
        <v>867.64999999999986</v>
      </c>
      <c r="U69" s="94">
        <f t="shared" si="33"/>
        <v>0</v>
      </c>
      <c r="V69" s="94">
        <f t="shared" si="34"/>
        <v>0</v>
      </c>
      <c r="W69" s="94">
        <f t="shared" si="35"/>
        <v>0</v>
      </c>
      <c r="X69" s="94">
        <f t="shared" si="27"/>
        <v>46994.606299750005</v>
      </c>
      <c r="Y69" s="94">
        <f t="shared" si="36"/>
        <v>35245.954724812502</v>
      </c>
      <c r="Z69" s="54">
        <f t="shared" si="28"/>
        <v>159642.87855481252</v>
      </c>
      <c r="AA69" s="525"/>
    </row>
    <row r="70" spans="1:27" x14ac:dyDescent="0.25">
      <c r="A70" s="525"/>
      <c r="B70" s="63" t="str">
        <f ca="1">DFIE!$B$37</f>
        <v>Obwalden</v>
      </c>
      <c r="C70" s="59">
        <v>83659.006999999998</v>
      </c>
      <c r="D70" s="59">
        <v>13270.938</v>
      </c>
      <c r="E70" s="59">
        <v>314.42599999999999</v>
      </c>
      <c r="F70" s="59">
        <v>623.33600000000001</v>
      </c>
      <c r="G70" s="59">
        <v>0</v>
      </c>
      <c r="H70" s="59">
        <v>0</v>
      </c>
      <c r="I70" s="59">
        <v>0</v>
      </c>
      <c r="J70" s="53">
        <f t="shared" si="26"/>
        <v>97867.706999999995</v>
      </c>
      <c r="K70" s="99"/>
      <c r="L70" s="78"/>
      <c r="M70" s="78"/>
      <c r="N70" s="78"/>
      <c r="O70" s="99"/>
      <c r="P70" s="63" t="str">
        <f ca="1">DFIE!$B$37</f>
        <v>Obwalden</v>
      </c>
      <c r="Q70" s="93">
        <f t="shared" si="29"/>
        <v>33296.284786000004</v>
      </c>
      <c r="R70" s="93">
        <f t="shared" si="30"/>
        <v>5281.8333240000002</v>
      </c>
      <c r="S70" s="93">
        <f t="shared" si="31"/>
        <v>109.49885449999999</v>
      </c>
      <c r="T70" s="93">
        <f t="shared" si="32"/>
        <v>103.88933333333333</v>
      </c>
      <c r="U70" s="93">
        <f t="shared" si="33"/>
        <v>0</v>
      </c>
      <c r="V70" s="93">
        <f t="shared" si="34"/>
        <v>0</v>
      </c>
      <c r="W70" s="93">
        <f t="shared" si="35"/>
        <v>0</v>
      </c>
      <c r="X70" s="93">
        <f t="shared" si="27"/>
        <v>5495.2215118333334</v>
      </c>
      <c r="Y70" s="93">
        <f t="shared" si="36"/>
        <v>4121.416133875</v>
      </c>
      <c r="Z70" s="53">
        <f t="shared" si="28"/>
        <v>37417.700919875002</v>
      </c>
      <c r="AA70" s="525"/>
    </row>
    <row r="71" spans="1:27" x14ac:dyDescent="0.25">
      <c r="A71" s="525"/>
      <c r="B71" s="62" t="str">
        <f ca="1">DFIE!$B$38</f>
        <v>Nidwalden</v>
      </c>
      <c r="C71" s="60">
        <v>95583.959000000003</v>
      </c>
      <c r="D71" s="60">
        <v>9148.6610000000001</v>
      </c>
      <c r="E71" s="60">
        <v>4022.232</v>
      </c>
      <c r="F71" s="60">
        <v>511.12700000000001</v>
      </c>
      <c r="G71" s="60">
        <v>0</v>
      </c>
      <c r="H71" s="60">
        <v>0</v>
      </c>
      <c r="I71" s="60">
        <v>0</v>
      </c>
      <c r="J71" s="54">
        <f t="shared" si="26"/>
        <v>109265.97899999999</v>
      </c>
      <c r="K71" s="99"/>
      <c r="L71" s="79" t="str">
        <f ca="1">DFIE!$B$110</f>
        <v>in CHF 1'000</v>
      </c>
      <c r="M71" s="79"/>
      <c r="N71" s="80"/>
      <c r="O71" s="99"/>
      <c r="P71" s="62" t="str">
        <f ca="1">DFIE!$B$38</f>
        <v>Nidwalden</v>
      </c>
      <c r="Q71" s="94">
        <f t="shared" si="29"/>
        <v>38042.415682000006</v>
      </c>
      <c r="R71" s="94">
        <f t="shared" si="30"/>
        <v>3641.1670780000004</v>
      </c>
      <c r="S71" s="94">
        <f t="shared" si="31"/>
        <v>1400.7422939999999</v>
      </c>
      <c r="T71" s="94">
        <f t="shared" si="32"/>
        <v>85.18783333333333</v>
      </c>
      <c r="U71" s="94">
        <f t="shared" si="33"/>
        <v>0</v>
      </c>
      <c r="V71" s="94">
        <f t="shared" si="34"/>
        <v>0</v>
      </c>
      <c r="W71" s="94">
        <f t="shared" si="35"/>
        <v>0</v>
      </c>
      <c r="X71" s="94">
        <f t="shared" si="27"/>
        <v>5127.0972053333335</v>
      </c>
      <c r="Y71" s="94">
        <f t="shared" si="36"/>
        <v>3845.3229040000001</v>
      </c>
      <c r="Z71" s="54">
        <f t="shared" si="28"/>
        <v>41887.738586000007</v>
      </c>
      <c r="AA71" s="525"/>
    </row>
    <row r="72" spans="1:27" x14ac:dyDescent="0.25">
      <c r="A72" s="525"/>
      <c r="B72" s="63" t="str">
        <f ca="1">DFIE!$B$39</f>
        <v>Glarus</v>
      </c>
      <c r="C72" s="59">
        <v>127962.63</v>
      </c>
      <c r="D72" s="59">
        <v>561.31899999999996</v>
      </c>
      <c r="E72" s="59">
        <v>1048.9000000000001</v>
      </c>
      <c r="F72" s="59">
        <v>0</v>
      </c>
      <c r="G72" s="59">
        <v>0</v>
      </c>
      <c r="H72" s="59">
        <v>0</v>
      </c>
      <c r="I72" s="59">
        <v>0</v>
      </c>
      <c r="J72" s="53">
        <f t="shared" si="26"/>
        <v>129572.849</v>
      </c>
      <c r="K72" s="99"/>
      <c r="L72" s="78" t="str">
        <f ca="1">DFIE!$B$111</f>
        <v>A    Massgebendes Einkommen</v>
      </c>
      <c r="M72" s="78"/>
      <c r="N72" s="88">
        <f>NP!E91</f>
        <v>208471297.24800006</v>
      </c>
      <c r="O72" s="99"/>
      <c r="P72" s="63" t="str">
        <f ca="1">DFIE!$B$39</f>
        <v>Glarus</v>
      </c>
      <c r="Q72" s="93">
        <f t="shared" si="29"/>
        <v>50929.126740000007</v>
      </c>
      <c r="R72" s="93">
        <f t="shared" si="30"/>
        <v>223.40496199999998</v>
      </c>
      <c r="S72" s="93">
        <f t="shared" si="31"/>
        <v>365.27942500000006</v>
      </c>
      <c r="T72" s="93">
        <f t="shared" si="32"/>
        <v>0</v>
      </c>
      <c r="U72" s="93">
        <f t="shared" si="33"/>
        <v>0</v>
      </c>
      <c r="V72" s="93">
        <f t="shared" si="34"/>
        <v>0</v>
      </c>
      <c r="W72" s="93">
        <f t="shared" si="35"/>
        <v>0</v>
      </c>
      <c r="X72" s="93">
        <f t="shared" si="27"/>
        <v>588.68438700000002</v>
      </c>
      <c r="Y72" s="93">
        <f t="shared" si="36"/>
        <v>441.51329025000001</v>
      </c>
      <c r="Z72" s="53">
        <f t="shared" si="28"/>
        <v>51370.640030250004</v>
      </c>
      <c r="AA72" s="525"/>
    </row>
    <row r="73" spans="1:27" x14ac:dyDescent="0.25">
      <c r="A73" s="525"/>
      <c r="B73" s="62" t="str">
        <f ca="1">DFIE!$B$40</f>
        <v>Zug</v>
      </c>
      <c r="C73" s="60">
        <v>506845.57299999997</v>
      </c>
      <c r="D73" s="60">
        <v>270546.45299999998</v>
      </c>
      <c r="E73" s="60">
        <v>5424.8459999999995</v>
      </c>
      <c r="F73" s="60">
        <v>22600.203000000001</v>
      </c>
      <c r="G73" s="60">
        <v>0</v>
      </c>
      <c r="H73" s="60">
        <v>0</v>
      </c>
      <c r="I73" s="60">
        <v>0</v>
      </c>
      <c r="J73" s="54">
        <f t="shared" si="26"/>
        <v>805417.07499999995</v>
      </c>
      <c r="K73" s="99"/>
      <c r="L73" s="78" t="str">
        <f ca="1">DFIE!$B$112</f>
        <v>B    Primäreinkommen der privaten Haushalte</v>
      </c>
      <c r="M73" s="78"/>
      <c r="N73" s="83">
        <v>523338540.89252901</v>
      </c>
      <c r="O73" s="99"/>
      <c r="P73" s="62" t="str">
        <f ca="1">DFIE!$B$40</f>
        <v>Zug</v>
      </c>
      <c r="Q73" s="94">
        <f t="shared" si="29"/>
        <v>201724.538054</v>
      </c>
      <c r="R73" s="94">
        <f t="shared" si="30"/>
        <v>107677.488294</v>
      </c>
      <c r="S73" s="94">
        <f t="shared" si="31"/>
        <v>1889.2026194999999</v>
      </c>
      <c r="T73" s="94">
        <f t="shared" si="32"/>
        <v>3766.7004999999999</v>
      </c>
      <c r="U73" s="94">
        <f t="shared" si="33"/>
        <v>0</v>
      </c>
      <c r="V73" s="94">
        <f t="shared" si="34"/>
        <v>0</v>
      </c>
      <c r="W73" s="94">
        <f t="shared" si="35"/>
        <v>0</v>
      </c>
      <c r="X73" s="94">
        <f t="shared" si="27"/>
        <v>113333.39141350001</v>
      </c>
      <c r="Y73" s="94">
        <f t="shared" si="36"/>
        <v>85000.043560125006</v>
      </c>
      <c r="Z73" s="54">
        <f t="shared" si="28"/>
        <v>286724.581614125</v>
      </c>
      <c r="AA73" s="525"/>
    </row>
    <row r="74" spans="1:27" x14ac:dyDescent="0.25">
      <c r="A74" s="525"/>
      <c r="B74" s="63" t="str">
        <f ca="1">DFIE!$B$41</f>
        <v>Freiburg</v>
      </c>
      <c r="C74" s="59">
        <v>535463.80900000001</v>
      </c>
      <c r="D74" s="59">
        <v>131149.19399999999</v>
      </c>
      <c r="E74" s="59">
        <v>464.11599999999999</v>
      </c>
      <c r="F74" s="59">
        <v>1366.2270000000001</v>
      </c>
      <c r="G74" s="59">
        <v>0</v>
      </c>
      <c r="H74" s="59">
        <v>0</v>
      </c>
      <c r="I74" s="59">
        <v>0</v>
      </c>
      <c r="J74" s="53">
        <f t="shared" si="26"/>
        <v>668443.34600000002</v>
      </c>
      <c r="K74" s="99"/>
      <c r="L74" s="77" t="str">
        <f ca="1">DFIE!$B$113</f>
        <v>C    Faktor Gamma 2021 (γ)     (A / B)</v>
      </c>
      <c r="M74" s="77"/>
      <c r="N74" s="81">
        <f>ROUND(N72/N73,3)</f>
        <v>0.39800000000000002</v>
      </c>
      <c r="O74" s="99"/>
      <c r="P74" s="63" t="str">
        <f ca="1">DFIE!$B$41</f>
        <v>Freiburg</v>
      </c>
      <c r="Q74" s="93">
        <f t="shared" si="29"/>
        <v>213114.59598200003</v>
      </c>
      <c r="R74" s="93">
        <f t="shared" si="30"/>
        <v>52197.379212</v>
      </c>
      <c r="S74" s="93">
        <f t="shared" si="31"/>
        <v>161.62839700000001</v>
      </c>
      <c r="T74" s="93">
        <f t="shared" si="32"/>
        <v>227.7045</v>
      </c>
      <c r="U74" s="93">
        <f t="shared" si="33"/>
        <v>0</v>
      </c>
      <c r="V74" s="93">
        <f t="shared" si="34"/>
        <v>0</v>
      </c>
      <c r="W74" s="93">
        <f t="shared" si="35"/>
        <v>0</v>
      </c>
      <c r="X74" s="93">
        <f t="shared" si="27"/>
        <v>52586.712109</v>
      </c>
      <c r="Y74" s="93">
        <f t="shared" si="36"/>
        <v>39440.034081749996</v>
      </c>
      <c r="Z74" s="53">
        <f t="shared" si="28"/>
        <v>252554.63006375002</v>
      </c>
      <c r="AA74" s="525"/>
    </row>
    <row r="75" spans="1:27" x14ac:dyDescent="0.25">
      <c r="A75" s="525"/>
      <c r="B75" s="62" t="str">
        <f ca="1">DFIE!$B$42</f>
        <v>Solothurn</v>
      </c>
      <c r="C75" s="60">
        <v>468335.55800000002</v>
      </c>
      <c r="D75" s="60">
        <v>37203.896999999997</v>
      </c>
      <c r="E75" s="60">
        <v>1692.248</v>
      </c>
      <c r="F75" s="60">
        <v>56790.025999999998</v>
      </c>
      <c r="G75" s="60">
        <v>0</v>
      </c>
      <c r="H75" s="60">
        <v>105999.567</v>
      </c>
      <c r="I75" s="60">
        <v>0</v>
      </c>
      <c r="J75" s="54">
        <f t="shared" si="26"/>
        <v>670021.29600000009</v>
      </c>
      <c r="K75" s="99"/>
      <c r="L75" s="52"/>
      <c r="M75" s="52"/>
      <c r="N75" s="52"/>
      <c r="O75" s="99"/>
      <c r="P75" s="62" t="str">
        <f ca="1">DFIE!$B$42</f>
        <v>Solothurn</v>
      </c>
      <c r="Q75" s="94">
        <f t="shared" si="29"/>
        <v>186397.55208400002</v>
      </c>
      <c r="R75" s="94">
        <f t="shared" si="30"/>
        <v>14807.151006</v>
      </c>
      <c r="S75" s="94">
        <f t="shared" si="31"/>
        <v>589.32536600000003</v>
      </c>
      <c r="T75" s="94">
        <f t="shared" si="32"/>
        <v>9465.0043333333324</v>
      </c>
      <c r="U75" s="94">
        <f t="shared" si="33"/>
        <v>0</v>
      </c>
      <c r="V75" s="94">
        <f t="shared" si="34"/>
        <v>17666.594499999999</v>
      </c>
      <c r="W75" s="94">
        <f t="shared" si="35"/>
        <v>0</v>
      </c>
      <c r="X75" s="94">
        <f t="shared" si="27"/>
        <v>42528.075205333334</v>
      </c>
      <c r="Y75" s="94">
        <f t="shared" si="36"/>
        <v>31896.056404000003</v>
      </c>
      <c r="Z75" s="54">
        <f t="shared" si="28"/>
        <v>218293.60848800003</v>
      </c>
      <c r="AA75" s="525"/>
    </row>
    <row r="76" spans="1:27" x14ac:dyDescent="0.25">
      <c r="A76" s="525"/>
      <c r="B76" s="63" t="str">
        <f ca="1">DFIE!$B$43</f>
        <v>Basel-Stadt</v>
      </c>
      <c r="C76" s="59">
        <v>682219.23800000001</v>
      </c>
      <c r="D76" s="59">
        <v>432692.42700000003</v>
      </c>
      <c r="E76" s="59">
        <v>2028.191</v>
      </c>
      <c r="F76" s="59">
        <v>1565593.1089999999</v>
      </c>
      <c r="G76" s="59">
        <v>0</v>
      </c>
      <c r="H76" s="59">
        <v>1652212.1040000001</v>
      </c>
      <c r="I76" s="59">
        <v>0</v>
      </c>
      <c r="J76" s="53">
        <f t="shared" si="26"/>
        <v>4334745.0690000001</v>
      </c>
      <c r="K76" s="99"/>
      <c r="L76" s="77" t="str">
        <f ca="1">DFIE!$B$61</f>
        <v>Kategorie</v>
      </c>
      <c r="M76" s="77" t="str">
        <f ca="1">DFIE!$B$114</f>
        <v>Formel für Gewicht</v>
      </c>
      <c r="N76" s="86" t="str">
        <f ca="1">DFIE!$B$115</f>
        <v>Gewicht (ω)</v>
      </c>
      <c r="O76" s="99"/>
      <c r="P76" s="63" t="str">
        <f ca="1">DFIE!$B$43</f>
        <v>Basel-Stadt</v>
      </c>
      <c r="Q76" s="93">
        <f t="shared" si="29"/>
        <v>271523.25672400004</v>
      </c>
      <c r="R76" s="93">
        <f t="shared" si="30"/>
        <v>172211.58594600001</v>
      </c>
      <c r="S76" s="93">
        <f t="shared" si="31"/>
        <v>706.31751574999998</v>
      </c>
      <c r="T76" s="93">
        <f t="shared" si="32"/>
        <v>260932.1848333333</v>
      </c>
      <c r="U76" s="93">
        <f t="shared" si="33"/>
        <v>0</v>
      </c>
      <c r="V76" s="93">
        <f t="shared" si="34"/>
        <v>275368.68400000001</v>
      </c>
      <c r="W76" s="93">
        <f t="shared" si="35"/>
        <v>0</v>
      </c>
      <c r="X76" s="93">
        <f t="shared" si="27"/>
        <v>709218.77229508338</v>
      </c>
      <c r="Y76" s="93">
        <f t="shared" si="36"/>
        <v>531914.07922131254</v>
      </c>
      <c r="Z76" s="53">
        <f t="shared" si="28"/>
        <v>803437.33594531263</v>
      </c>
      <c r="AA76" s="525"/>
    </row>
    <row r="77" spans="1:27" x14ac:dyDescent="0.25">
      <c r="A77" s="525"/>
      <c r="B77" s="62" t="str">
        <f ca="1">DFIE!$B$44</f>
        <v>Basel-Landschaft</v>
      </c>
      <c r="C77" s="60">
        <v>359538.25199999998</v>
      </c>
      <c r="D77" s="60">
        <v>103698.58500000001</v>
      </c>
      <c r="E77" s="60">
        <v>1431.28</v>
      </c>
      <c r="F77" s="60">
        <v>831352.09499999997</v>
      </c>
      <c r="G77" s="60">
        <v>0</v>
      </c>
      <c r="H77" s="60">
        <v>1049812.8370000001</v>
      </c>
      <c r="I77" s="60">
        <v>0</v>
      </c>
      <c r="J77" s="54">
        <f t="shared" si="26"/>
        <v>2345833.0490000001</v>
      </c>
      <c r="K77" s="99"/>
      <c r="L77" s="82">
        <v>0</v>
      </c>
      <c r="M77" s="82" t="s">
        <v>66</v>
      </c>
      <c r="N77" s="85">
        <f>N74</f>
        <v>0.39800000000000002</v>
      </c>
      <c r="O77" s="99"/>
      <c r="P77" s="62" t="str">
        <f ca="1">DFIE!$B$44</f>
        <v>Basel-Landschaft</v>
      </c>
      <c r="Q77" s="94">
        <f t="shared" si="29"/>
        <v>143096.224296</v>
      </c>
      <c r="R77" s="94">
        <f t="shared" si="30"/>
        <v>41272.036830000005</v>
      </c>
      <c r="S77" s="94">
        <f t="shared" si="31"/>
        <v>498.44326000000001</v>
      </c>
      <c r="T77" s="94">
        <f t="shared" si="32"/>
        <v>138558.6825</v>
      </c>
      <c r="U77" s="94">
        <f t="shared" si="33"/>
        <v>0</v>
      </c>
      <c r="V77" s="94">
        <f t="shared" si="34"/>
        <v>174968.80616666668</v>
      </c>
      <c r="W77" s="94">
        <f t="shared" si="35"/>
        <v>0</v>
      </c>
      <c r="X77" s="94">
        <f t="shared" si="27"/>
        <v>355297.96875666664</v>
      </c>
      <c r="Y77" s="94">
        <f t="shared" si="36"/>
        <v>266473.47656749998</v>
      </c>
      <c r="Z77" s="54">
        <f t="shared" si="28"/>
        <v>409569.70086350001</v>
      </c>
      <c r="AA77" s="525"/>
    </row>
    <row r="78" spans="1:27" x14ac:dyDescent="0.25">
      <c r="A78" s="525"/>
      <c r="B78" s="63" t="str">
        <f ca="1">DFIE!$B$45</f>
        <v>Schaffhausen</v>
      </c>
      <c r="C78" s="59">
        <v>168788.03</v>
      </c>
      <c r="D78" s="59">
        <v>40632.923000000003</v>
      </c>
      <c r="E78" s="59">
        <v>1951.644</v>
      </c>
      <c r="F78" s="59">
        <v>419332.16800000001</v>
      </c>
      <c r="G78" s="59">
        <v>0</v>
      </c>
      <c r="H78" s="59">
        <v>0</v>
      </c>
      <c r="I78" s="59">
        <v>0</v>
      </c>
      <c r="J78" s="53">
        <f t="shared" si="26"/>
        <v>630704.76500000001</v>
      </c>
      <c r="K78" s="99"/>
      <c r="L78" s="82">
        <v>1</v>
      </c>
      <c r="M78" s="82" t="s">
        <v>66</v>
      </c>
      <c r="N78" s="85">
        <f>N74</f>
        <v>0.39800000000000002</v>
      </c>
      <c r="O78" s="99"/>
      <c r="P78" s="63" t="str">
        <f ca="1">DFIE!$B$45</f>
        <v>Schaffhausen</v>
      </c>
      <c r="Q78" s="93">
        <f t="shared" si="29"/>
        <v>67177.635940000007</v>
      </c>
      <c r="R78" s="93">
        <f t="shared" si="30"/>
        <v>16171.903354000002</v>
      </c>
      <c r="S78" s="93">
        <f t="shared" si="31"/>
        <v>679.66002300000002</v>
      </c>
      <c r="T78" s="93">
        <f t="shared" si="32"/>
        <v>69888.694666666663</v>
      </c>
      <c r="U78" s="93">
        <f t="shared" si="33"/>
        <v>0</v>
      </c>
      <c r="V78" s="93">
        <f t="shared" si="34"/>
        <v>0</v>
      </c>
      <c r="W78" s="93">
        <f t="shared" si="35"/>
        <v>0</v>
      </c>
      <c r="X78" s="93">
        <f t="shared" si="27"/>
        <v>86740.258043666661</v>
      </c>
      <c r="Y78" s="93">
        <f t="shared" si="36"/>
        <v>65055.193532749996</v>
      </c>
      <c r="Z78" s="53">
        <f t="shared" si="28"/>
        <v>132232.82947275002</v>
      </c>
      <c r="AA78" s="525"/>
    </row>
    <row r="79" spans="1:27" x14ac:dyDescent="0.25">
      <c r="A79" s="525"/>
      <c r="B79" s="62" t="str">
        <f ca="1">DFIE!$B$46</f>
        <v>Appenzell A.Rh.</v>
      </c>
      <c r="C79" s="60">
        <v>35623.472999999998</v>
      </c>
      <c r="D79" s="60">
        <v>27025.993999999999</v>
      </c>
      <c r="E79" s="60">
        <v>19234.705000000002</v>
      </c>
      <c r="F79" s="60">
        <v>5566.2719999999999</v>
      </c>
      <c r="G79" s="60">
        <v>0</v>
      </c>
      <c r="H79" s="60">
        <v>0</v>
      </c>
      <c r="I79" s="60">
        <v>0</v>
      </c>
      <c r="J79" s="54">
        <f t="shared" si="26"/>
        <v>87450.443999999989</v>
      </c>
      <c r="K79" s="99"/>
      <c r="L79" s="82" t="s">
        <v>55</v>
      </c>
      <c r="M79" s="82" t="s">
        <v>84</v>
      </c>
      <c r="N79" s="85">
        <f>0.875*N74</f>
        <v>0.34825</v>
      </c>
      <c r="O79" s="99"/>
      <c r="P79" s="62" t="str">
        <f ca="1">DFIE!$B$46</f>
        <v>Appenzell A.Rh.</v>
      </c>
      <c r="Q79" s="94">
        <f t="shared" si="29"/>
        <v>14178.142254</v>
      </c>
      <c r="R79" s="94">
        <f t="shared" si="30"/>
        <v>10756.345611999999</v>
      </c>
      <c r="S79" s="94">
        <f t="shared" si="31"/>
        <v>6698.4860162500008</v>
      </c>
      <c r="T79" s="94">
        <f t="shared" si="32"/>
        <v>927.71199999999999</v>
      </c>
      <c r="U79" s="94">
        <f t="shared" si="33"/>
        <v>0</v>
      </c>
      <c r="V79" s="94">
        <f t="shared" si="34"/>
        <v>0</v>
      </c>
      <c r="W79" s="94">
        <f t="shared" si="35"/>
        <v>0</v>
      </c>
      <c r="X79" s="94">
        <f t="shared" si="27"/>
        <v>18382.543628250001</v>
      </c>
      <c r="Y79" s="94">
        <f t="shared" si="36"/>
        <v>13786.907721187501</v>
      </c>
      <c r="Z79" s="54">
        <f t="shared" si="28"/>
        <v>27965.049975187503</v>
      </c>
      <c r="AA79" s="525"/>
    </row>
    <row r="80" spans="1:27" x14ac:dyDescent="0.25">
      <c r="A80" s="525"/>
      <c r="B80" s="63" t="str">
        <f ca="1">DFIE!$B$47</f>
        <v>Appenzell I.Rh.</v>
      </c>
      <c r="C80" s="59">
        <v>20384.294999999998</v>
      </c>
      <c r="D80" s="59">
        <v>1860.9580000000001</v>
      </c>
      <c r="E80" s="59">
        <v>4554.1109999999999</v>
      </c>
      <c r="F80" s="59">
        <v>978.42399999999998</v>
      </c>
      <c r="G80" s="59">
        <v>0</v>
      </c>
      <c r="H80" s="59">
        <v>0</v>
      </c>
      <c r="I80" s="59">
        <v>0</v>
      </c>
      <c r="J80" s="53">
        <f t="shared" si="26"/>
        <v>27777.787999999997</v>
      </c>
      <c r="K80" s="99"/>
      <c r="L80" s="82" t="s">
        <v>56</v>
      </c>
      <c r="M80" s="82" t="str">
        <f ca="1">DFIE!$B$120</f>
        <v>0.045 / SST(2024)</v>
      </c>
      <c r="N80" s="85">
        <f>0.045/$N$66</f>
        <v>0.16666666666666666</v>
      </c>
      <c r="O80" s="99"/>
      <c r="P80" s="63" t="str">
        <f ca="1">DFIE!$B$47</f>
        <v>Appenzell I.Rh.</v>
      </c>
      <c r="Q80" s="93">
        <f t="shared" si="29"/>
        <v>8112.9494100000002</v>
      </c>
      <c r="R80" s="93">
        <f t="shared" si="30"/>
        <v>740.66128400000002</v>
      </c>
      <c r="S80" s="93">
        <f t="shared" si="31"/>
        <v>1585.96915575</v>
      </c>
      <c r="T80" s="93">
        <f t="shared" si="32"/>
        <v>163.07066666666665</v>
      </c>
      <c r="U80" s="93">
        <f t="shared" si="33"/>
        <v>0</v>
      </c>
      <c r="V80" s="93">
        <f t="shared" si="34"/>
        <v>0</v>
      </c>
      <c r="W80" s="93">
        <f t="shared" si="35"/>
        <v>0</v>
      </c>
      <c r="X80" s="93">
        <f t="shared" si="27"/>
        <v>2489.7011064166663</v>
      </c>
      <c r="Y80" s="93">
        <f t="shared" si="36"/>
        <v>1867.2758298124998</v>
      </c>
      <c r="Z80" s="53">
        <f t="shared" si="28"/>
        <v>9980.2252398125001</v>
      </c>
      <c r="AA80" s="525"/>
    </row>
    <row r="81" spans="1:27" x14ac:dyDescent="0.25">
      <c r="A81" s="525"/>
      <c r="B81" s="62" t="str">
        <f ca="1">DFIE!$B$48</f>
        <v>St. Gallen</v>
      </c>
      <c r="C81" s="60">
        <v>920278.88</v>
      </c>
      <c r="D81" s="60">
        <v>139051.234</v>
      </c>
      <c r="E81" s="60">
        <v>493396.2</v>
      </c>
      <c r="F81" s="60">
        <v>117206.01700000001</v>
      </c>
      <c r="G81" s="60">
        <v>0</v>
      </c>
      <c r="H81" s="60">
        <v>0</v>
      </c>
      <c r="I81" s="60">
        <v>0</v>
      </c>
      <c r="J81" s="54">
        <f t="shared" si="26"/>
        <v>1669932.331</v>
      </c>
      <c r="K81" s="99"/>
      <c r="L81" s="82" t="s">
        <v>57</v>
      </c>
      <c r="M81" s="82" t="str">
        <f ca="1">DFIE!$B$121</f>
        <v>γ - 0.035 / SST(2024)</v>
      </c>
      <c r="N81" s="85">
        <f>N74-0.035/$N$66</f>
        <v>0.26837037037037037</v>
      </c>
      <c r="O81" s="99"/>
      <c r="P81" s="62" t="str">
        <f ca="1">DFIE!$B$48</f>
        <v>St. Gallen</v>
      </c>
      <c r="Q81" s="94">
        <f t="shared" si="29"/>
        <v>366270.99424000003</v>
      </c>
      <c r="R81" s="94">
        <f t="shared" si="30"/>
        <v>55342.391132000004</v>
      </c>
      <c r="S81" s="94">
        <f t="shared" si="31"/>
        <v>171825.22665</v>
      </c>
      <c r="T81" s="94">
        <f t="shared" si="32"/>
        <v>19534.336166666668</v>
      </c>
      <c r="U81" s="94">
        <f t="shared" si="33"/>
        <v>0</v>
      </c>
      <c r="V81" s="94">
        <f t="shared" si="34"/>
        <v>0</v>
      </c>
      <c r="W81" s="94">
        <f t="shared" si="35"/>
        <v>0</v>
      </c>
      <c r="X81" s="94">
        <f t="shared" si="27"/>
        <v>246701.95394866666</v>
      </c>
      <c r="Y81" s="94">
        <f t="shared" si="36"/>
        <v>185026.46546149999</v>
      </c>
      <c r="Z81" s="54">
        <f t="shared" si="28"/>
        <v>551297.45970150002</v>
      </c>
      <c r="AA81" s="525"/>
    </row>
    <row r="82" spans="1:27" x14ac:dyDescent="0.25">
      <c r="A82" s="525"/>
      <c r="B82" s="63" t="str">
        <f ca="1">DFIE!$B$49</f>
        <v>Graubünden</v>
      </c>
      <c r="C82" s="59">
        <v>867619.924</v>
      </c>
      <c r="D82" s="59">
        <v>257673.34899999999</v>
      </c>
      <c r="E82" s="59">
        <v>26171.142</v>
      </c>
      <c r="F82" s="59">
        <v>1400.876</v>
      </c>
      <c r="G82" s="59">
        <v>0</v>
      </c>
      <c r="H82" s="59">
        <v>0</v>
      </c>
      <c r="I82" s="59">
        <v>145536.889</v>
      </c>
      <c r="J82" s="53">
        <f t="shared" si="26"/>
        <v>1298402.18</v>
      </c>
      <c r="K82" s="99"/>
      <c r="L82" s="82" t="s">
        <v>58</v>
      </c>
      <c r="M82" s="82" t="str">
        <f ca="1">DFIE!$B$120</f>
        <v>0.045 / SST(2024)</v>
      </c>
      <c r="N82" s="85">
        <f>0.045/$N$66</f>
        <v>0.16666666666666666</v>
      </c>
      <c r="O82" s="99"/>
      <c r="P82" s="63" t="str">
        <f ca="1">DFIE!$B$49</f>
        <v>Graubünden</v>
      </c>
      <c r="Q82" s="93">
        <f t="shared" si="29"/>
        <v>345312.72975200001</v>
      </c>
      <c r="R82" s="93">
        <f t="shared" si="30"/>
        <v>102553.992902</v>
      </c>
      <c r="S82" s="93">
        <f t="shared" si="31"/>
        <v>9114.1002014999995</v>
      </c>
      <c r="T82" s="93">
        <f t="shared" si="32"/>
        <v>233.47933333333333</v>
      </c>
      <c r="U82" s="93">
        <f t="shared" si="33"/>
        <v>0</v>
      </c>
      <c r="V82" s="93">
        <f t="shared" si="34"/>
        <v>0</v>
      </c>
      <c r="W82" s="93">
        <f t="shared" si="35"/>
        <v>34754.209093199999</v>
      </c>
      <c r="X82" s="93">
        <f t="shared" si="27"/>
        <v>146655.78153003333</v>
      </c>
      <c r="Y82" s="93">
        <f t="shared" si="36"/>
        <v>109991.836147525</v>
      </c>
      <c r="Z82" s="53">
        <f t="shared" si="28"/>
        <v>455304.56589952501</v>
      </c>
      <c r="AA82" s="525"/>
    </row>
    <row r="83" spans="1:27" x14ac:dyDescent="0.25">
      <c r="A83" s="525"/>
      <c r="B83" s="62" t="str">
        <f ca="1">DFIE!$B$50</f>
        <v>Aargau</v>
      </c>
      <c r="C83" s="60">
        <v>1432814.6429999999</v>
      </c>
      <c r="D83" s="60">
        <v>370382.21799999999</v>
      </c>
      <c r="E83" s="60">
        <v>6548.3670000000002</v>
      </c>
      <c r="F83" s="60">
        <v>1005875.6409999999</v>
      </c>
      <c r="G83" s="60">
        <v>0</v>
      </c>
      <c r="H83" s="60">
        <v>0</v>
      </c>
      <c r="I83" s="60">
        <v>0</v>
      </c>
      <c r="J83" s="54">
        <f t="shared" si="26"/>
        <v>2815620.8689999999</v>
      </c>
      <c r="K83" s="99"/>
      <c r="L83" s="82" t="s">
        <v>59</v>
      </c>
      <c r="M83" s="82" t="s">
        <v>85</v>
      </c>
      <c r="N83" s="85">
        <f>0.6*N74</f>
        <v>0.23880000000000001</v>
      </c>
      <c r="O83" s="99"/>
      <c r="P83" s="62" t="str">
        <f ca="1">DFIE!$B$50</f>
        <v>Aargau</v>
      </c>
      <c r="Q83" s="94">
        <f t="shared" si="29"/>
        <v>570260.22791400005</v>
      </c>
      <c r="R83" s="94">
        <f t="shared" si="30"/>
        <v>147412.122764</v>
      </c>
      <c r="S83" s="94">
        <f t="shared" si="31"/>
        <v>2280.46880775</v>
      </c>
      <c r="T83" s="94">
        <f t="shared" si="32"/>
        <v>167645.94016666664</v>
      </c>
      <c r="U83" s="94">
        <f t="shared" si="33"/>
        <v>0</v>
      </c>
      <c r="V83" s="94">
        <f t="shared" si="34"/>
        <v>0</v>
      </c>
      <c r="W83" s="94">
        <f t="shared" si="35"/>
        <v>0</v>
      </c>
      <c r="X83" s="94">
        <f t="shared" si="27"/>
        <v>317338.53173841664</v>
      </c>
      <c r="Y83" s="94">
        <f t="shared" si="36"/>
        <v>238003.89880381248</v>
      </c>
      <c r="Z83" s="54">
        <f t="shared" si="28"/>
        <v>808264.1267178125</v>
      </c>
      <c r="AA83" s="525"/>
    </row>
    <row r="84" spans="1:27" x14ac:dyDescent="0.25">
      <c r="A84" s="525"/>
      <c r="B84" s="63" t="str">
        <f ca="1">DFIE!$B$51</f>
        <v>Thurgau</v>
      </c>
      <c r="C84" s="59">
        <v>675003.696</v>
      </c>
      <c r="D84" s="59">
        <v>97235.872000000003</v>
      </c>
      <c r="E84" s="59">
        <v>22724.843000000001</v>
      </c>
      <c r="F84" s="59">
        <v>342206.06099999999</v>
      </c>
      <c r="G84" s="59">
        <v>0</v>
      </c>
      <c r="H84" s="59">
        <v>0</v>
      </c>
      <c r="I84" s="59">
        <v>0</v>
      </c>
      <c r="J84" s="53">
        <f t="shared" si="26"/>
        <v>1137170.4720000001</v>
      </c>
      <c r="K84" s="99"/>
      <c r="L84" s="52"/>
      <c r="M84" s="52"/>
      <c r="N84" s="52"/>
      <c r="O84" s="99"/>
      <c r="P84" s="63" t="str">
        <f ca="1">DFIE!$B$51</f>
        <v>Thurgau</v>
      </c>
      <c r="Q84" s="93">
        <f t="shared" si="29"/>
        <v>268651.47100800002</v>
      </c>
      <c r="R84" s="93">
        <f t="shared" si="30"/>
        <v>38699.877056000005</v>
      </c>
      <c r="S84" s="93">
        <f t="shared" si="31"/>
        <v>7913.9265747500003</v>
      </c>
      <c r="T84" s="93">
        <f t="shared" si="32"/>
        <v>57034.343499999995</v>
      </c>
      <c r="U84" s="93">
        <f t="shared" si="33"/>
        <v>0</v>
      </c>
      <c r="V84" s="93">
        <f t="shared" si="34"/>
        <v>0</v>
      </c>
      <c r="W84" s="93">
        <f t="shared" si="35"/>
        <v>0</v>
      </c>
      <c r="X84" s="93">
        <f t="shared" si="27"/>
        <v>103648.14713075</v>
      </c>
      <c r="Y84" s="93">
        <f t="shared" si="36"/>
        <v>77736.110348062502</v>
      </c>
      <c r="Z84" s="53">
        <f t="shared" si="28"/>
        <v>346387.58135606255</v>
      </c>
      <c r="AA84" s="525"/>
    </row>
    <row r="85" spans="1:27" x14ac:dyDescent="0.25">
      <c r="A85" s="525"/>
      <c r="B85" s="62" t="str">
        <f ca="1">DFIE!$B$52</f>
        <v>Tessin</v>
      </c>
      <c r="C85" s="60">
        <v>788459.13100000005</v>
      </c>
      <c r="D85" s="60">
        <v>543266.44700000004</v>
      </c>
      <c r="E85" s="60">
        <v>1218.8030000000001</v>
      </c>
      <c r="F85" s="60">
        <v>0</v>
      </c>
      <c r="G85" s="60">
        <v>0</v>
      </c>
      <c r="H85" s="60">
        <v>0</v>
      </c>
      <c r="I85" s="60">
        <v>3637643.983</v>
      </c>
      <c r="J85" s="54">
        <f t="shared" si="26"/>
        <v>4970588.3640000001</v>
      </c>
      <c r="K85" s="99"/>
      <c r="L85" s="52"/>
      <c r="M85" s="52"/>
      <c r="N85" s="52"/>
      <c r="O85" s="99"/>
      <c r="P85" s="62" t="str">
        <f ca="1">DFIE!$B$52</f>
        <v>Tessin</v>
      </c>
      <c r="Q85" s="94">
        <f t="shared" si="29"/>
        <v>313806.73413800006</v>
      </c>
      <c r="R85" s="94">
        <f t="shared" si="30"/>
        <v>216220.04590600004</v>
      </c>
      <c r="S85" s="94">
        <f t="shared" si="31"/>
        <v>424.44814475000004</v>
      </c>
      <c r="T85" s="94">
        <f t="shared" si="32"/>
        <v>0</v>
      </c>
      <c r="U85" s="94">
        <f t="shared" si="33"/>
        <v>0</v>
      </c>
      <c r="V85" s="94">
        <f t="shared" si="34"/>
        <v>0</v>
      </c>
      <c r="W85" s="94">
        <f t="shared" si="35"/>
        <v>868669.38314040005</v>
      </c>
      <c r="X85" s="94">
        <f t="shared" si="27"/>
        <v>1085313.8771911501</v>
      </c>
      <c r="Y85" s="94">
        <f t="shared" si="36"/>
        <v>813985.40789336257</v>
      </c>
      <c r="Z85" s="54">
        <f t="shared" si="28"/>
        <v>1127792.1420313627</v>
      </c>
      <c r="AA85" s="525"/>
    </row>
    <row r="86" spans="1:27" x14ac:dyDescent="0.25">
      <c r="A86" s="525"/>
      <c r="B86" s="63" t="str">
        <f ca="1">DFIE!$B$53</f>
        <v>Waadt</v>
      </c>
      <c r="C86" s="59">
        <v>1904142.14</v>
      </c>
      <c r="D86" s="59">
        <v>438947.47200000001</v>
      </c>
      <c r="E86" s="59">
        <v>0</v>
      </c>
      <c r="F86" s="59">
        <v>0</v>
      </c>
      <c r="G86" s="59">
        <v>0</v>
      </c>
      <c r="H86" s="59">
        <v>2908747.574</v>
      </c>
      <c r="I86" s="59">
        <v>0</v>
      </c>
      <c r="J86" s="53">
        <f t="shared" si="26"/>
        <v>5251837.1859999998</v>
      </c>
      <c r="K86" s="99"/>
      <c r="L86" s="52"/>
      <c r="M86" s="52"/>
      <c r="N86" s="52"/>
      <c r="O86" s="99"/>
      <c r="P86" s="63" t="str">
        <f ca="1">DFIE!$B$53</f>
        <v>Waadt</v>
      </c>
      <c r="Q86" s="93">
        <f t="shared" si="29"/>
        <v>757848.57172000001</v>
      </c>
      <c r="R86" s="93">
        <f t="shared" si="30"/>
        <v>174701.09385600002</v>
      </c>
      <c r="S86" s="93">
        <f t="shared" si="31"/>
        <v>0</v>
      </c>
      <c r="T86" s="93">
        <f t="shared" si="32"/>
        <v>0</v>
      </c>
      <c r="U86" s="93">
        <f t="shared" si="33"/>
        <v>0</v>
      </c>
      <c r="V86" s="93">
        <f t="shared" si="34"/>
        <v>484791.26233333332</v>
      </c>
      <c r="W86" s="93">
        <f t="shared" si="35"/>
        <v>0</v>
      </c>
      <c r="X86" s="93">
        <f t="shared" si="27"/>
        <v>659492.35618933337</v>
      </c>
      <c r="Y86" s="93">
        <f t="shared" si="36"/>
        <v>494619.26714200003</v>
      </c>
      <c r="Z86" s="53">
        <f t="shared" si="28"/>
        <v>1252467.838862</v>
      </c>
      <c r="AA86" s="525"/>
    </row>
    <row r="87" spans="1:27" x14ac:dyDescent="0.25">
      <c r="A87" s="525"/>
      <c r="B87" s="62" t="str">
        <f ca="1">DFIE!$B$54</f>
        <v>Wallis</v>
      </c>
      <c r="C87" s="60">
        <v>1011189.297</v>
      </c>
      <c r="D87" s="60">
        <v>7192.7920000000004</v>
      </c>
      <c r="E87" s="60">
        <v>0</v>
      </c>
      <c r="F87" s="60">
        <v>0</v>
      </c>
      <c r="G87" s="60">
        <v>0</v>
      </c>
      <c r="H87" s="60">
        <v>115058.692</v>
      </c>
      <c r="I87" s="60">
        <v>72846.831999999995</v>
      </c>
      <c r="J87" s="54">
        <f t="shared" si="26"/>
        <v>1206287.6129999999</v>
      </c>
      <c r="K87" s="99"/>
      <c r="L87" s="52"/>
      <c r="M87" s="52"/>
      <c r="N87" s="52"/>
      <c r="O87" s="99"/>
      <c r="P87" s="62" t="str">
        <f ca="1">DFIE!$B$54</f>
        <v>Wallis</v>
      </c>
      <c r="Q87" s="94">
        <f t="shared" si="29"/>
        <v>402453.34020600002</v>
      </c>
      <c r="R87" s="94">
        <f t="shared" si="30"/>
        <v>2862.7312160000001</v>
      </c>
      <c r="S87" s="94">
        <f t="shared" si="31"/>
        <v>0</v>
      </c>
      <c r="T87" s="94">
        <f t="shared" si="32"/>
        <v>0</v>
      </c>
      <c r="U87" s="94">
        <f t="shared" si="33"/>
        <v>0</v>
      </c>
      <c r="V87" s="94">
        <f t="shared" si="34"/>
        <v>19176.448666666663</v>
      </c>
      <c r="W87" s="94">
        <f t="shared" si="35"/>
        <v>17395.8234816</v>
      </c>
      <c r="X87" s="94">
        <f t="shared" si="27"/>
        <v>39435.003364266668</v>
      </c>
      <c r="Y87" s="94">
        <f t="shared" si="36"/>
        <v>29576.252523200001</v>
      </c>
      <c r="Z87" s="54">
        <f t="shared" si="28"/>
        <v>432029.59272920003</v>
      </c>
      <c r="AA87" s="525"/>
    </row>
    <row r="88" spans="1:27" x14ac:dyDescent="0.25">
      <c r="A88" s="525"/>
      <c r="B88" s="63" t="str">
        <f ca="1">DFIE!$B$55</f>
        <v>Neuenburg</v>
      </c>
      <c r="C88" s="59">
        <v>179860.598</v>
      </c>
      <c r="D88" s="59">
        <v>114697.139</v>
      </c>
      <c r="E88" s="59">
        <v>0</v>
      </c>
      <c r="F88" s="59">
        <v>923.73599999999999</v>
      </c>
      <c r="G88" s="59">
        <v>0</v>
      </c>
      <c r="H88" s="59">
        <v>1099239.2660000001</v>
      </c>
      <c r="I88" s="59">
        <v>0</v>
      </c>
      <c r="J88" s="53">
        <f t="shared" si="26"/>
        <v>1394720.7390000001</v>
      </c>
      <c r="K88" s="99"/>
      <c r="L88" s="52"/>
      <c r="M88" s="52"/>
      <c r="N88" s="52"/>
      <c r="O88" s="99"/>
      <c r="P88" s="63" t="str">
        <f ca="1">DFIE!$B$55</f>
        <v>Neuenburg</v>
      </c>
      <c r="Q88" s="93">
        <f t="shared" si="29"/>
        <v>71584.518003999998</v>
      </c>
      <c r="R88" s="93">
        <f t="shared" si="30"/>
        <v>45649.461322000003</v>
      </c>
      <c r="S88" s="93">
        <f t="shared" si="31"/>
        <v>0</v>
      </c>
      <c r="T88" s="93">
        <f t="shared" si="32"/>
        <v>153.95599999999999</v>
      </c>
      <c r="U88" s="93">
        <f t="shared" si="33"/>
        <v>0</v>
      </c>
      <c r="V88" s="93">
        <f t="shared" si="34"/>
        <v>183206.54433333332</v>
      </c>
      <c r="W88" s="93">
        <f t="shared" si="35"/>
        <v>0</v>
      </c>
      <c r="X88" s="93">
        <f t="shared" si="27"/>
        <v>229009.96165533332</v>
      </c>
      <c r="Y88" s="93">
        <f t="shared" si="36"/>
        <v>171757.4712415</v>
      </c>
      <c r="Z88" s="53">
        <f t="shared" si="28"/>
        <v>243341.98924550001</v>
      </c>
      <c r="AA88" s="525"/>
    </row>
    <row r="89" spans="1:27" x14ac:dyDescent="0.25">
      <c r="A89" s="525"/>
      <c r="B89" s="62" t="str">
        <f ca="1">DFIE!$B$56</f>
        <v>Genf</v>
      </c>
      <c r="C89" s="60">
        <v>1352267.568</v>
      </c>
      <c r="D89" s="60">
        <v>827653.598</v>
      </c>
      <c r="E89" s="60">
        <v>2899.4810000000002</v>
      </c>
      <c r="F89" s="60">
        <v>0</v>
      </c>
      <c r="G89" s="60">
        <v>9531567.6459999997</v>
      </c>
      <c r="H89" s="60">
        <v>0</v>
      </c>
      <c r="I89" s="60">
        <v>0</v>
      </c>
      <c r="J89" s="54">
        <f t="shared" si="26"/>
        <v>11714388.293</v>
      </c>
      <c r="K89" s="99"/>
      <c r="L89" s="52"/>
      <c r="M89" s="52"/>
      <c r="N89" s="52"/>
      <c r="O89" s="99"/>
      <c r="P89" s="62" t="str">
        <f ca="1">DFIE!$B$56</f>
        <v>Genf</v>
      </c>
      <c r="Q89" s="94">
        <f t="shared" si="29"/>
        <v>538202.49206399999</v>
      </c>
      <c r="R89" s="94">
        <f t="shared" si="30"/>
        <v>329406.13200400001</v>
      </c>
      <c r="S89" s="94">
        <f t="shared" si="31"/>
        <v>1009.7442582500001</v>
      </c>
      <c r="T89" s="94">
        <f t="shared" si="32"/>
        <v>0</v>
      </c>
      <c r="U89" s="94">
        <f t="shared" si="33"/>
        <v>2557990.3393672593</v>
      </c>
      <c r="V89" s="94">
        <f t="shared" si="34"/>
        <v>0</v>
      </c>
      <c r="W89" s="94">
        <f t="shared" si="35"/>
        <v>0</v>
      </c>
      <c r="X89" s="94">
        <f t="shared" si="27"/>
        <v>2888406.2156295092</v>
      </c>
      <c r="Y89" s="94">
        <f t="shared" si="36"/>
        <v>2166304.661722132</v>
      </c>
      <c r="Z89" s="54">
        <f t="shared" si="28"/>
        <v>2704507.1537861321</v>
      </c>
      <c r="AA89" s="525"/>
    </row>
    <row r="90" spans="1:27" x14ac:dyDescent="0.25">
      <c r="A90" s="525"/>
      <c r="B90" s="63" t="str">
        <f ca="1">DFIE!$B$57</f>
        <v>Jura</v>
      </c>
      <c r="C90" s="59">
        <v>57261.546000000002</v>
      </c>
      <c r="D90" s="59">
        <v>15062.816000000001</v>
      </c>
      <c r="E90" s="59">
        <v>0</v>
      </c>
      <c r="F90" s="59">
        <v>871.98800000000006</v>
      </c>
      <c r="G90" s="59">
        <v>0</v>
      </c>
      <c r="H90" s="59">
        <v>644705.67599999998</v>
      </c>
      <c r="I90" s="59">
        <v>0</v>
      </c>
      <c r="J90" s="53">
        <f t="shared" si="26"/>
        <v>717902.02599999995</v>
      </c>
      <c r="K90" s="99"/>
      <c r="L90" s="52"/>
      <c r="M90" s="52"/>
      <c r="N90" s="52"/>
      <c r="O90" s="99"/>
      <c r="P90" s="63" t="str">
        <f ca="1">DFIE!$B$57</f>
        <v>Jura</v>
      </c>
      <c r="Q90" s="93">
        <f t="shared" si="29"/>
        <v>22790.095308000004</v>
      </c>
      <c r="R90" s="93">
        <f t="shared" si="30"/>
        <v>5995.0007680000008</v>
      </c>
      <c r="S90" s="93">
        <f t="shared" si="31"/>
        <v>0</v>
      </c>
      <c r="T90" s="93">
        <f t="shared" si="32"/>
        <v>145.33133333333333</v>
      </c>
      <c r="U90" s="93">
        <f t="shared" si="33"/>
        <v>0</v>
      </c>
      <c r="V90" s="93">
        <f t="shared" si="34"/>
        <v>107450.946</v>
      </c>
      <c r="W90" s="93">
        <f t="shared" si="35"/>
        <v>0</v>
      </c>
      <c r="X90" s="93">
        <f t="shared" si="27"/>
        <v>113591.27810133333</v>
      </c>
      <c r="Y90" s="93">
        <f t="shared" si="36"/>
        <v>85193.458576000005</v>
      </c>
      <c r="Z90" s="53">
        <f t="shared" si="28"/>
        <v>107983.55388400001</v>
      </c>
      <c r="AA90" s="525"/>
    </row>
    <row r="91" spans="1:27" x14ac:dyDescent="0.25">
      <c r="A91" s="525"/>
      <c r="B91" s="64" t="str">
        <f ca="1">DFIE!$B$58</f>
        <v>Schweiz</v>
      </c>
      <c r="C91" s="61">
        <f t="shared" ref="C91:I91" si="37">SUM(C65:C90)</f>
        <v>19350992.530000001</v>
      </c>
      <c r="D91" s="61">
        <f t="shared" si="37"/>
        <v>4428007.6969999997</v>
      </c>
      <c r="E91" s="61">
        <f t="shared" si="37"/>
        <v>628607.77799999993</v>
      </c>
      <c r="F91" s="61">
        <f t="shared" si="37"/>
        <v>5070221.550999999</v>
      </c>
      <c r="G91" s="61">
        <f t="shared" si="37"/>
        <v>9531567.6459999997</v>
      </c>
      <c r="H91" s="61">
        <f t="shared" si="37"/>
        <v>7785828.3279999997</v>
      </c>
      <c r="I91" s="61">
        <f t="shared" si="37"/>
        <v>3856027.7039999999</v>
      </c>
      <c r="J91" s="55">
        <f t="shared" si="26"/>
        <v>50651253.233999997</v>
      </c>
      <c r="K91" s="52"/>
      <c r="L91" s="52"/>
      <c r="M91" s="52"/>
      <c r="N91" s="52"/>
      <c r="O91" s="52"/>
      <c r="P91" s="64" t="str">
        <f ca="1">DFIE!$B$58</f>
        <v>Schweiz</v>
      </c>
      <c r="Q91" s="61">
        <f t="shared" ref="Q91:X91" si="38">SUM(Q65:Q90)</f>
        <v>7701695.0269400021</v>
      </c>
      <c r="R91" s="61">
        <f t="shared" si="38"/>
        <v>1762347.0634060001</v>
      </c>
      <c r="S91" s="61">
        <f t="shared" si="38"/>
        <v>218912.6586885</v>
      </c>
      <c r="T91" s="61">
        <f t="shared" si="38"/>
        <v>845036.92516666662</v>
      </c>
      <c r="U91" s="61">
        <f t="shared" si="38"/>
        <v>2557990.3393672593</v>
      </c>
      <c r="V91" s="61">
        <f t="shared" si="38"/>
        <v>1297638.0546666665</v>
      </c>
      <c r="W91" s="61">
        <f t="shared" si="38"/>
        <v>920819.41571520013</v>
      </c>
      <c r="X91" s="61">
        <f t="shared" si="38"/>
        <v>7602744.4570102924</v>
      </c>
      <c r="Y91" s="61">
        <f>SUM(Y65:Y90)</f>
        <v>5702058.3427577196</v>
      </c>
      <c r="Z91" s="55">
        <f>SUM(Z65:Z90)</f>
        <v>13403753.36969772</v>
      </c>
      <c r="AA91" s="525"/>
    </row>
  </sheetData>
  <mergeCells count="9">
    <mergeCell ref="Z6:Z7"/>
    <mergeCell ref="C3:J3"/>
    <mergeCell ref="Q3:Z3"/>
    <mergeCell ref="AA9:AA35"/>
    <mergeCell ref="AA37:AA63"/>
    <mergeCell ref="AA65:AA91"/>
    <mergeCell ref="A9:A35"/>
    <mergeCell ref="A37:A63"/>
    <mergeCell ref="A65:A91"/>
  </mergeCells>
  <conditionalFormatting sqref="C9:I34 C37:I62 C65:I90">
    <cfRule type="expression" dxfId="40" priority="2" stopIfTrue="1">
      <formula>ISBLANK(C9)</formula>
    </cfRule>
  </conditionalFormatting>
  <conditionalFormatting sqref="N10 N11 N13">
    <cfRule type="expression" dxfId="39" priority="5" stopIfTrue="1">
      <formula>ISBLANK(N10)</formula>
    </cfRule>
  </conditionalFormatting>
  <conditionalFormatting sqref="N38 N39 N41">
    <cfRule type="expression" dxfId="38" priority="7" stopIfTrue="1">
      <formula>ISBLANK(N38)</formula>
    </cfRule>
  </conditionalFormatting>
  <conditionalFormatting sqref="N66 N67 N73">
    <cfRule type="expression" dxfId="37" priority="12" stopIfTrue="1">
      <formula>ISBLANK(N66)</formula>
    </cfRule>
  </conditionalFormatting>
  <pageMargins left="0.70866141732283472" right="0.39370078740157483" top="0.9055118110236221" bottom="0.78740157480314965" header="0.51181102362204722" footer="0.51181102362204722"/>
  <pageSetup paperSize="9" scale="59" fitToWidth="2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olBreaks count="1" manualBreakCount="1">
    <brk id="15" max="1048575" man="1"/>
  </colBreaks>
  <customProperties>
    <customPr name="EpmWorksheetKeyString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J71"/>
  <sheetViews>
    <sheetView showGridLines="0" zoomScaleNormal="100" zoomScaleSheetLayoutView="70" workbookViewId="0">
      <pane ySplit="8" topLeftCell="A9" activePane="bottomLeft" state="frozen"/>
      <selection activeCell="J20" sqref="J20"/>
      <selection pane="bottomLeft" activeCell="A50" sqref="A50"/>
    </sheetView>
  </sheetViews>
  <sheetFormatPr baseColWidth="10" defaultColWidth="9.109375" defaultRowHeight="13.2" x14ac:dyDescent="0.25"/>
  <cols>
    <col min="1" max="1" width="1.6640625" customWidth="1"/>
    <col min="2" max="2" width="17.33203125" customWidth="1"/>
    <col min="3" max="4" width="16.6640625" customWidth="1"/>
    <col min="5" max="5" width="1.33203125" customWidth="1"/>
    <col min="6" max="7" width="16.6640625" customWidth="1"/>
    <col min="8" max="8" width="1.33203125" customWidth="1"/>
    <col min="9" max="10" width="16.6640625" customWidth="1"/>
  </cols>
  <sheetData>
    <row r="1" spans="1:10" ht="22.5" customHeight="1" x14ac:dyDescent="0.3">
      <c r="B1" s="4" t="str">
        <f ca="1">DFIE!$B$128</f>
        <v>Vermögen natürlicher Personen 2025</v>
      </c>
    </row>
    <row r="2" spans="1:10" ht="12.75" customHeight="1" x14ac:dyDescent="0.25"/>
    <row r="3" spans="1:10" ht="20.25" customHeight="1" x14ac:dyDescent="0.25">
      <c r="A3" s="44"/>
      <c r="C3" s="533" t="str">
        <f ca="1">DFIE!$B$73</f>
        <v>Bemessungsjahr 2019</v>
      </c>
      <c r="D3" s="533"/>
      <c r="E3" s="44"/>
      <c r="F3" s="534" t="str">
        <f ca="1">DFIE!$B$74</f>
        <v>Bemessungsjahr 2020</v>
      </c>
      <c r="G3" s="534"/>
      <c r="H3" s="44"/>
      <c r="I3" s="535" t="str">
        <f ca="1">DFIE!$B$75</f>
        <v>Bemessungsjahr 2021</v>
      </c>
      <c r="J3" s="535"/>
    </row>
    <row r="4" spans="1:10" ht="12" customHeight="1" x14ac:dyDescent="0.25">
      <c r="A4" s="11"/>
      <c r="B4" s="32" t="str">
        <f ca="1">DFIE!$B$59</f>
        <v>Spalte</v>
      </c>
      <c r="C4" s="33" t="s">
        <v>30</v>
      </c>
      <c r="D4" s="107" t="s">
        <v>31</v>
      </c>
      <c r="E4" s="108"/>
      <c r="F4" s="109" t="s">
        <v>43</v>
      </c>
      <c r="G4" s="107" t="s">
        <v>42</v>
      </c>
      <c r="H4" s="108"/>
      <c r="I4" s="109" t="s">
        <v>34</v>
      </c>
      <c r="J4" s="107" t="s">
        <v>35</v>
      </c>
    </row>
    <row r="5" spans="1:10" ht="12" customHeight="1" x14ac:dyDescent="0.25">
      <c r="A5" s="11"/>
      <c r="B5" s="32" t="str">
        <f ca="1">DFIE!$B$60</f>
        <v>Formel</v>
      </c>
      <c r="C5" s="33"/>
      <c r="D5" s="110" t="str">
        <f ca="1">"C * " &amp;DFIE!$B$131</f>
        <v>C * Alpha</v>
      </c>
      <c r="E5" s="108"/>
      <c r="F5" s="109"/>
      <c r="G5" s="110" t="str">
        <f ca="1">"F * " &amp;DFIE!$B$131</f>
        <v>F * Alpha</v>
      </c>
      <c r="H5" s="108"/>
      <c r="I5" s="109"/>
      <c r="J5" s="110" t="str">
        <f ca="1">"I * " &amp;DFIE!$B$131</f>
        <v>I * Alpha</v>
      </c>
    </row>
    <row r="6" spans="1:10" ht="12" customHeight="1" x14ac:dyDescent="0.25">
      <c r="A6" s="11"/>
      <c r="B6" s="32" t="str">
        <f ca="1">DFIE!$B$132</f>
        <v>Alpha</v>
      </c>
      <c r="C6" s="33"/>
      <c r="D6" s="117">
        <v>1.4999999999999999E-2</v>
      </c>
      <c r="E6" s="108"/>
      <c r="F6" s="109"/>
      <c r="G6" s="117">
        <v>1.4999999999999999E-2</v>
      </c>
      <c r="H6" s="108"/>
      <c r="I6" s="109"/>
      <c r="J6" s="118">
        <f>ALPHA!$L$26</f>
        <v>1.4999999999999999E-2</v>
      </c>
    </row>
    <row r="7" spans="1:10" ht="33.75" customHeight="1" x14ac:dyDescent="0.25">
      <c r="A7" s="44"/>
      <c r="B7" s="115"/>
      <c r="C7" s="103" t="str">
        <f ca="1">DFIE!$B$129</f>
        <v>Reinvermögen</v>
      </c>
      <c r="D7" s="126" t="str">
        <f ca="1">DFIE!$B$130</f>
        <v>Massgebendes
Vermögen</v>
      </c>
      <c r="E7" s="44"/>
      <c r="F7" s="125" t="str">
        <f ca="1">DFIE!$B$129</f>
        <v>Reinvermögen</v>
      </c>
      <c r="G7" s="126" t="str">
        <f ca="1">DFIE!$B$130</f>
        <v>Massgebendes
Vermögen</v>
      </c>
      <c r="H7" s="44"/>
      <c r="I7" s="125" t="str">
        <f ca="1">DFIE!$B$129</f>
        <v>Reinvermögen</v>
      </c>
      <c r="J7" s="126" t="str">
        <f ca="1">DFIE!$B$130</f>
        <v>Massgebendes
Vermögen</v>
      </c>
    </row>
    <row r="8" spans="1:10" x14ac:dyDescent="0.25">
      <c r="A8" s="11"/>
      <c r="B8" s="75" t="str">
        <f ca="1">DFIE!$B$62</f>
        <v>Einheit</v>
      </c>
      <c r="C8" s="38" t="str">
        <f ca="1">DFIE!$B$64</f>
        <v>CHF 1'000</v>
      </c>
      <c r="D8" s="111" t="str">
        <f ca="1">DFIE!$B$64</f>
        <v>CHF 1'000</v>
      </c>
      <c r="E8" s="108"/>
      <c r="F8" s="112" t="str">
        <f ca="1">DFIE!$B$64</f>
        <v>CHF 1'000</v>
      </c>
      <c r="G8" s="111" t="str">
        <f ca="1">DFIE!$B$64</f>
        <v>CHF 1'000</v>
      </c>
      <c r="H8" s="108"/>
      <c r="I8" s="112" t="str">
        <f ca="1">DFIE!$B$64</f>
        <v>CHF 1'000</v>
      </c>
      <c r="J8" s="111" t="str">
        <f ca="1">DFIE!$B$64</f>
        <v>CHF 1'000</v>
      </c>
    </row>
    <row r="9" spans="1:10" ht="12.75" customHeight="1" x14ac:dyDescent="0.25">
      <c r="A9" s="44"/>
      <c r="B9" s="16" t="str">
        <f ca="1">DFIE!$B$32</f>
        <v>Zürich</v>
      </c>
      <c r="C9" s="60">
        <v>458204189</v>
      </c>
      <c r="D9" s="119">
        <f>C9*$D$6</f>
        <v>6873062.835</v>
      </c>
      <c r="E9" s="78"/>
      <c r="F9" s="122">
        <v>477779260</v>
      </c>
      <c r="G9" s="119">
        <f>F9*$G$6</f>
        <v>7166688.8999999994</v>
      </c>
      <c r="H9" s="78"/>
      <c r="I9" s="122">
        <v>514807998</v>
      </c>
      <c r="J9" s="119">
        <f>I9*$J$6</f>
        <v>7722119.9699999997</v>
      </c>
    </row>
    <row r="10" spans="1:10" ht="12.75" customHeight="1" x14ac:dyDescent="0.25">
      <c r="A10" s="44"/>
      <c r="B10" s="18" t="str">
        <f ca="1">DFIE!$B$33</f>
        <v>Bern</v>
      </c>
      <c r="C10" s="59">
        <v>191173198.01899999</v>
      </c>
      <c r="D10" s="120">
        <f t="shared" ref="D10:D34" si="0">C10*$D$6</f>
        <v>2867597.9702849998</v>
      </c>
      <c r="E10" s="78"/>
      <c r="F10" s="123">
        <v>221808357.38100001</v>
      </c>
      <c r="G10" s="120">
        <f t="shared" ref="G10:G34" si="1">F10*$G$6</f>
        <v>3327125.360715</v>
      </c>
      <c r="H10" s="78"/>
      <c r="I10" s="123">
        <v>236233047.722</v>
      </c>
      <c r="J10" s="120">
        <f t="shared" ref="J10:J34" si="2">I10*$J$6</f>
        <v>3543495.7158300001</v>
      </c>
    </row>
    <row r="11" spans="1:10" ht="12.75" customHeight="1" x14ac:dyDescent="0.25">
      <c r="A11" s="44"/>
      <c r="B11" s="16" t="str">
        <f ca="1">DFIE!$B$34</f>
        <v>Luzern</v>
      </c>
      <c r="C11" s="60">
        <v>108076905.98800001</v>
      </c>
      <c r="D11" s="119">
        <f t="shared" si="0"/>
        <v>1621153.5898200001</v>
      </c>
      <c r="E11" s="78"/>
      <c r="F11" s="122">
        <v>111553796.796</v>
      </c>
      <c r="G11" s="119">
        <f t="shared" si="1"/>
        <v>1673306.9519400001</v>
      </c>
      <c r="H11" s="78"/>
      <c r="I11" s="122">
        <v>117383491.851</v>
      </c>
      <c r="J11" s="119">
        <f t="shared" si="2"/>
        <v>1760752.3777649999</v>
      </c>
    </row>
    <row r="12" spans="1:10" ht="12.75" customHeight="1" x14ac:dyDescent="0.25">
      <c r="A12" s="44"/>
      <c r="B12" s="18" t="str">
        <f ca="1">DFIE!$B$35</f>
        <v>Uri</v>
      </c>
      <c r="C12" s="59">
        <v>8000598.6059999997</v>
      </c>
      <c r="D12" s="120">
        <f t="shared" si="0"/>
        <v>120008.97908999999</v>
      </c>
      <c r="E12" s="78"/>
      <c r="F12" s="123">
        <v>8304615.7790000001</v>
      </c>
      <c r="G12" s="120">
        <f t="shared" si="1"/>
        <v>124569.236685</v>
      </c>
      <c r="H12" s="78"/>
      <c r="I12" s="123">
        <v>8705867.4700000007</v>
      </c>
      <c r="J12" s="120">
        <f t="shared" si="2"/>
        <v>130588.01205</v>
      </c>
    </row>
    <row r="13" spans="1:10" ht="12.75" customHeight="1" x14ac:dyDescent="0.25">
      <c r="A13" s="44"/>
      <c r="B13" s="16" t="str">
        <f ca="1">DFIE!$B$36</f>
        <v>Schwyz</v>
      </c>
      <c r="C13" s="60">
        <v>135661408.926</v>
      </c>
      <c r="D13" s="119">
        <f t="shared" si="0"/>
        <v>2034921.1338899999</v>
      </c>
      <c r="E13" s="78"/>
      <c r="F13" s="122">
        <v>142289649.77500001</v>
      </c>
      <c r="G13" s="119">
        <f t="shared" si="1"/>
        <v>2134344.7466250001</v>
      </c>
      <c r="H13" s="78"/>
      <c r="I13" s="122">
        <v>158735287.81200001</v>
      </c>
      <c r="J13" s="119">
        <f t="shared" si="2"/>
        <v>2381029.3171799998</v>
      </c>
    </row>
    <row r="14" spans="1:10" ht="12.75" customHeight="1" x14ac:dyDescent="0.25">
      <c r="A14" s="44"/>
      <c r="B14" s="18" t="str">
        <f ca="1">DFIE!$B$37</f>
        <v>Obwalden</v>
      </c>
      <c r="C14" s="59">
        <v>15626040.052999999</v>
      </c>
      <c r="D14" s="120">
        <f t="shared" si="0"/>
        <v>234390.60079499998</v>
      </c>
      <c r="E14" s="78"/>
      <c r="F14" s="123">
        <v>16594250.551000001</v>
      </c>
      <c r="G14" s="120">
        <f t="shared" si="1"/>
        <v>248913.75826500001</v>
      </c>
      <c r="H14" s="78"/>
      <c r="I14" s="123">
        <v>17735837.294</v>
      </c>
      <c r="J14" s="120">
        <f t="shared" si="2"/>
        <v>266037.55940999999</v>
      </c>
    </row>
    <row r="15" spans="1:10" ht="12.75" customHeight="1" x14ac:dyDescent="0.25">
      <c r="A15" s="44"/>
      <c r="B15" s="16" t="str">
        <f ca="1">DFIE!$B$38</f>
        <v>Nidwalden</v>
      </c>
      <c r="C15" s="60">
        <v>40725998.090000004</v>
      </c>
      <c r="D15" s="119">
        <f t="shared" si="0"/>
        <v>610889.97135000001</v>
      </c>
      <c r="E15" s="78"/>
      <c r="F15" s="122">
        <v>40741987.189000003</v>
      </c>
      <c r="G15" s="119">
        <f t="shared" si="1"/>
        <v>611129.80783499999</v>
      </c>
      <c r="H15" s="78"/>
      <c r="I15" s="122">
        <v>44482431.612999998</v>
      </c>
      <c r="J15" s="119">
        <f t="shared" si="2"/>
        <v>667236.4741949999</v>
      </c>
    </row>
    <row r="16" spans="1:10" ht="12.75" customHeight="1" x14ac:dyDescent="0.25">
      <c r="A16" s="44"/>
      <c r="B16" s="18" t="str">
        <f ca="1">DFIE!$B$39</f>
        <v>Glarus</v>
      </c>
      <c r="C16" s="59">
        <v>8412656.6270000003</v>
      </c>
      <c r="D16" s="120">
        <f t="shared" si="0"/>
        <v>126189.849405</v>
      </c>
      <c r="E16" s="78"/>
      <c r="F16" s="123">
        <v>8603092.9739999995</v>
      </c>
      <c r="G16" s="120">
        <f t="shared" si="1"/>
        <v>129046.39460999999</v>
      </c>
      <c r="H16" s="78"/>
      <c r="I16" s="123">
        <v>9028823.0449999999</v>
      </c>
      <c r="J16" s="120">
        <f t="shared" si="2"/>
        <v>135432.34567499999</v>
      </c>
    </row>
    <row r="17" spans="1:10" ht="12.75" customHeight="1" x14ac:dyDescent="0.25">
      <c r="A17" s="44"/>
      <c r="B17" s="16" t="str">
        <f ca="1">DFIE!$B$40</f>
        <v>Zug</v>
      </c>
      <c r="C17" s="60">
        <v>86072583.498999998</v>
      </c>
      <c r="D17" s="119">
        <f t="shared" si="0"/>
        <v>1291088.7524849998</v>
      </c>
      <c r="E17" s="78"/>
      <c r="F17" s="122">
        <v>89886807.613000005</v>
      </c>
      <c r="G17" s="119">
        <f t="shared" si="1"/>
        <v>1348302.1141950001</v>
      </c>
      <c r="H17" s="78"/>
      <c r="I17" s="122">
        <v>103048778.48999999</v>
      </c>
      <c r="J17" s="119">
        <f t="shared" si="2"/>
        <v>1545731.6773499998</v>
      </c>
    </row>
    <row r="18" spans="1:10" ht="12.75" customHeight="1" x14ac:dyDescent="0.25">
      <c r="A18" s="44"/>
      <c r="B18" s="18" t="str">
        <f ca="1">DFIE!$B$41</f>
        <v>Freiburg</v>
      </c>
      <c r="C18" s="59">
        <v>34138613.454000004</v>
      </c>
      <c r="D18" s="120">
        <f t="shared" si="0"/>
        <v>512079.20181000006</v>
      </c>
      <c r="E18" s="78"/>
      <c r="F18" s="123">
        <v>35887574.824000001</v>
      </c>
      <c r="G18" s="120">
        <f t="shared" si="1"/>
        <v>538313.62236000004</v>
      </c>
      <c r="H18" s="78"/>
      <c r="I18" s="123">
        <v>37390636.086999997</v>
      </c>
      <c r="J18" s="120">
        <f t="shared" si="2"/>
        <v>560859.54130499996</v>
      </c>
    </row>
    <row r="19" spans="1:10" ht="12.75" customHeight="1" x14ac:dyDescent="0.25">
      <c r="A19" s="44"/>
      <c r="B19" s="16" t="str">
        <f ca="1">DFIE!$B$42</f>
        <v>Solothurn</v>
      </c>
      <c r="C19" s="60">
        <v>30538581.350000001</v>
      </c>
      <c r="D19" s="119">
        <f t="shared" si="0"/>
        <v>458078.72025000001</v>
      </c>
      <c r="E19" s="78"/>
      <c r="F19" s="122">
        <v>31973131.587000001</v>
      </c>
      <c r="G19" s="119">
        <f t="shared" si="1"/>
        <v>479596.97380500002</v>
      </c>
      <c r="H19" s="78"/>
      <c r="I19" s="122">
        <v>34558745.339000002</v>
      </c>
      <c r="J19" s="119">
        <f t="shared" si="2"/>
        <v>518381.180085</v>
      </c>
    </row>
    <row r="20" spans="1:10" ht="12.75" customHeight="1" x14ac:dyDescent="0.25">
      <c r="A20" s="44"/>
      <c r="B20" s="18" t="str">
        <f ca="1">DFIE!$B$43</f>
        <v>Basel-Stadt</v>
      </c>
      <c r="C20" s="59">
        <v>69690893.281000003</v>
      </c>
      <c r="D20" s="120">
        <f t="shared" si="0"/>
        <v>1045363.399215</v>
      </c>
      <c r="E20" s="78"/>
      <c r="F20" s="123">
        <v>70627532.128999993</v>
      </c>
      <c r="G20" s="120">
        <f t="shared" si="1"/>
        <v>1059412.9819349998</v>
      </c>
      <c r="H20" s="78"/>
      <c r="I20" s="123">
        <v>80593715.680000007</v>
      </c>
      <c r="J20" s="120">
        <f t="shared" si="2"/>
        <v>1208905.7352</v>
      </c>
    </row>
    <row r="21" spans="1:10" ht="12.75" customHeight="1" x14ac:dyDescent="0.25">
      <c r="A21" s="44"/>
      <c r="B21" s="16" t="str">
        <f ca="1">DFIE!$B$44</f>
        <v>Basel-Landschaft</v>
      </c>
      <c r="C21" s="60">
        <v>50125861.501999997</v>
      </c>
      <c r="D21" s="119">
        <f t="shared" si="0"/>
        <v>751887.92252999987</v>
      </c>
      <c r="E21" s="78"/>
      <c r="F21" s="122">
        <v>49763279.446000002</v>
      </c>
      <c r="G21" s="119">
        <f t="shared" si="1"/>
        <v>746449.19169000001</v>
      </c>
      <c r="H21" s="78"/>
      <c r="I21" s="122">
        <v>52499692.343000002</v>
      </c>
      <c r="J21" s="119">
        <f t="shared" si="2"/>
        <v>787495.38514499995</v>
      </c>
    </row>
    <row r="22" spans="1:10" ht="12.75" customHeight="1" x14ac:dyDescent="0.25">
      <c r="A22" s="44"/>
      <c r="B22" s="18" t="str">
        <f ca="1">DFIE!$B$45</f>
        <v>Schaffhausen</v>
      </c>
      <c r="C22" s="59">
        <v>15960129.987</v>
      </c>
      <c r="D22" s="120">
        <f t="shared" si="0"/>
        <v>239401.94980499998</v>
      </c>
      <c r="E22" s="78"/>
      <c r="F22" s="123">
        <v>16749690.476</v>
      </c>
      <c r="G22" s="120">
        <f t="shared" si="1"/>
        <v>251245.35713999998</v>
      </c>
      <c r="H22" s="78"/>
      <c r="I22" s="123">
        <v>17321481.131999999</v>
      </c>
      <c r="J22" s="120">
        <f t="shared" si="2"/>
        <v>259822.21697999997</v>
      </c>
    </row>
    <row r="23" spans="1:10" ht="12.75" customHeight="1" x14ac:dyDescent="0.25">
      <c r="A23" s="44"/>
      <c r="B23" s="16" t="str">
        <f ca="1">DFIE!$B$46</f>
        <v>Appenzell A.Rh.</v>
      </c>
      <c r="C23" s="60">
        <v>15340499.689999999</v>
      </c>
      <c r="D23" s="119">
        <f t="shared" si="0"/>
        <v>230107.49534999998</v>
      </c>
      <c r="E23" s="78"/>
      <c r="F23" s="122">
        <v>17617564.543000001</v>
      </c>
      <c r="G23" s="119">
        <f t="shared" si="1"/>
        <v>264263.46814499999</v>
      </c>
      <c r="H23" s="78"/>
      <c r="I23" s="122">
        <v>19202263.298999999</v>
      </c>
      <c r="J23" s="119">
        <f t="shared" si="2"/>
        <v>288033.94948499999</v>
      </c>
    </row>
    <row r="24" spans="1:10" ht="12.75" customHeight="1" x14ac:dyDescent="0.25">
      <c r="A24" s="44"/>
      <c r="B24" s="18" t="str">
        <f ca="1">DFIE!$B$47</f>
        <v>Appenzell I.Rh.</v>
      </c>
      <c r="C24" s="59">
        <v>7107165.6689999998</v>
      </c>
      <c r="D24" s="120">
        <f t="shared" si="0"/>
        <v>106607.48503499999</v>
      </c>
      <c r="E24" s="78"/>
      <c r="F24" s="123">
        <v>7256149.477</v>
      </c>
      <c r="G24" s="120">
        <f t="shared" si="1"/>
        <v>108842.242155</v>
      </c>
      <c r="H24" s="78"/>
      <c r="I24" s="123">
        <v>7658148.2750000004</v>
      </c>
      <c r="J24" s="120">
        <f t="shared" si="2"/>
        <v>114872.22412500001</v>
      </c>
    </row>
    <row r="25" spans="1:10" ht="12.75" customHeight="1" x14ac:dyDescent="0.25">
      <c r="A25" s="44"/>
      <c r="B25" s="16" t="str">
        <f ca="1">DFIE!$B$48</f>
        <v>St. Gallen</v>
      </c>
      <c r="C25" s="60">
        <v>124929214.949</v>
      </c>
      <c r="D25" s="119">
        <f t="shared" si="0"/>
        <v>1873938.2242349999</v>
      </c>
      <c r="E25" s="78"/>
      <c r="F25" s="122">
        <v>129977504.802</v>
      </c>
      <c r="G25" s="119">
        <f t="shared" si="1"/>
        <v>1949662.5720299999</v>
      </c>
      <c r="H25" s="78"/>
      <c r="I25" s="122">
        <v>137975686.25400001</v>
      </c>
      <c r="J25" s="119">
        <f t="shared" si="2"/>
        <v>2069635.2938099999</v>
      </c>
    </row>
    <row r="26" spans="1:10" ht="12.75" customHeight="1" x14ac:dyDescent="0.25">
      <c r="A26" s="44"/>
      <c r="B26" s="18" t="str">
        <f ca="1">DFIE!$B$49</f>
        <v>Graubünden</v>
      </c>
      <c r="C26" s="59">
        <v>70884040.597000003</v>
      </c>
      <c r="D26" s="120">
        <f t="shared" si="0"/>
        <v>1063260.6089550001</v>
      </c>
      <c r="E26" s="78"/>
      <c r="F26" s="123">
        <v>73775480.699000001</v>
      </c>
      <c r="G26" s="120">
        <f t="shared" si="1"/>
        <v>1106632.2104849999</v>
      </c>
      <c r="H26" s="78"/>
      <c r="I26" s="123">
        <v>85101154.616999999</v>
      </c>
      <c r="J26" s="120">
        <f t="shared" si="2"/>
        <v>1276517.319255</v>
      </c>
    </row>
    <row r="27" spans="1:10" ht="12.75" customHeight="1" x14ac:dyDescent="0.25">
      <c r="A27" s="44"/>
      <c r="B27" s="16" t="str">
        <f ca="1">DFIE!$B$50</f>
        <v>Aargau</v>
      </c>
      <c r="C27" s="60">
        <v>133021197.824</v>
      </c>
      <c r="D27" s="119">
        <f t="shared" si="0"/>
        <v>1995317.9673599999</v>
      </c>
      <c r="E27" s="78"/>
      <c r="F27" s="122">
        <v>138018189.80599999</v>
      </c>
      <c r="G27" s="119">
        <f t="shared" si="1"/>
        <v>2070272.8470899998</v>
      </c>
      <c r="H27" s="78"/>
      <c r="I27" s="122">
        <v>144822077.345</v>
      </c>
      <c r="J27" s="119">
        <f t="shared" si="2"/>
        <v>2172331.1601749999</v>
      </c>
    </row>
    <row r="28" spans="1:10" ht="12.75" customHeight="1" x14ac:dyDescent="0.25">
      <c r="A28" s="44"/>
      <c r="B28" s="18" t="str">
        <f ca="1">DFIE!$B$51</f>
        <v>Thurgau</v>
      </c>
      <c r="C28" s="59">
        <v>67384305.099999994</v>
      </c>
      <c r="D28" s="120">
        <f t="shared" si="0"/>
        <v>1010764.5764999999</v>
      </c>
      <c r="E28" s="78"/>
      <c r="F28" s="123">
        <v>69346072.700000003</v>
      </c>
      <c r="G28" s="120">
        <f t="shared" si="1"/>
        <v>1040191.0905</v>
      </c>
      <c r="H28" s="78"/>
      <c r="I28" s="123">
        <v>74329467.799999997</v>
      </c>
      <c r="J28" s="120">
        <f t="shared" si="2"/>
        <v>1114942.017</v>
      </c>
    </row>
    <row r="29" spans="1:10" ht="12.75" customHeight="1" x14ac:dyDescent="0.25">
      <c r="A29" s="44"/>
      <c r="B29" s="16" t="str">
        <f ca="1">DFIE!$B$52</f>
        <v>Tessin</v>
      </c>
      <c r="C29" s="60">
        <v>81180310.266000003</v>
      </c>
      <c r="D29" s="119">
        <f t="shared" si="0"/>
        <v>1217704.65399</v>
      </c>
      <c r="E29" s="78"/>
      <c r="F29" s="122">
        <v>83003707.877000004</v>
      </c>
      <c r="G29" s="119">
        <f t="shared" si="1"/>
        <v>1245055.618155</v>
      </c>
      <c r="H29" s="78"/>
      <c r="I29" s="122">
        <v>87688851</v>
      </c>
      <c r="J29" s="119">
        <f t="shared" si="2"/>
        <v>1315332.7649999999</v>
      </c>
    </row>
    <row r="30" spans="1:10" ht="12.75" customHeight="1" x14ac:dyDescent="0.25">
      <c r="A30" s="44"/>
      <c r="B30" s="18" t="str">
        <f ca="1">DFIE!$B$53</f>
        <v>Waadt</v>
      </c>
      <c r="C30" s="59">
        <v>161789011.838</v>
      </c>
      <c r="D30" s="120">
        <f t="shared" si="0"/>
        <v>2426835.1775699998</v>
      </c>
      <c r="E30" s="78"/>
      <c r="F30" s="123">
        <v>166917741.146</v>
      </c>
      <c r="G30" s="120">
        <f t="shared" si="1"/>
        <v>2503766.1171899997</v>
      </c>
      <c r="H30" s="78"/>
      <c r="I30" s="123">
        <v>179266114.831</v>
      </c>
      <c r="J30" s="120">
        <f t="shared" si="2"/>
        <v>2688991.7224650001</v>
      </c>
    </row>
    <row r="31" spans="1:10" ht="12.75" customHeight="1" x14ac:dyDescent="0.25">
      <c r="A31" s="44"/>
      <c r="B31" s="16" t="str">
        <f ca="1">DFIE!$B$54</f>
        <v>Wallis</v>
      </c>
      <c r="C31" s="60">
        <v>60591530.559</v>
      </c>
      <c r="D31" s="119">
        <f t="shared" si="0"/>
        <v>908872.95838500001</v>
      </c>
      <c r="E31" s="78"/>
      <c r="F31" s="122">
        <v>62976805.037</v>
      </c>
      <c r="G31" s="119">
        <f t="shared" si="1"/>
        <v>944652.07555499999</v>
      </c>
      <c r="H31" s="78"/>
      <c r="I31" s="122">
        <v>70366475.834999993</v>
      </c>
      <c r="J31" s="119">
        <f t="shared" si="2"/>
        <v>1055497.1375249999</v>
      </c>
    </row>
    <row r="32" spans="1:10" ht="12.75" customHeight="1" x14ac:dyDescent="0.25">
      <c r="A32" s="44"/>
      <c r="B32" s="18" t="str">
        <f ca="1">DFIE!$B$55</f>
        <v>Neuenburg</v>
      </c>
      <c r="C32" s="59">
        <v>20415195.469999999</v>
      </c>
      <c r="D32" s="120">
        <f t="shared" si="0"/>
        <v>306227.93204999994</v>
      </c>
      <c r="E32" s="78"/>
      <c r="F32" s="123">
        <v>20997272.456</v>
      </c>
      <c r="G32" s="120">
        <f t="shared" si="1"/>
        <v>314959.08684</v>
      </c>
      <c r="H32" s="78"/>
      <c r="I32" s="123">
        <v>22040855.857000001</v>
      </c>
      <c r="J32" s="120">
        <f t="shared" si="2"/>
        <v>330612.83785499999</v>
      </c>
    </row>
    <row r="33" spans="1:10" ht="12.75" customHeight="1" x14ac:dyDescent="0.25">
      <c r="A33" s="44"/>
      <c r="B33" s="16" t="str">
        <f ca="1">DFIE!$B$56</f>
        <v>Genf</v>
      </c>
      <c r="C33" s="60">
        <v>155639304.19800001</v>
      </c>
      <c r="D33" s="119">
        <f t="shared" si="0"/>
        <v>2334589.5629700003</v>
      </c>
      <c r="E33" s="78"/>
      <c r="F33" s="122">
        <v>164455416.243</v>
      </c>
      <c r="G33" s="119">
        <f t="shared" si="1"/>
        <v>2466831.2436449998</v>
      </c>
      <c r="H33" s="78"/>
      <c r="I33" s="122">
        <v>176031024.15799999</v>
      </c>
      <c r="J33" s="119">
        <f t="shared" si="2"/>
        <v>2640465.3623699998</v>
      </c>
    </row>
    <row r="34" spans="1:10" ht="12.75" customHeight="1" x14ac:dyDescent="0.25">
      <c r="A34" s="44"/>
      <c r="B34" s="18" t="str">
        <f ca="1">DFIE!$B$57</f>
        <v>Jura</v>
      </c>
      <c r="C34" s="59">
        <v>7726887</v>
      </c>
      <c r="D34" s="120">
        <f t="shared" si="0"/>
        <v>115903.30499999999</v>
      </c>
      <c r="E34" s="78"/>
      <c r="F34" s="123">
        <v>7947361</v>
      </c>
      <c r="G34" s="120">
        <f t="shared" si="1"/>
        <v>119210.41499999999</v>
      </c>
      <c r="H34" s="78"/>
      <c r="I34" s="123">
        <v>8448402</v>
      </c>
      <c r="J34" s="120">
        <f t="shared" si="2"/>
        <v>126726.03</v>
      </c>
    </row>
    <row r="35" spans="1:10" ht="12.75" customHeight="1" x14ac:dyDescent="0.25">
      <c r="A35" s="42"/>
      <c r="B35" s="15" t="str">
        <f ca="1">DFIE!$B$58</f>
        <v>Schweiz</v>
      </c>
      <c r="C35" s="61">
        <f>SUM(C9:C34)</f>
        <v>2158416321.5420003</v>
      </c>
      <c r="D35" s="121">
        <f>SUM(D9:D34)</f>
        <v>32376244.823129997</v>
      </c>
      <c r="E35" s="77"/>
      <c r="F35" s="27">
        <f>SUM(F9:F34)</f>
        <v>2264852292.3059998</v>
      </c>
      <c r="G35" s="121">
        <f>SUM(G9:G34)</f>
        <v>33972784.38459</v>
      </c>
      <c r="H35" s="77"/>
      <c r="I35" s="27">
        <f>SUM(I9:I34)</f>
        <v>2445456355.1490002</v>
      </c>
      <c r="J35" s="121">
        <f>SUM(J9:J34)</f>
        <v>36681845.327234998</v>
      </c>
    </row>
    <row r="36" spans="1:10" ht="10.5" customHeight="1" x14ac:dyDescent="0.25">
      <c r="B36" s="77"/>
      <c r="C36" s="113"/>
      <c r="D36" s="113"/>
      <c r="E36" s="116"/>
      <c r="F36" s="114"/>
      <c r="G36" s="114"/>
      <c r="I36" s="52"/>
      <c r="J36" s="52"/>
    </row>
    <row r="37" spans="1:10" x14ac:dyDescent="0.25">
      <c r="A37" s="44"/>
      <c r="B37" s="44"/>
      <c r="C37" s="44"/>
      <c r="D37" s="44"/>
      <c r="E37" s="44"/>
      <c r="F37" s="44"/>
      <c r="G37" s="44"/>
      <c r="H37" s="44"/>
      <c r="I37" s="44"/>
      <c r="J37" s="44"/>
    </row>
    <row r="71" spans="2:4" x14ac:dyDescent="0.25">
      <c r="B71" s="77"/>
      <c r="C71" s="124"/>
      <c r="D71" s="124"/>
    </row>
  </sheetData>
  <mergeCells count="3">
    <mergeCell ref="C3:D3"/>
    <mergeCell ref="F3:G3"/>
    <mergeCell ref="I3:J3"/>
  </mergeCells>
  <conditionalFormatting sqref="C9:C34 F9:F34 I9:I34">
    <cfRule type="expression" dxfId="36" priority="13" stopIfTrue="1">
      <formula>ISBLANK(C9)</formula>
    </cfRule>
  </conditionalFormatting>
  <conditionalFormatting sqref="D6 G6">
    <cfRule type="expression" dxfId="35" priority="3" stopIfTrue="1">
      <formula>ISBLANK(D6)</formula>
    </cfRule>
  </conditionalFormatting>
  <pageMargins left="0.78740157480314965" right="0.47244094488188981" top="0.9055118110236221" bottom="0.78740157480314965" header="0.51181102362204722" footer="0.51181102362204722"/>
  <pageSetup paperSize="9" scale="92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6"/>
  <dimension ref="A1:Q91"/>
  <sheetViews>
    <sheetView showGridLines="0" zoomScaleNormal="100" workbookViewId="0">
      <pane ySplit="8" topLeftCell="A9" activePane="bottomLeft" state="frozen"/>
      <selection activeCell="J20" sqref="J20"/>
      <selection pane="bottomLeft" activeCell="A100" sqref="A100"/>
    </sheetView>
  </sheetViews>
  <sheetFormatPr baseColWidth="10" defaultColWidth="9.109375" defaultRowHeight="13.2" x14ac:dyDescent="0.25"/>
  <cols>
    <col min="1" max="1" width="4.44140625" customWidth="1"/>
    <col min="2" max="2" width="17.33203125" customWidth="1"/>
    <col min="3" max="6" width="16" customWidth="1"/>
    <col min="7" max="8" width="16.109375" customWidth="1"/>
    <col min="9" max="9" width="1.44140625" customWidth="1"/>
    <col min="10" max="10" width="3.33203125" customWidth="1"/>
    <col min="11" max="11" width="30.6640625" customWidth="1"/>
  </cols>
  <sheetData>
    <row r="1" spans="1:17" ht="22.5" customHeight="1" x14ac:dyDescent="0.3">
      <c r="B1" s="4" t="str">
        <f ca="1">DFIE!$B$133</f>
        <v>Gewinne juristischer Personen 2025</v>
      </c>
    </row>
    <row r="2" spans="1:17" ht="12" customHeight="1" x14ac:dyDescent="0.25">
      <c r="J2" s="42"/>
      <c r="K2" s="44"/>
      <c r="L2" s="44"/>
      <c r="M2" s="44"/>
      <c r="N2" s="44"/>
      <c r="O2" s="44"/>
      <c r="P2" s="42"/>
      <c r="Q2" s="44"/>
    </row>
    <row r="3" spans="1:17" ht="12" customHeight="1" x14ac:dyDescent="0.25">
      <c r="B3" s="32" t="str">
        <f ca="1">DFIE!$B$59</f>
        <v>Spalte</v>
      </c>
      <c r="C3" s="33" t="s">
        <v>30</v>
      </c>
      <c r="D3" s="33" t="s">
        <v>31</v>
      </c>
      <c r="E3" s="33" t="s">
        <v>32</v>
      </c>
      <c r="F3" s="107" t="s">
        <v>43</v>
      </c>
      <c r="G3" s="33" t="s">
        <v>42</v>
      </c>
      <c r="H3" s="34" t="s">
        <v>33</v>
      </c>
      <c r="K3" s="34" t="s">
        <v>519</v>
      </c>
      <c r="L3" s="34" t="s">
        <v>492</v>
      </c>
    </row>
    <row r="4" spans="1:17" ht="12" customHeight="1" x14ac:dyDescent="0.25">
      <c r="B4" s="32" t="str">
        <f ca="1">DFIE!$B$60</f>
        <v>Formel</v>
      </c>
      <c r="C4" s="35"/>
      <c r="D4" s="147" t="s">
        <v>757</v>
      </c>
      <c r="E4" s="35"/>
      <c r="F4" s="110" t="s">
        <v>758</v>
      </c>
      <c r="G4" s="147"/>
      <c r="H4" s="37" t="s">
        <v>746</v>
      </c>
      <c r="I4" s="44"/>
    </row>
    <row r="5" spans="1:17" ht="21" customHeight="1" x14ac:dyDescent="0.25">
      <c r="B5" s="154"/>
      <c r="C5" s="550" t="str">
        <f ca="1">DFIE!$B$134</f>
        <v>Massgebender Gewinn ehemaliger Statusgesellschaften</v>
      </c>
      <c r="D5" s="551"/>
      <c r="E5" s="551"/>
      <c r="F5" s="552"/>
      <c r="G5" s="553" t="str">
        <f ca="1">DFIE!$B$135</f>
        <v xml:space="preserve">Massgebender
Gewinn übriger
Unternehmen
</v>
      </c>
      <c r="H5" s="539" t="str">
        <f ca="1">DFIE!$B$139</f>
        <v>Massgebender
Gewinn
juristischer
Personen</v>
      </c>
      <c r="I5" s="44"/>
      <c r="K5" s="541" t="str">
        <f ca="1">DFIE!$B$142</f>
        <v>Beta-Faktoren
Zeta-Faktoren
Umbuchungsfaktor</v>
      </c>
      <c r="L5" s="542"/>
    </row>
    <row r="6" spans="1:17" ht="21" customHeight="1" x14ac:dyDescent="0.25">
      <c r="A6" s="44"/>
      <c r="B6" s="50"/>
      <c r="C6" s="547" t="str">
        <f ca="1">DFIE!$B$136</f>
        <v xml:space="preserve">        Betagewichtet</v>
      </c>
      <c r="D6" s="548"/>
      <c r="E6" s="548" t="str">
        <f ca="1">DFIE!$B$137</f>
        <v xml:space="preserve">        Zetagewichtet</v>
      </c>
      <c r="F6" s="549"/>
      <c r="G6" s="554"/>
      <c r="H6" s="522"/>
      <c r="I6" s="44"/>
      <c r="K6" s="543"/>
      <c r="L6" s="544"/>
    </row>
    <row r="7" spans="1:17" ht="30" customHeight="1" x14ac:dyDescent="0.25">
      <c r="A7" s="44"/>
      <c r="B7" s="153"/>
      <c r="C7" s="143" t="str">
        <f ca="1">DFIE!$B$140</f>
        <v>vor
Umbuchung</v>
      </c>
      <c r="D7" s="143" t="str">
        <f ca="1">DFIE!$B$141</f>
        <v>nach
Umbuchung</v>
      </c>
      <c r="E7" s="143" t="str">
        <f ca="1">DFIE!$B$140</f>
        <v>vor
Umbuchung</v>
      </c>
      <c r="F7" s="146" t="str">
        <f ca="1">DFIE!$B$141</f>
        <v>nach
Umbuchung</v>
      </c>
      <c r="G7" s="555"/>
      <c r="H7" s="540"/>
      <c r="I7" s="44"/>
      <c r="K7" s="543"/>
      <c r="L7" s="544"/>
    </row>
    <row r="8" spans="1:17" ht="12.75" customHeight="1" x14ac:dyDescent="0.25">
      <c r="B8" s="32" t="str">
        <f ca="1">DFIE!$B$62</f>
        <v>Einheit</v>
      </c>
      <c r="C8" s="38" t="str">
        <f ca="1">DFIE!$B$64</f>
        <v>CHF 1'000</v>
      </c>
      <c r="D8" s="38" t="str">
        <f ca="1">DFIE!$B$64</f>
        <v>CHF 1'000</v>
      </c>
      <c r="E8" s="38" t="str">
        <f ca="1">DFIE!$B$64</f>
        <v>CHF 1'000</v>
      </c>
      <c r="F8" s="111" t="str">
        <f ca="1">DFIE!$B$64</f>
        <v>CHF 1'000</v>
      </c>
      <c r="G8" s="38" t="str">
        <f ca="1">DFIE!$B$64</f>
        <v>CHF 1'000</v>
      </c>
      <c r="H8" s="39" t="str">
        <f ca="1">DFIE!$B$64</f>
        <v>CHF 1'000</v>
      </c>
      <c r="I8" s="1"/>
      <c r="K8" s="545"/>
      <c r="L8" s="546"/>
    </row>
    <row r="9" spans="1:17" ht="12.75" customHeight="1" x14ac:dyDescent="0.25">
      <c r="A9" s="536" t="str">
        <f ca="1">DFIE!$B$73</f>
        <v>Bemessungsjahr 2019</v>
      </c>
      <c r="B9" s="148" t="str">
        <f ca="1">DFIE!$B$32</f>
        <v>Zürich</v>
      </c>
      <c r="C9" s="57">
        <v>1694879.3072000002</v>
      </c>
      <c r="D9" s="92">
        <f t="shared" ref="D9:D34" si="0">$L$22*$C9</f>
        <v>1694879.3072000002</v>
      </c>
      <c r="E9" s="57">
        <v>0</v>
      </c>
      <c r="F9" s="139">
        <f t="shared" ref="F9:F34" si="1">$L$21*$E9</f>
        <v>0</v>
      </c>
      <c r="G9" s="504">
        <v>17150561.5</v>
      </c>
      <c r="H9" s="58">
        <f>SUM(D9,F9,G9)</f>
        <v>18845440.8072</v>
      </c>
      <c r="I9" s="131"/>
      <c r="K9" s="149"/>
      <c r="L9" s="150"/>
      <c r="N9" s="132"/>
      <c r="P9" s="132"/>
    </row>
    <row r="10" spans="1:17" x14ac:dyDescent="0.25">
      <c r="A10" s="536"/>
      <c r="B10" s="18" t="str">
        <f ca="1">DFIE!$B$33</f>
        <v>Bern</v>
      </c>
      <c r="C10" s="59">
        <v>413092.14889999991</v>
      </c>
      <c r="D10" s="93">
        <f t="shared" si="0"/>
        <v>413092.14889999991</v>
      </c>
      <c r="E10" s="59">
        <v>0</v>
      </c>
      <c r="F10" s="120">
        <f t="shared" si="1"/>
        <v>0</v>
      </c>
      <c r="G10" s="503">
        <v>6723568.7999999998</v>
      </c>
      <c r="H10" s="53">
        <f t="shared" ref="H10:H34" si="2">SUM(D10,F10,G10)</f>
        <v>7136660.9488999993</v>
      </c>
      <c r="I10" s="131"/>
      <c r="K10" s="151" t="str">
        <f ca="1">DFIE!$B$146</f>
        <v>Beta</v>
      </c>
      <c r="L10" s="152"/>
      <c r="N10" s="132"/>
      <c r="P10" s="132"/>
    </row>
    <row r="11" spans="1:17" x14ac:dyDescent="0.25">
      <c r="A11" s="536"/>
      <c r="B11" s="16" t="str">
        <f ca="1">DFIE!$B$34</f>
        <v>Luzern</v>
      </c>
      <c r="C11" s="60">
        <v>713241.83929999999</v>
      </c>
      <c r="D11" s="94">
        <f t="shared" si="0"/>
        <v>713241.83929999999</v>
      </c>
      <c r="E11" s="60">
        <v>0</v>
      </c>
      <c r="F11" s="119">
        <f t="shared" si="1"/>
        <v>0</v>
      </c>
      <c r="G11" s="502">
        <v>3494293</v>
      </c>
      <c r="H11" s="54">
        <f t="shared" si="2"/>
        <v>4207534.8393000001</v>
      </c>
      <c r="I11" s="131"/>
      <c r="K11" s="129" t="str">
        <f ca="1">DFIE!$B$147</f>
        <v>Holdinggesellschaften</v>
      </c>
      <c r="L11" s="140">
        <v>2.8000000000000001E-2</v>
      </c>
      <c r="N11" s="132"/>
      <c r="P11" s="132"/>
    </row>
    <row r="12" spans="1:17" x14ac:dyDescent="0.25">
      <c r="A12" s="536"/>
      <c r="B12" s="18" t="str">
        <f ca="1">DFIE!$B$35</f>
        <v>Uri</v>
      </c>
      <c r="C12" s="59">
        <v>1005.2093</v>
      </c>
      <c r="D12" s="93">
        <f t="shared" si="0"/>
        <v>1005.2093</v>
      </c>
      <c r="E12" s="59">
        <v>0</v>
      </c>
      <c r="F12" s="120">
        <f t="shared" si="1"/>
        <v>0</v>
      </c>
      <c r="G12" s="503">
        <v>196490.4</v>
      </c>
      <c r="H12" s="53">
        <f t="shared" si="2"/>
        <v>197495.60929999998</v>
      </c>
      <c r="I12" s="131"/>
      <c r="K12" s="129" t="str">
        <f ca="1">DFIE!$B$148</f>
        <v>Domizilgesellschaften</v>
      </c>
      <c r="L12" s="140">
        <v>0.124</v>
      </c>
      <c r="N12" s="132"/>
      <c r="P12" s="132"/>
    </row>
    <row r="13" spans="1:17" x14ac:dyDescent="0.25">
      <c r="A13" s="536"/>
      <c r="B13" s="16" t="str">
        <f ca="1">DFIE!$B$36</f>
        <v>Schwyz</v>
      </c>
      <c r="C13" s="60">
        <v>227045.23749999999</v>
      </c>
      <c r="D13" s="94">
        <f t="shared" si="0"/>
        <v>227045.23749999999</v>
      </c>
      <c r="E13" s="60">
        <v>0</v>
      </c>
      <c r="F13" s="119">
        <f t="shared" si="1"/>
        <v>0</v>
      </c>
      <c r="G13" s="502">
        <v>1793220.2</v>
      </c>
      <c r="H13" s="54">
        <f t="shared" si="2"/>
        <v>2020265.4375</v>
      </c>
      <c r="I13" s="131"/>
      <c r="K13" s="129" t="str">
        <f ca="1">DFIE!$B$149</f>
        <v>Gemischte Gesellschaften</v>
      </c>
      <c r="L13" s="140">
        <v>0.125</v>
      </c>
      <c r="N13" s="132"/>
      <c r="P13" s="132"/>
    </row>
    <row r="14" spans="1:17" x14ac:dyDescent="0.25">
      <c r="A14" s="536"/>
      <c r="B14" s="18" t="str">
        <f ca="1">DFIE!$B$37</f>
        <v>Obwalden</v>
      </c>
      <c r="C14" s="59">
        <v>25919.130499999999</v>
      </c>
      <c r="D14" s="93">
        <f t="shared" si="0"/>
        <v>25919.130499999999</v>
      </c>
      <c r="E14" s="59">
        <v>0</v>
      </c>
      <c r="F14" s="120">
        <f t="shared" si="1"/>
        <v>0</v>
      </c>
      <c r="G14" s="503">
        <v>281630.3</v>
      </c>
      <c r="H14" s="53">
        <f t="shared" si="2"/>
        <v>307549.43050000002</v>
      </c>
      <c r="I14" s="131"/>
      <c r="K14" s="129"/>
      <c r="L14" s="157"/>
      <c r="N14" s="132"/>
      <c r="P14" s="132"/>
    </row>
    <row r="15" spans="1:17" x14ac:dyDescent="0.25">
      <c r="A15" s="536"/>
      <c r="B15" s="16" t="str">
        <f ca="1">DFIE!$B$38</f>
        <v>Nidwalden</v>
      </c>
      <c r="C15" s="60">
        <v>35288.961900000002</v>
      </c>
      <c r="D15" s="94">
        <f t="shared" si="0"/>
        <v>35288.961900000002</v>
      </c>
      <c r="E15" s="60">
        <v>0</v>
      </c>
      <c r="F15" s="119">
        <f t="shared" si="1"/>
        <v>0</v>
      </c>
      <c r="G15" s="502">
        <v>506449</v>
      </c>
      <c r="H15" s="54">
        <f t="shared" si="2"/>
        <v>541737.96189999999</v>
      </c>
      <c r="I15" s="131"/>
      <c r="K15" s="151" t="str">
        <f ca="1">DFIE!$B$143</f>
        <v>Zeta</v>
      </c>
      <c r="L15" s="157"/>
      <c r="N15" s="132"/>
      <c r="P15" s="132"/>
    </row>
    <row r="16" spans="1:17" x14ac:dyDescent="0.25">
      <c r="A16" s="536"/>
      <c r="B16" s="18" t="str">
        <f ca="1">DFIE!$B$39</f>
        <v>Glarus</v>
      </c>
      <c r="C16" s="59">
        <v>44902.263599999998</v>
      </c>
      <c r="D16" s="93">
        <f t="shared" si="0"/>
        <v>44902.263599999998</v>
      </c>
      <c r="E16" s="59">
        <v>0</v>
      </c>
      <c r="F16" s="120">
        <f t="shared" si="1"/>
        <v>0</v>
      </c>
      <c r="G16" s="503">
        <v>202391.8</v>
      </c>
      <c r="H16" s="53">
        <f t="shared" si="2"/>
        <v>247294.06359999999</v>
      </c>
      <c r="I16" s="131"/>
      <c r="K16" s="129" t="str">
        <f ca="1">DFIE!$B$144</f>
        <v>Zeta-1</v>
      </c>
      <c r="L16" s="140">
        <v>0</v>
      </c>
      <c r="N16" s="132"/>
      <c r="P16" s="132"/>
    </row>
    <row r="17" spans="1:16" x14ac:dyDescent="0.25">
      <c r="A17" s="536"/>
      <c r="B17" s="16" t="str">
        <f ca="1">DFIE!$B$40</f>
        <v>Zug</v>
      </c>
      <c r="C17" s="60">
        <v>2423291.9164</v>
      </c>
      <c r="D17" s="94">
        <f t="shared" si="0"/>
        <v>2423291.9164</v>
      </c>
      <c r="E17" s="60">
        <v>0</v>
      </c>
      <c r="F17" s="119">
        <f t="shared" si="1"/>
        <v>0</v>
      </c>
      <c r="G17" s="502">
        <v>3515710.5</v>
      </c>
      <c r="H17" s="54">
        <f t="shared" si="2"/>
        <v>5939002.4164000005</v>
      </c>
      <c r="I17" s="131"/>
      <c r="K17" s="129" t="str">
        <f ca="1">DFIE!$B$145</f>
        <v>Zeta-2</v>
      </c>
      <c r="L17" s="140">
        <v>0</v>
      </c>
      <c r="N17" s="132"/>
      <c r="P17" s="132"/>
    </row>
    <row r="18" spans="1:16" x14ac:dyDescent="0.25">
      <c r="A18" s="536"/>
      <c r="B18" s="18" t="str">
        <f ca="1">DFIE!$B$41</f>
        <v>Freiburg</v>
      </c>
      <c r="C18" s="59">
        <v>374019.94380000001</v>
      </c>
      <c r="D18" s="93">
        <f t="shared" si="0"/>
        <v>374019.94380000001</v>
      </c>
      <c r="E18" s="59">
        <v>0</v>
      </c>
      <c r="F18" s="120">
        <f t="shared" si="1"/>
        <v>0</v>
      </c>
      <c r="G18" s="503">
        <v>1636853.3</v>
      </c>
      <c r="H18" s="53">
        <f t="shared" si="2"/>
        <v>2010873.2438000001</v>
      </c>
      <c r="I18" s="131"/>
      <c r="K18" s="129"/>
      <c r="L18" s="157"/>
      <c r="N18" s="132"/>
      <c r="P18" s="132"/>
    </row>
    <row r="19" spans="1:16" x14ac:dyDescent="0.25">
      <c r="A19" s="536"/>
      <c r="B19" s="16" t="str">
        <f ca="1">DFIE!$B$42</f>
        <v>Solothurn</v>
      </c>
      <c r="C19" s="60">
        <v>41503.6639</v>
      </c>
      <c r="D19" s="94">
        <f t="shared" si="0"/>
        <v>41503.6639</v>
      </c>
      <c r="E19" s="60">
        <v>0</v>
      </c>
      <c r="F19" s="119">
        <f t="shared" si="1"/>
        <v>0</v>
      </c>
      <c r="G19" s="502">
        <v>1247245.5</v>
      </c>
      <c r="H19" s="54">
        <f t="shared" si="2"/>
        <v>1288749.1639</v>
      </c>
      <c r="I19" s="131"/>
      <c r="K19" s="151" t="str">
        <f ca="1">DFIE!$B$150</f>
        <v xml:space="preserve">Umbuchung ehemalige </v>
      </c>
      <c r="L19" s="157"/>
      <c r="N19" s="132"/>
      <c r="P19" s="132"/>
    </row>
    <row r="20" spans="1:16" x14ac:dyDescent="0.25">
      <c r="A20" s="536"/>
      <c r="B20" s="18" t="str">
        <f ca="1">DFIE!$B$43</f>
        <v>Basel-Stadt</v>
      </c>
      <c r="C20" s="59">
        <v>967720.98510000005</v>
      </c>
      <c r="D20" s="93">
        <f t="shared" si="0"/>
        <v>967720.98510000005</v>
      </c>
      <c r="E20" s="59">
        <v>0</v>
      </c>
      <c r="F20" s="120">
        <f t="shared" si="1"/>
        <v>0</v>
      </c>
      <c r="G20" s="503">
        <v>4697037</v>
      </c>
      <c r="H20" s="53">
        <f t="shared" si="2"/>
        <v>5664757.9851000002</v>
      </c>
      <c r="I20" s="131"/>
      <c r="K20" s="151" t="str">
        <f ca="1">DFIE!$B$151</f>
        <v>Statusgesellschaften</v>
      </c>
      <c r="L20" s="157"/>
      <c r="N20" s="132"/>
      <c r="P20" s="132"/>
    </row>
    <row r="21" spans="1:16" x14ac:dyDescent="0.25">
      <c r="A21" s="536"/>
      <c r="B21" s="16" t="str">
        <f ca="1">DFIE!$B$44</f>
        <v>Basel-Landschaft</v>
      </c>
      <c r="C21" s="60">
        <v>689402.92279999994</v>
      </c>
      <c r="D21" s="94">
        <f t="shared" si="0"/>
        <v>689402.92279999994</v>
      </c>
      <c r="E21" s="60">
        <v>0</v>
      </c>
      <c r="F21" s="119">
        <f t="shared" si="1"/>
        <v>0</v>
      </c>
      <c r="G21" s="502">
        <v>1410179.4</v>
      </c>
      <c r="H21" s="54">
        <f t="shared" si="2"/>
        <v>2099582.3227999997</v>
      </c>
      <c r="I21" s="131"/>
      <c r="K21" s="129" t="str">
        <f ca="1">DFIE!$B$152</f>
        <v>Zetagewichtet (UF)</v>
      </c>
      <c r="L21" s="155">
        <v>0</v>
      </c>
      <c r="N21" s="132"/>
      <c r="P21" s="132"/>
    </row>
    <row r="22" spans="1:16" x14ac:dyDescent="0.25">
      <c r="A22" s="536"/>
      <c r="B22" s="18" t="str">
        <f ca="1">DFIE!$B$45</f>
        <v>Schaffhausen</v>
      </c>
      <c r="C22" s="59">
        <v>640752.51520000002</v>
      </c>
      <c r="D22" s="93">
        <f t="shared" si="0"/>
        <v>640752.51520000002</v>
      </c>
      <c r="E22" s="59">
        <v>0</v>
      </c>
      <c r="F22" s="120">
        <f t="shared" si="1"/>
        <v>0</v>
      </c>
      <c r="G22" s="503">
        <v>550981.4</v>
      </c>
      <c r="H22" s="53">
        <f t="shared" si="2"/>
        <v>1191733.9152000002</v>
      </c>
      <c r="I22" s="131"/>
      <c r="K22" s="130" t="str">
        <f ca="1">DFIE!$B$153</f>
        <v>Betagewichtet (1-UF)</v>
      </c>
      <c r="L22" s="158">
        <f>1-$L$21</f>
        <v>1</v>
      </c>
      <c r="N22" s="132"/>
      <c r="P22" s="132"/>
    </row>
    <row r="23" spans="1:16" x14ac:dyDescent="0.25">
      <c r="A23" s="536"/>
      <c r="B23" s="16" t="str">
        <f ca="1">DFIE!$B$46</f>
        <v>Appenzell A.Rh.</v>
      </c>
      <c r="C23" s="60">
        <v>21551.203599999997</v>
      </c>
      <c r="D23" s="94">
        <f t="shared" si="0"/>
        <v>21551.203599999997</v>
      </c>
      <c r="E23" s="60">
        <v>0</v>
      </c>
      <c r="F23" s="119">
        <f t="shared" si="1"/>
        <v>0</v>
      </c>
      <c r="G23" s="502">
        <v>371588.5</v>
      </c>
      <c r="H23" s="54">
        <f t="shared" si="2"/>
        <v>393139.70360000001</v>
      </c>
      <c r="I23" s="131"/>
      <c r="N23" s="132"/>
      <c r="P23" s="132"/>
    </row>
    <row r="24" spans="1:16" x14ac:dyDescent="0.25">
      <c r="A24" s="536"/>
      <c r="B24" s="18" t="str">
        <f ca="1">DFIE!$B$47</f>
        <v>Appenzell I.Rh.</v>
      </c>
      <c r="C24" s="59">
        <v>552.22330000000011</v>
      </c>
      <c r="D24" s="93">
        <f t="shared" si="0"/>
        <v>552.22330000000011</v>
      </c>
      <c r="E24" s="59">
        <v>0</v>
      </c>
      <c r="F24" s="120">
        <f t="shared" si="1"/>
        <v>0</v>
      </c>
      <c r="G24" s="503">
        <v>152018.29999999999</v>
      </c>
      <c r="H24" s="53">
        <f t="shared" si="2"/>
        <v>152570.5233</v>
      </c>
      <c r="I24" s="131"/>
      <c r="N24" s="132"/>
      <c r="P24" s="132"/>
    </row>
    <row r="25" spans="1:16" x14ac:dyDescent="0.25">
      <c r="A25" s="536"/>
      <c r="B25" s="16" t="str">
        <f ca="1">DFIE!$B$48</f>
        <v>St. Gallen</v>
      </c>
      <c r="C25" s="60">
        <v>386581.82140000002</v>
      </c>
      <c r="D25" s="94">
        <f t="shared" si="0"/>
        <v>386581.82140000002</v>
      </c>
      <c r="E25" s="60">
        <v>0</v>
      </c>
      <c r="F25" s="119">
        <f t="shared" si="1"/>
        <v>0</v>
      </c>
      <c r="G25" s="502">
        <v>3850521</v>
      </c>
      <c r="H25" s="54">
        <f t="shared" si="2"/>
        <v>4237102.8213999998</v>
      </c>
      <c r="I25" s="131"/>
      <c r="N25" s="132"/>
      <c r="P25" s="132"/>
    </row>
    <row r="26" spans="1:16" x14ac:dyDescent="0.25">
      <c r="A26" s="536"/>
      <c r="B26" s="18" t="str">
        <f ca="1">DFIE!$B$49</f>
        <v>Graubünden</v>
      </c>
      <c r="C26" s="59">
        <v>91778.012599999987</v>
      </c>
      <c r="D26" s="93">
        <f t="shared" si="0"/>
        <v>91778.012599999987</v>
      </c>
      <c r="E26" s="59">
        <v>0</v>
      </c>
      <c r="F26" s="120">
        <f t="shared" si="1"/>
        <v>0</v>
      </c>
      <c r="G26" s="503">
        <v>868680.7</v>
      </c>
      <c r="H26" s="53">
        <f t="shared" si="2"/>
        <v>960458.71259999997</v>
      </c>
      <c r="I26" s="131"/>
      <c r="N26" s="132"/>
      <c r="P26" s="132"/>
    </row>
    <row r="27" spans="1:16" x14ac:dyDescent="0.25">
      <c r="A27" s="536"/>
      <c r="B27" s="16" t="str">
        <f ca="1">DFIE!$B$50</f>
        <v>Aargau</v>
      </c>
      <c r="C27" s="60">
        <v>39946.658100000001</v>
      </c>
      <c r="D27" s="94">
        <f t="shared" si="0"/>
        <v>39946.658100000001</v>
      </c>
      <c r="E27" s="60">
        <v>0</v>
      </c>
      <c r="F27" s="119">
        <f t="shared" si="1"/>
        <v>0</v>
      </c>
      <c r="G27" s="502">
        <v>3380976.7</v>
      </c>
      <c r="H27" s="54">
        <f t="shared" si="2"/>
        <v>3420923.3581000003</v>
      </c>
      <c r="I27" s="131"/>
      <c r="N27" s="132"/>
      <c r="P27" s="132"/>
    </row>
    <row r="28" spans="1:16" x14ac:dyDescent="0.25">
      <c r="A28" s="536"/>
      <c r="B28" s="18" t="str">
        <f ca="1">DFIE!$B$51</f>
        <v>Thurgau</v>
      </c>
      <c r="C28" s="59">
        <v>17797.312000000002</v>
      </c>
      <c r="D28" s="93">
        <f t="shared" si="0"/>
        <v>17797.312000000002</v>
      </c>
      <c r="E28" s="59">
        <v>0</v>
      </c>
      <c r="F28" s="120">
        <f t="shared" si="1"/>
        <v>0</v>
      </c>
      <c r="G28" s="503">
        <v>1717035.1</v>
      </c>
      <c r="H28" s="53">
        <f t="shared" si="2"/>
        <v>1734832.412</v>
      </c>
      <c r="I28" s="131"/>
      <c r="N28" s="132"/>
      <c r="P28" s="132"/>
    </row>
    <row r="29" spans="1:16" x14ac:dyDescent="0.25">
      <c r="A29" s="536"/>
      <c r="B29" s="16" t="str">
        <f ca="1">DFIE!$B$52</f>
        <v>Tessin</v>
      </c>
      <c r="C29" s="60">
        <v>140313.59849999999</v>
      </c>
      <c r="D29" s="94">
        <f t="shared" si="0"/>
        <v>140313.59849999999</v>
      </c>
      <c r="E29" s="60">
        <v>0</v>
      </c>
      <c r="F29" s="119">
        <f t="shared" si="1"/>
        <v>0</v>
      </c>
      <c r="G29" s="502">
        <v>2188955.2999999998</v>
      </c>
      <c r="H29" s="54">
        <f t="shared" si="2"/>
        <v>2329268.8984999997</v>
      </c>
      <c r="I29" s="131"/>
      <c r="N29" s="132"/>
      <c r="P29" s="132"/>
    </row>
    <row r="30" spans="1:16" x14ac:dyDescent="0.25">
      <c r="A30" s="536"/>
      <c r="B30" s="18" t="str">
        <f ca="1">DFIE!$B$53</f>
        <v>Waadt</v>
      </c>
      <c r="C30" s="59">
        <v>2346760.6439999999</v>
      </c>
      <c r="D30" s="93">
        <f t="shared" si="0"/>
        <v>2346760.6439999999</v>
      </c>
      <c r="E30" s="59">
        <v>0</v>
      </c>
      <c r="F30" s="120">
        <f t="shared" si="1"/>
        <v>0</v>
      </c>
      <c r="G30" s="503">
        <v>4986299.5</v>
      </c>
      <c r="H30" s="53">
        <f t="shared" si="2"/>
        <v>7333060.1439999994</v>
      </c>
      <c r="I30" s="131"/>
      <c r="N30" s="132"/>
      <c r="P30" s="132"/>
    </row>
    <row r="31" spans="1:16" x14ac:dyDescent="0.25">
      <c r="A31" s="536"/>
      <c r="B31" s="16" t="str">
        <f ca="1">DFIE!$B$54</f>
        <v>Wallis</v>
      </c>
      <c r="C31" s="60">
        <v>7244.4521000000004</v>
      </c>
      <c r="D31" s="94">
        <f t="shared" si="0"/>
        <v>7244.4521000000004</v>
      </c>
      <c r="E31" s="60">
        <v>0</v>
      </c>
      <c r="F31" s="119">
        <f t="shared" si="1"/>
        <v>0</v>
      </c>
      <c r="G31" s="502">
        <v>1294116.3</v>
      </c>
      <c r="H31" s="54">
        <f t="shared" si="2"/>
        <v>1301360.7521000002</v>
      </c>
      <c r="I31" s="131"/>
      <c r="N31" s="132"/>
      <c r="P31" s="132"/>
    </row>
    <row r="32" spans="1:16" x14ac:dyDescent="0.25">
      <c r="A32" s="536"/>
      <c r="B32" s="18" t="str">
        <f ca="1">DFIE!$B$55</f>
        <v>Neuenburg</v>
      </c>
      <c r="C32" s="59">
        <v>98566.552499999991</v>
      </c>
      <c r="D32" s="93">
        <f t="shared" si="0"/>
        <v>98566.552499999991</v>
      </c>
      <c r="E32" s="59">
        <v>0</v>
      </c>
      <c r="F32" s="120">
        <f t="shared" si="1"/>
        <v>0</v>
      </c>
      <c r="G32" s="503">
        <v>1083771.3999999999</v>
      </c>
      <c r="H32" s="53">
        <f t="shared" si="2"/>
        <v>1182337.9524999999</v>
      </c>
      <c r="I32" s="131"/>
      <c r="N32" s="132"/>
      <c r="P32" s="132"/>
    </row>
    <row r="33" spans="1:16" x14ac:dyDescent="0.25">
      <c r="A33" s="536"/>
      <c r="B33" s="16" t="str">
        <f ca="1">DFIE!$B$56</f>
        <v>Genf</v>
      </c>
      <c r="C33" s="60">
        <v>2296164.7007999998</v>
      </c>
      <c r="D33" s="94">
        <f t="shared" si="0"/>
        <v>2296164.7007999998</v>
      </c>
      <c r="E33" s="60">
        <v>0</v>
      </c>
      <c r="F33" s="119">
        <f t="shared" si="1"/>
        <v>0</v>
      </c>
      <c r="G33" s="502">
        <v>5134009.9000000004</v>
      </c>
      <c r="H33" s="54">
        <f t="shared" si="2"/>
        <v>7430174.6008000001</v>
      </c>
      <c r="I33" s="131"/>
      <c r="N33" s="132"/>
      <c r="P33" s="132"/>
    </row>
    <row r="34" spans="1:16" x14ac:dyDescent="0.25">
      <c r="A34" s="536"/>
      <c r="B34" s="18" t="str">
        <f ca="1">DFIE!$B$57</f>
        <v>Jura</v>
      </c>
      <c r="C34" s="59">
        <v>26437.174399999996</v>
      </c>
      <c r="D34" s="93">
        <f t="shared" si="0"/>
        <v>26437.174399999996</v>
      </c>
      <c r="E34" s="59">
        <v>0</v>
      </c>
      <c r="F34" s="120">
        <f t="shared" si="1"/>
        <v>0</v>
      </c>
      <c r="G34" s="503">
        <v>516232.6</v>
      </c>
      <c r="H34" s="53">
        <f t="shared" si="2"/>
        <v>542669.77439999999</v>
      </c>
      <c r="I34" s="131"/>
      <c r="K34" s="42"/>
      <c r="L34" s="42"/>
      <c r="N34" s="132"/>
      <c r="P34" s="132"/>
    </row>
    <row r="35" spans="1:16" x14ac:dyDescent="0.25">
      <c r="A35" s="536"/>
      <c r="B35" s="15" t="str">
        <f ca="1">DFIE!$B$58</f>
        <v>Schweiz</v>
      </c>
      <c r="C35" s="61">
        <f t="shared" ref="C35:H35" si="3">SUM(C9:C34)</f>
        <v>13765760.398699999</v>
      </c>
      <c r="D35" s="61">
        <f t="shared" si="3"/>
        <v>13765760.398699999</v>
      </c>
      <c r="E35" s="61">
        <f t="shared" si="3"/>
        <v>0</v>
      </c>
      <c r="F35" s="121">
        <f t="shared" si="3"/>
        <v>0</v>
      </c>
      <c r="G35" s="55">
        <f t="shared" si="3"/>
        <v>68950817.399999991</v>
      </c>
      <c r="H35" s="55">
        <f t="shared" si="3"/>
        <v>82716577.798700005</v>
      </c>
      <c r="I35" s="133"/>
      <c r="N35" s="132"/>
      <c r="P35" s="132"/>
    </row>
    <row r="36" spans="1:16" ht="15" customHeight="1" x14ac:dyDescent="0.25">
      <c r="A36" s="69"/>
      <c r="C36" s="46"/>
      <c r="D36" s="46"/>
      <c r="E36" s="46"/>
      <c r="F36" s="46"/>
      <c r="G36" s="46"/>
      <c r="H36" s="46"/>
      <c r="I36" s="44"/>
      <c r="K36" s="44"/>
      <c r="L36" s="44"/>
      <c r="P36" s="132"/>
    </row>
    <row r="37" spans="1:16" ht="12.75" customHeight="1" x14ac:dyDescent="0.25">
      <c r="A37" s="537" t="str">
        <f ca="1">DFIE!$B$74</f>
        <v>Bemessungsjahr 2020</v>
      </c>
      <c r="B37" s="148" t="str">
        <f ca="1">DFIE!$B$32</f>
        <v>Zürich</v>
      </c>
      <c r="C37" s="144">
        <v>895276.95029200008</v>
      </c>
      <c r="D37" s="92">
        <f t="shared" ref="D37:D62" si="4">$L$50*$C37</f>
        <v>895276.95029200008</v>
      </c>
      <c r="E37" s="57">
        <v>1627471.7402600001</v>
      </c>
      <c r="F37" s="139">
        <f t="shared" ref="F37:F62" si="5">$L$49*$E37</f>
        <v>0</v>
      </c>
      <c r="G37" s="504">
        <v>5069596.8349175202</v>
      </c>
      <c r="H37" s="58">
        <f>SUM(D37,F37,G37)</f>
        <v>5964873.7852095198</v>
      </c>
      <c r="I37" s="134"/>
      <c r="K37" s="149"/>
      <c r="L37" s="150"/>
      <c r="N37" s="132"/>
      <c r="P37" s="132"/>
    </row>
    <row r="38" spans="1:16" x14ac:dyDescent="0.25">
      <c r="A38" s="537"/>
      <c r="B38" s="18" t="str">
        <f ca="1">DFIE!$B$33</f>
        <v>Bern</v>
      </c>
      <c r="C38" s="59">
        <v>242484.23332999999</v>
      </c>
      <c r="D38" s="93">
        <f t="shared" si="4"/>
        <v>242484.23332999999</v>
      </c>
      <c r="E38" s="59">
        <v>487165.44156000001</v>
      </c>
      <c r="F38" s="120">
        <f t="shared" si="5"/>
        <v>0</v>
      </c>
      <c r="G38" s="503">
        <v>2094139.2614147202</v>
      </c>
      <c r="H38" s="53">
        <f t="shared" ref="H38:H62" si="6">SUM(D38,F38,G38)</f>
        <v>2336623.4947447204</v>
      </c>
      <c r="I38" s="134"/>
      <c r="K38" s="151" t="str">
        <f ca="1">DFIE!$B$146</f>
        <v>Beta</v>
      </c>
      <c r="L38" s="152"/>
      <c r="N38" s="132"/>
      <c r="P38" s="132"/>
    </row>
    <row r="39" spans="1:16" x14ac:dyDescent="0.25">
      <c r="A39" s="537"/>
      <c r="B39" s="16" t="str">
        <f ca="1">DFIE!$B$34</f>
        <v>Luzern</v>
      </c>
      <c r="C39" s="60">
        <v>352907.39228000003</v>
      </c>
      <c r="D39" s="94">
        <f t="shared" si="4"/>
        <v>352907.39228000003</v>
      </c>
      <c r="E39" s="60">
        <v>947346.73790000007</v>
      </c>
      <c r="F39" s="119">
        <f t="shared" si="5"/>
        <v>0</v>
      </c>
      <c r="G39" s="502">
        <v>1273603.8925439999</v>
      </c>
      <c r="H39" s="54">
        <f t="shared" si="6"/>
        <v>1626511.284824</v>
      </c>
      <c r="I39" s="134"/>
      <c r="K39" s="129" t="str">
        <f ca="1">DFIE!$B$147</f>
        <v>Holdinggesellschaften</v>
      </c>
      <c r="L39" s="140">
        <v>2.8000000000000001E-2</v>
      </c>
      <c r="N39" s="132"/>
      <c r="P39" s="132"/>
    </row>
    <row r="40" spans="1:16" x14ac:dyDescent="0.25">
      <c r="A40" s="537"/>
      <c r="B40" s="18" t="str">
        <f ca="1">DFIE!$B$35</f>
        <v>Uri</v>
      </c>
      <c r="C40" s="59">
        <v>780.81603999999993</v>
      </c>
      <c r="D40" s="93">
        <f t="shared" si="4"/>
        <v>780.81603999999993</v>
      </c>
      <c r="E40" s="59">
        <v>8025.7496400000009</v>
      </c>
      <c r="F40" s="120">
        <f t="shared" si="5"/>
        <v>0</v>
      </c>
      <c r="G40" s="503">
        <v>60024.102859999999</v>
      </c>
      <c r="H40" s="53">
        <f t="shared" si="6"/>
        <v>60804.918899999997</v>
      </c>
      <c r="I40" s="134"/>
      <c r="K40" s="129" t="str">
        <f ca="1">DFIE!$B$148</f>
        <v>Domizilgesellschaften</v>
      </c>
      <c r="L40" s="140">
        <v>0.124</v>
      </c>
      <c r="N40" s="132"/>
      <c r="P40" s="132"/>
    </row>
    <row r="41" spans="1:16" x14ac:dyDescent="0.25">
      <c r="A41" s="537"/>
      <c r="B41" s="16" t="str">
        <f ca="1">DFIE!$B$36</f>
        <v>Schwyz</v>
      </c>
      <c r="C41" s="60">
        <v>216029.89293700003</v>
      </c>
      <c r="D41" s="94">
        <f t="shared" si="4"/>
        <v>216029.89293700003</v>
      </c>
      <c r="E41" s="60">
        <v>472190.13034000003</v>
      </c>
      <c r="F41" s="119">
        <f t="shared" si="5"/>
        <v>0</v>
      </c>
      <c r="G41" s="502">
        <v>620142.72928384005</v>
      </c>
      <c r="H41" s="54">
        <f t="shared" si="6"/>
        <v>836172.62222084007</v>
      </c>
      <c r="I41" s="134"/>
      <c r="K41" s="129" t="str">
        <f ca="1">DFIE!$B$149</f>
        <v>Gemischte Gesellschaften</v>
      </c>
      <c r="L41" s="140">
        <v>0.125</v>
      </c>
      <c r="N41" s="132"/>
      <c r="P41" s="132"/>
    </row>
    <row r="42" spans="1:16" x14ac:dyDescent="0.25">
      <c r="A42" s="537"/>
      <c r="B42" s="18" t="str">
        <f ca="1">DFIE!$B$37</f>
        <v>Obwalden</v>
      </c>
      <c r="C42" s="59">
        <v>18453.519368000001</v>
      </c>
      <c r="D42" s="93">
        <f t="shared" si="4"/>
        <v>18453.519368000001</v>
      </c>
      <c r="E42" s="59">
        <v>48702.769260000008</v>
      </c>
      <c r="F42" s="120">
        <f t="shared" si="5"/>
        <v>0</v>
      </c>
      <c r="G42" s="503">
        <v>95889.389142159984</v>
      </c>
      <c r="H42" s="53">
        <f t="shared" si="6"/>
        <v>114342.90851015999</v>
      </c>
      <c r="I42" s="134"/>
      <c r="K42" s="129"/>
      <c r="L42" s="157"/>
      <c r="N42" s="132"/>
      <c r="P42" s="132"/>
    </row>
    <row r="43" spans="1:16" x14ac:dyDescent="0.25">
      <c r="A43" s="537"/>
      <c r="B43" s="16" t="str">
        <f ca="1">DFIE!$B$38</f>
        <v>Nidwalden</v>
      </c>
      <c r="C43" s="60">
        <v>45616.057440000004</v>
      </c>
      <c r="D43" s="94">
        <f t="shared" si="4"/>
        <v>45616.057440000004</v>
      </c>
      <c r="E43" s="60">
        <v>126960.27006000001</v>
      </c>
      <c r="F43" s="119">
        <f t="shared" si="5"/>
        <v>0</v>
      </c>
      <c r="G43" s="502">
        <v>141911.59789896</v>
      </c>
      <c r="H43" s="54">
        <f t="shared" si="6"/>
        <v>187527.65533896</v>
      </c>
      <c r="I43" s="134"/>
      <c r="K43" s="151" t="str">
        <f ca="1">DFIE!$B$143</f>
        <v>Zeta</v>
      </c>
      <c r="L43" s="157"/>
      <c r="N43" s="132"/>
      <c r="P43" s="132"/>
    </row>
    <row r="44" spans="1:16" x14ac:dyDescent="0.25">
      <c r="A44" s="537"/>
      <c r="B44" s="18" t="str">
        <f ca="1">DFIE!$B$39</f>
        <v>Glarus</v>
      </c>
      <c r="C44" s="59">
        <v>28337.196867999999</v>
      </c>
      <c r="D44" s="93">
        <f t="shared" si="4"/>
        <v>28337.196867999999</v>
      </c>
      <c r="E44" s="59">
        <v>46025.499100000001</v>
      </c>
      <c r="F44" s="120">
        <f t="shared" si="5"/>
        <v>0</v>
      </c>
      <c r="G44" s="503">
        <v>75628.188320000001</v>
      </c>
      <c r="H44" s="53">
        <f t="shared" si="6"/>
        <v>103965.385188</v>
      </c>
      <c r="I44" s="134"/>
      <c r="K44" s="129" t="str">
        <f ca="1">DFIE!$B$144</f>
        <v>Zeta-1</v>
      </c>
      <c r="L44" s="140">
        <v>0.34</v>
      </c>
      <c r="N44" s="132"/>
      <c r="P44" s="132"/>
    </row>
    <row r="45" spans="1:16" x14ac:dyDescent="0.25">
      <c r="A45" s="537"/>
      <c r="B45" s="16" t="str">
        <f ca="1">DFIE!$B$40</f>
        <v>Zug</v>
      </c>
      <c r="C45" s="60">
        <v>1488765.621734</v>
      </c>
      <c r="D45" s="94">
        <f t="shared" si="4"/>
        <v>1488765.621734</v>
      </c>
      <c r="E45" s="60">
        <v>3482846.6424360001</v>
      </c>
      <c r="F45" s="119">
        <f t="shared" si="5"/>
        <v>0</v>
      </c>
      <c r="G45" s="502">
        <v>1454231.9737600002</v>
      </c>
      <c r="H45" s="54">
        <f t="shared" si="6"/>
        <v>2942997.5954940002</v>
      </c>
      <c r="I45" s="134"/>
      <c r="K45" s="129" t="str">
        <f ca="1">DFIE!$B$145</f>
        <v>Zeta-2</v>
      </c>
      <c r="L45" s="140">
        <v>0.316</v>
      </c>
      <c r="N45" s="132"/>
      <c r="P45" s="132"/>
    </row>
    <row r="46" spans="1:16" x14ac:dyDescent="0.25">
      <c r="A46" s="537"/>
      <c r="B46" s="18" t="str">
        <f ca="1">DFIE!$B$41</f>
        <v>Freiburg</v>
      </c>
      <c r="C46" s="59">
        <v>430200.05506899999</v>
      </c>
      <c r="D46" s="93">
        <f t="shared" si="4"/>
        <v>430200.05506899999</v>
      </c>
      <c r="E46" s="59">
        <v>670397.33498128003</v>
      </c>
      <c r="F46" s="120">
        <f t="shared" si="5"/>
        <v>0</v>
      </c>
      <c r="G46" s="503">
        <v>634725.72580000013</v>
      </c>
      <c r="H46" s="53">
        <f t="shared" si="6"/>
        <v>1064925.7808690001</v>
      </c>
      <c r="I46" s="134"/>
      <c r="K46" s="129"/>
      <c r="L46" s="157"/>
      <c r="N46" s="132"/>
      <c r="P46" s="132"/>
    </row>
    <row r="47" spans="1:16" x14ac:dyDescent="0.25">
      <c r="A47" s="537"/>
      <c r="B47" s="16" t="str">
        <f ca="1">DFIE!$B$42</f>
        <v>Solothurn</v>
      </c>
      <c r="C47" s="60">
        <v>26775.455073999998</v>
      </c>
      <c r="D47" s="94">
        <f t="shared" si="4"/>
        <v>26775.455073999998</v>
      </c>
      <c r="E47" s="60">
        <v>37229.13164</v>
      </c>
      <c r="F47" s="119">
        <f t="shared" si="5"/>
        <v>0</v>
      </c>
      <c r="G47" s="502">
        <v>471042.76654400001</v>
      </c>
      <c r="H47" s="54">
        <f t="shared" si="6"/>
        <v>497818.22161800001</v>
      </c>
      <c r="I47" s="134"/>
      <c r="K47" s="151" t="str">
        <f ca="1">DFIE!$B$150</f>
        <v xml:space="preserve">Umbuchung ehemalige </v>
      </c>
      <c r="L47" s="157"/>
      <c r="N47" s="132"/>
      <c r="P47" s="132"/>
    </row>
    <row r="48" spans="1:16" x14ac:dyDescent="0.25">
      <c r="A48" s="537"/>
      <c r="B48" s="18" t="str">
        <f ca="1">DFIE!$B$43</f>
        <v>Basel-Stadt</v>
      </c>
      <c r="C48" s="59">
        <v>1410724.7306329999</v>
      </c>
      <c r="D48" s="93">
        <f t="shared" si="4"/>
        <v>1410724.7306329999</v>
      </c>
      <c r="E48" s="59">
        <v>4850288.1786439996</v>
      </c>
      <c r="F48" s="120">
        <f t="shared" si="5"/>
        <v>0</v>
      </c>
      <c r="G48" s="503">
        <v>706392.55086399999</v>
      </c>
      <c r="H48" s="53">
        <f t="shared" si="6"/>
        <v>2117117.2814969998</v>
      </c>
      <c r="I48" s="134"/>
      <c r="K48" s="151" t="str">
        <f ca="1">DFIE!$B$151</f>
        <v>Statusgesellschaften</v>
      </c>
      <c r="L48" s="157"/>
      <c r="N48" s="132"/>
      <c r="P48" s="132"/>
    </row>
    <row r="49" spans="1:16" x14ac:dyDescent="0.25">
      <c r="A49" s="537"/>
      <c r="B49" s="16" t="str">
        <f ca="1">DFIE!$B$44</f>
        <v>Basel-Landschaft</v>
      </c>
      <c r="C49" s="60">
        <v>312443.68871699995</v>
      </c>
      <c r="D49" s="94">
        <f t="shared" si="4"/>
        <v>312443.68871699995</v>
      </c>
      <c r="E49" s="60">
        <v>601802.24955016002</v>
      </c>
      <c r="F49" s="119">
        <f t="shared" si="5"/>
        <v>0</v>
      </c>
      <c r="G49" s="502">
        <v>508669.31107904005</v>
      </c>
      <c r="H49" s="54">
        <f t="shared" si="6"/>
        <v>821112.99979604001</v>
      </c>
      <c r="I49" s="134"/>
      <c r="K49" s="129" t="str">
        <f ca="1">DFIE!$B$152</f>
        <v>Zetagewichtet (UF)</v>
      </c>
      <c r="L49" s="155">
        <v>0</v>
      </c>
      <c r="N49" s="132"/>
      <c r="P49" s="132"/>
    </row>
    <row r="50" spans="1:16" x14ac:dyDescent="0.25">
      <c r="A50" s="537"/>
      <c r="B50" s="18" t="str">
        <f ca="1">DFIE!$B$45</f>
        <v>Schaffhausen</v>
      </c>
      <c r="C50" s="59">
        <v>587535.89495999995</v>
      </c>
      <c r="D50" s="93">
        <f t="shared" si="4"/>
        <v>587535.89495999995</v>
      </c>
      <c r="E50" s="59">
        <v>1410751.5888600003</v>
      </c>
      <c r="F50" s="120">
        <f t="shared" si="5"/>
        <v>0</v>
      </c>
      <c r="G50" s="503">
        <v>175907.33374</v>
      </c>
      <c r="H50" s="53">
        <f t="shared" si="6"/>
        <v>763443.22869999998</v>
      </c>
      <c r="I50" s="134"/>
      <c r="K50" s="130" t="str">
        <f ca="1">DFIE!$B$153</f>
        <v>Betagewichtet (1-UF)</v>
      </c>
      <c r="L50" s="158">
        <f>1-$L$49</f>
        <v>1</v>
      </c>
      <c r="N50" s="132"/>
      <c r="P50" s="132"/>
    </row>
    <row r="51" spans="1:16" x14ac:dyDescent="0.25">
      <c r="A51" s="537"/>
      <c r="B51" s="16" t="str">
        <f ca="1">DFIE!$B$46</f>
        <v>Appenzell A.Rh.</v>
      </c>
      <c r="C51" s="60">
        <v>28188.623267999999</v>
      </c>
      <c r="D51" s="94">
        <f t="shared" si="4"/>
        <v>28188.623267999999</v>
      </c>
      <c r="E51" s="60">
        <v>70387.116540000003</v>
      </c>
      <c r="F51" s="119">
        <f t="shared" si="5"/>
        <v>0</v>
      </c>
      <c r="G51" s="502">
        <v>110643.44702000001</v>
      </c>
      <c r="H51" s="54">
        <f t="shared" si="6"/>
        <v>138832.07028800002</v>
      </c>
      <c r="I51" s="134"/>
      <c r="N51" s="132"/>
      <c r="P51" s="132"/>
    </row>
    <row r="52" spans="1:16" x14ac:dyDescent="0.25">
      <c r="A52" s="537"/>
      <c r="B52" s="18" t="str">
        <f ca="1">DFIE!$B$47</f>
        <v>Appenzell I.Rh.</v>
      </c>
      <c r="C52" s="59">
        <v>307.36823600000002</v>
      </c>
      <c r="D52" s="93">
        <f t="shared" si="4"/>
        <v>307.36823600000002</v>
      </c>
      <c r="E52" s="59">
        <v>3096.2650800000001</v>
      </c>
      <c r="F52" s="120">
        <f t="shared" si="5"/>
        <v>0</v>
      </c>
      <c r="G52" s="503">
        <v>59866.342520000006</v>
      </c>
      <c r="H52" s="53">
        <f t="shared" si="6"/>
        <v>60173.710756000008</v>
      </c>
      <c r="I52" s="134"/>
      <c r="N52" s="132"/>
      <c r="P52" s="132"/>
    </row>
    <row r="53" spans="1:16" x14ac:dyDescent="0.25">
      <c r="A53" s="537"/>
      <c r="B53" s="16" t="str">
        <f ca="1">DFIE!$B$48</f>
        <v>St. Gallen</v>
      </c>
      <c r="C53" s="60">
        <v>131236.768935</v>
      </c>
      <c r="D53" s="94">
        <f t="shared" si="4"/>
        <v>131236.768935</v>
      </c>
      <c r="E53" s="60">
        <v>241986.29346088006</v>
      </c>
      <c r="F53" s="119">
        <f t="shared" si="5"/>
        <v>0</v>
      </c>
      <c r="G53" s="502">
        <v>1443314.5068888001</v>
      </c>
      <c r="H53" s="54">
        <f t="shared" si="6"/>
        <v>1574551.2758238001</v>
      </c>
      <c r="I53" s="134"/>
      <c r="N53" s="132"/>
      <c r="P53" s="132"/>
    </row>
    <row r="54" spans="1:16" x14ac:dyDescent="0.25">
      <c r="A54" s="537"/>
      <c r="B54" s="18" t="str">
        <f ca="1">DFIE!$B$49</f>
        <v>Graubünden</v>
      </c>
      <c r="C54" s="59">
        <v>135909.914662</v>
      </c>
      <c r="D54" s="93">
        <f t="shared" si="4"/>
        <v>135909.914662</v>
      </c>
      <c r="E54" s="59">
        <v>123524.03320000001</v>
      </c>
      <c r="F54" s="120">
        <f t="shared" si="5"/>
        <v>0</v>
      </c>
      <c r="G54" s="503">
        <v>399033.32722000004</v>
      </c>
      <c r="H54" s="53">
        <f t="shared" si="6"/>
        <v>534943.241882</v>
      </c>
      <c r="I54" s="134"/>
      <c r="N54" s="132"/>
      <c r="P54" s="132"/>
    </row>
    <row r="55" spans="1:16" x14ac:dyDescent="0.25">
      <c r="A55" s="537"/>
      <c r="B55" s="16" t="str">
        <f ca="1">DFIE!$B$50</f>
        <v>Aargau</v>
      </c>
      <c r="C55" s="60">
        <v>61454.629129999994</v>
      </c>
      <c r="D55" s="94">
        <f t="shared" si="4"/>
        <v>61454.629129999994</v>
      </c>
      <c r="E55" s="60">
        <v>110849.89850704001</v>
      </c>
      <c r="F55" s="119">
        <f t="shared" si="5"/>
        <v>0</v>
      </c>
      <c r="G55" s="502">
        <v>1121724.7050600001</v>
      </c>
      <c r="H55" s="54">
        <f t="shared" si="6"/>
        <v>1183179.3341900001</v>
      </c>
      <c r="I55" s="134"/>
      <c r="N55" s="132"/>
      <c r="P55" s="132"/>
    </row>
    <row r="56" spans="1:16" x14ac:dyDescent="0.25">
      <c r="A56" s="537"/>
      <c r="B56" s="18" t="str">
        <f ca="1">DFIE!$B$51</f>
        <v>Thurgau</v>
      </c>
      <c r="C56" s="59">
        <v>11948.913312000001</v>
      </c>
      <c r="D56" s="93">
        <f t="shared" si="4"/>
        <v>11948.913312000001</v>
      </c>
      <c r="E56" s="59">
        <v>45219.543380000003</v>
      </c>
      <c r="F56" s="120">
        <f t="shared" si="5"/>
        <v>0</v>
      </c>
      <c r="G56" s="503">
        <v>696261.81914559996</v>
      </c>
      <c r="H56" s="53">
        <f t="shared" si="6"/>
        <v>708210.73245759995</v>
      </c>
      <c r="I56" s="134"/>
      <c r="N56" s="132"/>
      <c r="P56" s="132"/>
    </row>
    <row r="57" spans="1:16" x14ac:dyDescent="0.25">
      <c r="A57" s="537"/>
      <c r="B57" s="16" t="str">
        <f ca="1">DFIE!$B$52</f>
        <v>Tessin</v>
      </c>
      <c r="C57" s="60">
        <v>96012.418953999993</v>
      </c>
      <c r="D57" s="94">
        <f t="shared" si="4"/>
        <v>96012.418953999993</v>
      </c>
      <c r="E57" s="60">
        <v>198949.33094000001</v>
      </c>
      <c r="F57" s="119">
        <f t="shared" si="5"/>
        <v>0</v>
      </c>
      <c r="G57" s="502">
        <v>735181.89052000002</v>
      </c>
      <c r="H57" s="54">
        <f t="shared" si="6"/>
        <v>831194.30947400001</v>
      </c>
      <c r="I57" s="134"/>
      <c r="N57" s="132"/>
      <c r="P57" s="132"/>
    </row>
    <row r="58" spans="1:16" x14ac:dyDescent="0.25">
      <c r="A58" s="537"/>
      <c r="B58" s="18" t="str">
        <f ca="1">DFIE!$B$53</f>
        <v>Waadt</v>
      </c>
      <c r="C58" s="59">
        <v>2201330.5959220002</v>
      </c>
      <c r="D58" s="93">
        <f t="shared" si="4"/>
        <v>2201330.5959220002</v>
      </c>
      <c r="E58" s="59">
        <v>5250578.7990611196</v>
      </c>
      <c r="F58" s="120">
        <f t="shared" si="5"/>
        <v>0</v>
      </c>
      <c r="G58" s="503">
        <v>1707074.1339338399</v>
      </c>
      <c r="H58" s="53">
        <f t="shared" si="6"/>
        <v>3908404.7298558401</v>
      </c>
      <c r="I58" s="134"/>
      <c r="N58" s="132"/>
      <c r="P58" s="132"/>
    </row>
    <row r="59" spans="1:16" x14ac:dyDescent="0.25">
      <c r="A59" s="537"/>
      <c r="B59" s="16" t="str">
        <f ca="1">DFIE!$B$54</f>
        <v>Wallis</v>
      </c>
      <c r="C59" s="60">
        <v>3475.7680350000001</v>
      </c>
      <c r="D59" s="94">
        <f t="shared" si="4"/>
        <v>3475.7680350000001</v>
      </c>
      <c r="E59" s="60">
        <v>12375.729700000002</v>
      </c>
      <c r="F59" s="119">
        <f t="shared" si="5"/>
        <v>0</v>
      </c>
      <c r="G59" s="502">
        <v>412793.19658000005</v>
      </c>
      <c r="H59" s="54">
        <f t="shared" si="6"/>
        <v>416268.96461500006</v>
      </c>
      <c r="I59" s="134"/>
      <c r="N59" s="132"/>
      <c r="P59" s="132"/>
    </row>
    <row r="60" spans="1:16" x14ac:dyDescent="0.25">
      <c r="A60" s="537"/>
      <c r="B60" s="18" t="str">
        <f ca="1">DFIE!$B$55</f>
        <v>Neuenburg</v>
      </c>
      <c r="C60" s="59">
        <v>83331.185008</v>
      </c>
      <c r="D60" s="93">
        <f t="shared" si="4"/>
        <v>83331.185008</v>
      </c>
      <c r="E60" s="59">
        <v>235865.27022000003</v>
      </c>
      <c r="F60" s="120">
        <f t="shared" si="5"/>
        <v>0</v>
      </c>
      <c r="G60" s="503">
        <v>304117.95481999998</v>
      </c>
      <c r="H60" s="53">
        <f t="shared" si="6"/>
        <v>387449.13982799998</v>
      </c>
      <c r="I60" s="134"/>
      <c r="N60" s="132"/>
      <c r="P60" s="132"/>
    </row>
    <row r="61" spans="1:16" x14ac:dyDescent="0.25">
      <c r="A61" s="537"/>
      <c r="B61" s="16" t="str">
        <f ca="1">DFIE!$B$56</f>
        <v>Genf</v>
      </c>
      <c r="C61" s="60">
        <v>1649615.0529419999</v>
      </c>
      <c r="D61" s="94">
        <f t="shared" si="4"/>
        <v>1649615.0529419999</v>
      </c>
      <c r="E61" s="60">
        <v>3913390.5361000001</v>
      </c>
      <c r="F61" s="119">
        <f t="shared" si="5"/>
        <v>0</v>
      </c>
      <c r="G61" s="502">
        <v>2259273.1621000003</v>
      </c>
      <c r="H61" s="54">
        <f t="shared" si="6"/>
        <v>3908888.2150420002</v>
      </c>
      <c r="I61" s="134"/>
      <c r="N61" s="132"/>
      <c r="P61" s="132"/>
    </row>
    <row r="62" spans="1:16" x14ac:dyDescent="0.25">
      <c r="A62" s="537"/>
      <c r="B62" s="18" t="str">
        <f ca="1">DFIE!$B$57</f>
        <v>Jura</v>
      </c>
      <c r="C62" s="59">
        <v>17151.061768</v>
      </c>
      <c r="D62" s="93">
        <f t="shared" si="4"/>
        <v>17151.061768</v>
      </c>
      <c r="E62" s="59">
        <v>48302.597419999998</v>
      </c>
      <c r="F62" s="120">
        <f t="shared" si="5"/>
        <v>0</v>
      </c>
      <c r="G62" s="503">
        <v>168149.09508000003</v>
      </c>
      <c r="H62" s="53">
        <f t="shared" si="6"/>
        <v>185300.15684800001</v>
      </c>
      <c r="I62" s="134"/>
      <c r="K62" s="42"/>
      <c r="L62" s="42"/>
      <c r="N62" s="132"/>
      <c r="P62" s="132"/>
    </row>
    <row r="63" spans="1:16" x14ac:dyDescent="0.25">
      <c r="A63" s="537"/>
      <c r="B63" s="15" t="str">
        <f ca="1">DFIE!$B$58</f>
        <v>Schweiz</v>
      </c>
      <c r="C63" s="61">
        <f t="shared" ref="C63:H63" si="7">SUM(C37:C62)</f>
        <v>10476293.804914001</v>
      </c>
      <c r="D63" s="61">
        <f t="shared" si="7"/>
        <v>10476293.804914001</v>
      </c>
      <c r="E63" s="61">
        <f t="shared" si="7"/>
        <v>25071728.877840478</v>
      </c>
      <c r="F63" s="121">
        <f t="shared" si="7"/>
        <v>0</v>
      </c>
      <c r="G63" s="55">
        <f t="shared" si="7"/>
        <v>22799339.239056472</v>
      </c>
      <c r="H63" s="55">
        <f t="shared" si="7"/>
        <v>33275633.043970477</v>
      </c>
      <c r="I63" s="135"/>
      <c r="K63" s="44"/>
      <c r="L63" s="44"/>
      <c r="N63" s="132"/>
      <c r="P63" s="132"/>
    </row>
    <row r="64" spans="1:16" ht="14.25" customHeight="1" x14ac:dyDescent="0.25">
      <c r="A64" s="70"/>
      <c r="I64" s="42"/>
      <c r="P64" s="132"/>
    </row>
    <row r="65" spans="1:16" ht="12.75" customHeight="1" x14ac:dyDescent="0.25">
      <c r="A65" s="538" t="str">
        <f ca="1">DFIE!$B$75</f>
        <v>Bemessungsjahr 2021</v>
      </c>
      <c r="B65" s="148" t="str">
        <f ca="1">DFIE!$B$32</f>
        <v>Zürich</v>
      </c>
      <c r="C65" s="144">
        <v>981400.60403600009</v>
      </c>
      <c r="D65" s="92">
        <f t="shared" ref="D65:D90" si="8">$L$78*$C65</f>
        <v>785120.48322880012</v>
      </c>
      <c r="E65" s="57">
        <v>2488874.6147160004</v>
      </c>
      <c r="F65" s="139">
        <f t="shared" ref="F65:F90" si="9">$L$77*$E65</f>
        <v>497774.9229432001</v>
      </c>
      <c r="G65" s="504">
        <v>6581531.1059097601</v>
      </c>
      <c r="H65" s="58">
        <f>SUM(D65,F65,G65)</f>
        <v>7864426.5120817609</v>
      </c>
      <c r="I65" s="136"/>
      <c r="K65" s="149"/>
      <c r="L65" s="150"/>
      <c r="N65" s="132"/>
      <c r="P65" s="132"/>
    </row>
    <row r="66" spans="1:16" x14ac:dyDescent="0.25">
      <c r="A66" s="538"/>
      <c r="B66" s="18" t="str">
        <f ca="1">DFIE!$B$33</f>
        <v>Bern</v>
      </c>
      <c r="C66" s="59">
        <v>368535.65572500002</v>
      </c>
      <c r="D66" s="93">
        <f t="shared" si="8"/>
        <v>294828.52458000003</v>
      </c>
      <c r="E66" s="59">
        <v>716597.84448000009</v>
      </c>
      <c r="F66" s="120">
        <f t="shared" si="9"/>
        <v>143319.56889600001</v>
      </c>
      <c r="G66" s="503">
        <v>2197629.9928564802</v>
      </c>
      <c r="H66" s="53">
        <f t="shared" ref="H66:H90" si="10">SUM(D66,F66,G66)</f>
        <v>2635778.0863324804</v>
      </c>
      <c r="I66" s="136"/>
      <c r="K66" s="151" t="str">
        <f ca="1">DFIE!$B$146</f>
        <v>Beta</v>
      </c>
      <c r="L66" s="152"/>
      <c r="N66" s="132"/>
      <c r="P66" s="132"/>
    </row>
    <row r="67" spans="1:16" x14ac:dyDescent="0.25">
      <c r="A67" s="538"/>
      <c r="B67" s="16" t="str">
        <f ca="1">DFIE!$B$34</f>
        <v>Luzern</v>
      </c>
      <c r="C67" s="60">
        <v>319101.36370700004</v>
      </c>
      <c r="D67" s="94">
        <f t="shared" si="8"/>
        <v>255281.09096560004</v>
      </c>
      <c r="E67" s="60">
        <v>796410.37627200002</v>
      </c>
      <c r="F67" s="119">
        <f t="shared" si="9"/>
        <v>159282.07525440003</v>
      </c>
      <c r="G67" s="502">
        <v>1994245.9521600003</v>
      </c>
      <c r="H67" s="54">
        <f t="shared" si="10"/>
        <v>2408809.1183800003</v>
      </c>
      <c r="I67" s="136"/>
      <c r="K67" s="129" t="str">
        <f ca="1">DFIE!$B$147</f>
        <v>Holdinggesellschaften</v>
      </c>
      <c r="L67" s="140">
        <v>2.8000000000000001E-2</v>
      </c>
      <c r="N67" s="132"/>
      <c r="P67" s="132"/>
    </row>
    <row r="68" spans="1:16" x14ac:dyDescent="0.25">
      <c r="A68" s="538"/>
      <c r="B68" s="18" t="str">
        <f ca="1">DFIE!$B$35</f>
        <v>Uri</v>
      </c>
      <c r="C68" s="59">
        <v>1182.6535919999999</v>
      </c>
      <c r="D68" s="93">
        <f t="shared" si="8"/>
        <v>946.12287359999993</v>
      </c>
      <c r="E68" s="59">
        <v>8758.1135040000008</v>
      </c>
      <c r="F68" s="120">
        <f t="shared" si="9"/>
        <v>1751.6227008000003</v>
      </c>
      <c r="G68" s="503">
        <v>100955.31734400001</v>
      </c>
      <c r="H68" s="53">
        <f t="shared" si="10"/>
        <v>103653.06291840001</v>
      </c>
      <c r="I68" s="136"/>
      <c r="K68" s="129" t="str">
        <f ca="1">DFIE!$B$148</f>
        <v>Domizilgesellschaften</v>
      </c>
      <c r="L68" s="140">
        <v>0.124</v>
      </c>
      <c r="N68" s="132"/>
      <c r="P68" s="132"/>
    </row>
    <row r="69" spans="1:16" x14ac:dyDescent="0.25">
      <c r="A69" s="538"/>
      <c r="B69" s="16" t="str">
        <f ca="1">DFIE!$B$36</f>
        <v>Schwyz</v>
      </c>
      <c r="C69" s="60">
        <v>385150.74635200005</v>
      </c>
      <c r="D69" s="94">
        <f t="shared" si="8"/>
        <v>308120.59708160005</v>
      </c>
      <c r="E69" s="60">
        <v>920434.79472000001</v>
      </c>
      <c r="F69" s="119">
        <f t="shared" si="9"/>
        <v>184086.95894400001</v>
      </c>
      <c r="G69" s="502">
        <v>731765.39388792007</v>
      </c>
      <c r="H69" s="54">
        <f t="shared" si="10"/>
        <v>1223972.9499135201</v>
      </c>
      <c r="I69" s="136"/>
      <c r="K69" s="129" t="str">
        <f ca="1">DFIE!$B$149</f>
        <v>Gemischte Gesellschaften</v>
      </c>
      <c r="L69" s="140">
        <v>0.125</v>
      </c>
      <c r="N69" s="132"/>
      <c r="P69" s="132"/>
    </row>
    <row r="70" spans="1:16" x14ac:dyDescent="0.25">
      <c r="A70" s="538"/>
      <c r="B70" s="18" t="str">
        <f ca="1">DFIE!$B$37</f>
        <v>Obwalden</v>
      </c>
      <c r="C70" s="59">
        <v>25658.997601999999</v>
      </c>
      <c r="D70" s="93">
        <f t="shared" si="8"/>
        <v>20527.1980816</v>
      </c>
      <c r="E70" s="59">
        <v>44215.058630400003</v>
      </c>
      <c r="F70" s="120">
        <f t="shared" si="9"/>
        <v>8843.0117260800016</v>
      </c>
      <c r="G70" s="503">
        <v>123441.10254336</v>
      </c>
      <c r="H70" s="53">
        <f t="shared" si="10"/>
        <v>152811.31235104002</v>
      </c>
      <c r="I70" s="136"/>
      <c r="K70" s="129"/>
      <c r="L70" s="157"/>
      <c r="N70" s="132"/>
    </row>
    <row r="71" spans="1:16" x14ac:dyDescent="0.25">
      <c r="A71" s="538"/>
      <c r="B71" s="16" t="str">
        <f ca="1">DFIE!$B$38</f>
        <v>Nidwalden</v>
      </c>
      <c r="C71" s="60">
        <v>41403.637654999999</v>
      </c>
      <c r="D71" s="94">
        <f t="shared" si="8"/>
        <v>33122.910124000002</v>
      </c>
      <c r="E71" s="60">
        <v>179487.54936</v>
      </c>
      <c r="F71" s="119">
        <f t="shared" si="9"/>
        <v>35897.509872000002</v>
      </c>
      <c r="G71" s="502">
        <v>203275.32747312004</v>
      </c>
      <c r="H71" s="54">
        <f t="shared" si="10"/>
        <v>272295.74746912008</v>
      </c>
      <c r="I71" s="136"/>
      <c r="K71" s="151" t="str">
        <f ca="1">DFIE!$B$143</f>
        <v>Zeta</v>
      </c>
      <c r="L71" s="157"/>
      <c r="N71" s="132"/>
    </row>
    <row r="72" spans="1:16" x14ac:dyDescent="0.25">
      <c r="A72" s="538"/>
      <c r="B72" s="18" t="str">
        <f ca="1">DFIE!$B$39</f>
        <v>Glarus</v>
      </c>
      <c r="C72" s="59">
        <v>25113.6086</v>
      </c>
      <c r="D72" s="93">
        <f t="shared" si="8"/>
        <v>20090.886880000002</v>
      </c>
      <c r="E72" s="59">
        <v>38419.158624000003</v>
      </c>
      <c r="F72" s="120">
        <f t="shared" si="9"/>
        <v>7683.8317248000012</v>
      </c>
      <c r="G72" s="503">
        <v>81631.731888000009</v>
      </c>
      <c r="H72" s="53">
        <f t="shared" si="10"/>
        <v>109406.45049280001</v>
      </c>
      <c r="I72" s="136"/>
      <c r="K72" s="129" t="str">
        <f ca="1">DFIE!$B$144</f>
        <v>Zeta-1</v>
      </c>
      <c r="L72" s="156">
        <f>ZETA!$S$48</f>
        <v>0.33600000000000002</v>
      </c>
      <c r="N72" s="132"/>
    </row>
    <row r="73" spans="1:16" x14ac:dyDescent="0.25">
      <c r="A73" s="538"/>
      <c r="B73" s="16" t="str">
        <f ca="1">DFIE!$B$40</f>
        <v>Zug</v>
      </c>
      <c r="C73" s="60">
        <v>1964561.743919</v>
      </c>
      <c r="D73" s="94">
        <f t="shared" si="8"/>
        <v>1571649.3951352001</v>
      </c>
      <c r="E73" s="60">
        <v>4379506.7756160004</v>
      </c>
      <c r="F73" s="119">
        <f t="shared" si="9"/>
        <v>875901.3551232001</v>
      </c>
      <c r="G73" s="502">
        <v>2221907.3567039999</v>
      </c>
      <c r="H73" s="54">
        <f t="shared" si="10"/>
        <v>4669458.1069623996</v>
      </c>
      <c r="I73" s="136"/>
      <c r="K73" s="129" t="str">
        <f ca="1">DFIE!$B$145</f>
        <v>Zeta-2</v>
      </c>
      <c r="L73" s="156">
        <f>ZETA!$S$20</f>
        <v>0.34499999999999997</v>
      </c>
      <c r="N73" s="132"/>
    </row>
    <row r="74" spans="1:16" x14ac:dyDescent="0.25">
      <c r="A74" s="538"/>
      <c r="B74" s="18" t="str">
        <f ca="1">DFIE!$B$41</f>
        <v>Freiburg</v>
      </c>
      <c r="C74" s="59">
        <v>466770.55467600003</v>
      </c>
      <c r="D74" s="93">
        <f t="shared" si="8"/>
        <v>373416.44374080002</v>
      </c>
      <c r="E74" s="59">
        <v>843692.06781720009</v>
      </c>
      <c r="F74" s="120">
        <f t="shared" si="9"/>
        <v>168738.41356344003</v>
      </c>
      <c r="G74" s="503">
        <v>584256.33403200004</v>
      </c>
      <c r="H74" s="53">
        <f t="shared" si="10"/>
        <v>1126411.1913362402</v>
      </c>
      <c r="I74" s="136"/>
      <c r="K74" s="129"/>
      <c r="L74" s="157"/>
      <c r="N74" s="132"/>
    </row>
    <row r="75" spans="1:16" x14ac:dyDescent="0.25">
      <c r="A75" s="538"/>
      <c r="B75" s="16" t="str">
        <f ca="1">DFIE!$B$42</f>
        <v>Solothurn</v>
      </c>
      <c r="C75" s="60">
        <v>38165.886801999994</v>
      </c>
      <c r="D75" s="94">
        <f t="shared" si="8"/>
        <v>30532.709441599996</v>
      </c>
      <c r="E75" s="60">
        <v>47857.675824000005</v>
      </c>
      <c r="F75" s="119">
        <f t="shared" si="9"/>
        <v>9571.5351648000014</v>
      </c>
      <c r="G75" s="502">
        <v>566483.77583616006</v>
      </c>
      <c r="H75" s="54">
        <f t="shared" si="10"/>
        <v>606588.02044256008</v>
      </c>
      <c r="I75" s="136"/>
      <c r="K75" s="151" t="str">
        <f ca="1">DFIE!$B$150</f>
        <v xml:space="preserve">Umbuchung ehemalige </v>
      </c>
      <c r="L75" s="157"/>
      <c r="N75" s="132"/>
      <c r="P75" s="132"/>
    </row>
    <row r="76" spans="1:16" x14ac:dyDescent="0.25">
      <c r="A76" s="538"/>
      <c r="B76" s="18" t="str">
        <f ca="1">DFIE!$B$43</f>
        <v>Basel-Stadt</v>
      </c>
      <c r="C76" s="59">
        <v>1536101.3736920001</v>
      </c>
      <c r="D76" s="93">
        <f t="shared" si="8"/>
        <v>1228881.0989536</v>
      </c>
      <c r="E76" s="59">
        <v>2535488.9196000001</v>
      </c>
      <c r="F76" s="120">
        <f t="shared" si="9"/>
        <v>507097.78392000007</v>
      </c>
      <c r="G76" s="503">
        <v>1084784.8495680001</v>
      </c>
      <c r="H76" s="53">
        <f t="shared" si="10"/>
        <v>2820763.7324416004</v>
      </c>
      <c r="I76" s="136"/>
      <c r="K76" s="151" t="str">
        <f ca="1">DFIE!$B$151</f>
        <v>Statusgesellschaften</v>
      </c>
      <c r="L76" s="157"/>
      <c r="N76" s="132"/>
      <c r="P76" s="132"/>
    </row>
    <row r="77" spans="1:16" x14ac:dyDescent="0.25">
      <c r="A77" s="538"/>
      <c r="B77" s="16" t="str">
        <f ca="1">DFIE!$B$44</f>
        <v>Basel-Landschaft</v>
      </c>
      <c r="C77" s="60">
        <v>280513.48528700002</v>
      </c>
      <c r="D77" s="94">
        <f t="shared" si="8"/>
        <v>224410.78822960003</v>
      </c>
      <c r="E77" s="60">
        <v>671796.85657728009</v>
      </c>
      <c r="F77" s="119">
        <f t="shared" si="9"/>
        <v>134359.37131545602</v>
      </c>
      <c r="G77" s="502">
        <v>588754.20408000005</v>
      </c>
      <c r="H77" s="54">
        <f t="shared" si="10"/>
        <v>947524.36362505611</v>
      </c>
      <c r="I77" s="136"/>
      <c r="K77" s="129" t="str">
        <f ca="1">DFIE!$B$152</f>
        <v>Zetagewichtet (UF)</v>
      </c>
      <c r="L77" s="155">
        <v>0.2</v>
      </c>
      <c r="N77" s="132"/>
      <c r="P77" s="132"/>
    </row>
    <row r="78" spans="1:16" x14ac:dyDescent="0.25">
      <c r="A78" s="538"/>
      <c r="B78" s="18" t="str">
        <f ca="1">DFIE!$B$45</f>
        <v>Schaffhausen</v>
      </c>
      <c r="C78" s="59">
        <v>636435.90570300003</v>
      </c>
      <c r="D78" s="93">
        <f t="shared" si="8"/>
        <v>509148.72456240002</v>
      </c>
      <c r="E78" s="59">
        <v>1598409.8686080002</v>
      </c>
      <c r="F78" s="120">
        <f t="shared" si="9"/>
        <v>319681.97372160008</v>
      </c>
      <c r="G78" s="503">
        <v>219466.71331200001</v>
      </c>
      <c r="H78" s="53">
        <f t="shared" si="10"/>
        <v>1048297.4115960002</v>
      </c>
      <c r="I78" s="136"/>
      <c r="K78" s="130" t="str">
        <f ca="1">DFIE!$B$153</f>
        <v>Betagewichtet (1-UF)</v>
      </c>
      <c r="L78" s="158">
        <f>1-$L$77</f>
        <v>0.8</v>
      </c>
      <c r="N78" s="132"/>
      <c r="P78" s="132"/>
    </row>
    <row r="79" spans="1:16" x14ac:dyDescent="0.25">
      <c r="A79" s="538"/>
      <c r="B79" s="16" t="str">
        <f ca="1">DFIE!$B$46</f>
        <v>Appenzell A.Rh.</v>
      </c>
      <c r="C79" s="60">
        <v>27722.186471999998</v>
      </c>
      <c r="D79" s="94">
        <f t="shared" si="8"/>
        <v>22177.749177599999</v>
      </c>
      <c r="E79" s="60">
        <v>62924.366064000009</v>
      </c>
      <c r="F79" s="119">
        <f t="shared" si="9"/>
        <v>12584.873212800003</v>
      </c>
      <c r="G79" s="502">
        <v>156129.860208</v>
      </c>
      <c r="H79" s="54">
        <f t="shared" si="10"/>
        <v>190892.48259840001</v>
      </c>
      <c r="I79" s="136"/>
      <c r="N79" s="132"/>
      <c r="P79" s="132"/>
    </row>
    <row r="80" spans="1:16" x14ac:dyDescent="0.25">
      <c r="A80" s="538"/>
      <c r="B80" s="18" t="str">
        <f ca="1">DFIE!$B$47</f>
        <v>Appenzell I.Rh.</v>
      </c>
      <c r="C80" s="59">
        <v>288.07572800000003</v>
      </c>
      <c r="D80" s="93">
        <f t="shared" si="8"/>
        <v>230.46058240000002</v>
      </c>
      <c r="E80" s="59">
        <v>3383.4420480000003</v>
      </c>
      <c r="F80" s="120">
        <f t="shared" si="9"/>
        <v>676.68840960000011</v>
      </c>
      <c r="G80" s="503">
        <v>61694.272080000002</v>
      </c>
      <c r="H80" s="53">
        <f t="shared" si="10"/>
        <v>62601.421072000005</v>
      </c>
      <c r="I80" s="136"/>
      <c r="N80" s="132"/>
      <c r="P80" s="132"/>
    </row>
    <row r="81" spans="1:16" x14ac:dyDescent="0.25">
      <c r="A81" s="538"/>
      <c r="B81" s="16" t="str">
        <f ca="1">DFIE!$B$48</f>
        <v>St. Gallen</v>
      </c>
      <c r="C81" s="60">
        <v>190608.81737000003</v>
      </c>
      <c r="D81" s="94">
        <f t="shared" si="8"/>
        <v>152487.05389600003</v>
      </c>
      <c r="E81" s="60">
        <v>280924.90871928004</v>
      </c>
      <c r="F81" s="119">
        <f t="shared" si="9"/>
        <v>56184.981743856013</v>
      </c>
      <c r="G81" s="502">
        <v>1626696.21912</v>
      </c>
      <c r="H81" s="54">
        <f t="shared" si="10"/>
        <v>1835368.254759856</v>
      </c>
      <c r="I81" s="136"/>
      <c r="N81" s="132"/>
      <c r="P81" s="132"/>
    </row>
    <row r="82" spans="1:16" x14ac:dyDescent="0.25">
      <c r="A82" s="538"/>
      <c r="B82" s="18" t="str">
        <f ca="1">DFIE!$B$49</f>
        <v>Graubünden</v>
      </c>
      <c r="C82" s="59">
        <v>168466.60337300002</v>
      </c>
      <c r="D82" s="93">
        <f t="shared" si="8"/>
        <v>134773.28269840003</v>
      </c>
      <c r="E82" s="59">
        <v>163444.40515199999</v>
      </c>
      <c r="F82" s="120">
        <f t="shared" si="9"/>
        <v>32688.8810304</v>
      </c>
      <c r="G82" s="503">
        <v>455221.32767999999</v>
      </c>
      <c r="H82" s="53">
        <f t="shared" si="10"/>
        <v>622683.49140880001</v>
      </c>
      <c r="I82" s="136"/>
      <c r="N82" s="132"/>
      <c r="P82" s="132"/>
    </row>
    <row r="83" spans="1:16" x14ac:dyDescent="0.25">
      <c r="A83" s="538"/>
      <c r="B83" s="16" t="str">
        <f ca="1">DFIE!$B$50</f>
        <v>Aargau</v>
      </c>
      <c r="C83" s="60">
        <v>26252.204351</v>
      </c>
      <c r="D83" s="94">
        <f t="shared" si="8"/>
        <v>21001.7634808</v>
      </c>
      <c r="E83" s="60">
        <v>52398.507549360002</v>
      </c>
      <c r="F83" s="119">
        <f t="shared" si="9"/>
        <v>10479.701509872</v>
      </c>
      <c r="G83" s="502">
        <v>1263999.7749119999</v>
      </c>
      <c r="H83" s="54">
        <f t="shared" si="10"/>
        <v>1295481.2399026719</v>
      </c>
      <c r="I83" s="136"/>
      <c r="N83" s="132"/>
      <c r="P83" s="132"/>
    </row>
    <row r="84" spans="1:16" x14ac:dyDescent="0.25">
      <c r="A84" s="538"/>
      <c r="B84" s="18" t="str">
        <f ca="1">DFIE!$B$51</f>
        <v>Thurgau</v>
      </c>
      <c r="C84" s="59">
        <v>17208.498112000001</v>
      </c>
      <c r="D84" s="93">
        <f t="shared" si="8"/>
        <v>13766.798489600002</v>
      </c>
      <c r="E84" s="59">
        <v>85550.659824000002</v>
      </c>
      <c r="F84" s="120">
        <f t="shared" si="9"/>
        <v>17110.131964800003</v>
      </c>
      <c r="G84" s="503">
        <v>767565.31307231996</v>
      </c>
      <c r="H84" s="53">
        <f t="shared" si="10"/>
        <v>798442.24352671998</v>
      </c>
      <c r="I84" s="136"/>
      <c r="N84" s="132"/>
      <c r="P84" s="132"/>
    </row>
    <row r="85" spans="1:16" x14ac:dyDescent="0.25">
      <c r="A85" s="538"/>
      <c r="B85" s="16" t="str">
        <f ca="1">DFIE!$B$52</f>
        <v>Tessin</v>
      </c>
      <c r="C85" s="60">
        <v>131588.78453</v>
      </c>
      <c r="D85" s="94">
        <f t="shared" si="8"/>
        <v>105271.02762400001</v>
      </c>
      <c r="E85" s="60">
        <v>277862.25230400002</v>
      </c>
      <c r="F85" s="119">
        <f t="shared" si="9"/>
        <v>55572.450460800006</v>
      </c>
      <c r="G85" s="502">
        <v>902268.01561511995</v>
      </c>
      <c r="H85" s="54">
        <f t="shared" si="10"/>
        <v>1063111.4936999199</v>
      </c>
      <c r="I85" s="136"/>
      <c r="N85" s="132"/>
      <c r="P85" s="132"/>
    </row>
    <row r="86" spans="1:16" x14ac:dyDescent="0.25">
      <c r="A86" s="538"/>
      <c r="B86" s="18" t="str">
        <f ca="1">DFIE!$B$53</f>
        <v>Waadt</v>
      </c>
      <c r="C86" s="59">
        <v>1709862.553239</v>
      </c>
      <c r="D86" s="93">
        <f t="shared" si="8"/>
        <v>1367890.0425912002</v>
      </c>
      <c r="E86" s="59">
        <v>3514727.6771208001</v>
      </c>
      <c r="F86" s="120">
        <f t="shared" si="9"/>
        <v>702945.53542416007</v>
      </c>
      <c r="G86" s="503">
        <v>2585067.6543787201</v>
      </c>
      <c r="H86" s="53">
        <f t="shared" si="10"/>
        <v>4655903.2323940806</v>
      </c>
      <c r="I86" s="136"/>
      <c r="N86" s="132"/>
      <c r="P86" s="132"/>
    </row>
    <row r="87" spans="1:16" x14ac:dyDescent="0.25">
      <c r="A87" s="538"/>
      <c r="B87" s="16" t="str">
        <f ca="1">DFIE!$B$54</f>
        <v>Wallis</v>
      </c>
      <c r="C87" s="60">
        <v>4444.4427830000004</v>
      </c>
      <c r="D87" s="94">
        <f t="shared" si="8"/>
        <v>3555.5542264000005</v>
      </c>
      <c r="E87" s="60">
        <v>13820.025408</v>
      </c>
      <c r="F87" s="119">
        <f t="shared" si="9"/>
        <v>2764.0050816000003</v>
      </c>
      <c r="G87" s="502">
        <v>521569.94937600003</v>
      </c>
      <c r="H87" s="54">
        <f t="shared" si="10"/>
        <v>527889.508684</v>
      </c>
      <c r="I87" s="136"/>
      <c r="N87" s="132"/>
      <c r="P87" s="132"/>
    </row>
    <row r="88" spans="1:16" x14ac:dyDescent="0.25">
      <c r="A88" s="538"/>
      <c r="B88" s="18" t="str">
        <f ca="1">DFIE!$B$55</f>
        <v>Neuenburg</v>
      </c>
      <c r="C88" s="59">
        <v>98967.290026999995</v>
      </c>
      <c r="D88" s="93">
        <f t="shared" si="8"/>
        <v>79173.832021599999</v>
      </c>
      <c r="E88" s="59">
        <v>231585.286464</v>
      </c>
      <c r="F88" s="120">
        <f t="shared" si="9"/>
        <v>46317.057292800004</v>
      </c>
      <c r="G88" s="503">
        <v>403910.72131200007</v>
      </c>
      <c r="H88" s="53">
        <f t="shared" si="10"/>
        <v>529401.6106264001</v>
      </c>
      <c r="I88" s="136"/>
      <c r="N88" s="132"/>
      <c r="P88" s="132"/>
    </row>
    <row r="89" spans="1:16" x14ac:dyDescent="0.25">
      <c r="A89" s="538"/>
      <c r="B89" s="16" t="str">
        <f ca="1">DFIE!$B$56</f>
        <v>Genf</v>
      </c>
      <c r="C89" s="60">
        <v>2028692.3600869998</v>
      </c>
      <c r="D89" s="94">
        <f t="shared" si="8"/>
        <v>1622953.8880695999</v>
      </c>
      <c r="E89" s="60">
        <v>4816519.3013280006</v>
      </c>
      <c r="F89" s="119">
        <f t="shared" si="9"/>
        <v>963303.86026560015</v>
      </c>
      <c r="G89" s="502">
        <v>2887958.1423840001</v>
      </c>
      <c r="H89" s="54">
        <f t="shared" si="10"/>
        <v>5474215.8907191996</v>
      </c>
      <c r="I89" s="136"/>
      <c r="N89" s="132"/>
      <c r="P89" s="132"/>
    </row>
    <row r="90" spans="1:16" x14ac:dyDescent="0.25">
      <c r="A90" s="538"/>
      <c r="B90" s="18" t="str">
        <f ca="1">DFIE!$B$57</f>
        <v>Jura</v>
      </c>
      <c r="C90" s="59">
        <v>32536.603284000001</v>
      </c>
      <c r="D90" s="93">
        <f t="shared" si="8"/>
        <v>26029.282627200002</v>
      </c>
      <c r="E90" s="59">
        <v>86471.852544000008</v>
      </c>
      <c r="F90" s="120">
        <f t="shared" si="9"/>
        <v>17294.370508800002</v>
      </c>
      <c r="G90" s="503">
        <v>232192.96531200001</v>
      </c>
      <c r="H90" s="53">
        <f t="shared" si="10"/>
        <v>275516.61844800005</v>
      </c>
      <c r="I90" s="136"/>
      <c r="K90" s="42"/>
      <c r="L90" s="42"/>
      <c r="N90" s="132"/>
      <c r="P90" s="132"/>
    </row>
    <row r="91" spans="1:16" x14ac:dyDescent="0.25">
      <c r="A91" s="538"/>
      <c r="B91" s="15" t="str">
        <f ca="1">DFIE!$B$58</f>
        <v>Schweiz</v>
      </c>
      <c r="C91" s="61">
        <f t="shared" ref="C91:H91" si="11">SUM(C65:C90)</f>
        <v>11506734.636704</v>
      </c>
      <c r="D91" s="61">
        <f t="shared" si="11"/>
        <v>9205387.7093632016</v>
      </c>
      <c r="E91" s="61">
        <f t="shared" si="11"/>
        <v>24859562.358874321</v>
      </c>
      <c r="F91" s="121">
        <f t="shared" si="11"/>
        <v>4971912.4717748649</v>
      </c>
      <c r="G91" s="55">
        <f t="shared" si="11"/>
        <v>29144403.373044964</v>
      </c>
      <c r="H91" s="55">
        <f t="shared" si="11"/>
        <v>43321703.554183021</v>
      </c>
      <c r="I91" s="137"/>
      <c r="K91" s="44"/>
      <c r="L91" s="44"/>
      <c r="N91" s="132"/>
      <c r="P91" s="132"/>
    </row>
  </sheetData>
  <mergeCells count="9">
    <mergeCell ref="A9:A35"/>
    <mergeCell ref="A37:A63"/>
    <mergeCell ref="A65:A91"/>
    <mergeCell ref="H5:H7"/>
    <mergeCell ref="K5:L8"/>
    <mergeCell ref="C6:D6"/>
    <mergeCell ref="E6:F6"/>
    <mergeCell ref="C5:F5"/>
    <mergeCell ref="G5:G7"/>
  </mergeCells>
  <conditionalFormatting sqref="L21 L49 L77">
    <cfRule type="expression" dxfId="34" priority="37" stopIfTrue="1">
      <formula>ISBLANK(L21)</formula>
    </cfRule>
  </conditionalFormatting>
  <conditionalFormatting sqref="L21:L22">
    <cfRule type="expression" dxfId="33" priority="18" stopIfTrue="1">
      <formula>$L$22=0</formula>
    </cfRule>
  </conditionalFormatting>
  <conditionalFormatting sqref="L49:L50">
    <cfRule type="expression" dxfId="32" priority="17" stopIfTrue="1">
      <formula>$L$50=0</formula>
    </cfRule>
  </conditionalFormatting>
  <conditionalFormatting sqref="L77:L78">
    <cfRule type="expression" dxfId="31" priority="16" stopIfTrue="1">
      <formula>$L$78=0</formula>
    </cfRule>
  </conditionalFormatting>
  <conditionalFormatting sqref="L11:L13">
    <cfRule type="expression" dxfId="30" priority="14">
      <formula>ISBLANK(L11)</formula>
    </cfRule>
  </conditionalFormatting>
  <conditionalFormatting sqref="L39:L41">
    <cfRule type="expression" dxfId="29" priority="13">
      <formula>ISBLANK(L39)</formula>
    </cfRule>
  </conditionalFormatting>
  <conditionalFormatting sqref="L67:L69">
    <cfRule type="expression" dxfId="28" priority="12">
      <formula>ISBLANK(L67)</formula>
    </cfRule>
  </conditionalFormatting>
  <conditionalFormatting sqref="L16:L17">
    <cfRule type="expression" dxfId="27" priority="11">
      <formula>ISBLANK(L16)</formula>
    </cfRule>
  </conditionalFormatting>
  <conditionalFormatting sqref="L44:L45">
    <cfRule type="expression" dxfId="26" priority="10">
      <formula>ISBLANK(L44)</formula>
    </cfRule>
  </conditionalFormatting>
  <conditionalFormatting sqref="C9:C34">
    <cfRule type="expression" dxfId="25" priority="9">
      <formula>ISBLANK(C9)</formula>
    </cfRule>
  </conditionalFormatting>
  <conditionalFormatting sqref="E9:E34">
    <cfRule type="expression" dxfId="24" priority="8">
      <formula>ISBLANK(E9)</formula>
    </cfRule>
  </conditionalFormatting>
  <conditionalFormatting sqref="G9:G34">
    <cfRule type="expression" dxfId="23" priority="7">
      <formula>ISBLANK(G9)</formula>
    </cfRule>
  </conditionalFormatting>
  <conditionalFormatting sqref="C37:C62">
    <cfRule type="expression" dxfId="22" priority="6">
      <formula>ISBLANK(C37)</formula>
    </cfRule>
  </conditionalFormatting>
  <conditionalFormatting sqref="E37:E62">
    <cfRule type="expression" dxfId="21" priority="5">
      <formula>ISBLANK(E37)</formula>
    </cfRule>
  </conditionalFormatting>
  <conditionalFormatting sqref="G37:G62">
    <cfRule type="expression" dxfId="20" priority="4">
      <formula>ISBLANK(G37)</formula>
    </cfRule>
  </conditionalFormatting>
  <conditionalFormatting sqref="C65:C90">
    <cfRule type="expression" dxfId="19" priority="3">
      <formula>ISBLANK(C65)</formula>
    </cfRule>
  </conditionalFormatting>
  <conditionalFormatting sqref="E65:E90">
    <cfRule type="expression" dxfId="18" priority="2">
      <formula>ISBLANK(E65)</formula>
    </cfRule>
  </conditionalFormatting>
  <conditionalFormatting sqref="G65:G90">
    <cfRule type="expression" dxfId="17" priority="1">
      <formula>ISBLANK(G65)</formula>
    </cfRule>
  </conditionalFormatting>
  <pageMargins left="0.78740157480314965" right="0.59055118110236227" top="0.9055118110236221" bottom="0.78740157480314965" header="0.51181102362204722" footer="0.51181102362204722"/>
  <pageSetup paperSize="9" scale="79" orientation="landscape" r:id="rId1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7"/>
  <dimension ref="A1:J91"/>
  <sheetViews>
    <sheetView showGridLines="0" zoomScaleNormal="100" workbookViewId="0">
      <pane ySplit="8" topLeftCell="A9" activePane="bottomLeft" state="frozen"/>
      <selection activeCell="J20" sqref="J20"/>
      <selection pane="bottomLeft" activeCell="A100" sqref="A100"/>
    </sheetView>
  </sheetViews>
  <sheetFormatPr baseColWidth="10" defaultColWidth="9.109375" defaultRowHeight="13.2" x14ac:dyDescent="0.25"/>
  <cols>
    <col min="1" max="1" width="4.44140625" customWidth="1"/>
    <col min="2" max="2" width="17.33203125" customWidth="1"/>
    <col min="3" max="5" width="15.6640625" customWidth="1"/>
    <col min="6" max="7" width="18.33203125" customWidth="1"/>
    <col min="8" max="8" width="13.5546875" customWidth="1"/>
    <col min="9" max="9" width="18.6640625" customWidth="1"/>
    <col min="10" max="10" width="1.5546875" customWidth="1"/>
  </cols>
  <sheetData>
    <row r="1" spans="1:10" ht="22.5" customHeight="1" x14ac:dyDescent="0.3">
      <c r="B1" s="4" t="str">
        <f ca="1">DFIE!$B$154</f>
        <v>Steuerrepartitionen 2025</v>
      </c>
    </row>
    <row r="3" spans="1:10" ht="0.75" customHeight="1" x14ac:dyDescent="0.25"/>
    <row r="4" spans="1:10" ht="0.75" customHeight="1" x14ac:dyDescent="0.25"/>
    <row r="5" spans="1:10" ht="12" customHeight="1" x14ac:dyDescent="0.25">
      <c r="A5" s="11"/>
      <c r="B5" s="32" t="str">
        <f ca="1">DFIE!$B$59</f>
        <v>Spalte</v>
      </c>
      <c r="C5" s="33" t="s">
        <v>30</v>
      </c>
      <c r="D5" s="33" t="s">
        <v>31</v>
      </c>
      <c r="E5" s="34" t="s">
        <v>32</v>
      </c>
      <c r="F5" s="33" t="s">
        <v>43</v>
      </c>
      <c r="G5" s="33" t="s">
        <v>42</v>
      </c>
      <c r="H5" s="33" t="s">
        <v>33</v>
      </c>
      <c r="I5" s="34" t="s">
        <v>34</v>
      </c>
      <c r="J5" s="11"/>
    </row>
    <row r="6" spans="1:10" ht="12" customHeight="1" x14ac:dyDescent="0.25">
      <c r="A6" s="11"/>
      <c r="B6" s="32" t="str">
        <f ca="1">DFIE!$B$60</f>
        <v>Formel</v>
      </c>
      <c r="C6" s="147"/>
      <c r="D6" s="147"/>
      <c r="E6" s="37" t="s">
        <v>922</v>
      </c>
      <c r="F6" s="147"/>
      <c r="G6" s="147"/>
      <c r="H6" s="147" t="s">
        <v>82</v>
      </c>
      <c r="I6" s="37" t="s">
        <v>83</v>
      </c>
      <c r="J6" s="11"/>
    </row>
    <row r="7" spans="1:10" ht="45" customHeight="1" x14ac:dyDescent="0.25">
      <c r="A7" s="44"/>
      <c r="B7" s="75"/>
      <c r="C7" s="103" t="str">
        <f ca="1">DFIE!$B$155</f>
        <v>Zu Gunsten
anderer
Kantone</v>
      </c>
      <c r="D7" s="103" t="str">
        <f ca="1">DFIE!$B$156</f>
        <v>Erhalten von
anderen
Kantonen</v>
      </c>
      <c r="E7" s="163" t="str">
        <f ca="1">DFIE!$B$157</f>
        <v>Saldo</v>
      </c>
      <c r="F7" s="103" t="str">
        <f ca="1">DFIE!$B$158</f>
        <v>Steueraufkommen
DBSt</v>
      </c>
      <c r="G7" s="103" t="str">
        <f ca="1">DFIE!$B$159</f>
        <v>Massgebende Steuerbemessungs-grundlage DBSt</v>
      </c>
      <c r="H7" s="103" t="str">
        <f ca="1">DFIE!$B$160</f>
        <v>Gewichtungs-
faktor</v>
      </c>
      <c r="I7" s="163" t="str">
        <f ca="1">DFIE!$B$161</f>
        <v>Massgebende
Steuerrepartitionen</v>
      </c>
      <c r="J7" s="44"/>
    </row>
    <row r="8" spans="1:10" ht="12.75" customHeight="1" x14ac:dyDescent="0.25">
      <c r="B8" s="75" t="str">
        <f ca="1">DFIE!$B$62</f>
        <v>Einheit</v>
      </c>
      <c r="C8" s="38" t="str">
        <f ca="1">DFIE!$B$64</f>
        <v>CHF 1'000</v>
      </c>
      <c r="D8" s="38" t="str">
        <f ca="1">DFIE!$B$64</f>
        <v>CHF 1'000</v>
      </c>
      <c r="E8" s="39" t="str">
        <f ca="1">DFIE!$B$64</f>
        <v>CHF 1'000</v>
      </c>
      <c r="F8" s="38" t="str">
        <f ca="1">DFIE!$B$64</f>
        <v>CHF 1'000</v>
      </c>
      <c r="G8" s="38" t="str">
        <f ca="1">DFIE!$B$64</f>
        <v>CHF 1'000</v>
      </c>
      <c r="H8" s="38"/>
      <c r="I8" s="39" t="str">
        <f ca="1">DFIE!$B$64</f>
        <v>CHF 1'000</v>
      </c>
    </row>
    <row r="9" spans="1:10" x14ac:dyDescent="0.25">
      <c r="A9" s="523" t="str">
        <f ca="1">DFIE!$B$73</f>
        <v>Bemessungsjahr 2019</v>
      </c>
      <c r="B9" s="16" t="str">
        <f ca="1">DFIE!$B$32</f>
        <v>Zürich</v>
      </c>
      <c r="C9" s="60">
        <v>30119.081999999999</v>
      </c>
      <c r="D9" s="60">
        <v>25582.5864</v>
      </c>
      <c r="E9" s="54">
        <f t="shared" ref="E9:E34" si="0">D9-C9</f>
        <v>-4536.4955999999984</v>
      </c>
      <c r="F9" s="60">
        <v>5017352.1960000005</v>
      </c>
      <c r="G9" s="94">
        <f>NP!E9+QS!Z9+JP!H9</f>
        <v>64230517.788832873</v>
      </c>
      <c r="H9" s="159">
        <f>G9/F9</f>
        <v>12.801676119137017</v>
      </c>
      <c r="I9" s="58">
        <f>E9*H9</f>
        <v>-58074.74738709013</v>
      </c>
      <c r="J9" s="45"/>
    </row>
    <row r="10" spans="1:10" x14ac:dyDescent="0.25">
      <c r="A10" s="523"/>
      <c r="B10" s="18" t="str">
        <f ca="1">DFIE!$B$33</f>
        <v>Bern</v>
      </c>
      <c r="C10" s="59">
        <v>34598.762000000002</v>
      </c>
      <c r="D10" s="59">
        <v>10599.079900000001</v>
      </c>
      <c r="E10" s="53">
        <f t="shared" si="0"/>
        <v>-23999.682100000002</v>
      </c>
      <c r="F10" s="59">
        <v>1803289.9369999999</v>
      </c>
      <c r="G10" s="93">
        <f>NP!E10+QS!Z10+JP!H10</f>
        <v>26868494.011440728</v>
      </c>
      <c r="H10" s="160">
        <f t="shared" ref="H10:H34" si="1">G10/F10</f>
        <v>14.899708283261345</v>
      </c>
      <c r="I10" s="53">
        <f t="shared" ref="I10:I34" si="2">E10*H10</f>
        <v>-357588.26218100905</v>
      </c>
      <c r="J10" s="45"/>
    </row>
    <row r="11" spans="1:10" x14ac:dyDescent="0.25">
      <c r="A11" s="523"/>
      <c r="B11" s="16" t="str">
        <f ca="1">DFIE!$B$34</f>
        <v>Luzern</v>
      </c>
      <c r="C11" s="60">
        <v>10917.328799999999</v>
      </c>
      <c r="D11" s="60">
        <v>7360.2586499999998</v>
      </c>
      <c r="E11" s="54">
        <f t="shared" si="0"/>
        <v>-3557.0701499999996</v>
      </c>
      <c r="F11" s="60">
        <v>896163.54500000004</v>
      </c>
      <c r="G11" s="94">
        <f>NP!E11+QS!Z11+JP!H11</f>
        <v>13269249.526737563</v>
      </c>
      <c r="H11" s="159">
        <f t="shared" si="1"/>
        <v>14.806727634449315</v>
      </c>
      <c r="I11" s="54">
        <f t="shared" si="2"/>
        <v>-52668.568887679765</v>
      </c>
      <c r="J11" s="45"/>
    </row>
    <row r="12" spans="1:10" x14ac:dyDescent="0.25">
      <c r="A12" s="523"/>
      <c r="B12" s="18" t="str">
        <f ca="1">DFIE!$B$35</f>
        <v>Uri</v>
      </c>
      <c r="C12" s="59">
        <v>496.82220000000001</v>
      </c>
      <c r="D12" s="59">
        <v>410.79665</v>
      </c>
      <c r="E12" s="53">
        <f t="shared" si="0"/>
        <v>-86.02555000000001</v>
      </c>
      <c r="F12" s="59">
        <v>43930.95</v>
      </c>
      <c r="G12" s="93">
        <f>NP!E12+QS!Z12+JP!H12</f>
        <v>865264.14275105507</v>
      </c>
      <c r="H12" s="160">
        <f t="shared" si="1"/>
        <v>19.696003449755928</v>
      </c>
      <c r="I12" s="53">
        <f t="shared" si="2"/>
        <v>-1694.3595295671512</v>
      </c>
      <c r="J12" s="45"/>
    </row>
    <row r="13" spans="1:10" x14ac:dyDescent="0.25">
      <c r="A13" s="523"/>
      <c r="B13" s="16" t="str">
        <f ca="1">DFIE!$B$36</f>
        <v>Schwyz</v>
      </c>
      <c r="C13" s="60">
        <v>4319.3525499999996</v>
      </c>
      <c r="D13" s="60">
        <v>2391.7597000000001</v>
      </c>
      <c r="E13" s="54">
        <f t="shared" si="0"/>
        <v>-1927.5928499999995</v>
      </c>
      <c r="F13" s="60">
        <v>796888.19200000004</v>
      </c>
      <c r="G13" s="94">
        <f>NP!E13+QS!Z13+JP!H13</f>
        <v>8842763.970434241</v>
      </c>
      <c r="H13" s="159">
        <f t="shared" si="1"/>
        <v>11.096618144436304</v>
      </c>
      <c r="I13" s="54">
        <f t="shared" si="2"/>
        <v>-21389.761794395683</v>
      </c>
      <c r="J13" s="45"/>
    </row>
    <row r="14" spans="1:10" x14ac:dyDescent="0.25">
      <c r="A14" s="523"/>
      <c r="B14" s="18" t="str">
        <f ca="1">DFIE!$B$37</f>
        <v>Obwalden</v>
      </c>
      <c r="C14" s="59">
        <v>482.30309999999997</v>
      </c>
      <c r="D14" s="59">
        <v>868.96145000000001</v>
      </c>
      <c r="E14" s="53">
        <f t="shared" si="0"/>
        <v>386.65835000000004</v>
      </c>
      <c r="F14" s="59">
        <v>87372.058999999994</v>
      </c>
      <c r="G14" s="93">
        <f>NP!E14+QS!Z14+JP!H14</f>
        <v>1417461.5650138785</v>
      </c>
      <c r="H14" s="160">
        <f t="shared" si="1"/>
        <v>16.223282148059241</v>
      </c>
      <c r="I14" s="53">
        <f t="shared" si="2"/>
        <v>6272.8675069530427</v>
      </c>
      <c r="J14" s="45"/>
    </row>
    <row r="15" spans="1:10" x14ac:dyDescent="0.25">
      <c r="A15" s="523"/>
      <c r="B15" s="16" t="str">
        <f ca="1">DFIE!$B$38</f>
        <v>Nidwalden</v>
      </c>
      <c r="C15" s="60">
        <v>1947.829</v>
      </c>
      <c r="D15" s="60">
        <v>890.05820000000006</v>
      </c>
      <c r="E15" s="54">
        <f t="shared" si="0"/>
        <v>-1057.7707999999998</v>
      </c>
      <c r="F15" s="60">
        <v>155364.18900000001</v>
      </c>
      <c r="G15" s="94">
        <f>NP!E15+QS!Z15+JP!H15</f>
        <v>2067193.9778119237</v>
      </c>
      <c r="H15" s="159">
        <f t="shared" si="1"/>
        <v>13.305472716186376</v>
      </c>
      <c r="I15" s="54">
        <f t="shared" si="2"/>
        <v>-14074.140519378632</v>
      </c>
      <c r="J15" s="45"/>
    </row>
    <row r="16" spans="1:10" x14ac:dyDescent="0.25">
      <c r="A16" s="523"/>
      <c r="B16" s="18" t="str">
        <f ca="1">DFIE!$B$39</f>
        <v>Glarus</v>
      </c>
      <c r="C16" s="59">
        <v>327.005</v>
      </c>
      <c r="D16" s="59">
        <v>764.59259999999995</v>
      </c>
      <c r="E16" s="53">
        <f t="shared" si="0"/>
        <v>437.58759999999995</v>
      </c>
      <c r="F16" s="59">
        <v>54215.07</v>
      </c>
      <c r="G16" s="93">
        <f>NP!E16+QS!Z16+JP!H16</f>
        <v>992980.737024314</v>
      </c>
      <c r="H16" s="160">
        <f t="shared" si="1"/>
        <v>18.315585261151817</v>
      </c>
      <c r="I16" s="53">
        <f t="shared" si="2"/>
        <v>8014.6729970227962</v>
      </c>
      <c r="J16" s="45"/>
    </row>
    <row r="17" spans="1:10" x14ac:dyDescent="0.25">
      <c r="A17" s="523"/>
      <c r="B17" s="16" t="str">
        <f ca="1">DFIE!$B$40</f>
        <v>Zug</v>
      </c>
      <c r="C17" s="60">
        <v>7586.86355</v>
      </c>
      <c r="D17" s="60">
        <v>3263.857</v>
      </c>
      <c r="E17" s="54">
        <f t="shared" si="0"/>
        <v>-4323.0065500000001</v>
      </c>
      <c r="F17" s="60">
        <v>1907389.497</v>
      </c>
      <c r="G17" s="94">
        <f>NP!E17+QS!Z17+JP!H17</f>
        <v>12407904.660956461</v>
      </c>
      <c r="H17" s="159">
        <f t="shared" si="1"/>
        <v>6.5051761480662389</v>
      </c>
      <c r="I17" s="54">
        <f t="shared" si="2"/>
        <v>-28121.919096994119</v>
      </c>
      <c r="J17" s="45"/>
    </row>
    <row r="18" spans="1:10" x14ac:dyDescent="0.25">
      <c r="A18" s="523"/>
      <c r="B18" s="18" t="str">
        <f ca="1">DFIE!$B$41</f>
        <v>Freiburg</v>
      </c>
      <c r="C18" s="59">
        <v>7552.4390999999996</v>
      </c>
      <c r="D18" s="59">
        <v>5042.4385499999999</v>
      </c>
      <c r="E18" s="53">
        <f t="shared" si="0"/>
        <v>-2510.0005499999997</v>
      </c>
      <c r="F18" s="59">
        <v>638675.255</v>
      </c>
      <c r="G18" s="93">
        <f>NP!E18+QS!Z18+JP!H18</f>
        <v>8203912.4572546221</v>
      </c>
      <c r="H18" s="160">
        <f t="shared" si="1"/>
        <v>12.84520167804939</v>
      </c>
      <c r="I18" s="53">
        <f t="shared" si="2"/>
        <v>-32241.463276764891</v>
      </c>
      <c r="J18" s="45"/>
    </row>
    <row r="19" spans="1:10" x14ac:dyDescent="0.25">
      <c r="A19" s="523"/>
      <c r="B19" s="16" t="str">
        <f ca="1">DFIE!$B$42</f>
        <v>Solothurn</v>
      </c>
      <c r="C19" s="60">
        <v>2737.72055</v>
      </c>
      <c r="D19" s="60">
        <v>5310.1814999999997</v>
      </c>
      <c r="E19" s="54">
        <f t="shared" si="0"/>
        <v>2572.4609499999997</v>
      </c>
      <c r="F19" s="60">
        <v>351093.91899999999</v>
      </c>
      <c r="G19" s="94">
        <f>NP!E19+QS!Z19+JP!H19</f>
        <v>6873652.8299538726</v>
      </c>
      <c r="H19" s="159">
        <f t="shared" si="1"/>
        <v>19.577817951195769</v>
      </c>
      <c r="I19" s="54">
        <f t="shared" si="2"/>
        <v>50363.172165660115</v>
      </c>
      <c r="J19" s="45"/>
    </row>
    <row r="20" spans="1:10" x14ac:dyDescent="0.25">
      <c r="A20" s="523"/>
      <c r="B20" s="18" t="str">
        <f ca="1">DFIE!$B$43</f>
        <v>Basel-Stadt</v>
      </c>
      <c r="C20" s="59">
        <v>14874.007</v>
      </c>
      <c r="D20" s="59">
        <v>6364.5826999999999</v>
      </c>
      <c r="E20" s="53">
        <f t="shared" si="0"/>
        <v>-8509.4242999999988</v>
      </c>
      <c r="F20" s="59">
        <v>1167377.389</v>
      </c>
      <c r="G20" s="93">
        <f>NP!E20+QS!Z20+JP!H20</f>
        <v>12095156.127647627</v>
      </c>
      <c r="H20" s="160">
        <f t="shared" si="1"/>
        <v>10.360964878725801</v>
      </c>
      <c r="I20" s="53">
        <f t="shared" si="2"/>
        <v>-88165.84631047587</v>
      </c>
      <c r="J20" s="45"/>
    </row>
    <row r="21" spans="1:10" x14ac:dyDescent="0.25">
      <c r="A21" s="523"/>
      <c r="B21" s="16" t="str">
        <f ca="1">DFIE!$B$44</f>
        <v>Basel-Landschaft</v>
      </c>
      <c r="C21" s="60">
        <v>5062.4093499999999</v>
      </c>
      <c r="D21" s="60">
        <v>4005.84085</v>
      </c>
      <c r="E21" s="54">
        <f t="shared" si="0"/>
        <v>-1056.5684999999999</v>
      </c>
      <c r="F21" s="60">
        <v>673253.01199999999</v>
      </c>
      <c r="G21" s="94">
        <f>NP!E21+QS!Z21+JP!H21</f>
        <v>10031195.777487811</v>
      </c>
      <c r="H21" s="159">
        <f t="shared" si="1"/>
        <v>14.899592870277141</v>
      </c>
      <c r="I21" s="54">
        <f t="shared" si="2"/>
        <v>-15742.440489559411</v>
      </c>
      <c r="J21" s="45"/>
    </row>
    <row r="22" spans="1:10" x14ac:dyDescent="0.25">
      <c r="A22" s="523"/>
      <c r="B22" s="18" t="str">
        <f ca="1">DFIE!$B$45</f>
        <v>Schaffhausen</v>
      </c>
      <c r="C22" s="59">
        <v>724.75474999999994</v>
      </c>
      <c r="D22" s="59">
        <v>3941.4249500000001</v>
      </c>
      <c r="E22" s="53">
        <f t="shared" si="0"/>
        <v>3216.6702</v>
      </c>
      <c r="F22" s="59">
        <v>409889.34600000002</v>
      </c>
      <c r="G22" s="93">
        <f>NP!E22+QS!Z22+JP!H22</f>
        <v>2904364.864182204</v>
      </c>
      <c r="H22" s="160">
        <f t="shared" si="1"/>
        <v>7.0857290937788946</v>
      </c>
      <c r="I22" s="53">
        <f t="shared" si="2"/>
        <v>22792.453621231576</v>
      </c>
      <c r="J22" s="45"/>
    </row>
    <row r="23" spans="1:10" x14ac:dyDescent="0.25">
      <c r="A23" s="523"/>
      <c r="B23" s="16" t="str">
        <f ca="1">DFIE!$B$46</f>
        <v>Appenzell A.Rh.</v>
      </c>
      <c r="C23" s="60">
        <v>1199.1712</v>
      </c>
      <c r="D23" s="60">
        <v>856.4425</v>
      </c>
      <c r="E23" s="54">
        <f t="shared" si="0"/>
        <v>-342.7287</v>
      </c>
      <c r="F23" s="60">
        <v>106632.36199999999</v>
      </c>
      <c r="G23" s="94">
        <f>NP!E23+QS!Z23+JP!H23</f>
        <v>1561942.4868017593</v>
      </c>
      <c r="H23" s="159">
        <f t="shared" si="1"/>
        <v>14.647921676927306</v>
      </c>
      <c r="I23" s="54">
        <f t="shared" si="2"/>
        <v>-5020.2631540351158</v>
      </c>
      <c r="J23" s="45"/>
    </row>
    <row r="24" spans="1:10" x14ac:dyDescent="0.25">
      <c r="A24" s="523"/>
      <c r="B24" s="18" t="str">
        <f ca="1">DFIE!$B$47</f>
        <v>Appenzell I.Rh.</v>
      </c>
      <c r="C24" s="59">
        <v>415.42325</v>
      </c>
      <c r="D24" s="59">
        <v>280.33884999999998</v>
      </c>
      <c r="E24" s="53">
        <f t="shared" si="0"/>
        <v>-135.08440000000002</v>
      </c>
      <c r="F24" s="59">
        <v>34751.142999999996</v>
      </c>
      <c r="G24" s="93">
        <f>NP!E24+QS!Z24+JP!H24</f>
        <v>551928.89450842387</v>
      </c>
      <c r="H24" s="160">
        <f t="shared" si="1"/>
        <v>15.882323482379384</v>
      </c>
      <c r="I24" s="53">
        <f t="shared" si="2"/>
        <v>-2145.45413822313</v>
      </c>
      <c r="J24" s="45"/>
    </row>
    <row r="25" spans="1:10" x14ac:dyDescent="0.25">
      <c r="A25" s="523"/>
      <c r="B25" s="16" t="str">
        <f ca="1">DFIE!$B$48</f>
        <v>St. Gallen</v>
      </c>
      <c r="C25" s="60">
        <v>8038.2719999999999</v>
      </c>
      <c r="D25" s="60">
        <v>8772.3476499999997</v>
      </c>
      <c r="E25" s="54">
        <f t="shared" si="0"/>
        <v>734.07564999999977</v>
      </c>
      <c r="F25" s="60">
        <v>893130.46799999999</v>
      </c>
      <c r="G25" s="94">
        <f>NP!E25+QS!Z25+JP!H25</f>
        <v>14259007.422211448</v>
      </c>
      <c r="H25" s="159">
        <f t="shared" si="1"/>
        <v>15.965200979137851</v>
      </c>
      <c r="I25" s="54">
        <f t="shared" si="2"/>
        <v>11719.665286141251</v>
      </c>
      <c r="J25" s="45"/>
    </row>
    <row r="26" spans="1:10" x14ac:dyDescent="0.25">
      <c r="A26" s="523"/>
      <c r="B26" s="18" t="str">
        <f ca="1">DFIE!$B$49</f>
        <v>Graubünden</v>
      </c>
      <c r="C26" s="59">
        <v>2180.7310000000002</v>
      </c>
      <c r="D26" s="59">
        <v>9955.8346000000001</v>
      </c>
      <c r="E26" s="53">
        <f t="shared" si="0"/>
        <v>7775.1036000000004</v>
      </c>
      <c r="F26" s="59">
        <v>318891.59299999999</v>
      </c>
      <c r="G26" s="93">
        <f>NP!E26+QS!Z26+JP!H26</f>
        <v>5335078.2556743268</v>
      </c>
      <c r="H26" s="160">
        <f t="shared" si="1"/>
        <v>16.730068690378825</v>
      </c>
      <c r="I26" s="53">
        <f t="shared" si="2"/>
        <v>130078.0173028117</v>
      </c>
      <c r="J26" s="45"/>
    </row>
    <row r="27" spans="1:10" x14ac:dyDescent="0.25">
      <c r="A27" s="523"/>
      <c r="B27" s="16" t="str">
        <f ca="1">DFIE!$B$50</f>
        <v>Aargau</v>
      </c>
      <c r="C27" s="60">
        <v>3902.6835999999998</v>
      </c>
      <c r="D27" s="60">
        <v>12996.4493</v>
      </c>
      <c r="E27" s="54">
        <f t="shared" si="0"/>
        <v>9093.7656999999999</v>
      </c>
      <c r="F27" s="60">
        <v>1040529.051</v>
      </c>
      <c r="G27" s="94">
        <f>NP!E27+QS!Z27+JP!H27</f>
        <v>18682333.76544416</v>
      </c>
      <c r="H27" s="159">
        <f t="shared" si="1"/>
        <v>17.954648885093128</v>
      </c>
      <c r="I27" s="54">
        <f t="shared" si="2"/>
        <v>163275.37018680313</v>
      </c>
      <c r="J27" s="45"/>
    </row>
    <row r="28" spans="1:10" x14ac:dyDescent="0.25">
      <c r="A28" s="523"/>
      <c r="B28" s="18" t="str">
        <f ca="1">DFIE!$B$51</f>
        <v>Thurgau</v>
      </c>
      <c r="C28" s="59">
        <v>2296.165</v>
      </c>
      <c r="D28" s="59">
        <v>2827.9990499999999</v>
      </c>
      <c r="E28" s="53">
        <f t="shared" si="0"/>
        <v>531.83404999999993</v>
      </c>
      <c r="F28" s="59">
        <v>406334.61</v>
      </c>
      <c r="G28" s="93">
        <f>NP!E28+QS!Z28+JP!H28</f>
        <v>7601730.0627745353</v>
      </c>
      <c r="H28" s="160">
        <f t="shared" si="1"/>
        <v>18.708054582833924</v>
      </c>
      <c r="I28" s="53">
        <f t="shared" si="2"/>
        <v>9949.5804364096257</v>
      </c>
      <c r="J28" s="45"/>
    </row>
    <row r="29" spans="1:10" x14ac:dyDescent="0.25">
      <c r="A29" s="523"/>
      <c r="B29" s="16" t="str">
        <f ca="1">DFIE!$B$52</f>
        <v>Tessin</v>
      </c>
      <c r="C29" s="60">
        <v>2236.7107500000002</v>
      </c>
      <c r="D29" s="60">
        <v>7188.5223999999998</v>
      </c>
      <c r="E29" s="54">
        <f t="shared" si="0"/>
        <v>4951.8116499999996</v>
      </c>
      <c r="F29" s="60">
        <v>830301.9</v>
      </c>
      <c r="G29" s="94">
        <f>NP!E29+QS!Z29+JP!H29</f>
        <v>10710764.367062781</v>
      </c>
      <c r="H29" s="159">
        <f t="shared" si="1"/>
        <v>12.899843258292893</v>
      </c>
      <c r="I29" s="54">
        <f t="shared" si="2"/>
        <v>63877.594129588702</v>
      </c>
      <c r="J29" s="45"/>
    </row>
    <row r="30" spans="1:10" x14ac:dyDescent="0.25">
      <c r="A30" s="523"/>
      <c r="B30" s="18" t="str">
        <f ca="1">DFIE!$B$53</f>
        <v>Waadt</v>
      </c>
      <c r="C30" s="59">
        <v>9066.7219499999992</v>
      </c>
      <c r="D30" s="59">
        <v>13878.444450000001</v>
      </c>
      <c r="E30" s="53">
        <f t="shared" si="0"/>
        <v>4811.7225000000017</v>
      </c>
      <c r="F30" s="59">
        <v>2955156.298</v>
      </c>
      <c r="G30" s="93">
        <f>NP!E30+QS!Z30+JP!H30</f>
        <v>27632419.401867092</v>
      </c>
      <c r="H30" s="160">
        <f t="shared" si="1"/>
        <v>9.3505779780813114</v>
      </c>
      <c r="I30" s="53">
        <f t="shared" si="2"/>
        <v>44992.386445138371</v>
      </c>
      <c r="J30" s="45"/>
    </row>
    <row r="31" spans="1:10" x14ac:dyDescent="0.25">
      <c r="A31" s="523"/>
      <c r="B31" s="16" t="str">
        <f ca="1">DFIE!$B$54</f>
        <v>Wallis</v>
      </c>
      <c r="C31" s="60">
        <v>1029.3889999999999</v>
      </c>
      <c r="D31" s="60">
        <v>7293.9485999999997</v>
      </c>
      <c r="E31" s="54">
        <f t="shared" si="0"/>
        <v>6264.5595999999996</v>
      </c>
      <c r="F31" s="60">
        <v>393155.28</v>
      </c>
      <c r="G31" s="94">
        <f>NP!E31+QS!Z31+JP!H31</f>
        <v>7450963.3651572959</v>
      </c>
      <c r="H31" s="159">
        <f t="shared" si="1"/>
        <v>18.951706219377989</v>
      </c>
      <c r="I31" s="54">
        <f t="shared" si="2"/>
        <v>118724.09313298408</v>
      </c>
      <c r="J31" s="45"/>
    </row>
    <row r="32" spans="1:10" x14ac:dyDescent="0.25">
      <c r="A32" s="523"/>
      <c r="B32" s="18" t="str">
        <f ca="1">DFIE!$B$55</f>
        <v>Neuenburg</v>
      </c>
      <c r="C32" s="59">
        <v>914.65099999999995</v>
      </c>
      <c r="D32" s="59">
        <v>3641.4630999999999</v>
      </c>
      <c r="E32" s="53">
        <f t="shared" si="0"/>
        <v>2726.8121000000001</v>
      </c>
      <c r="F32" s="59">
        <v>375832.288</v>
      </c>
      <c r="G32" s="93">
        <f>NP!E32+QS!Z32+JP!H32</f>
        <v>4647380.7859331686</v>
      </c>
      <c r="H32" s="160">
        <f t="shared" si="1"/>
        <v>12.365570852531883</v>
      </c>
      <c r="I32" s="53">
        <f t="shared" si="2"/>
        <v>33718.588224091254</v>
      </c>
      <c r="J32" s="45"/>
    </row>
    <row r="33" spans="1:10" x14ac:dyDescent="0.25">
      <c r="A33" s="523"/>
      <c r="B33" s="16" t="str">
        <f ca="1">DFIE!$B$56</f>
        <v>Genf</v>
      </c>
      <c r="C33" s="60">
        <v>5688.5073000000002</v>
      </c>
      <c r="D33" s="60">
        <v>13260.10965</v>
      </c>
      <c r="E33" s="54">
        <f t="shared" si="0"/>
        <v>7571.6023500000001</v>
      </c>
      <c r="F33" s="60">
        <v>2106425.8790000002</v>
      </c>
      <c r="G33" s="94">
        <f>NP!E33+QS!Z33+JP!H33</f>
        <v>24362811.13427759</v>
      </c>
      <c r="H33" s="159">
        <f t="shared" si="1"/>
        <v>11.565947502431719</v>
      </c>
      <c r="I33" s="54">
        <f t="shared" si="2"/>
        <v>87572.755289388631</v>
      </c>
      <c r="J33" s="45"/>
    </row>
    <row r="34" spans="1:10" x14ac:dyDescent="0.25">
      <c r="A34" s="523"/>
      <c r="B34" s="18" t="str">
        <f ca="1">DFIE!$B$57</f>
        <v>Jura</v>
      </c>
      <c r="C34" s="59">
        <v>532.84495000000004</v>
      </c>
      <c r="D34" s="59">
        <v>1499.6306999999999</v>
      </c>
      <c r="E34" s="53">
        <f t="shared" si="0"/>
        <v>966.78574999999989</v>
      </c>
      <c r="F34" s="59">
        <v>84156.02</v>
      </c>
      <c r="G34" s="93">
        <f>NP!E34+QS!Z34+JP!H34</f>
        <v>1761715.2977773838</v>
      </c>
      <c r="H34" s="160">
        <f t="shared" si="1"/>
        <v>20.9339189017896</v>
      </c>
      <c r="I34" s="53">
        <f t="shared" si="2"/>
        <v>20238.614485905833</v>
      </c>
      <c r="J34" s="45"/>
    </row>
    <row r="35" spans="1:10" x14ac:dyDescent="0.25">
      <c r="A35" s="523"/>
      <c r="B35" s="15" t="str">
        <f ca="1">DFIE!$B$58</f>
        <v>Schweiz</v>
      </c>
      <c r="C35" s="61">
        <f>SUM(C9:C34)</f>
        <v>159247.94995000001</v>
      </c>
      <c r="D35" s="61">
        <f>SUM(D9:D34)</f>
        <v>159247.94995000001</v>
      </c>
      <c r="E35" s="55">
        <f>ROUND(SUM(E9:E34),5)</f>
        <v>0</v>
      </c>
      <c r="F35" s="61">
        <f>SUM(F9:F34)</f>
        <v>23547551.447999999</v>
      </c>
      <c r="G35" s="61">
        <f>SUM(G9:G34)</f>
        <v>295628187.67701912</v>
      </c>
      <c r="H35" s="161">
        <f>G35/F35</f>
        <v>12.554519238650105</v>
      </c>
      <c r="I35" s="55">
        <f>SUM(I9:I34)</f>
        <v>94662.60444495728</v>
      </c>
      <c r="J35" s="47"/>
    </row>
    <row r="36" spans="1:10" ht="15" customHeight="1" x14ac:dyDescent="0.25">
      <c r="A36" s="69"/>
      <c r="B36" s="77"/>
      <c r="C36" s="124"/>
      <c r="D36" s="124"/>
      <c r="E36" s="124"/>
      <c r="F36" s="124"/>
      <c r="G36" s="124"/>
      <c r="H36" s="77"/>
      <c r="I36" s="124"/>
    </row>
    <row r="37" spans="1:10" x14ac:dyDescent="0.25">
      <c r="A37" s="524" t="str">
        <f ca="1">DFIE!$B$74</f>
        <v>Bemessungsjahr 2020</v>
      </c>
      <c r="B37" s="148" t="str">
        <f ca="1">DFIE!$B$32</f>
        <v>Zürich</v>
      </c>
      <c r="C37" s="57">
        <v>27731.98</v>
      </c>
      <c r="D37" s="57">
        <v>43335.034249999997</v>
      </c>
      <c r="E37" s="58">
        <f t="shared" ref="E37:E62" si="3">D37-C37</f>
        <v>15603.054249999997</v>
      </c>
      <c r="F37" s="57">
        <v>4674702.9189999998</v>
      </c>
      <c r="G37" s="92">
        <f>NP!E37+QS!Z37+JP!H37</f>
        <v>51494007.068471037</v>
      </c>
      <c r="H37" s="162">
        <f t="shared" ref="H37:H63" si="4">G37/F37</f>
        <v>11.015460866866487</v>
      </c>
      <c r="I37" s="58">
        <f t="shared" ref="I37:I62" si="5">E37*H37</f>
        <v>171874.83349446979</v>
      </c>
      <c r="J37" s="48"/>
    </row>
    <row r="38" spans="1:10" x14ac:dyDescent="0.25">
      <c r="A38" s="524"/>
      <c r="B38" s="18" t="str">
        <f ca="1">DFIE!$B$33</f>
        <v>Bern</v>
      </c>
      <c r="C38" s="59">
        <v>54654.826000000001</v>
      </c>
      <c r="D38" s="59">
        <v>8678.2762000000002</v>
      </c>
      <c r="E38" s="53">
        <f t="shared" si="3"/>
        <v>-45976.549800000001</v>
      </c>
      <c r="F38" s="59">
        <v>1480907.767</v>
      </c>
      <c r="G38" s="93">
        <f>NP!E38+QS!Z38+JP!H38</f>
        <v>22002622.112050939</v>
      </c>
      <c r="H38" s="160">
        <f t="shared" si="4"/>
        <v>14.85752360974074</v>
      </c>
      <c r="I38" s="53">
        <f t="shared" si="5"/>
        <v>-683097.67414792092</v>
      </c>
      <c r="J38" s="48"/>
    </row>
    <row r="39" spans="1:10" x14ac:dyDescent="0.25">
      <c r="A39" s="524"/>
      <c r="B39" s="16" t="str">
        <f ca="1">DFIE!$B$34</f>
        <v>Luzern</v>
      </c>
      <c r="C39" s="60">
        <v>7863.7968499999997</v>
      </c>
      <c r="D39" s="60">
        <v>5779.4101000000001</v>
      </c>
      <c r="E39" s="54">
        <f t="shared" si="3"/>
        <v>-2084.3867499999997</v>
      </c>
      <c r="F39" s="60">
        <v>1077405.568</v>
      </c>
      <c r="G39" s="94">
        <f>NP!E39+QS!Z39+JP!H39</f>
        <v>10432672.471855689</v>
      </c>
      <c r="H39" s="159">
        <f t="shared" si="4"/>
        <v>9.6831432672303475</v>
      </c>
      <c r="I39" s="54">
        <f t="shared" si="5"/>
        <v>-20183.415524566641</v>
      </c>
      <c r="J39" s="48"/>
    </row>
    <row r="40" spans="1:10" x14ac:dyDescent="0.25">
      <c r="A40" s="524"/>
      <c r="B40" s="18" t="str">
        <f ca="1">DFIE!$B$35</f>
        <v>Uri</v>
      </c>
      <c r="C40" s="59">
        <v>879.28949999999998</v>
      </c>
      <c r="D40" s="59">
        <v>615.06799999999998</v>
      </c>
      <c r="E40" s="53">
        <f t="shared" si="3"/>
        <v>-264.22149999999999</v>
      </c>
      <c r="F40" s="59">
        <v>48097.65</v>
      </c>
      <c r="G40" s="93">
        <f>NP!E40+QS!Z40+JP!H40</f>
        <v>710794.5149969412</v>
      </c>
      <c r="H40" s="160">
        <f t="shared" si="4"/>
        <v>14.778154753858892</v>
      </c>
      <c r="I40" s="53">
        <f t="shared" si="5"/>
        <v>-3904.7062162967272</v>
      </c>
      <c r="J40" s="48"/>
    </row>
    <row r="41" spans="1:10" x14ac:dyDescent="0.25">
      <c r="A41" s="524"/>
      <c r="B41" s="16" t="str">
        <f ca="1">DFIE!$B$36</f>
        <v>Schwyz</v>
      </c>
      <c r="C41" s="60">
        <v>2479.5027500000001</v>
      </c>
      <c r="D41" s="60">
        <v>1706.7275</v>
      </c>
      <c r="E41" s="54">
        <f t="shared" si="3"/>
        <v>-772.77525000000014</v>
      </c>
      <c r="F41" s="60">
        <v>813221.86100000003</v>
      </c>
      <c r="G41" s="94">
        <f>NP!E41+QS!Z41+JP!H41</f>
        <v>7349590.4278431935</v>
      </c>
      <c r="H41" s="159">
        <f t="shared" si="4"/>
        <v>9.0376203350037496</v>
      </c>
      <c r="I41" s="54">
        <f t="shared" si="5"/>
        <v>-6984.0493137876074</v>
      </c>
      <c r="J41" s="48"/>
    </row>
    <row r="42" spans="1:10" x14ac:dyDescent="0.25">
      <c r="A42" s="524"/>
      <c r="B42" s="18" t="str">
        <f ca="1">DFIE!$B$37</f>
        <v>Obwalden</v>
      </c>
      <c r="C42" s="59">
        <v>864.30634999999995</v>
      </c>
      <c r="D42" s="59">
        <v>774.61635000000001</v>
      </c>
      <c r="E42" s="53">
        <f t="shared" si="3"/>
        <v>-89.689999999999941</v>
      </c>
      <c r="F42" s="59">
        <v>101310.784</v>
      </c>
      <c r="G42" s="93">
        <f>NP!E42+QS!Z42+JP!H42</f>
        <v>1145144.4011143071</v>
      </c>
      <c r="H42" s="160">
        <f t="shared" si="4"/>
        <v>11.303282394047084</v>
      </c>
      <c r="I42" s="53">
        <f t="shared" si="5"/>
        <v>-1013.7913979220823</v>
      </c>
      <c r="J42" s="48"/>
    </row>
    <row r="43" spans="1:10" x14ac:dyDescent="0.25">
      <c r="A43" s="524"/>
      <c r="B43" s="16" t="str">
        <f ca="1">DFIE!$B$38</f>
        <v>Nidwalden</v>
      </c>
      <c r="C43" s="60">
        <v>1389.7419</v>
      </c>
      <c r="D43" s="60">
        <v>1415.3559499999999</v>
      </c>
      <c r="E43" s="54">
        <f t="shared" si="3"/>
        <v>25.614049999999907</v>
      </c>
      <c r="F43" s="60">
        <v>173332.677</v>
      </c>
      <c r="G43" s="94">
        <f>NP!E43+QS!Z43+JP!H43</f>
        <v>1627576.5671251069</v>
      </c>
      <c r="H43" s="159">
        <f t="shared" si="4"/>
        <v>9.3899003655560396</v>
      </c>
      <c r="I43" s="54">
        <f t="shared" si="5"/>
        <v>240.5133774583698</v>
      </c>
      <c r="J43" s="48"/>
    </row>
    <row r="44" spans="1:10" x14ac:dyDescent="0.25">
      <c r="A44" s="524"/>
      <c r="B44" s="18" t="str">
        <f ca="1">DFIE!$B$39</f>
        <v>Glarus</v>
      </c>
      <c r="C44" s="59">
        <v>269.42</v>
      </c>
      <c r="D44" s="59">
        <v>578.66605000000004</v>
      </c>
      <c r="E44" s="53">
        <f t="shared" si="3"/>
        <v>309.24605000000003</v>
      </c>
      <c r="F44" s="59">
        <v>67988.376999999993</v>
      </c>
      <c r="G44" s="93">
        <f>NP!E44+QS!Z44+JP!H44</f>
        <v>828204.04337241186</v>
      </c>
      <c r="H44" s="160">
        <f t="shared" si="4"/>
        <v>12.181553375989722</v>
      </c>
      <c r="I44" s="53">
        <f t="shared" si="5"/>
        <v>3767.0972643889868</v>
      </c>
      <c r="J44" s="48"/>
    </row>
    <row r="45" spans="1:10" x14ac:dyDescent="0.25">
      <c r="A45" s="524"/>
      <c r="B45" s="16" t="str">
        <f ca="1">DFIE!$B$40</f>
        <v>Zug</v>
      </c>
      <c r="C45" s="60">
        <v>1863.7907399999999</v>
      </c>
      <c r="D45" s="60">
        <v>2779.40425</v>
      </c>
      <c r="E45" s="54">
        <f t="shared" si="3"/>
        <v>915.61351000000013</v>
      </c>
      <c r="F45" s="60">
        <v>2335049.6680000001</v>
      </c>
      <c r="G45" s="94">
        <f>NP!E45+QS!Z45+JP!H45</f>
        <v>9369925.3817069717</v>
      </c>
      <c r="H45" s="159">
        <f t="shared" si="4"/>
        <v>4.0127306541331231</v>
      </c>
      <c r="I45" s="54">
        <f t="shared" si="5"/>
        <v>3674.1103989154253</v>
      </c>
      <c r="J45" s="48"/>
    </row>
    <row r="46" spans="1:10" x14ac:dyDescent="0.25">
      <c r="A46" s="524"/>
      <c r="B46" s="18" t="str">
        <f ca="1">DFIE!$B$41</f>
        <v>Freiburg</v>
      </c>
      <c r="C46" s="59">
        <v>5423.1459999999997</v>
      </c>
      <c r="D46" s="59">
        <v>3912.42085</v>
      </c>
      <c r="E46" s="53">
        <f t="shared" si="3"/>
        <v>-1510.7251499999998</v>
      </c>
      <c r="F46" s="59">
        <v>576303.152</v>
      </c>
      <c r="G46" s="93">
        <f>NP!E46+QS!Z46+JP!H46</f>
        <v>7241791.5155029409</v>
      </c>
      <c r="H46" s="160">
        <f t="shared" si="4"/>
        <v>12.565941189755875</v>
      </c>
      <c r="I46" s="53">
        <f t="shared" si="5"/>
        <v>-18983.683388785121</v>
      </c>
      <c r="J46" s="48"/>
    </row>
    <row r="47" spans="1:10" x14ac:dyDescent="0.25">
      <c r="A47" s="524"/>
      <c r="B47" s="16" t="str">
        <f ca="1">DFIE!$B$42</f>
        <v>Solothurn</v>
      </c>
      <c r="C47" s="60">
        <v>4516.4309000000003</v>
      </c>
      <c r="D47" s="60">
        <v>4485.83205</v>
      </c>
      <c r="E47" s="54">
        <f t="shared" si="3"/>
        <v>-30.598850000000311</v>
      </c>
      <c r="F47" s="60">
        <v>387190.75</v>
      </c>
      <c r="G47" s="94">
        <f>NP!E47+QS!Z47+JP!H47</f>
        <v>6111488.3923302358</v>
      </c>
      <c r="H47" s="159">
        <f t="shared" si="4"/>
        <v>15.784179741717063</v>
      </c>
      <c r="I47" s="54">
        <f t="shared" si="5"/>
        <v>-482.97774828984404</v>
      </c>
      <c r="J47" s="48"/>
    </row>
    <row r="48" spans="1:10" x14ac:dyDescent="0.25">
      <c r="A48" s="524"/>
      <c r="B48" s="18" t="str">
        <f ca="1">DFIE!$B$43</f>
        <v>Basel-Stadt</v>
      </c>
      <c r="C48" s="59">
        <v>7381.0401499999998</v>
      </c>
      <c r="D48" s="59">
        <v>4957.1202000000003</v>
      </c>
      <c r="E48" s="53">
        <f t="shared" si="3"/>
        <v>-2423.9199499999995</v>
      </c>
      <c r="F48" s="59">
        <v>1593080.89</v>
      </c>
      <c r="G48" s="93">
        <f>NP!E48+QS!Z48+JP!H48</f>
        <v>8627703.3161480874</v>
      </c>
      <c r="H48" s="160">
        <f t="shared" si="4"/>
        <v>5.4157346122883236</v>
      </c>
      <c r="I48" s="53">
        <f t="shared" si="5"/>
        <v>-13127.30717063118</v>
      </c>
      <c r="J48" s="48"/>
    </row>
    <row r="49" spans="1:10" x14ac:dyDescent="0.25">
      <c r="A49" s="524"/>
      <c r="B49" s="16" t="str">
        <f ca="1">DFIE!$B$44</f>
        <v>Basel-Landschaft</v>
      </c>
      <c r="C49" s="60">
        <v>5407.6369999999997</v>
      </c>
      <c r="D49" s="60">
        <v>3416.0387999999998</v>
      </c>
      <c r="E49" s="54">
        <f t="shared" si="3"/>
        <v>-1991.5981999999999</v>
      </c>
      <c r="F49" s="60">
        <v>855738.402</v>
      </c>
      <c r="G49" s="94">
        <f>NP!E49+QS!Z49+JP!H49</f>
        <v>8786317.2337953337</v>
      </c>
      <c r="H49" s="159">
        <f t="shared" si="4"/>
        <v>10.267527100876015</v>
      </c>
      <c r="I49" s="54">
        <f t="shared" si="5"/>
        <v>-20448.788492555886</v>
      </c>
      <c r="J49" s="48"/>
    </row>
    <row r="50" spans="1:10" x14ac:dyDescent="0.25">
      <c r="A50" s="524"/>
      <c r="B50" s="18" t="str">
        <f ca="1">DFIE!$B$45</f>
        <v>Schaffhausen</v>
      </c>
      <c r="C50" s="59">
        <v>1088.51785</v>
      </c>
      <c r="D50" s="59">
        <v>3951.7869500000002</v>
      </c>
      <c r="E50" s="53">
        <f t="shared" si="3"/>
        <v>2863.2691000000004</v>
      </c>
      <c r="F50" s="59">
        <v>479674.05699999997</v>
      </c>
      <c r="G50" s="93">
        <f>NP!E50+QS!Z50+JP!H50</f>
        <v>2481323.1483795</v>
      </c>
      <c r="H50" s="160">
        <f t="shared" si="4"/>
        <v>5.1729358971346251</v>
      </c>
      <c r="I50" s="53">
        <f t="shared" si="5"/>
        <v>14811.507510546353</v>
      </c>
      <c r="J50" s="48"/>
    </row>
    <row r="51" spans="1:10" x14ac:dyDescent="0.25">
      <c r="A51" s="524"/>
      <c r="B51" s="16" t="str">
        <f ca="1">DFIE!$B$46</f>
        <v>Appenzell A.Rh.</v>
      </c>
      <c r="C51" s="60">
        <v>235.38175000000001</v>
      </c>
      <c r="D51" s="60">
        <v>838.55790000000002</v>
      </c>
      <c r="E51" s="54">
        <f t="shared" si="3"/>
        <v>603.17615000000001</v>
      </c>
      <c r="F51" s="60">
        <v>100216.30499999999</v>
      </c>
      <c r="G51" s="94">
        <f>NP!E51+QS!Z51+JP!H51</f>
        <v>1257067.1002360587</v>
      </c>
      <c r="H51" s="159">
        <f t="shared" si="4"/>
        <v>12.543538700973448</v>
      </c>
      <c r="I51" s="54">
        <f t="shared" si="5"/>
        <v>7565.9633810291662</v>
      </c>
      <c r="J51" s="48"/>
    </row>
    <row r="52" spans="1:10" x14ac:dyDescent="0.25">
      <c r="A52" s="524"/>
      <c r="B52" s="18" t="str">
        <f ca="1">DFIE!$B$47</f>
        <v>Appenzell I.Rh.</v>
      </c>
      <c r="C52" s="59">
        <v>43.309100000000001</v>
      </c>
      <c r="D52" s="59">
        <v>103.9169</v>
      </c>
      <c r="E52" s="53">
        <f t="shared" si="3"/>
        <v>60.607799999999997</v>
      </c>
      <c r="F52" s="59">
        <v>38452.226000000002</v>
      </c>
      <c r="G52" s="93">
        <f>NP!E52+QS!Z52+JP!H52</f>
        <v>442456.47101933823</v>
      </c>
      <c r="H52" s="160">
        <f t="shared" si="4"/>
        <v>11.506654283664572</v>
      </c>
      <c r="I52" s="53">
        <f t="shared" si="5"/>
        <v>697.3930014934856</v>
      </c>
      <c r="J52" s="48"/>
    </row>
    <row r="53" spans="1:10" x14ac:dyDescent="0.25">
      <c r="A53" s="524"/>
      <c r="B53" s="16" t="str">
        <f ca="1">DFIE!$B$48</f>
        <v>St. Gallen</v>
      </c>
      <c r="C53" s="60">
        <v>5776.7261500000004</v>
      </c>
      <c r="D53" s="60">
        <v>6868.7305500000002</v>
      </c>
      <c r="E53" s="54">
        <f t="shared" si="3"/>
        <v>1092.0043999999998</v>
      </c>
      <c r="F53" s="60">
        <v>864547.69299999997</v>
      </c>
      <c r="G53" s="94">
        <f>NP!E53+QS!Z53+JP!H53</f>
        <v>11293856.356655093</v>
      </c>
      <c r="H53" s="159">
        <f t="shared" si="4"/>
        <v>13.063312120428147</v>
      </c>
      <c r="I53" s="54">
        <f t="shared" si="5"/>
        <v>14265.194314080863</v>
      </c>
      <c r="J53" s="48"/>
    </row>
    <row r="54" spans="1:10" x14ac:dyDescent="0.25">
      <c r="A54" s="524"/>
      <c r="B54" s="18" t="str">
        <f ca="1">DFIE!$B$49</f>
        <v>Graubünden</v>
      </c>
      <c r="C54" s="59">
        <v>1810.33</v>
      </c>
      <c r="D54" s="59">
        <v>6730.9175999999998</v>
      </c>
      <c r="E54" s="53">
        <f t="shared" si="3"/>
        <v>4920.5875999999998</v>
      </c>
      <c r="F54" s="59">
        <v>319462.80200000003</v>
      </c>
      <c r="G54" s="93">
        <f>NP!E54+QS!Z54+JP!H54</f>
        <v>4981915.4428715762</v>
      </c>
      <c r="H54" s="160">
        <f t="shared" si="4"/>
        <v>15.594665205721121</v>
      </c>
      <c r="I54" s="53">
        <f t="shared" si="5"/>
        <v>76734.916237422789</v>
      </c>
      <c r="J54" s="48"/>
    </row>
    <row r="55" spans="1:10" x14ac:dyDescent="0.25">
      <c r="A55" s="524"/>
      <c r="B55" s="16" t="str">
        <f ca="1">DFIE!$B$50</f>
        <v>Aargau</v>
      </c>
      <c r="C55" s="60">
        <v>6145.2216500000004</v>
      </c>
      <c r="D55" s="60">
        <v>8766.5967000000001</v>
      </c>
      <c r="E55" s="54">
        <f t="shared" si="3"/>
        <v>2621.3750499999996</v>
      </c>
      <c r="F55" s="60">
        <v>1091828.348</v>
      </c>
      <c r="G55" s="94">
        <f>NP!E55+QS!Z55+JP!H55</f>
        <v>16472178.554770354</v>
      </c>
      <c r="H55" s="159">
        <f t="shared" si="4"/>
        <v>15.086784094719579</v>
      </c>
      <c r="I55" s="54">
        <f t="shared" si="5"/>
        <v>39548.119410634739</v>
      </c>
      <c r="J55" s="48"/>
    </row>
    <row r="56" spans="1:10" x14ac:dyDescent="0.25">
      <c r="A56" s="524"/>
      <c r="B56" s="18" t="str">
        <f ca="1">DFIE!$B$51</f>
        <v>Thurgau</v>
      </c>
      <c r="C56" s="59">
        <v>3700.3040000000001</v>
      </c>
      <c r="D56" s="59">
        <v>3901.5378500000002</v>
      </c>
      <c r="E56" s="53">
        <f t="shared" si="3"/>
        <v>201.23385000000007</v>
      </c>
      <c r="F56" s="59">
        <v>448535.761</v>
      </c>
      <c r="G56" s="93">
        <f>NP!E56+QS!Z56+JP!H56</f>
        <v>6597872.3615299221</v>
      </c>
      <c r="H56" s="160">
        <f t="shared" si="4"/>
        <v>14.709802283813714</v>
      </c>
      <c r="I56" s="53">
        <f t="shared" si="5"/>
        <v>2960.1101463106274</v>
      </c>
      <c r="J56" s="48"/>
    </row>
    <row r="57" spans="1:10" x14ac:dyDescent="0.25">
      <c r="A57" s="524"/>
      <c r="B57" s="16" t="str">
        <f ca="1">DFIE!$B$52</f>
        <v>Tessin</v>
      </c>
      <c r="C57" s="60">
        <v>2435.8155000000002</v>
      </c>
      <c r="D57" s="60">
        <v>6353.3236500000003</v>
      </c>
      <c r="E57" s="54">
        <f t="shared" si="3"/>
        <v>3917.5081500000001</v>
      </c>
      <c r="F57" s="60">
        <v>653442.38899999997</v>
      </c>
      <c r="G57" s="94">
        <f>NP!E57+QS!Z57+JP!H57</f>
        <v>9136008.7768431008</v>
      </c>
      <c r="H57" s="159">
        <f t="shared" si="4"/>
        <v>13.981353108763658</v>
      </c>
      <c r="I57" s="54">
        <f t="shared" si="5"/>
        <v>54772.064751609469</v>
      </c>
      <c r="J57" s="48"/>
    </row>
    <row r="58" spans="1:10" x14ac:dyDescent="0.25">
      <c r="A58" s="524"/>
      <c r="B58" s="18" t="str">
        <f ca="1">DFIE!$B$53</f>
        <v>Waadt</v>
      </c>
      <c r="C58" s="59">
        <v>40689.846299999997</v>
      </c>
      <c r="D58" s="59">
        <v>18487.655149999999</v>
      </c>
      <c r="E58" s="53">
        <f t="shared" si="3"/>
        <v>-22202.191149999999</v>
      </c>
      <c r="F58" s="59">
        <v>2971250.378</v>
      </c>
      <c r="G58" s="93">
        <f>NP!E58+QS!Z58+JP!H58</f>
        <v>24524034.777012311</v>
      </c>
      <c r="H58" s="160">
        <f t="shared" si="4"/>
        <v>8.2537759047825059</v>
      </c>
      <c r="I58" s="53">
        <f t="shared" si="5"/>
        <v>-183251.91034724537</v>
      </c>
      <c r="J58" s="48"/>
    </row>
    <row r="59" spans="1:10" x14ac:dyDescent="0.25">
      <c r="A59" s="524"/>
      <c r="B59" s="16" t="str">
        <f ca="1">DFIE!$B$54</f>
        <v>Wallis</v>
      </c>
      <c r="C59" s="60">
        <v>909.33100000000002</v>
      </c>
      <c r="D59" s="60">
        <v>6241.26134</v>
      </c>
      <c r="E59" s="54">
        <f t="shared" si="3"/>
        <v>5331.9303399999999</v>
      </c>
      <c r="F59" s="60">
        <v>356146.72</v>
      </c>
      <c r="G59" s="94">
        <f>NP!E59+QS!Z59+JP!H59</f>
        <v>6721825.8602189291</v>
      </c>
      <c r="H59" s="159">
        <f t="shared" si="4"/>
        <v>18.873754783474993</v>
      </c>
      <c r="I59" s="54">
        <f t="shared" si="5"/>
        <v>100633.54575973045</v>
      </c>
      <c r="J59" s="48"/>
    </row>
    <row r="60" spans="1:10" x14ac:dyDescent="0.25">
      <c r="A60" s="524"/>
      <c r="B60" s="18" t="str">
        <f ca="1">DFIE!$B$55</f>
        <v>Neuenburg</v>
      </c>
      <c r="C60" s="59">
        <v>435.9</v>
      </c>
      <c r="D60" s="59">
        <v>35379.27435</v>
      </c>
      <c r="E60" s="53">
        <f t="shared" si="3"/>
        <v>34943.374349999998</v>
      </c>
      <c r="F60" s="59">
        <v>316190.45600000001</v>
      </c>
      <c r="G60" s="93">
        <f>NP!E60+QS!Z60+JP!H60</f>
        <v>3662272.6295750588</v>
      </c>
      <c r="H60" s="160">
        <f t="shared" si="4"/>
        <v>11.58248947771864</v>
      </c>
      <c r="I60" s="53">
        <f t="shared" si="5"/>
        <v>404731.26572485844</v>
      </c>
      <c r="J60" s="48"/>
    </row>
    <row r="61" spans="1:10" x14ac:dyDescent="0.25">
      <c r="A61" s="524"/>
      <c r="B61" s="16" t="str">
        <f ca="1">DFIE!$B$56</f>
        <v>Genf</v>
      </c>
      <c r="C61" s="60">
        <v>6436.6967999999997</v>
      </c>
      <c r="D61" s="60">
        <v>10091.1684</v>
      </c>
      <c r="E61" s="54">
        <f t="shared" si="3"/>
        <v>3654.4716000000008</v>
      </c>
      <c r="F61" s="60">
        <v>2373161.0189999999</v>
      </c>
      <c r="G61" s="94">
        <f>NP!E61+QS!Z61+JP!H61</f>
        <v>20793691.328410249</v>
      </c>
      <c r="H61" s="159">
        <f t="shared" si="4"/>
        <v>8.7620229566943895</v>
      </c>
      <c r="I61" s="54">
        <f t="shared" si="5"/>
        <v>32020.564053787682</v>
      </c>
      <c r="J61" s="48"/>
    </row>
    <row r="62" spans="1:10" x14ac:dyDescent="0.25">
      <c r="A62" s="524"/>
      <c r="B62" s="18" t="str">
        <f ca="1">DFIE!$B$57</f>
        <v>Jura</v>
      </c>
      <c r="C62" s="59">
        <v>497.303</v>
      </c>
      <c r="D62" s="59">
        <v>780.89335000000005</v>
      </c>
      <c r="E62" s="53">
        <f t="shared" si="3"/>
        <v>283.59035000000006</v>
      </c>
      <c r="F62" s="59">
        <v>103713.73</v>
      </c>
      <c r="G62" s="93">
        <f>NP!E62+QS!Z62+JP!H62</f>
        <v>1397251.7986122351</v>
      </c>
      <c r="H62" s="160">
        <f t="shared" si="4"/>
        <v>13.47219696574634</v>
      </c>
      <c r="I62" s="53">
        <f t="shared" si="5"/>
        <v>3820.5850527849434</v>
      </c>
      <c r="J62" s="48"/>
    </row>
    <row r="63" spans="1:10" x14ac:dyDescent="0.25">
      <c r="A63" s="524"/>
      <c r="B63" s="15" t="str">
        <f ca="1">DFIE!$B$58</f>
        <v>Schweiz</v>
      </c>
      <c r="C63" s="61">
        <f>SUM(C37:C62)</f>
        <v>190929.59124000001</v>
      </c>
      <c r="D63" s="61">
        <f>SUM(D37:D62)</f>
        <v>190929.59123999995</v>
      </c>
      <c r="E63" s="55">
        <f>ROUND(SUM(E37:E62),5)</f>
        <v>0</v>
      </c>
      <c r="F63" s="61">
        <f>SUM(F37:F62)</f>
        <v>24300952.348999999</v>
      </c>
      <c r="G63" s="61">
        <f>SUM(G37:G62)</f>
        <v>245489592.05244693</v>
      </c>
      <c r="H63" s="161">
        <f t="shared" si="4"/>
        <v>10.102056434942517</v>
      </c>
      <c r="I63" s="55">
        <f>SUM(I37:I62)</f>
        <v>-19360.519868479565</v>
      </c>
      <c r="J63" s="48"/>
    </row>
    <row r="64" spans="1:10" ht="14.25" customHeight="1" x14ac:dyDescent="0.25">
      <c r="A64" s="70"/>
      <c r="B64" s="77"/>
      <c r="C64" s="124"/>
      <c r="D64" s="124"/>
      <c r="E64" s="124"/>
      <c r="F64" s="124"/>
      <c r="G64" s="124"/>
      <c r="H64" s="77"/>
      <c r="I64" s="124"/>
    </row>
    <row r="65" spans="1:10" x14ac:dyDescent="0.25">
      <c r="A65" s="525" t="str">
        <f ca="1">DFIE!$B$75</f>
        <v>Bemessungsjahr 2021</v>
      </c>
      <c r="B65" s="148" t="str">
        <f ca="1">DFIE!$B$32</f>
        <v>Zürich</v>
      </c>
      <c r="C65" s="57">
        <v>39685.175999999999</v>
      </c>
      <c r="D65" s="57">
        <v>21925.134999999998</v>
      </c>
      <c r="E65" s="58">
        <f t="shared" ref="E65:E90" si="6">D65-C65</f>
        <v>-17760.041000000001</v>
      </c>
      <c r="F65" s="57">
        <v>5096630.40510152</v>
      </c>
      <c r="G65" s="92">
        <f>NP!E65+QS!Z65+JP!H65</f>
        <v>55716103.253452584</v>
      </c>
      <c r="H65" s="162">
        <f t="shared" ref="H65:H91" si="7">G65/F65</f>
        <v>10.931948920149875</v>
      </c>
      <c r="I65" s="58">
        <f t="shared" ref="I65:I90" si="8">E65*H65</f>
        <v>-194151.8610317675</v>
      </c>
      <c r="J65" s="52"/>
    </row>
    <row r="66" spans="1:10" x14ac:dyDescent="0.25">
      <c r="A66" s="525"/>
      <c r="B66" s="18" t="str">
        <f ca="1">DFIE!$B$33</f>
        <v>Bern</v>
      </c>
      <c r="C66" s="59">
        <v>12839.794</v>
      </c>
      <c r="D66" s="59">
        <v>11893.548000000001</v>
      </c>
      <c r="E66" s="53">
        <f t="shared" si="6"/>
        <v>-946.24599999999919</v>
      </c>
      <c r="F66" s="59">
        <v>1644472.4511675099</v>
      </c>
      <c r="G66" s="93">
        <f>NP!E66+QS!Z66+JP!H66</f>
        <v>22925154.686230421</v>
      </c>
      <c r="H66" s="160">
        <f t="shared" si="7"/>
        <v>13.940735018062769</v>
      </c>
      <c r="I66" s="53">
        <f t="shared" si="8"/>
        <v>-13191.364747901811</v>
      </c>
      <c r="J66" s="52"/>
    </row>
    <row r="67" spans="1:10" x14ac:dyDescent="0.25">
      <c r="A67" s="525"/>
      <c r="B67" s="16" t="str">
        <f ca="1">DFIE!$B$34</f>
        <v>Luzern</v>
      </c>
      <c r="C67" s="60">
        <v>15911.383</v>
      </c>
      <c r="D67" s="60">
        <v>10338.789000000001</v>
      </c>
      <c r="E67" s="54">
        <f t="shared" si="6"/>
        <v>-5572.5939999999991</v>
      </c>
      <c r="F67" s="60">
        <v>1171366.3684898501</v>
      </c>
      <c r="G67" s="94">
        <f>NP!E67+QS!Z67+JP!H67</f>
        <v>11684028.327582002</v>
      </c>
      <c r="H67" s="159">
        <f t="shared" si="7"/>
        <v>9.9747001808198519</v>
      </c>
      <c r="I67" s="54">
        <f t="shared" si="8"/>
        <v>-55584.954379435614</v>
      </c>
      <c r="J67" s="52"/>
    </row>
    <row r="68" spans="1:10" x14ac:dyDescent="0.25">
      <c r="A68" s="525"/>
      <c r="B68" s="18" t="str">
        <f ca="1">DFIE!$B$35</f>
        <v>Uri</v>
      </c>
      <c r="C68" s="59">
        <v>197.495</v>
      </c>
      <c r="D68" s="59">
        <v>462.33499999999998</v>
      </c>
      <c r="E68" s="53">
        <f t="shared" si="6"/>
        <v>264.83999999999997</v>
      </c>
      <c r="F68" s="59">
        <v>45672.641332487299</v>
      </c>
      <c r="G68" s="93">
        <f>NP!E68+QS!Z68+JP!H68</f>
        <v>780449.47817889997</v>
      </c>
      <c r="H68" s="160">
        <f t="shared" si="7"/>
        <v>17.087898912992365</v>
      </c>
      <c r="I68" s="53">
        <f t="shared" si="8"/>
        <v>4525.5591481168976</v>
      </c>
      <c r="J68" s="52"/>
    </row>
    <row r="69" spans="1:10" x14ac:dyDescent="0.25">
      <c r="A69" s="525"/>
      <c r="B69" s="16" t="str">
        <f ca="1">DFIE!$B$36</f>
        <v>Schwyz</v>
      </c>
      <c r="C69" s="60">
        <v>3983.5709999999999</v>
      </c>
      <c r="D69" s="60">
        <v>3775.0590000000002</v>
      </c>
      <c r="E69" s="54">
        <f t="shared" si="6"/>
        <v>-208.51199999999972</v>
      </c>
      <c r="F69" s="60">
        <v>887724.49906091299</v>
      </c>
      <c r="G69" s="94">
        <f>NP!E69+QS!Z69+JP!H69</f>
        <v>8507322.5474683326</v>
      </c>
      <c r="H69" s="159">
        <f t="shared" si="7"/>
        <v>9.5832913887899647</v>
      </c>
      <c r="I69" s="54">
        <f t="shared" si="8"/>
        <v>-1998.2312540593705</v>
      </c>
      <c r="J69" s="52"/>
    </row>
    <row r="70" spans="1:10" x14ac:dyDescent="0.25">
      <c r="A70" s="525"/>
      <c r="B70" s="18" t="str">
        <f ca="1">DFIE!$B$37</f>
        <v>Obwalden</v>
      </c>
      <c r="C70" s="59">
        <v>1523.1780000000001</v>
      </c>
      <c r="D70" s="59">
        <v>781.29200000000003</v>
      </c>
      <c r="E70" s="53">
        <f t="shared" si="6"/>
        <v>-741.88600000000008</v>
      </c>
      <c r="F70" s="59">
        <v>118936.119225888</v>
      </c>
      <c r="G70" s="93">
        <f>NP!E70+QS!Z70+JP!H70</f>
        <v>1133508.8472709148</v>
      </c>
      <c r="H70" s="160">
        <f t="shared" si="7"/>
        <v>9.5304004758900174</v>
      </c>
      <c r="I70" s="53">
        <f t="shared" si="8"/>
        <v>-7070.4706874561425</v>
      </c>
      <c r="J70" s="52"/>
    </row>
    <row r="71" spans="1:10" x14ac:dyDescent="0.25">
      <c r="A71" s="525"/>
      <c r="B71" s="16" t="str">
        <f ca="1">DFIE!$B$38</f>
        <v>Nidwalden</v>
      </c>
      <c r="C71" s="60">
        <v>3487.2829999999999</v>
      </c>
      <c r="D71" s="60">
        <v>610.47500000000002</v>
      </c>
      <c r="E71" s="54">
        <f t="shared" si="6"/>
        <v>-2876.808</v>
      </c>
      <c r="F71" s="60">
        <v>174746.548337563</v>
      </c>
      <c r="G71" s="94">
        <f>NP!E71+QS!Z71+JP!H71</f>
        <v>1734000.9350551199</v>
      </c>
      <c r="H71" s="159">
        <f t="shared" si="7"/>
        <v>9.9229481300282956</v>
      </c>
      <c r="I71" s="54">
        <f t="shared" si="8"/>
        <v>-28546.41656405044</v>
      </c>
      <c r="J71" s="52"/>
    </row>
    <row r="72" spans="1:10" x14ac:dyDescent="0.25">
      <c r="A72" s="525"/>
      <c r="B72" s="18" t="str">
        <f ca="1">DFIE!$B$39</f>
        <v>Glarus</v>
      </c>
      <c r="C72" s="59">
        <v>279.45999999999998</v>
      </c>
      <c r="D72" s="59">
        <v>697.33199999999999</v>
      </c>
      <c r="E72" s="53">
        <f t="shared" si="6"/>
        <v>417.87200000000001</v>
      </c>
      <c r="F72" s="59">
        <v>69382.984200507606</v>
      </c>
      <c r="G72" s="93">
        <f>NP!E72+QS!Z72+JP!H72</f>
        <v>863400.9305230499</v>
      </c>
      <c r="H72" s="160">
        <f t="shared" si="7"/>
        <v>12.443986670102513</v>
      </c>
      <c r="I72" s="53">
        <f t="shared" si="8"/>
        <v>5199.9935978090771</v>
      </c>
      <c r="J72" s="52"/>
    </row>
    <row r="73" spans="1:10" x14ac:dyDescent="0.25">
      <c r="A73" s="525"/>
      <c r="B73" s="16" t="str">
        <f ca="1">DFIE!$B$40</f>
        <v>Zug</v>
      </c>
      <c r="C73" s="60">
        <v>3745.8580000000002</v>
      </c>
      <c r="D73" s="60">
        <v>7940.6450000000004</v>
      </c>
      <c r="E73" s="54">
        <f t="shared" si="6"/>
        <v>4194.7870000000003</v>
      </c>
      <c r="F73" s="60">
        <v>1989732.8842639599</v>
      </c>
      <c r="G73" s="94">
        <f>NP!E73+QS!Z73+JP!H73</f>
        <v>12083718.688576523</v>
      </c>
      <c r="H73" s="159">
        <f t="shared" si="7"/>
        <v>6.0730356240991217</v>
      </c>
      <c r="I73" s="54">
        <f t="shared" si="8"/>
        <v>25475.090886507885</v>
      </c>
      <c r="J73" s="52"/>
    </row>
    <row r="74" spans="1:10" x14ac:dyDescent="0.25">
      <c r="A74" s="525"/>
      <c r="B74" s="18" t="str">
        <f ca="1">DFIE!$B$41</f>
        <v>Freiburg</v>
      </c>
      <c r="C74" s="59">
        <v>10188.597</v>
      </c>
      <c r="D74" s="59">
        <v>4756.5829999999996</v>
      </c>
      <c r="E74" s="53">
        <f t="shared" si="6"/>
        <v>-5432.0140000000001</v>
      </c>
      <c r="F74" s="59">
        <v>648101.12303299503</v>
      </c>
      <c r="G74" s="93">
        <f>NP!E74+QS!Z74+JP!H74</f>
        <v>7503815.8023999911</v>
      </c>
      <c r="H74" s="160">
        <f t="shared" si="7"/>
        <v>11.578155839760781</v>
      </c>
      <c r="I74" s="53">
        <f t="shared" si="8"/>
        <v>-62892.704615762319</v>
      </c>
      <c r="J74" s="52"/>
    </row>
    <row r="75" spans="1:10" x14ac:dyDescent="0.25">
      <c r="A75" s="525"/>
      <c r="B75" s="16" t="str">
        <f ca="1">DFIE!$B$42</f>
        <v>Solothurn</v>
      </c>
      <c r="C75" s="60">
        <v>3787.6509999999998</v>
      </c>
      <c r="D75" s="60">
        <v>4490.7449999999999</v>
      </c>
      <c r="E75" s="54">
        <f t="shared" si="6"/>
        <v>703.09400000000005</v>
      </c>
      <c r="F75" s="60">
        <v>374789.40998731001</v>
      </c>
      <c r="G75" s="94">
        <f>NP!E75+QS!Z75+JP!H75</f>
        <v>6366358.6289305594</v>
      </c>
      <c r="H75" s="159">
        <f t="shared" si="7"/>
        <v>16.986495507293331</v>
      </c>
      <c r="I75" s="54">
        <f t="shared" si="8"/>
        <v>11943.103072204898</v>
      </c>
      <c r="J75" s="52"/>
    </row>
    <row r="76" spans="1:10" x14ac:dyDescent="0.25">
      <c r="A76" s="525"/>
      <c r="B76" s="18" t="str">
        <f ca="1">DFIE!$B$43</f>
        <v>Basel-Stadt</v>
      </c>
      <c r="C76" s="59">
        <v>12554.967000000001</v>
      </c>
      <c r="D76" s="59">
        <v>6378.0190000000002</v>
      </c>
      <c r="E76" s="53">
        <f t="shared" si="6"/>
        <v>-6176.9480000000003</v>
      </c>
      <c r="F76" s="59">
        <v>1330996.65969543</v>
      </c>
      <c r="G76" s="93">
        <f>NP!E76+QS!Z76+JP!H76</f>
        <v>9445543.5683869123</v>
      </c>
      <c r="H76" s="160">
        <f t="shared" si="7"/>
        <v>7.0965944952471345</v>
      </c>
      <c r="I76" s="53">
        <f t="shared" si="8"/>
        <v>-43835.295174227802</v>
      </c>
      <c r="J76" s="52"/>
    </row>
    <row r="77" spans="1:10" x14ac:dyDescent="0.25">
      <c r="A77" s="525"/>
      <c r="B77" s="16" t="str">
        <f ca="1">DFIE!$B$44</f>
        <v>Basel-Landschaft</v>
      </c>
      <c r="C77" s="60">
        <v>5965.2190000000001</v>
      </c>
      <c r="D77" s="60">
        <v>4819.6099999999997</v>
      </c>
      <c r="E77" s="54">
        <f t="shared" si="6"/>
        <v>-1145.6090000000004</v>
      </c>
      <c r="F77" s="60">
        <v>947132.20085025404</v>
      </c>
      <c r="G77" s="94">
        <f>NP!E77+QS!Z77+JP!H77</f>
        <v>9061638.2644885555</v>
      </c>
      <c r="H77" s="159">
        <f t="shared" si="7"/>
        <v>9.5674481939836848</v>
      </c>
      <c r="I77" s="54">
        <f t="shared" si="8"/>
        <v>-10960.554758061458</v>
      </c>
      <c r="J77" s="52"/>
    </row>
    <row r="78" spans="1:10" x14ac:dyDescent="0.25">
      <c r="A78" s="525"/>
      <c r="B78" s="18" t="str">
        <f ca="1">DFIE!$B$45</f>
        <v>Schaffhausen</v>
      </c>
      <c r="C78" s="59">
        <v>1367.098</v>
      </c>
      <c r="D78" s="59">
        <v>3713.1930000000002</v>
      </c>
      <c r="E78" s="53">
        <f t="shared" si="6"/>
        <v>2346.0950000000003</v>
      </c>
      <c r="F78" s="59">
        <v>553462.62596446695</v>
      </c>
      <c r="G78" s="93">
        <f>NP!E78+QS!Z78+JP!H78</f>
        <v>2830049.1410687501</v>
      </c>
      <c r="H78" s="160">
        <f t="shared" si="7"/>
        <v>5.1133518476285387</v>
      </c>
      <c r="I78" s="53">
        <f t="shared" si="8"/>
        <v>11996.409202962077</v>
      </c>
      <c r="J78" s="52"/>
    </row>
    <row r="79" spans="1:10" x14ac:dyDescent="0.25">
      <c r="A79" s="525"/>
      <c r="B79" s="16" t="str">
        <f ca="1">DFIE!$B$46</f>
        <v>Appenzell A.Rh.</v>
      </c>
      <c r="C79" s="60">
        <v>2900.5329999999999</v>
      </c>
      <c r="D79" s="60">
        <v>846.07799999999997</v>
      </c>
      <c r="E79" s="54">
        <f t="shared" si="6"/>
        <v>-2054.4549999999999</v>
      </c>
      <c r="F79" s="60">
        <v>109923.590850254</v>
      </c>
      <c r="G79" s="94">
        <f>NP!E79+QS!Z79+JP!H79</f>
        <v>1391644.4475735875</v>
      </c>
      <c r="H79" s="159">
        <f t="shared" si="7"/>
        <v>12.660107232753958</v>
      </c>
      <c r="I79" s="54">
        <f t="shared" si="8"/>
        <v>-26009.620604867534</v>
      </c>
      <c r="J79" s="52"/>
    </row>
    <row r="80" spans="1:10" x14ac:dyDescent="0.25">
      <c r="A80" s="525"/>
      <c r="B80" s="18" t="str">
        <f ca="1">DFIE!$B$47</f>
        <v>Appenzell I.Rh.</v>
      </c>
      <c r="C80" s="59">
        <v>52.183</v>
      </c>
      <c r="D80" s="59">
        <v>241.22399999999999</v>
      </c>
      <c r="E80" s="53">
        <f t="shared" si="6"/>
        <v>189.041</v>
      </c>
      <c r="F80" s="59">
        <v>38967.879949238602</v>
      </c>
      <c r="G80" s="93">
        <f>NP!E80+QS!Z80+JP!H80</f>
        <v>466947.24631181249</v>
      </c>
      <c r="H80" s="160">
        <f t="shared" si="7"/>
        <v>11.98287530448359</v>
      </c>
      <c r="I80" s="53">
        <f t="shared" si="8"/>
        <v>2265.2547304348823</v>
      </c>
      <c r="J80" s="52"/>
    </row>
    <row r="81" spans="1:10" x14ac:dyDescent="0.25">
      <c r="A81" s="525"/>
      <c r="B81" s="16" t="str">
        <f ca="1">DFIE!$B$48</f>
        <v>St. Gallen</v>
      </c>
      <c r="C81" s="60">
        <v>8628.3179999999993</v>
      </c>
      <c r="D81" s="60">
        <v>9781.473</v>
      </c>
      <c r="E81" s="54">
        <f t="shared" si="6"/>
        <v>1153.1550000000007</v>
      </c>
      <c r="F81" s="60">
        <v>1019193.89326142</v>
      </c>
      <c r="G81" s="94">
        <f>NP!E81+QS!Z81+JP!H81</f>
        <v>11955356.714461356</v>
      </c>
      <c r="H81" s="159">
        <f t="shared" si="7"/>
        <v>11.730208347505126</v>
      </c>
      <c r="I81" s="54">
        <f t="shared" si="8"/>
        <v>13526.748406967281</v>
      </c>
      <c r="J81" s="52"/>
    </row>
    <row r="82" spans="1:10" x14ac:dyDescent="0.25">
      <c r="A82" s="525"/>
      <c r="B82" s="18" t="str">
        <f ca="1">DFIE!$B$49</f>
        <v>Graubünden</v>
      </c>
      <c r="C82" s="59">
        <v>1286.066</v>
      </c>
      <c r="D82" s="59">
        <v>6600.66</v>
      </c>
      <c r="E82" s="53">
        <f t="shared" si="6"/>
        <v>5314.5940000000001</v>
      </c>
      <c r="F82" s="59">
        <v>353176.27017766499</v>
      </c>
      <c r="G82" s="93">
        <f>NP!E82+QS!Z82+JP!H82</f>
        <v>5270440.5473083248</v>
      </c>
      <c r="H82" s="160">
        <f t="shared" si="7"/>
        <v>14.922974707946926</v>
      </c>
      <c r="I82" s="53">
        <f t="shared" si="8"/>
        <v>79309.551845006485</v>
      </c>
      <c r="J82" s="52"/>
    </row>
    <row r="83" spans="1:10" x14ac:dyDescent="0.25">
      <c r="A83" s="525"/>
      <c r="B83" s="16" t="str">
        <f ca="1">DFIE!$B$50</f>
        <v>Aargau</v>
      </c>
      <c r="C83" s="60">
        <v>8854.5810000000001</v>
      </c>
      <c r="D83" s="60">
        <v>11440.019</v>
      </c>
      <c r="E83" s="54">
        <f t="shared" si="6"/>
        <v>2585.4380000000001</v>
      </c>
      <c r="F83" s="60">
        <v>1097429.35591484</v>
      </c>
      <c r="G83" s="94">
        <f>NP!E83+QS!Z83+JP!H83</f>
        <v>16968793.066620484</v>
      </c>
      <c r="H83" s="159">
        <f t="shared" si="7"/>
        <v>15.462310147950202</v>
      </c>
      <c r="I83" s="54">
        <f t="shared" si="8"/>
        <v>39976.844224296074</v>
      </c>
      <c r="J83" s="52"/>
    </row>
    <row r="84" spans="1:10" x14ac:dyDescent="0.25">
      <c r="A84" s="525"/>
      <c r="B84" s="18" t="str">
        <f ca="1">DFIE!$B$51</f>
        <v>Thurgau</v>
      </c>
      <c r="C84" s="59">
        <v>3519.0219999999999</v>
      </c>
      <c r="D84" s="59">
        <v>3460.7629999999999</v>
      </c>
      <c r="E84" s="53">
        <f t="shared" si="6"/>
        <v>-58.259000000000015</v>
      </c>
      <c r="F84" s="59">
        <v>442133.925228426</v>
      </c>
      <c r="G84" s="93">
        <f>NP!E84+QS!Z84+JP!H84</f>
        <v>6743509.2248827815</v>
      </c>
      <c r="H84" s="160">
        <f t="shared" si="7"/>
        <v>15.252186815112152</v>
      </c>
      <c r="I84" s="53">
        <f t="shared" si="8"/>
        <v>-888.57715166161904</v>
      </c>
      <c r="J84" s="52"/>
    </row>
    <row r="85" spans="1:10" x14ac:dyDescent="0.25">
      <c r="A85" s="525"/>
      <c r="B85" s="16" t="str">
        <f ca="1">DFIE!$B$52</f>
        <v>Tessin</v>
      </c>
      <c r="C85" s="60">
        <v>1561.4770000000001</v>
      </c>
      <c r="D85" s="60">
        <v>7274.35</v>
      </c>
      <c r="E85" s="54">
        <f t="shared" si="6"/>
        <v>5712.8730000000005</v>
      </c>
      <c r="F85" s="60">
        <v>760189.27951776702</v>
      </c>
      <c r="G85" s="94">
        <f>NP!E85+QS!Z85+JP!H85</f>
        <v>9646263.5357312821</v>
      </c>
      <c r="H85" s="159">
        <f t="shared" si="7"/>
        <v>12.689291727253082</v>
      </c>
      <c r="I85" s="54">
        <f t="shared" si="8"/>
        <v>72492.312097747505</v>
      </c>
      <c r="J85" s="52"/>
    </row>
    <row r="86" spans="1:10" x14ac:dyDescent="0.25">
      <c r="A86" s="525"/>
      <c r="B86" s="18" t="str">
        <f ca="1">DFIE!$B$53</f>
        <v>Waadt</v>
      </c>
      <c r="C86" s="59">
        <v>5884.991</v>
      </c>
      <c r="D86" s="59">
        <v>15239.019</v>
      </c>
      <c r="E86" s="53">
        <f t="shared" si="6"/>
        <v>9354.0280000000002</v>
      </c>
      <c r="F86" s="59">
        <v>3176633.2959390902</v>
      </c>
      <c r="G86" s="93">
        <f>NP!E86+QS!Z86+JP!H86</f>
        <v>25822091.771256085</v>
      </c>
      <c r="H86" s="160">
        <f t="shared" si="7"/>
        <v>8.1287606612529846</v>
      </c>
      <c r="I86" s="53">
        <f t="shared" si="8"/>
        <v>76036.654830658939</v>
      </c>
      <c r="J86" s="52"/>
    </row>
    <row r="87" spans="1:10" x14ac:dyDescent="0.25">
      <c r="A87" s="525"/>
      <c r="B87" s="16" t="str">
        <f ca="1">DFIE!$B$54</f>
        <v>Wallis</v>
      </c>
      <c r="C87" s="60">
        <v>773.01499999999999</v>
      </c>
      <c r="D87" s="60">
        <v>7473.4780000000001</v>
      </c>
      <c r="E87" s="54">
        <f t="shared" si="6"/>
        <v>6700.4629999999997</v>
      </c>
      <c r="F87" s="60">
        <v>411394.53493654798</v>
      </c>
      <c r="G87" s="94">
        <f>NP!E87+QS!Z87+JP!H87</f>
        <v>7217804.4014131995</v>
      </c>
      <c r="H87" s="159">
        <f t="shared" si="7"/>
        <v>17.544726019577407</v>
      </c>
      <c r="I87" s="54">
        <f t="shared" si="8"/>
        <v>117557.78753931569</v>
      </c>
      <c r="J87" s="52"/>
    </row>
    <row r="88" spans="1:10" x14ac:dyDescent="0.25">
      <c r="A88" s="525"/>
      <c r="B88" s="18" t="str">
        <f ca="1">DFIE!$B$55</f>
        <v>Neuenburg</v>
      </c>
      <c r="C88" s="59">
        <v>2058.259</v>
      </c>
      <c r="D88" s="59">
        <v>3184.857</v>
      </c>
      <c r="E88" s="53">
        <f t="shared" si="6"/>
        <v>1126.598</v>
      </c>
      <c r="F88" s="59">
        <v>328293.401269036</v>
      </c>
      <c r="G88" s="93">
        <f>NP!E88+QS!Z88+JP!H88</f>
        <v>3939333.1998718996</v>
      </c>
      <c r="H88" s="160">
        <f t="shared" si="7"/>
        <v>11.999428513165945</v>
      </c>
      <c r="I88" s="53">
        <f t="shared" si="8"/>
        <v>13518.532164075727</v>
      </c>
      <c r="J88" s="52"/>
    </row>
    <row r="89" spans="1:10" x14ac:dyDescent="0.25">
      <c r="A89" s="525"/>
      <c r="B89" s="16" t="str">
        <f ca="1">DFIE!$B$56</f>
        <v>Genf</v>
      </c>
      <c r="C89" s="60">
        <v>9083.1790000000001</v>
      </c>
      <c r="D89" s="60">
        <v>10967.064</v>
      </c>
      <c r="E89" s="54">
        <f t="shared" si="6"/>
        <v>1883.8850000000002</v>
      </c>
      <c r="F89" s="60">
        <v>2650412.4281345201</v>
      </c>
      <c r="G89" s="94">
        <f>NP!E89+QS!Z89+JP!H89</f>
        <v>23639568.544505328</v>
      </c>
      <c r="H89" s="159">
        <f t="shared" si="7"/>
        <v>8.9192037788412897</v>
      </c>
      <c r="I89" s="54">
        <f t="shared" si="8"/>
        <v>16802.754210902425</v>
      </c>
      <c r="J89" s="52"/>
    </row>
    <row r="90" spans="1:10" x14ac:dyDescent="0.25">
      <c r="A90" s="525"/>
      <c r="B90" s="18" t="str">
        <f ca="1">DFIE!$B$57</f>
        <v>Jura</v>
      </c>
      <c r="C90" s="59">
        <v>307.23399999999998</v>
      </c>
      <c r="D90" s="59">
        <v>1333.8430000000001</v>
      </c>
      <c r="E90" s="53">
        <f t="shared" si="6"/>
        <v>1026.6090000000002</v>
      </c>
      <c r="F90" s="59">
        <v>122306.843312183</v>
      </c>
      <c r="G90" s="93">
        <f>NP!E90+QS!Z90+JP!H90</f>
        <v>1499908.3723320002</v>
      </c>
      <c r="H90" s="160">
        <f t="shared" si="7"/>
        <v>12.263486913022096</v>
      </c>
      <c r="I90" s="53">
        <f t="shared" si="8"/>
        <v>12589.806036290702</v>
      </c>
      <c r="J90" s="52"/>
    </row>
    <row r="91" spans="1:10" x14ac:dyDescent="0.25">
      <c r="A91" s="525"/>
      <c r="B91" s="15" t="str">
        <f ca="1">DFIE!$B$58</f>
        <v>Schweiz</v>
      </c>
      <c r="C91" s="61">
        <f>SUM(C65:C90)</f>
        <v>160425.58800000002</v>
      </c>
      <c r="D91" s="61">
        <f>SUM(D65:D90)</f>
        <v>160425.58800000002</v>
      </c>
      <c r="E91" s="55">
        <f>ROUND(SUM(E65:E90),5)</f>
        <v>0</v>
      </c>
      <c r="F91" s="61">
        <f>SUM(F65:F90)</f>
        <v>25563201.619201638</v>
      </c>
      <c r="G91" s="61">
        <f>SUM(G65:G90)</f>
        <v>265196754.17188081</v>
      </c>
      <c r="H91" s="161">
        <f t="shared" si="7"/>
        <v>10.374160409261098</v>
      </c>
      <c r="I91" s="55">
        <f>SUM(I65:I90)</f>
        <v>58086.351024044794</v>
      </c>
      <c r="J91" s="52"/>
    </row>
  </sheetData>
  <mergeCells count="3">
    <mergeCell ref="A9:A35"/>
    <mergeCell ref="A37:A63"/>
    <mergeCell ref="A65:A91"/>
  </mergeCells>
  <conditionalFormatting sqref="C9:D34 F9:F34">
    <cfRule type="expression" dxfId="16" priority="1" stopIfTrue="1">
      <formula>ISBLANK(C9)</formula>
    </cfRule>
  </conditionalFormatting>
  <conditionalFormatting sqref="C37:D62 F37:F62">
    <cfRule type="expression" dxfId="15" priority="2" stopIfTrue="1">
      <formula>ISBLANK(C37)</formula>
    </cfRule>
  </conditionalFormatting>
  <conditionalFormatting sqref="C65:D90 F65:F90">
    <cfRule type="expression" dxfId="14" priority="3" stopIfTrue="1">
      <formula>ISBLANK(C65)</formula>
    </cfRule>
  </conditionalFormatting>
  <pageMargins left="0.78740157480314965" right="0.70866141732283472" top="0.9055118110236221" bottom="0.78740157480314965" header="0.51181102362204722" footer="0.51181102362204722"/>
  <pageSetup paperSize="9" scale="94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8"/>
  <dimension ref="A1:I91"/>
  <sheetViews>
    <sheetView showGridLines="0" zoomScaleNormal="100" workbookViewId="0">
      <pane ySplit="8" topLeftCell="A9" activePane="bottomLeft" state="frozen"/>
      <selection activeCell="J20" sqref="J20"/>
      <selection pane="bottomLeft" activeCell="A100" sqref="A100"/>
    </sheetView>
  </sheetViews>
  <sheetFormatPr baseColWidth="10" defaultColWidth="9.109375" defaultRowHeight="13.2" x14ac:dyDescent="0.25"/>
  <cols>
    <col min="1" max="1" width="4.44140625" customWidth="1"/>
    <col min="2" max="2" width="17.33203125" customWidth="1"/>
    <col min="3" max="8" width="17.6640625" customWidth="1"/>
    <col min="9" max="9" width="1.5546875" customWidth="1"/>
  </cols>
  <sheetData>
    <row r="1" spans="1:9" ht="22.5" customHeight="1" x14ac:dyDescent="0.3">
      <c r="B1" s="4" t="str">
        <f ca="1">DFIE!$B$162</f>
        <v>Aggregierte Steuerbemessungsgrundlage (ASG) 2025</v>
      </c>
    </row>
    <row r="3" spans="1:9" ht="0.75" customHeight="1" x14ac:dyDescent="0.25"/>
    <row r="4" spans="1:9" ht="0.75" customHeight="1" x14ac:dyDescent="0.25"/>
    <row r="5" spans="1:9" ht="0.75" customHeight="1" x14ac:dyDescent="0.25"/>
    <row r="6" spans="1:9" ht="12" customHeight="1" x14ac:dyDescent="0.25">
      <c r="A6" s="11"/>
      <c r="B6" s="32" t="str">
        <f ca="1">DFIE!$B$59</f>
        <v>Spalte</v>
      </c>
      <c r="C6" s="33" t="s">
        <v>30</v>
      </c>
      <c r="D6" s="33" t="s">
        <v>31</v>
      </c>
      <c r="E6" s="33" t="s">
        <v>32</v>
      </c>
      <c r="F6" s="33" t="s">
        <v>43</v>
      </c>
      <c r="G6" s="33" t="s">
        <v>42</v>
      </c>
      <c r="H6" s="34" t="s">
        <v>33</v>
      </c>
      <c r="I6" s="11"/>
    </row>
    <row r="7" spans="1:9" ht="57" customHeight="1" x14ac:dyDescent="0.25">
      <c r="A7" s="44"/>
      <c r="B7" s="50"/>
      <c r="C7" s="67" t="str">
        <f ca="1">DFIE!$B$163</f>
        <v>Massgebendes
Einkommen der
natürlichen
Personen</v>
      </c>
      <c r="D7" s="67" t="str">
        <f ca="1">DFIE!$B$164</f>
        <v>Massgebendes
quellenbesteuertes
Einkommen</v>
      </c>
      <c r="E7" s="67" t="str">
        <f ca="1">DFIE!$B$165</f>
        <v>Massgebendes
Vermögen</v>
      </c>
      <c r="F7" s="67" t="str">
        <f ca="1">DFIE!$B$166</f>
        <v>Massgebender
Gewinn der
juristischen
Personen</v>
      </c>
      <c r="G7" s="67" t="str">
        <f ca="1">DFIE!$B$167</f>
        <v>Massgebende
Steuer-
repartitionen</v>
      </c>
      <c r="H7" s="68" t="str">
        <f ca="1">DFIE!$B$168</f>
        <v>ASG Total</v>
      </c>
      <c r="I7" s="44"/>
    </row>
    <row r="8" spans="1:9" ht="12.75" customHeight="1" x14ac:dyDescent="0.25">
      <c r="B8" s="75" t="str">
        <f ca="1">DFIE!$B$62</f>
        <v>Einheit</v>
      </c>
      <c r="C8" s="38" t="str">
        <f ca="1">DFIE!$B$64</f>
        <v>CHF 1'000</v>
      </c>
      <c r="D8" s="38" t="str">
        <f ca="1">DFIE!$B$64</f>
        <v>CHF 1'000</v>
      </c>
      <c r="E8" s="38" t="str">
        <f ca="1">DFIE!$B$64</f>
        <v>CHF 1'000</v>
      </c>
      <c r="F8" s="38" t="str">
        <f ca="1">DFIE!$B$64</f>
        <v>CHF 1'000</v>
      </c>
      <c r="G8" s="38" t="str">
        <f ca="1">DFIE!$B$64</f>
        <v>CHF 1'000</v>
      </c>
      <c r="H8" s="39" t="str">
        <f ca="1">DFIE!$B$64</f>
        <v>CHF 1'000</v>
      </c>
      <c r="I8" s="44"/>
    </row>
    <row r="9" spans="1:9" x14ac:dyDescent="0.25">
      <c r="A9" s="523" t="str">
        <f ca="1">DFIE!$B$73</f>
        <v>Bemessungsjahr 2019</v>
      </c>
      <c r="B9" s="16" t="str">
        <f ca="1">DFIE!$B$32</f>
        <v>Zürich</v>
      </c>
      <c r="C9" s="94">
        <f>NP!E9</f>
        <v>43226805.5</v>
      </c>
      <c r="D9" s="94">
        <f>QS!Z9</f>
        <v>2158271.4816328743</v>
      </c>
      <c r="E9" s="94">
        <f>VERM!D9</f>
        <v>6873062.835</v>
      </c>
      <c r="F9" s="94">
        <f>JP!$H9</f>
        <v>18845440.8072</v>
      </c>
      <c r="G9" s="94">
        <f>REP!I9</f>
        <v>-58074.74738709013</v>
      </c>
      <c r="H9" s="54">
        <f>SUM(C9:G9)</f>
        <v>71045505.876445785</v>
      </c>
      <c r="I9" s="45"/>
    </row>
    <row r="10" spans="1:9" x14ac:dyDescent="0.25">
      <c r="A10" s="523"/>
      <c r="B10" s="18" t="str">
        <f ca="1">DFIE!$B$33</f>
        <v>Bern</v>
      </c>
      <c r="C10" s="93">
        <f>NP!E10</f>
        <v>19072369.600000001</v>
      </c>
      <c r="D10" s="93">
        <f>QS!Z10</f>
        <v>659463.46254072594</v>
      </c>
      <c r="E10" s="93">
        <f>VERM!D10</f>
        <v>2867597.9702849998</v>
      </c>
      <c r="F10" s="93">
        <f>JP!$H10</f>
        <v>7136660.9488999993</v>
      </c>
      <c r="G10" s="93">
        <f>REP!I10</f>
        <v>-357588.26218100905</v>
      </c>
      <c r="H10" s="53">
        <f t="shared" ref="H10:H34" si="0">SUM(C10:G10)</f>
        <v>29378503.719544716</v>
      </c>
      <c r="I10" s="45"/>
    </row>
    <row r="11" spans="1:9" x14ac:dyDescent="0.25">
      <c r="A11" s="523"/>
      <c r="B11" s="16" t="str">
        <f ca="1">DFIE!$B$34</f>
        <v>Luzern</v>
      </c>
      <c r="C11" s="94">
        <f>NP!E11</f>
        <v>8724981.4000000004</v>
      </c>
      <c r="D11" s="94">
        <f>QS!Z11</f>
        <v>336733.28743756178</v>
      </c>
      <c r="E11" s="94">
        <f>VERM!D11</f>
        <v>1621153.5898200001</v>
      </c>
      <c r="F11" s="94">
        <f>JP!$H11</f>
        <v>4207534.8393000001</v>
      </c>
      <c r="G11" s="94">
        <f>REP!I11</f>
        <v>-52668.568887679765</v>
      </c>
      <c r="H11" s="54">
        <f t="shared" si="0"/>
        <v>14837734.547669882</v>
      </c>
      <c r="I11" s="45"/>
    </row>
    <row r="12" spans="1:9" x14ac:dyDescent="0.25">
      <c r="A12" s="523"/>
      <c r="B12" s="18" t="str">
        <f ca="1">DFIE!$B$35</f>
        <v>Uri</v>
      </c>
      <c r="C12" s="93">
        <f>NP!E12</f>
        <v>634088.59999999986</v>
      </c>
      <c r="D12" s="93">
        <f>QS!Z12</f>
        <v>33679.933451055236</v>
      </c>
      <c r="E12" s="93">
        <f>VERM!D12</f>
        <v>120008.97908999999</v>
      </c>
      <c r="F12" s="93">
        <f>JP!$H12</f>
        <v>197495.60929999998</v>
      </c>
      <c r="G12" s="93">
        <f>REP!I12</f>
        <v>-1694.3595295671512</v>
      </c>
      <c r="H12" s="53">
        <f t="shared" si="0"/>
        <v>983578.76231148792</v>
      </c>
      <c r="I12" s="45"/>
    </row>
    <row r="13" spans="1:9" x14ac:dyDescent="0.25">
      <c r="A13" s="523"/>
      <c r="B13" s="16" t="str">
        <f ca="1">DFIE!$B$36</f>
        <v>Schwyz</v>
      </c>
      <c r="C13" s="94">
        <f>NP!E13</f>
        <v>6652598.0999999996</v>
      </c>
      <c r="D13" s="94">
        <f>QS!Z13</f>
        <v>169900.43293424137</v>
      </c>
      <c r="E13" s="94">
        <f>VERM!D13</f>
        <v>2034921.1338899999</v>
      </c>
      <c r="F13" s="94">
        <f>JP!$H13</f>
        <v>2020265.4375</v>
      </c>
      <c r="G13" s="94">
        <f>REP!I13</f>
        <v>-21389.761794395683</v>
      </c>
      <c r="H13" s="54">
        <f t="shared" si="0"/>
        <v>10856295.342529844</v>
      </c>
      <c r="I13" s="45"/>
    </row>
    <row r="14" spans="1:9" x14ac:dyDescent="0.25">
      <c r="A14" s="523"/>
      <c r="B14" s="18" t="str">
        <f ca="1">DFIE!$B$37</f>
        <v>Obwalden</v>
      </c>
      <c r="C14" s="93">
        <f>NP!E14</f>
        <v>1067710.8999999999</v>
      </c>
      <c r="D14" s="93">
        <f>QS!Z14</f>
        <v>42201.234513878524</v>
      </c>
      <c r="E14" s="93">
        <f>VERM!D14</f>
        <v>234390.60079499998</v>
      </c>
      <c r="F14" s="93">
        <f>JP!$H14</f>
        <v>307549.43050000002</v>
      </c>
      <c r="G14" s="93">
        <f>REP!I14</f>
        <v>6272.8675069530427</v>
      </c>
      <c r="H14" s="53">
        <f t="shared" si="0"/>
        <v>1658125.0333158316</v>
      </c>
      <c r="I14" s="45"/>
    </row>
    <row r="15" spans="1:9" x14ac:dyDescent="0.25">
      <c r="A15" s="523"/>
      <c r="B15" s="16" t="str">
        <f ca="1">DFIE!$B$38</f>
        <v>Nidwalden</v>
      </c>
      <c r="C15" s="94">
        <f>NP!E15</f>
        <v>1480215</v>
      </c>
      <c r="D15" s="94">
        <f>QS!Z15</f>
        <v>45241.015911923765</v>
      </c>
      <c r="E15" s="94">
        <f>VERM!D15</f>
        <v>610889.97135000001</v>
      </c>
      <c r="F15" s="94">
        <f>JP!$H15</f>
        <v>541737.96189999999</v>
      </c>
      <c r="G15" s="94">
        <f>REP!I15</f>
        <v>-14074.140519378632</v>
      </c>
      <c r="H15" s="54">
        <f t="shared" si="0"/>
        <v>2664009.8086425452</v>
      </c>
      <c r="I15" s="45"/>
    </row>
    <row r="16" spans="1:9" x14ac:dyDescent="0.25">
      <c r="A16" s="523"/>
      <c r="B16" s="18" t="str">
        <f ca="1">DFIE!$B$39</f>
        <v>Glarus</v>
      </c>
      <c r="C16" s="93">
        <f>NP!E16</f>
        <v>697689.60000000009</v>
      </c>
      <c r="D16" s="93">
        <f>QS!Z16</f>
        <v>47997.073424313952</v>
      </c>
      <c r="E16" s="93">
        <f>VERM!D16</f>
        <v>126189.849405</v>
      </c>
      <c r="F16" s="93">
        <f>JP!$H16</f>
        <v>247294.06359999999</v>
      </c>
      <c r="G16" s="93">
        <f>REP!I16</f>
        <v>8014.6729970227962</v>
      </c>
      <c r="H16" s="53">
        <f t="shared" si="0"/>
        <v>1127185.2594263367</v>
      </c>
      <c r="I16" s="45"/>
    </row>
    <row r="17" spans="1:9" x14ac:dyDescent="0.25">
      <c r="A17" s="523"/>
      <c r="B17" s="16" t="str">
        <f ca="1">DFIE!$B$40</f>
        <v>Zug</v>
      </c>
      <c r="C17" s="94">
        <f>NP!E17</f>
        <v>6212713.5999999996</v>
      </c>
      <c r="D17" s="94">
        <f>QS!Z17</f>
        <v>256188.64455646079</v>
      </c>
      <c r="E17" s="94">
        <f>VERM!D17</f>
        <v>1291088.7524849998</v>
      </c>
      <c r="F17" s="94">
        <f>JP!$H17</f>
        <v>5939002.4164000005</v>
      </c>
      <c r="G17" s="94">
        <f>REP!I17</f>
        <v>-28121.919096994119</v>
      </c>
      <c r="H17" s="54">
        <f t="shared" si="0"/>
        <v>13670871.494344467</v>
      </c>
      <c r="I17" s="45"/>
    </row>
    <row r="18" spans="1:9" x14ac:dyDescent="0.25">
      <c r="A18" s="523"/>
      <c r="B18" s="18" t="str">
        <f ca="1">DFIE!$B$41</f>
        <v>Freiburg</v>
      </c>
      <c r="C18" s="93">
        <f>NP!E18</f>
        <v>5925222.8999999994</v>
      </c>
      <c r="D18" s="93">
        <f>QS!Z18</f>
        <v>267816.31345462211</v>
      </c>
      <c r="E18" s="93">
        <f>VERM!D18</f>
        <v>512079.20181000006</v>
      </c>
      <c r="F18" s="93">
        <f>JP!$H18</f>
        <v>2010873.2438000001</v>
      </c>
      <c r="G18" s="93">
        <f>REP!I18</f>
        <v>-32241.463276764891</v>
      </c>
      <c r="H18" s="53">
        <f t="shared" si="0"/>
        <v>8683750.1957878582</v>
      </c>
      <c r="I18" s="45"/>
    </row>
    <row r="19" spans="1:9" x14ac:dyDescent="0.25">
      <c r="A19" s="523"/>
      <c r="B19" s="16" t="str">
        <f ca="1">DFIE!$B$42</f>
        <v>Solothurn</v>
      </c>
      <c r="C19" s="94">
        <f>NP!E19</f>
        <v>5360219.3999999994</v>
      </c>
      <c r="D19" s="94">
        <f>QS!Z19</f>
        <v>224684.26605387352</v>
      </c>
      <c r="E19" s="94">
        <f>VERM!D19</f>
        <v>458078.72025000001</v>
      </c>
      <c r="F19" s="94">
        <f>JP!$H19</f>
        <v>1288749.1639</v>
      </c>
      <c r="G19" s="94">
        <f>REP!I19</f>
        <v>50363.172165660115</v>
      </c>
      <c r="H19" s="54">
        <f t="shared" si="0"/>
        <v>7382094.722369533</v>
      </c>
      <c r="I19" s="45"/>
    </row>
    <row r="20" spans="1:9" x14ac:dyDescent="0.25">
      <c r="A20" s="523"/>
      <c r="B20" s="18" t="str">
        <f ca="1">DFIE!$B$43</f>
        <v>Basel-Stadt</v>
      </c>
      <c r="C20" s="93">
        <f>NP!E20</f>
        <v>5587740.5</v>
      </c>
      <c r="D20" s="93">
        <f>QS!Z20</f>
        <v>842657.64254762616</v>
      </c>
      <c r="E20" s="93">
        <f>VERM!D20</f>
        <v>1045363.399215</v>
      </c>
      <c r="F20" s="93">
        <f>JP!$H20</f>
        <v>5664757.9851000002</v>
      </c>
      <c r="G20" s="93">
        <f>REP!I20</f>
        <v>-88165.84631047587</v>
      </c>
      <c r="H20" s="53">
        <f t="shared" si="0"/>
        <v>13052353.680552149</v>
      </c>
      <c r="I20" s="45"/>
    </row>
    <row r="21" spans="1:9" x14ac:dyDescent="0.25">
      <c r="A21" s="523"/>
      <c r="B21" s="16" t="str">
        <f ca="1">DFIE!$B$44</f>
        <v>Basel-Landschaft</v>
      </c>
      <c r="C21" s="94">
        <f>NP!E21</f>
        <v>7497155.1999999993</v>
      </c>
      <c r="D21" s="94">
        <f>QS!Z21</f>
        <v>434458.25468781253</v>
      </c>
      <c r="E21" s="94">
        <f>VERM!D21</f>
        <v>751887.92252999987</v>
      </c>
      <c r="F21" s="94">
        <f>JP!$H21</f>
        <v>2099582.3227999997</v>
      </c>
      <c r="G21" s="94">
        <f>REP!I21</f>
        <v>-15742.440489559411</v>
      </c>
      <c r="H21" s="54">
        <f t="shared" si="0"/>
        <v>10767341.259528251</v>
      </c>
      <c r="I21" s="45"/>
    </row>
    <row r="22" spans="1:9" x14ac:dyDescent="0.25">
      <c r="A22" s="523"/>
      <c r="B22" s="18" t="str">
        <f ca="1">DFIE!$B$45</f>
        <v>Schaffhausen</v>
      </c>
      <c r="C22" s="93">
        <f>NP!E22</f>
        <v>1554709.2999999998</v>
      </c>
      <c r="D22" s="93">
        <f>QS!Z22</f>
        <v>157921.64898220415</v>
      </c>
      <c r="E22" s="93">
        <f>VERM!D22</f>
        <v>239401.94980499998</v>
      </c>
      <c r="F22" s="93">
        <f>JP!$H22</f>
        <v>1191733.9152000002</v>
      </c>
      <c r="G22" s="93">
        <f>REP!I22</f>
        <v>22792.453621231576</v>
      </c>
      <c r="H22" s="53">
        <f t="shared" si="0"/>
        <v>3166559.2676084354</v>
      </c>
      <c r="I22" s="45"/>
    </row>
    <row r="23" spans="1:9" x14ac:dyDescent="0.25">
      <c r="A23" s="523"/>
      <c r="B23" s="16" t="str">
        <f ca="1">DFIE!$B$46</f>
        <v>Appenzell A.Rh.</v>
      </c>
      <c r="C23" s="94">
        <f>NP!E23</f>
        <v>1147872.6000000001</v>
      </c>
      <c r="D23" s="94">
        <f>QS!Z23</f>
        <v>20930.183201759122</v>
      </c>
      <c r="E23" s="94">
        <f>VERM!D23</f>
        <v>230107.49534999998</v>
      </c>
      <c r="F23" s="94">
        <f>JP!$H23</f>
        <v>393139.70360000001</v>
      </c>
      <c r="G23" s="94">
        <f>REP!I23</f>
        <v>-5020.2631540351158</v>
      </c>
      <c r="H23" s="54">
        <f t="shared" si="0"/>
        <v>1787029.7189977241</v>
      </c>
      <c r="I23" s="45"/>
    </row>
    <row r="24" spans="1:9" x14ac:dyDescent="0.25">
      <c r="A24" s="523"/>
      <c r="B24" s="18" t="str">
        <f ca="1">DFIE!$B$47</f>
        <v>Appenzell I.Rh.</v>
      </c>
      <c r="C24" s="93">
        <f>NP!E24</f>
        <v>389372.80000000005</v>
      </c>
      <c r="D24" s="93">
        <f>QS!Z24</f>
        <v>9985.5712084238367</v>
      </c>
      <c r="E24" s="93">
        <f>VERM!D24</f>
        <v>106607.48503499999</v>
      </c>
      <c r="F24" s="93">
        <f>JP!$H24</f>
        <v>152570.5233</v>
      </c>
      <c r="G24" s="93">
        <f>REP!I24</f>
        <v>-2145.45413822313</v>
      </c>
      <c r="H24" s="53">
        <f t="shared" si="0"/>
        <v>656390.9254052008</v>
      </c>
      <c r="I24" s="45"/>
    </row>
    <row r="25" spans="1:9" x14ac:dyDescent="0.25">
      <c r="A25" s="523"/>
      <c r="B25" s="16" t="str">
        <f ca="1">DFIE!$B$48</f>
        <v>St. Gallen</v>
      </c>
      <c r="C25" s="94">
        <f>NP!E25</f>
        <v>9494808.6999999993</v>
      </c>
      <c r="D25" s="94">
        <f>QS!Z25</f>
        <v>527095.90081144939</v>
      </c>
      <c r="E25" s="94">
        <f>VERM!D25</f>
        <v>1873938.2242349999</v>
      </c>
      <c r="F25" s="94">
        <f>JP!$H25</f>
        <v>4237102.8213999998</v>
      </c>
      <c r="G25" s="94">
        <f>REP!I25</f>
        <v>11719.665286141251</v>
      </c>
      <c r="H25" s="54">
        <f t="shared" si="0"/>
        <v>16144665.311732588</v>
      </c>
      <c r="I25" s="45"/>
    </row>
    <row r="26" spans="1:9" x14ac:dyDescent="0.25">
      <c r="A26" s="523"/>
      <c r="B26" s="18" t="str">
        <f ca="1">DFIE!$B$49</f>
        <v>Graubünden</v>
      </c>
      <c r="C26" s="93">
        <f>NP!E26</f>
        <v>3927348.4</v>
      </c>
      <c r="D26" s="93">
        <f>QS!Z26</f>
        <v>447271.14307432633</v>
      </c>
      <c r="E26" s="93">
        <f>VERM!D26</f>
        <v>1063260.6089550001</v>
      </c>
      <c r="F26" s="93">
        <f>JP!$H26</f>
        <v>960458.71259999997</v>
      </c>
      <c r="G26" s="93">
        <f>REP!I26</f>
        <v>130078.0173028117</v>
      </c>
      <c r="H26" s="53">
        <f t="shared" si="0"/>
        <v>6528416.8819321385</v>
      </c>
      <c r="I26" s="45"/>
    </row>
    <row r="27" spans="1:9" x14ac:dyDescent="0.25">
      <c r="A27" s="523"/>
      <c r="B27" s="16" t="str">
        <f ca="1">DFIE!$B$50</f>
        <v>Aargau</v>
      </c>
      <c r="C27" s="94">
        <f>NP!E27</f>
        <v>14474177.899999999</v>
      </c>
      <c r="D27" s="94">
        <f>QS!Z27</f>
        <v>787232.50734416256</v>
      </c>
      <c r="E27" s="94">
        <f>VERM!D27</f>
        <v>1995317.9673599999</v>
      </c>
      <c r="F27" s="94">
        <f>JP!$H27</f>
        <v>3420923.3581000003</v>
      </c>
      <c r="G27" s="94">
        <f>REP!I27</f>
        <v>163275.37018680313</v>
      </c>
      <c r="H27" s="54">
        <f t="shared" si="0"/>
        <v>20840927.102990963</v>
      </c>
      <c r="I27" s="45"/>
    </row>
    <row r="28" spans="1:9" x14ac:dyDescent="0.25">
      <c r="A28" s="523"/>
      <c r="B28" s="18" t="str">
        <f ca="1">DFIE!$B$51</f>
        <v>Thurgau</v>
      </c>
      <c r="C28" s="93">
        <f>NP!E28</f>
        <v>5510189.4000000004</v>
      </c>
      <c r="D28" s="93">
        <f>QS!Z28</f>
        <v>356708.25077453488</v>
      </c>
      <c r="E28" s="93">
        <f>VERM!D28</f>
        <v>1010764.5764999999</v>
      </c>
      <c r="F28" s="93">
        <f>JP!$H28</f>
        <v>1734832.412</v>
      </c>
      <c r="G28" s="93">
        <f>REP!I28</f>
        <v>9949.5804364096257</v>
      </c>
      <c r="H28" s="53">
        <f t="shared" si="0"/>
        <v>8622444.2197109442</v>
      </c>
      <c r="I28" s="45"/>
    </row>
    <row r="29" spans="1:9" x14ac:dyDescent="0.25">
      <c r="A29" s="523"/>
      <c r="B29" s="16" t="str">
        <f ca="1">DFIE!$B$52</f>
        <v>Tessin</v>
      </c>
      <c r="C29" s="94">
        <f>NP!E29</f>
        <v>7206199.7000000002</v>
      </c>
      <c r="D29" s="94">
        <f>QS!Z29</f>
        <v>1175295.7685627812</v>
      </c>
      <c r="E29" s="94">
        <f>VERM!D29</f>
        <v>1217704.65399</v>
      </c>
      <c r="F29" s="94">
        <f>JP!$H29</f>
        <v>2329268.8984999997</v>
      </c>
      <c r="G29" s="94">
        <f>REP!I29</f>
        <v>63877.594129588702</v>
      </c>
      <c r="H29" s="54">
        <f t="shared" si="0"/>
        <v>11992346.61518237</v>
      </c>
      <c r="I29" s="45"/>
    </row>
    <row r="30" spans="1:9" x14ac:dyDescent="0.25">
      <c r="A30" s="523"/>
      <c r="B30" s="18" t="str">
        <f ca="1">DFIE!$B$53</f>
        <v>Waadt</v>
      </c>
      <c r="C30" s="93">
        <f>NP!E30</f>
        <v>18904919.300000001</v>
      </c>
      <c r="D30" s="93">
        <f>QS!Z30</f>
        <v>1394439.9578670929</v>
      </c>
      <c r="E30" s="93">
        <f>VERM!D30</f>
        <v>2426835.1775699998</v>
      </c>
      <c r="F30" s="93">
        <f>JP!$H30</f>
        <v>7333060.1439999994</v>
      </c>
      <c r="G30" s="93">
        <f>REP!I30</f>
        <v>44992.386445138371</v>
      </c>
      <c r="H30" s="53">
        <f t="shared" si="0"/>
        <v>30104246.965882231</v>
      </c>
      <c r="I30" s="45"/>
    </row>
    <row r="31" spans="1:9" x14ac:dyDescent="0.25">
      <c r="A31" s="523"/>
      <c r="B31" s="16" t="str">
        <f ca="1">DFIE!$B$54</f>
        <v>Wallis</v>
      </c>
      <c r="C31" s="94">
        <f>NP!E31</f>
        <v>5696049.0999999996</v>
      </c>
      <c r="D31" s="94">
        <f>QS!Z31</f>
        <v>453553.51305729657</v>
      </c>
      <c r="E31" s="94">
        <f>VERM!D31</f>
        <v>908872.95838500001</v>
      </c>
      <c r="F31" s="94">
        <f>JP!$H31</f>
        <v>1301360.7521000002</v>
      </c>
      <c r="G31" s="94">
        <f>REP!I31</f>
        <v>118724.09313298408</v>
      </c>
      <c r="H31" s="54">
        <f t="shared" si="0"/>
        <v>8478560.4166752808</v>
      </c>
      <c r="I31" s="45"/>
    </row>
    <row r="32" spans="1:9" x14ac:dyDescent="0.25">
      <c r="A32" s="523"/>
      <c r="B32" s="18" t="str">
        <f ca="1">DFIE!$B$55</f>
        <v>Neuenburg</v>
      </c>
      <c r="C32" s="93">
        <f>NP!E32</f>
        <v>3171538.1</v>
      </c>
      <c r="D32" s="93">
        <f>QS!Z32</f>
        <v>293504.73343316861</v>
      </c>
      <c r="E32" s="93">
        <f>VERM!D32</f>
        <v>306227.93204999994</v>
      </c>
      <c r="F32" s="93">
        <f>JP!$H32</f>
        <v>1182337.9524999999</v>
      </c>
      <c r="G32" s="93">
        <f>REP!I32</f>
        <v>33718.588224091254</v>
      </c>
      <c r="H32" s="53">
        <f t="shared" si="0"/>
        <v>4987327.3062072601</v>
      </c>
      <c r="I32" s="45"/>
    </row>
    <row r="33" spans="1:9" x14ac:dyDescent="0.25">
      <c r="A33" s="523"/>
      <c r="B33" s="16" t="str">
        <f ca="1">DFIE!$B$56</f>
        <v>Genf</v>
      </c>
      <c r="C33" s="94">
        <f>NP!E33</f>
        <v>14137239.799999999</v>
      </c>
      <c r="D33" s="94">
        <f>QS!Z33</f>
        <v>2795396.7334775906</v>
      </c>
      <c r="E33" s="94">
        <f>VERM!D33</f>
        <v>2334589.5629700003</v>
      </c>
      <c r="F33" s="94">
        <f>JP!$H33</f>
        <v>7430174.6008000001</v>
      </c>
      <c r="G33" s="94">
        <f>REP!I33</f>
        <v>87572.755289388631</v>
      </c>
      <c r="H33" s="54">
        <f t="shared" si="0"/>
        <v>26784973.452536978</v>
      </c>
      <c r="I33" s="45"/>
    </row>
    <row r="34" spans="1:9" x14ac:dyDescent="0.25">
      <c r="A34" s="523"/>
      <c r="B34" s="18" t="str">
        <f ca="1">DFIE!$B$57</f>
        <v>Jura</v>
      </c>
      <c r="C34" s="93">
        <f>NP!E34</f>
        <v>1105608.6000000001</v>
      </c>
      <c r="D34" s="93">
        <f>QS!Z34</f>
        <v>113436.92337738372</v>
      </c>
      <c r="E34" s="93">
        <f>VERM!D34</f>
        <v>115903.30499999999</v>
      </c>
      <c r="F34" s="93">
        <f>JP!$H34</f>
        <v>542669.77439999999</v>
      </c>
      <c r="G34" s="93">
        <f>REP!I34</f>
        <v>20238.614485905833</v>
      </c>
      <c r="H34" s="53">
        <f t="shared" si="0"/>
        <v>1897857.2172632895</v>
      </c>
      <c r="I34" s="45"/>
    </row>
    <row r="35" spans="1:9" x14ac:dyDescent="0.25">
      <c r="A35" s="523"/>
      <c r="B35" s="15" t="str">
        <f ca="1">DFIE!$B$58</f>
        <v>Schweiz</v>
      </c>
      <c r="C35" s="61">
        <f t="shared" ref="C35:H35" si="1">SUM(C9:C34)</f>
        <v>198859544</v>
      </c>
      <c r="D35" s="61">
        <f t="shared" si="1"/>
        <v>14052065.878319144</v>
      </c>
      <c r="E35" s="61">
        <f t="shared" si="1"/>
        <v>32376244.823129997</v>
      </c>
      <c r="F35" s="61">
        <f t="shared" si="1"/>
        <v>82716577.798700005</v>
      </c>
      <c r="G35" s="61">
        <f t="shared" si="1"/>
        <v>94662.60444495728</v>
      </c>
      <c r="H35" s="55">
        <f t="shared" si="1"/>
        <v>328099095.10459405</v>
      </c>
      <c r="I35" s="47"/>
    </row>
    <row r="36" spans="1:9" ht="15" customHeight="1" x14ac:dyDescent="0.25">
      <c r="A36" s="69"/>
      <c r="B36" s="77"/>
      <c r="C36" s="124"/>
      <c r="D36" s="124"/>
      <c r="E36" s="124"/>
      <c r="F36" s="124"/>
      <c r="G36" s="124"/>
      <c r="H36" s="124"/>
    </row>
    <row r="37" spans="1:9" x14ac:dyDescent="0.25">
      <c r="A37" s="524" t="str">
        <f ca="1">DFIE!$B$74</f>
        <v>Bemessungsjahr 2020</v>
      </c>
      <c r="B37" s="148" t="str">
        <f ca="1">DFIE!$B$32</f>
        <v>Zürich</v>
      </c>
      <c r="C37" s="92">
        <f>NP!E37</f>
        <v>43423164</v>
      </c>
      <c r="D37" s="92">
        <f>QS!Z37</f>
        <v>2105969.2832615147</v>
      </c>
      <c r="E37" s="92">
        <f>VERM!G9</f>
        <v>7166688.8999999994</v>
      </c>
      <c r="F37" s="92">
        <f>JP!$H37</f>
        <v>5964873.7852095198</v>
      </c>
      <c r="G37" s="92">
        <f>REP!I37</f>
        <v>171874.83349446979</v>
      </c>
      <c r="H37" s="58">
        <f t="shared" ref="H37:H62" si="2">SUM(C37:G37)</f>
        <v>58832570.801965505</v>
      </c>
      <c r="I37" s="48"/>
    </row>
    <row r="38" spans="1:9" x14ac:dyDescent="0.25">
      <c r="A38" s="524"/>
      <c r="B38" s="18" t="str">
        <f ca="1">DFIE!$B$33</f>
        <v>Bern</v>
      </c>
      <c r="C38" s="93">
        <f>NP!E38</f>
        <v>18995546.599999998</v>
      </c>
      <c r="D38" s="93">
        <f>QS!Z38</f>
        <v>670452.01730622072</v>
      </c>
      <c r="E38" s="93">
        <f>VERM!G10</f>
        <v>3327125.360715</v>
      </c>
      <c r="F38" s="93">
        <f>JP!$H38</f>
        <v>2336623.4947447204</v>
      </c>
      <c r="G38" s="93">
        <f>REP!I38</f>
        <v>-683097.67414792092</v>
      </c>
      <c r="H38" s="53">
        <f t="shared" si="2"/>
        <v>24646649.798618019</v>
      </c>
      <c r="I38" s="48"/>
    </row>
    <row r="39" spans="1:9" x14ac:dyDescent="0.25">
      <c r="A39" s="524"/>
      <c r="B39" s="16" t="str">
        <f ca="1">DFIE!$B$34</f>
        <v>Luzern</v>
      </c>
      <c r="C39" s="94">
        <f>NP!E39</f>
        <v>8466507.5999999978</v>
      </c>
      <c r="D39" s="94">
        <f>QS!Z39</f>
        <v>339653.58703169116</v>
      </c>
      <c r="E39" s="94">
        <f>VERM!G11</f>
        <v>1673306.9519400001</v>
      </c>
      <c r="F39" s="94">
        <f>JP!$H39</f>
        <v>1626511.284824</v>
      </c>
      <c r="G39" s="94">
        <f>REP!I39</f>
        <v>-20183.415524566641</v>
      </c>
      <c r="H39" s="54">
        <f t="shared" si="2"/>
        <v>12085796.008271122</v>
      </c>
      <c r="I39" s="48"/>
    </row>
    <row r="40" spans="1:9" x14ac:dyDescent="0.25">
      <c r="A40" s="524"/>
      <c r="B40" s="18" t="str">
        <f ca="1">DFIE!$B$35</f>
        <v>Uri</v>
      </c>
      <c r="C40" s="93">
        <f>NP!E40</f>
        <v>616914.4</v>
      </c>
      <c r="D40" s="93">
        <f>QS!Z40</f>
        <v>33075.196096941174</v>
      </c>
      <c r="E40" s="93">
        <f>VERM!G12</f>
        <v>124569.236685</v>
      </c>
      <c r="F40" s="93">
        <f>JP!$H40</f>
        <v>60804.918899999997</v>
      </c>
      <c r="G40" s="93">
        <f>REP!I40</f>
        <v>-3904.7062162967272</v>
      </c>
      <c r="H40" s="53">
        <f t="shared" si="2"/>
        <v>831459.04546564445</v>
      </c>
      <c r="I40" s="48"/>
    </row>
    <row r="41" spans="1:9" x14ac:dyDescent="0.25">
      <c r="A41" s="524"/>
      <c r="B41" s="16" t="str">
        <f ca="1">DFIE!$B$36</f>
        <v>Schwyz</v>
      </c>
      <c r="C41" s="94">
        <f>NP!E41</f>
        <v>6337866.7149999999</v>
      </c>
      <c r="D41" s="94">
        <f>QS!Z41</f>
        <v>175551.09062235293</v>
      </c>
      <c r="E41" s="94">
        <f>VERM!G13</f>
        <v>2134344.7466250001</v>
      </c>
      <c r="F41" s="94">
        <f>JP!$H41</f>
        <v>836172.62222084007</v>
      </c>
      <c r="G41" s="94">
        <f>REP!I41</f>
        <v>-6984.0493137876074</v>
      </c>
      <c r="H41" s="54">
        <f t="shared" si="2"/>
        <v>9476951.1251544058</v>
      </c>
      <c r="I41" s="48"/>
    </row>
    <row r="42" spans="1:9" x14ac:dyDescent="0.25">
      <c r="A42" s="524"/>
      <c r="B42" s="18" t="str">
        <f ca="1">DFIE!$B$37</f>
        <v>Obwalden</v>
      </c>
      <c r="C42" s="93">
        <f>NP!E42</f>
        <v>988237.42100000009</v>
      </c>
      <c r="D42" s="93">
        <f>QS!Z42</f>
        <v>42564.071604147059</v>
      </c>
      <c r="E42" s="93">
        <f>VERM!G14</f>
        <v>248913.75826500001</v>
      </c>
      <c r="F42" s="93">
        <f>JP!$H42</f>
        <v>114342.90851015999</v>
      </c>
      <c r="G42" s="93">
        <f>REP!I42</f>
        <v>-1013.7913979220823</v>
      </c>
      <c r="H42" s="53">
        <f t="shared" si="2"/>
        <v>1393044.3679813852</v>
      </c>
      <c r="I42" s="48"/>
    </row>
    <row r="43" spans="1:9" x14ac:dyDescent="0.25">
      <c r="A43" s="524"/>
      <c r="B43" s="16" t="str">
        <f ca="1">DFIE!$B$38</f>
        <v>Nidwalden</v>
      </c>
      <c r="C43" s="94">
        <f>NP!E43</f>
        <v>1394589.9</v>
      </c>
      <c r="D43" s="94">
        <f>QS!Z43</f>
        <v>45459.011786147064</v>
      </c>
      <c r="E43" s="94">
        <f>VERM!G15</f>
        <v>611129.80783499999</v>
      </c>
      <c r="F43" s="94">
        <f>JP!$H43</f>
        <v>187527.65533896</v>
      </c>
      <c r="G43" s="94">
        <f>REP!I43</f>
        <v>240.5133774583698</v>
      </c>
      <c r="H43" s="54">
        <f t="shared" si="2"/>
        <v>2238946.8883375651</v>
      </c>
      <c r="I43" s="48"/>
    </row>
    <row r="44" spans="1:9" x14ac:dyDescent="0.25">
      <c r="A44" s="524"/>
      <c r="B44" s="18" t="str">
        <f ca="1">DFIE!$B$39</f>
        <v>Glarus</v>
      </c>
      <c r="C44" s="93">
        <f>NP!E44</f>
        <v>672943.3</v>
      </c>
      <c r="D44" s="93">
        <f>QS!Z44</f>
        <v>51295.358184411765</v>
      </c>
      <c r="E44" s="93">
        <f>VERM!G16</f>
        <v>129046.39460999999</v>
      </c>
      <c r="F44" s="93">
        <f>JP!$H44</f>
        <v>103965.385188</v>
      </c>
      <c r="G44" s="93">
        <f>REP!I44</f>
        <v>3767.0972643889868</v>
      </c>
      <c r="H44" s="53">
        <f t="shared" si="2"/>
        <v>961017.53524680086</v>
      </c>
      <c r="I44" s="48"/>
    </row>
    <row r="45" spans="1:9" x14ac:dyDescent="0.25">
      <c r="A45" s="524"/>
      <c r="B45" s="16" t="str">
        <f ca="1">DFIE!$B$40</f>
        <v>Zug</v>
      </c>
      <c r="C45" s="94">
        <f>NP!E45</f>
        <v>6166320.9000000004</v>
      </c>
      <c r="D45" s="94">
        <f>QS!Z45</f>
        <v>260606.8862129706</v>
      </c>
      <c r="E45" s="94">
        <f>VERM!G17</f>
        <v>1348302.1141950001</v>
      </c>
      <c r="F45" s="94">
        <f>JP!$H45</f>
        <v>2942997.5954940002</v>
      </c>
      <c r="G45" s="94">
        <f>REP!I45</f>
        <v>3674.1103989154253</v>
      </c>
      <c r="H45" s="54">
        <f t="shared" si="2"/>
        <v>10721901.606300887</v>
      </c>
      <c r="I45" s="48"/>
    </row>
    <row r="46" spans="1:9" x14ac:dyDescent="0.25">
      <c r="A46" s="524"/>
      <c r="B46" s="18" t="str">
        <f ca="1">DFIE!$B$41</f>
        <v>Freiburg</v>
      </c>
      <c r="C46" s="93">
        <f>NP!E46</f>
        <v>5903317.8279999997</v>
      </c>
      <c r="D46" s="93">
        <f>QS!Z46</f>
        <v>273547.90663394122</v>
      </c>
      <c r="E46" s="93">
        <f>VERM!G18</f>
        <v>538313.62236000004</v>
      </c>
      <c r="F46" s="93">
        <f>JP!$H46</f>
        <v>1064925.7808690001</v>
      </c>
      <c r="G46" s="93">
        <f>REP!I46</f>
        <v>-18983.683388785121</v>
      </c>
      <c r="H46" s="53">
        <f t="shared" si="2"/>
        <v>7761121.4544741558</v>
      </c>
      <c r="I46" s="48"/>
    </row>
    <row r="47" spans="1:9" x14ac:dyDescent="0.25">
      <c r="A47" s="524"/>
      <c r="B47" s="16" t="str">
        <f ca="1">DFIE!$B$42</f>
        <v>Solothurn</v>
      </c>
      <c r="C47" s="94">
        <f>NP!E47</f>
        <v>5384380</v>
      </c>
      <c r="D47" s="94">
        <f>QS!Z47</f>
        <v>229290.1707122353</v>
      </c>
      <c r="E47" s="94">
        <f>VERM!G19</f>
        <v>479596.97380500002</v>
      </c>
      <c r="F47" s="94">
        <f>JP!$H47</f>
        <v>497818.22161800001</v>
      </c>
      <c r="G47" s="94">
        <f>REP!I47</f>
        <v>-482.97774828984404</v>
      </c>
      <c r="H47" s="54">
        <f t="shared" si="2"/>
        <v>6590602.3883869462</v>
      </c>
      <c r="I47" s="48"/>
    </row>
    <row r="48" spans="1:9" x14ac:dyDescent="0.25">
      <c r="A48" s="524"/>
      <c r="B48" s="18" t="str">
        <f ca="1">DFIE!$B$43</f>
        <v>Basel-Stadt</v>
      </c>
      <c r="C48" s="93">
        <f>NP!E48</f>
        <v>5648091.5999999996</v>
      </c>
      <c r="D48" s="93">
        <f>QS!Z48</f>
        <v>862494.4346510882</v>
      </c>
      <c r="E48" s="93">
        <f>VERM!G20</f>
        <v>1059412.9819349998</v>
      </c>
      <c r="F48" s="93">
        <f>JP!$H48</f>
        <v>2117117.2814969998</v>
      </c>
      <c r="G48" s="93">
        <f>REP!I48</f>
        <v>-13127.30717063118</v>
      </c>
      <c r="H48" s="53">
        <f t="shared" si="2"/>
        <v>9673988.9909124561</v>
      </c>
      <c r="I48" s="48"/>
    </row>
    <row r="49" spans="1:9" x14ac:dyDescent="0.25">
      <c r="A49" s="524"/>
      <c r="B49" s="16" t="str">
        <f ca="1">DFIE!$B$44</f>
        <v>Basel-Landschaft</v>
      </c>
      <c r="C49" s="94">
        <f>NP!E49</f>
        <v>7519082.5</v>
      </c>
      <c r="D49" s="94">
        <f>QS!Z49</f>
        <v>446121.73399929411</v>
      </c>
      <c r="E49" s="94">
        <f>VERM!G21</f>
        <v>746449.19169000001</v>
      </c>
      <c r="F49" s="94">
        <f>JP!$H49</f>
        <v>821112.99979604001</v>
      </c>
      <c r="G49" s="94">
        <f>REP!I49</f>
        <v>-20448.788492555886</v>
      </c>
      <c r="H49" s="54">
        <f t="shared" si="2"/>
        <v>9512317.6369927786</v>
      </c>
      <c r="I49" s="48"/>
    </row>
    <row r="50" spans="1:9" x14ac:dyDescent="0.25">
      <c r="A50" s="524"/>
      <c r="B50" s="18" t="str">
        <f ca="1">DFIE!$B$45</f>
        <v>Schaffhausen</v>
      </c>
      <c r="C50" s="93">
        <f>NP!E50</f>
        <v>1580530.5999999999</v>
      </c>
      <c r="D50" s="93">
        <f>QS!Z50</f>
        <v>137349.31967950001</v>
      </c>
      <c r="E50" s="93">
        <f>VERM!G22</f>
        <v>251245.35713999998</v>
      </c>
      <c r="F50" s="93">
        <f>JP!$H50</f>
        <v>763443.22869999998</v>
      </c>
      <c r="G50" s="93">
        <f>REP!I50</f>
        <v>14811.507510546353</v>
      </c>
      <c r="H50" s="53">
        <f t="shared" si="2"/>
        <v>2747380.0130300461</v>
      </c>
      <c r="I50" s="48"/>
    </row>
    <row r="51" spans="1:9" x14ac:dyDescent="0.25">
      <c r="A51" s="524"/>
      <c r="B51" s="16" t="str">
        <f ca="1">DFIE!$B$46</f>
        <v>Appenzell A.Rh.</v>
      </c>
      <c r="C51" s="94">
        <f>NP!E51</f>
        <v>1093695.69</v>
      </c>
      <c r="D51" s="94">
        <f>QS!Z51</f>
        <v>24539.339948058827</v>
      </c>
      <c r="E51" s="94">
        <f>VERM!G23</f>
        <v>264263.46814499999</v>
      </c>
      <c r="F51" s="94">
        <f>JP!$H51</f>
        <v>138832.07028800002</v>
      </c>
      <c r="G51" s="94">
        <f>REP!I51</f>
        <v>7565.9633810291662</v>
      </c>
      <c r="H51" s="54">
        <f t="shared" si="2"/>
        <v>1528896.531762088</v>
      </c>
      <c r="I51" s="48"/>
    </row>
    <row r="52" spans="1:9" x14ac:dyDescent="0.25">
      <c r="A52" s="524"/>
      <c r="B52" s="18" t="str">
        <f ca="1">DFIE!$B$47</f>
        <v>Appenzell I.Rh.</v>
      </c>
      <c r="C52" s="93">
        <f>NP!E52</f>
        <v>372215.19999999995</v>
      </c>
      <c r="D52" s="93">
        <f>QS!Z52</f>
        <v>10067.560263338237</v>
      </c>
      <c r="E52" s="93">
        <f>VERM!G24</f>
        <v>108842.242155</v>
      </c>
      <c r="F52" s="93">
        <f>JP!$H52</f>
        <v>60173.710756000008</v>
      </c>
      <c r="G52" s="93">
        <f>REP!I52</f>
        <v>697.3930014934856</v>
      </c>
      <c r="H52" s="53">
        <f t="shared" si="2"/>
        <v>551996.10617583175</v>
      </c>
      <c r="I52" s="48"/>
    </row>
    <row r="53" spans="1:9" x14ac:dyDescent="0.25">
      <c r="A53" s="524"/>
      <c r="B53" s="16" t="str">
        <f ca="1">DFIE!$B$48</f>
        <v>St. Gallen</v>
      </c>
      <c r="C53" s="94">
        <f>NP!E53</f>
        <v>9178990.6999999993</v>
      </c>
      <c r="D53" s="94">
        <f>QS!Z53</f>
        <v>540314.38083129411</v>
      </c>
      <c r="E53" s="94">
        <f>VERM!G25</f>
        <v>1949662.5720299999</v>
      </c>
      <c r="F53" s="94">
        <f>JP!$H53</f>
        <v>1574551.2758238001</v>
      </c>
      <c r="G53" s="94">
        <f>REP!I53</f>
        <v>14265.194314080863</v>
      </c>
      <c r="H53" s="54">
        <f t="shared" si="2"/>
        <v>13257784.122999175</v>
      </c>
      <c r="I53" s="48"/>
    </row>
    <row r="54" spans="1:9" x14ac:dyDescent="0.25">
      <c r="A54" s="524"/>
      <c r="B54" s="18" t="str">
        <f ca="1">DFIE!$B$49</f>
        <v>Graubünden</v>
      </c>
      <c r="C54" s="93">
        <f>NP!E54</f>
        <v>3994728.128</v>
      </c>
      <c r="D54" s="93">
        <f>QS!Z54</f>
        <v>452244.0729895765</v>
      </c>
      <c r="E54" s="93">
        <f>VERM!G26</f>
        <v>1106632.2104849999</v>
      </c>
      <c r="F54" s="93">
        <f>JP!$H54</f>
        <v>534943.241882</v>
      </c>
      <c r="G54" s="93">
        <f>REP!I54</f>
        <v>76734.916237422789</v>
      </c>
      <c r="H54" s="53">
        <f t="shared" si="2"/>
        <v>6165282.5695939995</v>
      </c>
      <c r="I54" s="48"/>
    </row>
    <row r="55" spans="1:9" x14ac:dyDescent="0.25">
      <c r="A55" s="524"/>
      <c r="B55" s="16" t="str">
        <f ca="1">DFIE!$B$50</f>
        <v>Aargau</v>
      </c>
      <c r="C55" s="94">
        <f>NP!E55</f>
        <v>14478977.200000001</v>
      </c>
      <c r="D55" s="94">
        <f>QS!Z55</f>
        <v>810022.02058035298</v>
      </c>
      <c r="E55" s="94">
        <f>VERM!G27</f>
        <v>2070272.8470899998</v>
      </c>
      <c r="F55" s="94">
        <f>JP!$H55</f>
        <v>1183179.3341900001</v>
      </c>
      <c r="G55" s="94">
        <f>REP!I55</f>
        <v>39548.119410634739</v>
      </c>
      <c r="H55" s="54">
        <f t="shared" si="2"/>
        <v>18581999.521270987</v>
      </c>
      <c r="I55" s="48"/>
    </row>
    <row r="56" spans="1:9" x14ac:dyDescent="0.25">
      <c r="A56" s="524"/>
      <c r="B56" s="18" t="str">
        <f ca="1">DFIE!$B$51</f>
        <v>Thurgau</v>
      </c>
      <c r="C56" s="93">
        <f>NP!E56</f>
        <v>5511002.6999999993</v>
      </c>
      <c r="D56" s="93">
        <f>QS!Z56</f>
        <v>378658.92907232355</v>
      </c>
      <c r="E56" s="93">
        <f>VERM!G28</f>
        <v>1040191.0905</v>
      </c>
      <c r="F56" s="93">
        <f>JP!$H56</f>
        <v>708210.73245759995</v>
      </c>
      <c r="G56" s="93">
        <f>REP!I56</f>
        <v>2960.1101463106274</v>
      </c>
      <c r="H56" s="53">
        <f t="shared" si="2"/>
        <v>7641023.5621762322</v>
      </c>
      <c r="I56" s="48"/>
    </row>
    <row r="57" spans="1:9" x14ac:dyDescent="0.25">
      <c r="A57" s="524"/>
      <c r="B57" s="16" t="str">
        <f ca="1">DFIE!$B$52</f>
        <v>Tessin</v>
      </c>
      <c r="C57" s="94">
        <f>NP!E57</f>
        <v>7171131.9000000004</v>
      </c>
      <c r="D57" s="94">
        <f>QS!Z57</f>
        <v>1133682.5673691002</v>
      </c>
      <c r="E57" s="94">
        <f>VERM!G29</f>
        <v>1245055.618155</v>
      </c>
      <c r="F57" s="94">
        <f>JP!$H57</f>
        <v>831194.30947400001</v>
      </c>
      <c r="G57" s="94">
        <f>REP!I57</f>
        <v>54772.064751609469</v>
      </c>
      <c r="H57" s="54">
        <f t="shared" si="2"/>
        <v>10435836.459749712</v>
      </c>
      <c r="I57" s="48"/>
    </row>
    <row r="58" spans="1:9" x14ac:dyDescent="0.25">
      <c r="A58" s="524"/>
      <c r="B58" s="18" t="str">
        <f ca="1">DFIE!$B$53</f>
        <v>Waadt</v>
      </c>
      <c r="C58" s="93">
        <f>NP!E58</f>
        <v>19236133.800000001</v>
      </c>
      <c r="D58" s="93">
        <f>QS!Z58</f>
        <v>1379496.2471564705</v>
      </c>
      <c r="E58" s="93">
        <f>VERM!G30</f>
        <v>2503766.1171899997</v>
      </c>
      <c r="F58" s="93">
        <f>JP!$H58</f>
        <v>3908404.7298558401</v>
      </c>
      <c r="G58" s="93">
        <f>REP!I58</f>
        <v>-183251.91034724537</v>
      </c>
      <c r="H58" s="53">
        <f t="shared" si="2"/>
        <v>26844548.983855065</v>
      </c>
      <c r="I58" s="48"/>
    </row>
    <row r="59" spans="1:9" x14ac:dyDescent="0.25">
      <c r="A59" s="524"/>
      <c r="B59" s="16" t="str">
        <f ca="1">DFIE!$B$54</f>
        <v>Wallis</v>
      </c>
      <c r="C59" s="94">
        <f>NP!E59</f>
        <v>5896860.1999999993</v>
      </c>
      <c r="D59" s="94">
        <f>QS!Z59</f>
        <v>408696.6956039294</v>
      </c>
      <c r="E59" s="94">
        <f>VERM!G31</f>
        <v>944652.07555499999</v>
      </c>
      <c r="F59" s="94">
        <f>JP!$H59</f>
        <v>416268.96461500006</v>
      </c>
      <c r="G59" s="94">
        <f>REP!I59</f>
        <v>100633.54575973045</v>
      </c>
      <c r="H59" s="54">
        <f t="shared" si="2"/>
        <v>7767111.4815336596</v>
      </c>
      <c r="I59" s="48"/>
    </row>
    <row r="60" spans="1:9" x14ac:dyDescent="0.25">
      <c r="A60" s="524"/>
      <c r="B60" s="18" t="str">
        <f ca="1">DFIE!$B$55</f>
        <v>Neuenburg</v>
      </c>
      <c r="C60" s="93">
        <f>NP!E60</f>
        <v>2985857.5</v>
      </c>
      <c r="D60" s="93">
        <f>QS!Z60</f>
        <v>288965.98974705883</v>
      </c>
      <c r="E60" s="93">
        <f>VERM!G32</f>
        <v>314959.08684</v>
      </c>
      <c r="F60" s="93">
        <f>JP!$H60</f>
        <v>387449.13982799998</v>
      </c>
      <c r="G60" s="93">
        <f>REP!I60</f>
        <v>404731.26572485844</v>
      </c>
      <c r="H60" s="53">
        <f t="shared" si="2"/>
        <v>4381962.9821399171</v>
      </c>
      <c r="I60" s="48"/>
    </row>
    <row r="61" spans="1:9" x14ac:dyDescent="0.25">
      <c r="A61" s="524"/>
      <c r="B61" s="16" t="str">
        <f ca="1">DFIE!$B$56</f>
        <v>Genf</v>
      </c>
      <c r="C61" s="94">
        <f>NP!E61</f>
        <v>14064661.300000001</v>
      </c>
      <c r="D61" s="94">
        <f>QS!Z61</f>
        <v>2820141.8133682497</v>
      </c>
      <c r="E61" s="94">
        <f>VERM!G33</f>
        <v>2466831.2436449998</v>
      </c>
      <c r="F61" s="94">
        <f>JP!$H61</f>
        <v>3908888.2150420002</v>
      </c>
      <c r="G61" s="94">
        <f>REP!I61</f>
        <v>32020.564053787682</v>
      </c>
      <c r="H61" s="54">
        <f t="shared" si="2"/>
        <v>23292543.136109039</v>
      </c>
      <c r="I61" s="48"/>
    </row>
    <row r="62" spans="1:9" x14ac:dyDescent="0.25">
      <c r="A62" s="524"/>
      <c r="B62" s="18" t="str">
        <f ca="1">DFIE!$B$57</f>
        <v>Jura</v>
      </c>
      <c r="C62" s="93">
        <f>NP!E62</f>
        <v>1103541.8999999999</v>
      </c>
      <c r="D62" s="93">
        <f>QS!Z62</f>
        <v>108409.74176423528</v>
      </c>
      <c r="E62" s="93">
        <f>VERM!G34</f>
        <v>119210.41499999999</v>
      </c>
      <c r="F62" s="93">
        <f>JP!$H62</f>
        <v>185300.15684800001</v>
      </c>
      <c r="G62" s="93">
        <f>REP!I62</f>
        <v>3820.5850527849434</v>
      </c>
      <c r="H62" s="53">
        <f t="shared" si="2"/>
        <v>1520282.7986650201</v>
      </c>
      <c r="I62" s="48"/>
    </row>
    <row r="63" spans="1:9" x14ac:dyDescent="0.25">
      <c r="A63" s="524"/>
      <c r="B63" s="15" t="str">
        <f ca="1">DFIE!$B$58</f>
        <v>Schweiz</v>
      </c>
      <c r="C63" s="61">
        <f t="shared" ref="C63:H63" si="3">SUM(C37:C62)</f>
        <v>198185289.58200002</v>
      </c>
      <c r="D63" s="61">
        <f t="shared" si="3"/>
        <v>14028669.426476443</v>
      </c>
      <c r="E63" s="61">
        <f t="shared" si="3"/>
        <v>33972784.38459</v>
      </c>
      <c r="F63" s="61">
        <f t="shared" si="3"/>
        <v>33275633.043970477</v>
      </c>
      <c r="G63" s="61">
        <f t="shared" si="3"/>
        <v>-19360.519868479565</v>
      </c>
      <c r="H63" s="55">
        <f t="shared" si="3"/>
        <v>279443015.9171685</v>
      </c>
      <c r="I63" s="48"/>
    </row>
    <row r="64" spans="1:9" ht="14.25" customHeight="1" x14ac:dyDescent="0.25">
      <c r="A64" s="70"/>
      <c r="B64" s="77"/>
      <c r="C64" s="124"/>
      <c r="D64" s="124"/>
      <c r="E64" s="124"/>
      <c r="F64" s="124"/>
      <c r="G64" s="124"/>
      <c r="H64" s="124"/>
    </row>
    <row r="65" spans="1:9" x14ac:dyDescent="0.25">
      <c r="A65" s="525" t="str">
        <f ca="1">DFIE!$B$75</f>
        <v>Bemessungsjahr 2021</v>
      </c>
      <c r="B65" s="148" t="str">
        <f ca="1">DFIE!$B$32</f>
        <v>Zürich</v>
      </c>
      <c r="C65" s="92">
        <f>NP!E65</f>
        <v>45942921.400000006</v>
      </c>
      <c r="D65" s="92">
        <f>QS!Z65</f>
        <v>1908755.3413708129</v>
      </c>
      <c r="E65" s="92">
        <f>VERM!J9</f>
        <v>7722119.9699999997</v>
      </c>
      <c r="F65" s="92">
        <f>JP!$H65</f>
        <v>7864426.5120817609</v>
      </c>
      <c r="G65" s="92">
        <f>REP!I65</f>
        <v>-194151.8610317675</v>
      </c>
      <c r="H65" s="58">
        <f t="shared" ref="H65:H90" si="4">SUM(C65:G65)</f>
        <v>63244071.362420812</v>
      </c>
      <c r="I65" s="52"/>
    </row>
    <row r="66" spans="1:9" x14ac:dyDescent="0.25">
      <c r="A66" s="525"/>
      <c r="B66" s="18" t="str">
        <f ca="1">DFIE!$B$33</f>
        <v>Bern</v>
      </c>
      <c r="C66" s="93">
        <f>NP!E66</f>
        <v>19599886.420000002</v>
      </c>
      <c r="D66" s="93">
        <f>QS!Z66</f>
        <v>689490.17989793746</v>
      </c>
      <c r="E66" s="93">
        <f>VERM!J10</f>
        <v>3543495.7158300001</v>
      </c>
      <c r="F66" s="93">
        <f>JP!$H66</f>
        <v>2635778.0863324804</v>
      </c>
      <c r="G66" s="93">
        <f>REP!I66</f>
        <v>-13191.364747901811</v>
      </c>
      <c r="H66" s="53">
        <f t="shared" si="4"/>
        <v>26455459.037312523</v>
      </c>
      <c r="I66" s="52"/>
    </row>
    <row r="67" spans="1:9" x14ac:dyDescent="0.25">
      <c r="A67" s="525"/>
      <c r="B67" s="16" t="str">
        <f ca="1">DFIE!$B$34</f>
        <v>Luzern</v>
      </c>
      <c r="C67" s="94">
        <f>NP!E67</f>
        <v>8963183.5</v>
      </c>
      <c r="D67" s="94">
        <f>QS!Z67</f>
        <v>312035.709202</v>
      </c>
      <c r="E67" s="94">
        <f>VERM!J11</f>
        <v>1760752.3777649999</v>
      </c>
      <c r="F67" s="94">
        <f>JP!$H67</f>
        <v>2408809.1183800003</v>
      </c>
      <c r="G67" s="94">
        <f>REP!I67</f>
        <v>-55584.954379435614</v>
      </c>
      <c r="H67" s="54">
        <f t="shared" si="4"/>
        <v>13389195.750967566</v>
      </c>
      <c r="I67" s="52"/>
    </row>
    <row r="68" spans="1:9" x14ac:dyDescent="0.25">
      <c r="A68" s="525"/>
      <c r="B68" s="18" t="str">
        <f ca="1">DFIE!$B$35</f>
        <v>Uri</v>
      </c>
      <c r="C68" s="93">
        <f>NP!E68</f>
        <v>643777.19999999995</v>
      </c>
      <c r="D68" s="93">
        <f>QS!Z68</f>
        <v>33019.215260500001</v>
      </c>
      <c r="E68" s="93">
        <f>VERM!J12</f>
        <v>130588.01205</v>
      </c>
      <c r="F68" s="93">
        <f>JP!$H68</f>
        <v>103653.06291840001</v>
      </c>
      <c r="G68" s="93">
        <f>REP!I68</f>
        <v>4525.5591481168976</v>
      </c>
      <c r="H68" s="53">
        <f t="shared" si="4"/>
        <v>915563.04937701684</v>
      </c>
      <c r="I68" s="52"/>
    </row>
    <row r="69" spans="1:9" x14ac:dyDescent="0.25">
      <c r="A69" s="525"/>
      <c r="B69" s="16" t="str">
        <f ca="1">DFIE!$B$36</f>
        <v>Schwyz</v>
      </c>
      <c r="C69" s="94">
        <f>NP!E69</f>
        <v>7123706.7190000005</v>
      </c>
      <c r="D69" s="94">
        <f>QS!Z69</f>
        <v>159642.87855481252</v>
      </c>
      <c r="E69" s="94">
        <f>VERM!J13</f>
        <v>2381029.3171799998</v>
      </c>
      <c r="F69" s="94">
        <f>JP!$H69</f>
        <v>1223972.9499135201</v>
      </c>
      <c r="G69" s="94">
        <f>REP!I69</f>
        <v>-1998.2312540593705</v>
      </c>
      <c r="H69" s="54">
        <f t="shared" si="4"/>
        <v>10886353.633394273</v>
      </c>
      <c r="I69" s="52"/>
    </row>
    <row r="70" spans="1:9" x14ac:dyDescent="0.25">
      <c r="A70" s="525"/>
      <c r="B70" s="18" t="str">
        <f ca="1">DFIE!$B$37</f>
        <v>Obwalden</v>
      </c>
      <c r="C70" s="93">
        <f>NP!E70</f>
        <v>943279.8339999998</v>
      </c>
      <c r="D70" s="93">
        <f>QS!Z70</f>
        <v>37417.700919875002</v>
      </c>
      <c r="E70" s="93">
        <f>VERM!J14</f>
        <v>266037.55940999999</v>
      </c>
      <c r="F70" s="93">
        <f>JP!$H70</f>
        <v>152811.31235104002</v>
      </c>
      <c r="G70" s="93">
        <f>REP!I70</f>
        <v>-7070.4706874561425</v>
      </c>
      <c r="H70" s="53">
        <f t="shared" si="4"/>
        <v>1392475.9359934586</v>
      </c>
      <c r="I70" s="52"/>
    </row>
    <row r="71" spans="1:9" x14ac:dyDescent="0.25">
      <c r="A71" s="525"/>
      <c r="B71" s="16" t="str">
        <f ca="1">DFIE!$B$38</f>
        <v>Nidwalden</v>
      </c>
      <c r="C71" s="94">
        <f>NP!E71</f>
        <v>1419817.449</v>
      </c>
      <c r="D71" s="94">
        <f>QS!Z71</f>
        <v>41887.738586000007</v>
      </c>
      <c r="E71" s="94">
        <f>VERM!J15</f>
        <v>667236.4741949999</v>
      </c>
      <c r="F71" s="94">
        <f>JP!$H71</f>
        <v>272295.74746912008</v>
      </c>
      <c r="G71" s="94">
        <f>REP!I71</f>
        <v>-28546.41656405044</v>
      </c>
      <c r="H71" s="54">
        <f t="shared" si="4"/>
        <v>2372690.9926860696</v>
      </c>
      <c r="I71" s="52"/>
    </row>
    <row r="72" spans="1:9" x14ac:dyDescent="0.25">
      <c r="A72" s="525"/>
      <c r="B72" s="18" t="str">
        <f ca="1">DFIE!$B$39</f>
        <v>Glarus</v>
      </c>
      <c r="C72" s="93">
        <f>NP!E72</f>
        <v>702623.84</v>
      </c>
      <c r="D72" s="93">
        <f>QS!Z72</f>
        <v>51370.640030250004</v>
      </c>
      <c r="E72" s="93">
        <f>VERM!J16</f>
        <v>135432.34567499999</v>
      </c>
      <c r="F72" s="93">
        <f>JP!$H72</f>
        <v>109406.45049280001</v>
      </c>
      <c r="G72" s="93">
        <f>REP!I72</f>
        <v>5199.9935978090771</v>
      </c>
      <c r="H72" s="53">
        <f t="shared" si="4"/>
        <v>1004033.269795859</v>
      </c>
      <c r="I72" s="52"/>
    </row>
    <row r="73" spans="1:9" x14ac:dyDescent="0.25">
      <c r="A73" s="525"/>
      <c r="B73" s="16" t="str">
        <f ca="1">DFIE!$B$40</f>
        <v>Zug</v>
      </c>
      <c r="C73" s="94">
        <f>NP!E73</f>
        <v>7127536</v>
      </c>
      <c r="D73" s="94">
        <f>QS!Z73</f>
        <v>286724.581614125</v>
      </c>
      <c r="E73" s="94">
        <f>VERM!J17</f>
        <v>1545731.6773499998</v>
      </c>
      <c r="F73" s="94">
        <f>JP!$H73</f>
        <v>4669458.1069623996</v>
      </c>
      <c r="G73" s="94">
        <f>REP!I73</f>
        <v>25475.090886507885</v>
      </c>
      <c r="H73" s="54">
        <f t="shared" si="4"/>
        <v>13654925.456813032</v>
      </c>
      <c r="I73" s="52"/>
    </row>
    <row r="74" spans="1:9" x14ac:dyDescent="0.25">
      <c r="A74" s="525"/>
      <c r="B74" s="18" t="str">
        <f ca="1">DFIE!$B$41</f>
        <v>Freiburg</v>
      </c>
      <c r="C74" s="93">
        <f>NP!E74</f>
        <v>6124849.9810000006</v>
      </c>
      <c r="D74" s="93">
        <f>QS!Z74</f>
        <v>252554.63006375002</v>
      </c>
      <c r="E74" s="93">
        <f>VERM!J18</f>
        <v>560859.54130499996</v>
      </c>
      <c r="F74" s="93">
        <f>JP!$H74</f>
        <v>1126411.1913362402</v>
      </c>
      <c r="G74" s="93">
        <f>REP!I74</f>
        <v>-62892.704615762319</v>
      </c>
      <c r="H74" s="53">
        <f t="shared" si="4"/>
        <v>8001782.6390892286</v>
      </c>
      <c r="I74" s="52"/>
    </row>
    <row r="75" spans="1:9" x14ac:dyDescent="0.25">
      <c r="A75" s="525"/>
      <c r="B75" s="16" t="str">
        <f ca="1">DFIE!$B$42</f>
        <v>Solothurn</v>
      </c>
      <c r="C75" s="94">
        <f>NP!E75</f>
        <v>5541476.9999999991</v>
      </c>
      <c r="D75" s="94">
        <f>QS!Z75</f>
        <v>218293.60848800003</v>
      </c>
      <c r="E75" s="94">
        <f>VERM!J19</f>
        <v>518381.180085</v>
      </c>
      <c r="F75" s="94">
        <f>JP!$H75</f>
        <v>606588.02044256008</v>
      </c>
      <c r="G75" s="94">
        <f>REP!I75</f>
        <v>11943.103072204898</v>
      </c>
      <c r="H75" s="54">
        <f t="shared" si="4"/>
        <v>6896682.9120877637</v>
      </c>
      <c r="I75" s="52"/>
    </row>
    <row r="76" spans="1:9" x14ac:dyDescent="0.25">
      <c r="A76" s="525"/>
      <c r="B76" s="18" t="str">
        <f ca="1">DFIE!$B$43</f>
        <v>Basel-Stadt</v>
      </c>
      <c r="C76" s="93">
        <f>NP!E76</f>
        <v>5821342.5</v>
      </c>
      <c r="D76" s="93">
        <f>QS!Z76</f>
        <v>803437.33594531263</v>
      </c>
      <c r="E76" s="93">
        <f>VERM!J20</f>
        <v>1208905.7352</v>
      </c>
      <c r="F76" s="93">
        <f>JP!$H76</f>
        <v>2820763.7324416004</v>
      </c>
      <c r="G76" s="93">
        <f>REP!I76</f>
        <v>-43835.295174227802</v>
      </c>
      <c r="H76" s="53">
        <f t="shared" si="4"/>
        <v>10610614.008412685</v>
      </c>
      <c r="I76" s="52"/>
    </row>
    <row r="77" spans="1:9" x14ac:dyDescent="0.25">
      <c r="A77" s="525"/>
      <c r="B77" s="16" t="str">
        <f ca="1">DFIE!$B$44</f>
        <v>Basel-Landschaft</v>
      </c>
      <c r="C77" s="94">
        <f>NP!E77</f>
        <v>7704544.1999999993</v>
      </c>
      <c r="D77" s="94">
        <f>QS!Z77</f>
        <v>409569.70086350001</v>
      </c>
      <c r="E77" s="94">
        <f>VERM!J21</f>
        <v>787495.38514499995</v>
      </c>
      <c r="F77" s="94">
        <f>JP!$H77</f>
        <v>947524.36362505611</v>
      </c>
      <c r="G77" s="94">
        <f>REP!I77</f>
        <v>-10960.554758061458</v>
      </c>
      <c r="H77" s="54">
        <f t="shared" si="4"/>
        <v>9838173.0948754959</v>
      </c>
      <c r="I77" s="52"/>
    </row>
    <row r="78" spans="1:9" x14ac:dyDescent="0.25">
      <c r="A78" s="525"/>
      <c r="B78" s="18" t="str">
        <f ca="1">DFIE!$B$45</f>
        <v>Schaffhausen</v>
      </c>
      <c r="C78" s="93">
        <f>NP!E78</f>
        <v>1649518.8999999997</v>
      </c>
      <c r="D78" s="93">
        <f>QS!Z78</f>
        <v>132232.82947275002</v>
      </c>
      <c r="E78" s="93">
        <f>VERM!J22</f>
        <v>259822.21697999997</v>
      </c>
      <c r="F78" s="93">
        <f>JP!$H78</f>
        <v>1048297.4115960002</v>
      </c>
      <c r="G78" s="93">
        <f>REP!I78</f>
        <v>11996.409202962077</v>
      </c>
      <c r="H78" s="53">
        <f t="shared" si="4"/>
        <v>3101867.7672517123</v>
      </c>
      <c r="I78" s="52"/>
    </row>
    <row r="79" spans="1:9" x14ac:dyDescent="0.25">
      <c r="A79" s="525"/>
      <c r="B79" s="16" t="str">
        <f ca="1">DFIE!$B$46</f>
        <v>Appenzell A.Rh.</v>
      </c>
      <c r="C79" s="94">
        <f>NP!E79</f>
        <v>1172786.915</v>
      </c>
      <c r="D79" s="94">
        <f>QS!Z79</f>
        <v>27965.049975187503</v>
      </c>
      <c r="E79" s="94">
        <f>VERM!J23</f>
        <v>288033.94948499999</v>
      </c>
      <c r="F79" s="94">
        <f>JP!$H79</f>
        <v>190892.48259840001</v>
      </c>
      <c r="G79" s="94">
        <f>REP!I79</f>
        <v>-26009.620604867534</v>
      </c>
      <c r="H79" s="54">
        <f t="shared" si="4"/>
        <v>1653668.7764537199</v>
      </c>
      <c r="I79" s="52"/>
    </row>
    <row r="80" spans="1:9" x14ac:dyDescent="0.25">
      <c r="A80" s="525"/>
      <c r="B80" s="18" t="str">
        <f ca="1">DFIE!$B$47</f>
        <v>Appenzell I.Rh.</v>
      </c>
      <c r="C80" s="93">
        <f>NP!E80</f>
        <v>394365.6</v>
      </c>
      <c r="D80" s="93">
        <f>QS!Z80</f>
        <v>9980.2252398125001</v>
      </c>
      <c r="E80" s="93">
        <f>VERM!J24</f>
        <v>114872.22412500001</v>
      </c>
      <c r="F80" s="93">
        <f>JP!$H80</f>
        <v>62601.421072000005</v>
      </c>
      <c r="G80" s="93">
        <f>REP!I80</f>
        <v>2265.2547304348823</v>
      </c>
      <c r="H80" s="53">
        <f t="shared" si="4"/>
        <v>584084.72516724735</v>
      </c>
      <c r="I80" s="52"/>
    </row>
    <row r="81" spans="1:9" x14ac:dyDescent="0.25">
      <c r="A81" s="525"/>
      <c r="B81" s="16" t="str">
        <f ca="1">DFIE!$B$48</f>
        <v>St. Gallen</v>
      </c>
      <c r="C81" s="94">
        <f>NP!E81</f>
        <v>9568691</v>
      </c>
      <c r="D81" s="94">
        <f>QS!Z81</f>
        <v>551297.45970150002</v>
      </c>
      <c r="E81" s="94">
        <f>VERM!J25</f>
        <v>2069635.2938099999</v>
      </c>
      <c r="F81" s="94">
        <f>JP!$H81</f>
        <v>1835368.254759856</v>
      </c>
      <c r="G81" s="94">
        <f>REP!I81</f>
        <v>13526.748406967281</v>
      </c>
      <c r="H81" s="54">
        <f t="shared" si="4"/>
        <v>14038518.756678324</v>
      </c>
      <c r="I81" s="52"/>
    </row>
    <row r="82" spans="1:9" x14ac:dyDescent="0.25">
      <c r="A82" s="525"/>
      <c r="B82" s="18" t="str">
        <f ca="1">DFIE!$B$49</f>
        <v>Graubünden</v>
      </c>
      <c r="C82" s="93">
        <f>NP!E82</f>
        <v>4192452.4899999998</v>
      </c>
      <c r="D82" s="93">
        <f>QS!Z82</f>
        <v>455304.56589952501</v>
      </c>
      <c r="E82" s="93">
        <f>VERM!J26</f>
        <v>1276517.319255</v>
      </c>
      <c r="F82" s="93">
        <f>JP!$H82</f>
        <v>622683.49140880001</v>
      </c>
      <c r="G82" s="93">
        <f>REP!I82</f>
        <v>79309.551845006485</v>
      </c>
      <c r="H82" s="53">
        <f t="shared" si="4"/>
        <v>6626267.4184083315</v>
      </c>
      <c r="I82" s="52"/>
    </row>
    <row r="83" spans="1:9" x14ac:dyDescent="0.25">
      <c r="A83" s="525"/>
      <c r="B83" s="16" t="str">
        <f ca="1">DFIE!$B$50</f>
        <v>Aargau</v>
      </c>
      <c r="C83" s="94">
        <f>NP!E83</f>
        <v>14865047.699999997</v>
      </c>
      <c r="D83" s="94">
        <f>QS!Z83</f>
        <v>808264.1267178125</v>
      </c>
      <c r="E83" s="94">
        <f>VERM!J27</f>
        <v>2172331.1601749999</v>
      </c>
      <c r="F83" s="94">
        <f>JP!$H83</f>
        <v>1295481.2399026719</v>
      </c>
      <c r="G83" s="94">
        <f>REP!I83</f>
        <v>39976.844224296074</v>
      </c>
      <c r="H83" s="54">
        <f t="shared" si="4"/>
        <v>19181101.07101978</v>
      </c>
      <c r="I83" s="52"/>
    </row>
    <row r="84" spans="1:9" x14ac:dyDescent="0.25">
      <c r="A84" s="525"/>
      <c r="B84" s="18" t="str">
        <f ca="1">DFIE!$B$51</f>
        <v>Thurgau</v>
      </c>
      <c r="C84" s="93">
        <f>NP!E84</f>
        <v>5598679.3999999985</v>
      </c>
      <c r="D84" s="93">
        <f>QS!Z84</f>
        <v>346387.58135606255</v>
      </c>
      <c r="E84" s="93">
        <f>VERM!J28</f>
        <v>1114942.017</v>
      </c>
      <c r="F84" s="93">
        <f>JP!$H84</f>
        <v>798442.24352671998</v>
      </c>
      <c r="G84" s="93">
        <f>REP!I84</f>
        <v>-888.57715166161904</v>
      </c>
      <c r="H84" s="53">
        <f t="shared" si="4"/>
        <v>7857562.6647311188</v>
      </c>
      <c r="I84" s="52"/>
    </row>
    <row r="85" spans="1:9" x14ac:dyDescent="0.25">
      <c r="A85" s="525"/>
      <c r="B85" s="16" t="str">
        <f ca="1">DFIE!$B$52</f>
        <v>Tessin</v>
      </c>
      <c r="C85" s="94">
        <f>NP!E85</f>
        <v>7455359.8999999994</v>
      </c>
      <c r="D85" s="94">
        <f>QS!Z85</f>
        <v>1127792.1420313627</v>
      </c>
      <c r="E85" s="94">
        <f>VERM!J29</f>
        <v>1315332.7649999999</v>
      </c>
      <c r="F85" s="94">
        <f>JP!$H85</f>
        <v>1063111.4936999199</v>
      </c>
      <c r="G85" s="94">
        <f>REP!I85</f>
        <v>72492.312097747505</v>
      </c>
      <c r="H85" s="54">
        <f t="shared" si="4"/>
        <v>11034088.61282903</v>
      </c>
      <c r="I85" s="52"/>
    </row>
    <row r="86" spans="1:9" x14ac:dyDescent="0.25">
      <c r="A86" s="525"/>
      <c r="B86" s="18" t="str">
        <f ca="1">DFIE!$B$53</f>
        <v>Waadt</v>
      </c>
      <c r="C86" s="93">
        <f>NP!E86</f>
        <v>19913720.700000003</v>
      </c>
      <c r="D86" s="93">
        <f>QS!Z86</f>
        <v>1252467.838862</v>
      </c>
      <c r="E86" s="93">
        <f>VERM!J30</f>
        <v>2688991.7224650001</v>
      </c>
      <c r="F86" s="93">
        <f>JP!$H86</f>
        <v>4655903.2323940806</v>
      </c>
      <c r="G86" s="93">
        <f>REP!I86</f>
        <v>76036.654830658939</v>
      </c>
      <c r="H86" s="53">
        <f t="shared" si="4"/>
        <v>28587120.148551747</v>
      </c>
      <c r="I86" s="52"/>
    </row>
    <row r="87" spans="1:9" x14ac:dyDescent="0.25">
      <c r="A87" s="525"/>
      <c r="B87" s="16" t="str">
        <f ca="1">DFIE!$B$54</f>
        <v>Wallis</v>
      </c>
      <c r="C87" s="94">
        <f>NP!E87</f>
        <v>6257885.2999999998</v>
      </c>
      <c r="D87" s="94">
        <f>QS!Z87</f>
        <v>432029.59272920003</v>
      </c>
      <c r="E87" s="94">
        <f>VERM!J31</f>
        <v>1055497.1375249999</v>
      </c>
      <c r="F87" s="94">
        <f>JP!$H87</f>
        <v>527889.508684</v>
      </c>
      <c r="G87" s="94">
        <f>REP!I87</f>
        <v>117557.78753931569</v>
      </c>
      <c r="H87" s="54">
        <f t="shared" si="4"/>
        <v>8390859.3264775146</v>
      </c>
      <c r="I87" s="52"/>
    </row>
    <row r="88" spans="1:9" x14ac:dyDescent="0.25">
      <c r="A88" s="525"/>
      <c r="B88" s="18" t="str">
        <f ca="1">DFIE!$B$55</f>
        <v>Neuenburg</v>
      </c>
      <c r="C88" s="93">
        <f>NP!E88</f>
        <v>3166589.5999999996</v>
      </c>
      <c r="D88" s="93">
        <f>QS!Z88</f>
        <v>243341.98924550001</v>
      </c>
      <c r="E88" s="93">
        <f>VERM!J32</f>
        <v>330612.83785499999</v>
      </c>
      <c r="F88" s="93">
        <f>JP!$H88</f>
        <v>529401.6106264001</v>
      </c>
      <c r="G88" s="93">
        <f>REP!I88</f>
        <v>13518.532164075727</v>
      </c>
      <c r="H88" s="53">
        <f t="shared" si="4"/>
        <v>4283464.569890975</v>
      </c>
      <c r="I88" s="52"/>
    </row>
    <row r="89" spans="1:9" x14ac:dyDescent="0.25">
      <c r="A89" s="525"/>
      <c r="B89" s="16" t="str">
        <f ca="1">DFIE!$B$56</f>
        <v>Genf</v>
      </c>
      <c r="C89" s="94">
        <f>NP!E89</f>
        <v>15460845.499999998</v>
      </c>
      <c r="D89" s="94">
        <f>QS!Z89</f>
        <v>2704507.1537861321</v>
      </c>
      <c r="E89" s="94">
        <f>VERM!J33</f>
        <v>2640465.3623699998</v>
      </c>
      <c r="F89" s="94">
        <f>JP!$H89</f>
        <v>5474215.8907191996</v>
      </c>
      <c r="G89" s="94">
        <f>REP!I89</f>
        <v>16802.754210902425</v>
      </c>
      <c r="H89" s="54">
        <f t="shared" si="4"/>
        <v>26296836.661086231</v>
      </c>
      <c r="I89" s="52"/>
    </row>
    <row r="90" spans="1:9" x14ac:dyDescent="0.25">
      <c r="A90" s="525"/>
      <c r="B90" s="18" t="str">
        <f ca="1">DFIE!$B$57</f>
        <v>Jura</v>
      </c>
      <c r="C90" s="93">
        <f>NP!E90</f>
        <v>1116408.2000000002</v>
      </c>
      <c r="D90" s="93">
        <f>QS!Z90</f>
        <v>107983.55388400001</v>
      </c>
      <c r="E90" s="93">
        <f>VERM!J34</f>
        <v>126726.03</v>
      </c>
      <c r="F90" s="93">
        <f>JP!$H90</f>
        <v>275516.61844800005</v>
      </c>
      <c r="G90" s="93">
        <f>REP!I90</f>
        <v>12589.806036290702</v>
      </c>
      <c r="H90" s="53">
        <f t="shared" si="4"/>
        <v>1639224.2083682911</v>
      </c>
      <c r="I90" s="52"/>
    </row>
    <row r="91" spans="1:9" x14ac:dyDescent="0.25">
      <c r="A91" s="525"/>
      <c r="B91" s="15" t="str">
        <f ca="1">DFIE!$B$58</f>
        <v>Schweiz</v>
      </c>
      <c r="C91" s="61">
        <f t="shared" ref="C91:H91" si="5">SUM(C65:C90)</f>
        <v>208471297.24800006</v>
      </c>
      <c r="D91" s="61">
        <f t="shared" si="5"/>
        <v>13403753.36969772</v>
      </c>
      <c r="E91" s="61">
        <f t="shared" si="5"/>
        <v>36681845.327234998</v>
      </c>
      <c r="F91" s="61">
        <f t="shared" si="5"/>
        <v>43321703.554183021</v>
      </c>
      <c r="G91" s="61">
        <f t="shared" si="5"/>
        <v>58086.351024044794</v>
      </c>
      <c r="H91" s="55">
        <f t="shared" si="5"/>
        <v>301936685.85013986</v>
      </c>
      <c r="I91" s="52"/>
    </row>
  </sheetData>
  <mergeCells count="3">
    <mergeCell ref="A9:A35"/>
    <mergeCell ref="A37:A63"/>
    <mergeCell ref="A65:A91"/>
  </mergeCells>
  <pageMargins left="0.78740157480314965" right="0.78740157480314965" top="0.9055118110236221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1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9"/>
  <dimension ref="A1:F35"/>
  <sheetViews>
    <sheetView showGridLines="0" zoomScaleNormal="100" workbookViewId="0">
      <selection activeCell="A50" sqref="A50"/>
    </sheetView>
  </sheetViews>
  <sheetFormatPr baseColWidth="10" defaultColWidth="9.109375" defaultRowHeight="13.2" x14ac:dyDescent="0.25"/>
  <cols>
    <col min="1" max="1" width="1.6640625" customWidth="1"/>
    <col min="2" max="6" width="18.6640625" customWidth="1"/>
  </cols>
  <sheetData>
    <row r="1" spans="1:6" ht="22.5" customHeight="1" x14ac:dyDescent="0.3">
      <c r="B1" s="4" t="str">
        <f ca="1">DFIE!$B$169</f>
        <v>Massgebende Wohnbevölkerung 2025</v>
      </c>
      <c r="C1" s="171"/>
      <c r="D1" s="171"/>
      <c r="E1" s="179"/>
      <c r="F1" s="173"/>
    </row>
    <row r="2" spans="1:6" ht="12.75" customHeight="1" x14ac:dyDescent="0.25">
      <c r="A2" s="164"/>
      <c r="B2" s="44"/>
      <c r="C2" s="164"/>
      <c r="D2" s="164"/>
      <c r="E2" s="165"/>
      <c r="F2" s="166"/>
    </row>
    <row r="3" spans="1:6" ht="0.75" customHeight="1" x14ac:dyDescent="0.25">
      <c r="A3" s="172"/>
      <c r="C3" s="171"/>
      <c r="D3" s="171"/>
      <c r="E3" s="179"/>
      <c r="F3" s="173"/>
    </row>
    <row r="4" spans="1:6" ht="12" customHeight="1" x14ac:dyDescent="0.25">
      <c r="A4" s="127"/>
      <c r="B4" s="32" t="str">
        <f ca="1">DFIE!$B$59</f>
        <v>Spalte</v>
      </c>
      <c r="C4" s="33" t="s">
        <v>30</v>
      </c>
      <c r="D4" s="33" t="s">
        <v>31</v>
      </c>
      <c r="E4" s="33" t="s">
        <v>32</v>
      </c>
      <c r="F4" s="34" t="s">
        <v>43</v>
      </c>
    </row>
    <row r="5" spans="1:6" ht="12" customHeight="1" x14ac:dyDescent="0.25">
      <c r="A5" s="176"/>
      <c r="B5" s="32" t="str">
        <f ca="1">DFIE!$B$60</f>
        <v>Formel</v>
      </c>
      <c r="C5" s="167"/>
      <c r="D5" s="167"/>
      <c r="E5" s="167"/>
      <c r="F5" s="168" t="s">
        <v>62</v>
      </c>
    </row>
    <row r="6" spans="1:6" ht="42" customHeight="1" x14ac:dyDescent="0.25">
      <c r="B6" s="174"/>
      <c r="C6" s="556" t="str">
        <f ca="1">DFIE!$B$170</f>
        <v>Mittlere ständige und nichtständige Wohnbevölkerung</v>
      </c>
      <c r="D6" s="556"/>
      <c r="E6" s="556"/>
      <c r="F6" s="170" t="str">
        <f ca="1">DFIE!$B$171</f>
        <v>Massgebende
Wohnbevölkerung</v>
      </c>
    </row>
    <row r="7" spans="1:6" ht="16.5" customHeight="1" x14ac:dyDescent="0.25">
      <c r="B7" s="175"/>
      <c r="C7" s="178">
        <f>DFIE!$G$3-6</f>
        <v>2019</v>
      </c>
      <c r="D7" s="178">
        <f>DFIE!$G$3-5</f>
        <v>2020</v>
      </c>
      <c r="E7" s="178">
        <f>DFIE!$G$3-4</f>
        <v>2021</v>
      </c>
      <c r="F7" s="177">
        <f>DFIE!$G$3</f>
        <v>2025</v>
      </c>
    </row>
    <row r="8" spans="1:6" ht="12.75" customHeight="1" x14ac:dyDescent="0.25">
      <c r="A8" s="176"/>
      <c r="B8" s="32" t="str">
        <f ca="1">DFIE!$B$62</f>
        <v>Einheit</v>
      </c>
      <c r="C8" s="38" t="str">
        <f ca="1">DFIE!$B$65</f>
        <v>Anzahl</v>
      </c>
      <c r="D8" s="38" t="str">
        <f ca="1">DFIE!$B$65</f>
        <v>Anzahl</v>
      </c>
      <c r="E8" s="38" t="str">
        <f ca="1">DFIE!$B$65</f>
        <v>Anzahl</v>
      </c>
      <c r="F8" s="169" t="str">
        <f ca="1">DFIE!$B$65</f>
        <v>Anzahl</v>
      </c>
    </row>
    <row r="9" spans="1:6" x14ac:dyDescent="0.25">
      <c r="B9" s="16" t="str">
        <f ca="1">DFIE!$B$32</f>
        <v>Zürich</v>
      </c>
      <c r="C9" s="60">
        <v>1541401</v>
      </c>
      <c r="D9" s="60">
        <v>1555566</v>
      </c>
      <c r="E9" s="60">
        <v>1566553</v>
      </c>
      <c r="F9" s="54">
        <f>AVERAGE(C9:E9)</f>
        <v>1554506.6666666667</v>
      </c>
    </row>
    <row r="10" spans="1:6" x14ac:dyDescent="0.25">
      <c r="B10" s="18" t="str">
        <f ca="1">DFIE!$B$33</f>
        <v>Bern</v>
      </c>
      <c r="C10" s="59">
        <v>1043482.5</v>
      </c>
      <c r="D10" s="59">
        <v>1046845</v>
      </c>
      <c r="E10" s="59">
        <v>1050594.5</v>
      </c>
      <c r="F10" s="53">
        <f t="shared" ref="F10:F34" si="0">AVERAGE(C10:E10)</f>
        <v>1046974</v>
      </c>
    </row>
    <row r="11" spans="1:6" x14ac:dyDescent="0.25">
      <c r="B11" s="16" t="str">
        <f ca="1">DFIE!$B$34</f>
        <v>Luzern</v>
      </c>
      <c r="C11" s="60">
        <v>414186.5</v>
      </c>
      <c r="D11" s="60">
        <v>417299.5</v>
      </c>
      <c r="E11" s="60">
        <v>420688.5</v>
      </c>
      <c r="F11" s="54">
        <f t="shared" si="0"/>
        <v>417391.5</v>
      </c>
    </row>
    <row r="12" spans="1:6" x14ac:dyDescent="0.25">
      <c r="B12" s="18" t="str">
        <f ca="1">DFIE!$B$35</f>
        <v>Uri</v>
      </c>
      <c r="C12" s="59">
        <v>36938</v>
      </c>
      <c r="D12" s="59">
        <v>37051.5</v>
      </c>
      <c r="E12" s="59">
        <v>37179</v>
      </c>
      <c r="F12" s="53">
        <f t="shared" si="0"/>
        <v>37056.166666666664</v>
      </c>
    </row>
    <row r="13" spans="1:6" x14ac:dyDescent="0.25">
      <c r="B13" s="16" t="str">
        <f ca="1">DFIE!$B$36</f>
        <v>Schwyz</v>
      </c>
      <c r="C13" s="60">
        <v>160523.5</v>
      </c>
      <c r="D13" s="60">
        <v>161983.5</v>
      </c>
      <c r="E13" s="60">
        <v>163581</v>
      </c>
      <c r="F13" s="54">
        <f t="shared" si="0"/>
        <v>162029.33333333334</v>
      </c>
    </row>
    <row r="14" spans="1:6" x14ac:dyDescent="0.25">
      <c r="B14" s="18" t="str">
        <f ca="1">DFIE!$B$37</f>
        <v>Obwalden</v>
      </c>
      <c r="C14" s="59">
        <v>38217.5</v>
      </c>
      <c r="D14" s="59">
        <v>38308</v>
      </c>
      <c r="E14" s="59">
        <v>38579</v>
      </c>
      <c r="F14" s="53">
        <f t="shared" si="0"/>
        <v>38368.166666666664</v>
      </c>
    </row>
    <row r="15" spans="1:6" x14ac:dyDescent="0.25">
      <c r="B15" s="16" t="str">
        <f ca="1">DFIE!$B$38</f>
        <v>Nidwalden</v>
      </c>
      <c r="C15" s="60">
        <v>43367.5</v>
      </c>
      <c r="D15" s="60">
        <v>43489.5</v>
      </c>
      <c r="E15" s="60">
        <v>43894.5</v>
      </c>
      <c r="F15" s="54">
        <f t="shared" si="0"/>
        <v>43583.833333333336</v>
      </c>
    </row>
    <row r="16" spans="1:6" x14ac:dyDescent="0.25">
      <c r="B16" s="18" t="str">
        <f ca="1">DFIE!$B$39</f>
        <v>Glarus</v>
      </c>
      <c r="C16" s="59">
        <v>40823.5</v>
      </c>
      <c r="D16" s="59">
        <v>41021.5</v>
      </c>
      <c r="E16" s="59">
        <v>41328.5</v>
      </c>
      <c r="F16" s="53">
        <f t="shared" si="0"/>
        <v>41057.833333333336</v>
      </c>
    </row>
    <row r="17" spans="2:6" x14ac:dyDescent="0.25">
      <c r="B17" s="16" t="str">
        <f ca="1">DFIE!$B$40</f>
        <v>Zug</v>
      </c>
      <c r="C17" s="60">
        <v>129046</v>
      </c>
      <c r="D17" s="60">
        <v>129806</v>
      </c>
      <c r="E17" s="60">
        <v>130556</v>
      </c>
      <c r="F17" s="54">
        <f t="shared" si="0"/>
        <v>129802.66666666667</v>
      </c>
    </row>
    <row r="18" spans="2:6" x14ac:dyDescent="0.25">
      <c r="B18" s="18" t="str">
        <f ca="1">DFIE!$B$41</f>
        <v>Freiburg</v>
      </c>
      <c r="C18" s="59">
        <v>321975</v>
      </c>
      <c r="D18" s="59">
        <v>325222.5</v>
      </c>
      <c r="E18" s="59">
        <v>329211.5</v>
      </c>
      <c r="F18" s="53">
        <f t="shared" si="0"/>
        <v>325469.66666666669</v>
      </c>
    </row>
    <row r="19" spans="2:6" x14ac:dyDescent="0.25">
      <c r="B19" s="16" t="str">
        <f ca="1">DFIE!$B$42</f>
        <v>Solothurn</v>
      </c>
      <c r="C19" s="60">
        <v>276338</v>
      </c>
      <c r="D19" s="60">
        <v>278219.5</v>
      </c>
      <c r="E19" s="60">
        <v>280672</v>
      </c>
      <c r="F19" s="54">
        <f t="shared" si="0"/>
        <v>278409.83333333331</v>
      </c>
    </row>
    <row r="20" spans="2:6" x14ac:dyDescent="0.25">
      <c r="B20" s="18" t="str">
        <f ca="1">DFIE!$B$43</f>
        <v>Basel-Stadt</v>
      </c>
      <c r="C20" s="59">
        <v>198595.5</v>
      </c>
      <c r="D20" s="59">
        <v>199093.5</v>
      </c>
      <c r="E20" s="59">
        <v>198696.5</v>
      </c>
      <c r="F20" s="53">
        <f t="shared" si="0"/>
        <v>198795.16666666666</v>
      </c>
    </row>
    <row r="21" spans="2:6" x14ac:dyDescent="0.25">
      <c r="B21" s="16" t="str">
        <f ca="1">DFIE!$B$44</f>
        <v>Basel-Landschaft</v>
      </c>
      <c r="C21" s="60">
        <v>290380.5</v>
      </c>
      <c r="D21" s="60">
        <v>291766.5</v>
      </c>
      <c r="E21" s="60">
        <v>293500</v>
      </c>
      <c r="F21" s="54">
        <f t="shared" si="0"/>
        <v>291882.33333333331</v>
      </c>
    </row>
    <row r="22" spans="2:6" x14ac:dyDescent="0.25">
      <c r="B22" s="18" t="str">
        <f ca="1">DFIE!$B$45</f>
        <v>Schaffhausen</v>
      </c>
      <c r="C22" s="59">
        <v>82881.5</v>
      </c>
      <c r="D22" s="59">
        <v>83373.5</v>
      </c>
      <c r="E22" s="59">
        <v>84176</v>
      </c>
      <c r="F22" s="53">
        <f t="shared" si="0"/>
        <v>83477</v>
      </c>
    </row>
    <row r="23" spans="2:6" x14ac:dyDescent="0.25">
      <c r="B23" s="16" t="str">
        <f ca="1">DFIE!$B$46</f>
        <v>Appenzell A.Rh.</v>
      </c>
      <c r="C23" s="60">
        <v>55448</v>
      </c>
      <c r="D23" s="60">
        <v>55461</v>
      </c>
      <c r="E23" s="60">
        <v>55549</v>
      </c>
      <c r="F23" s="54">
        <f t="shared" si="0"/>
        <v>55486</v>
      </c>
    </row>
    <row r="24" spans="2:6" x14ac:dyDescent="0.25">
      <c r="B24" s="18" t="str">
        <f ca="1">DFIE!$B$47</f>
        <v>Appenzell I.Rh.</v>
      </c>
      <c r="C24" s="59">
        <v>16213</v>
      </c>
      <c r="D24" s="59">
        <v>16268.5</v>
      </c>
      <c r="E24" s="59">
        <v>16369</v>
      </c>
      <c r="F24" s="53">
        <f t="shared" si="0"/>
        <v>16283.5</v>
      </c>
    </row>
    <row r="25" spans="2:6" x14ac:dyDescent="0.25">
      <c r="B25" s="16" t="str">
        <f ca="1">DFIE!$B$48</f>
        <v>St. Gallen</v>
      </c>
      <c r="C25" s="60">
        <v>512152.5</v>
      </c>
      <c r="D25" s="60">
        <v>515102</v>
      </c>
      <c r="E25" s="60">
        <v>519094</v>
      </c>
      <c r="F25" s="54">
        <f t="shared" si="0"/>
        <v>515449.5</v>
      </c>
    </row>
    <row r="26" spans="2:6" x14ac:dyDescent="0.25">
      <c r="B26" s="18" t="str">
        <f ca="1">DFIE!$B$49</f>
        <v>Graubünden</v>
      </c>
      <c r="C26" s="59">
        <v>206052</v>
      </c>
      <c r="D26" s="59">
        <v>206074.5</v>
      </c>
      <c r="E26" s="59">
        <v>207084</v>
      </c>
      <c r="F26" s="53">
        <f t="shared" si="0"/>
        <v>206403.5</v>
      </c>
    </row>
    <row r="27" spans="2:6" x14ac:dyDescent="0.25">
      <c r="B27" s="16" t="str">
        <f ca="1">DFIE!$B$50</f>
        <v>Aargau</v>
      </c>
      <c r="C27" s="60">
        <v>686741</v>
      </c>
      <c r="D27" s="60">
        <v>694424</v>
      </c>
      <c r="E27" s="60">
        <v>702964.5</v>
      </c>
      <c r="F27" s="54">
        <f t="shared" si="0"/>
        <v>694709.83333333337</v>
      </c>
    </row>
    <row r="28" spans="2:6" x14ac:dyDescent="0.25">
      <c r="B28" s="18" t="str">
        <f ca="1">DFIE!$B$51</f>
        <v>Thurgau</v>
      </c>
      <c r="C28" s="59">
        <v>279866</v>
      </c>
      <c r="D28" s="59">
        <v>282986</v>
      </c>
      <c r="E28" s="59">
        <v>286155.5</v>
      </c>
      <c r="F28" s="53">
        <f t="shared" si="0"/>
        <v>283002.5</v>
      </c>
    </row>
    <row r="29" spans="2:6" x14ac:dyDescent="0.25">
      <c r="B29" s="16" t="str">
        <f ca="1">DFIE!$B$52</f>
        <v>Tessin</v>
      </c>
      <c r="C29" s="60">
        <v>355084</v>
      </c>
      <c r="D29" s="60">
        <v>353714.5</v>
      </c>
      <c r="E29" s="60">
        <v>353941.5</v>
      </c>
      <c r="F29" s="54">
        <f t="shared" si="0"/>
        <v>354246.66666666669</v>
      </c>
    </row>
    <row r="30" spans="2:6" x14ac:dyDescent="0.25">
      <c r="B30" s="18" t="str">
        <f ca="1">DFIE!$B$53</f>
        <v>Waadt</v>
      </c>
      <c r="C30" s="59">
        <v>811568.5</v>
      </c>
      <c r="D30" s="59">
        <v>818360</v>
      </c>
      <c r="E30" s="59">
        <v>826511</v>
      </c>
      <c r="F30" s="53">
        <f t="shared" si="0"/>
        <v>818813.16666666663</v>
      </c>
    </row>
    <row r="31" spans="2:6" x14ac:dyDescent="0.25">
      <c r="B31" s="16" t="str">
        <f ca="1">DFIE!$B$54</f>
        <v>Wallis</v>
      </c>
      <c r="C31" s="60">
        <v>353017</v>
      </c>
      <c r="D31" s="60">
        <v>354866.5</v>
      </c>
      <c r="E31" s="60">
        <v>358593.5</v>
      </c>
      <c r="F31" s="54">
        <f t="shared" si="0"/>
        <v>355492.33333333331</v>
      </c>
    </row>
    <row r="32" spans="2:6" x14ac:dyDescent="0.25">
      <c r="B32" s="18" t="str">
        <f ca="1">DFIE!$B$55</f>
        <v>Neuenburg</v>
      </c>
      <c r="C32" s="59">
        <v>177921.5</v>
      </c>
      <c r="D32" s="59">
        <v>177454</v>
      </c>
      <c r="E32" s="59">
        <v>177339.5</v>
      </c>
      <c r="F32" s="53">
        <f t="shared" si="0"/>
        <v>177571.66666666666</v>
      </c>
    </row>
    <row r="33" spans="1:6" x14ac:dyDescent="0.25">
      <c r="B33" s="16" t="str">
        <f ca="1">DFIE!$B$56</f>
        <v>Genf</v>
      </c>
      <c r="C33" s="60">
        <v>505360.5</v>
      </c>
      <c r="D33" s="60">
        <v>508270</v>
      </c>
      <c r="E33" s="60">
        <v>510823.5</v>
      </c>
      <c r="F33" s="54">
        <f t="shared" si="0"/>
        <v>508151.33333333331</v>
      </c>
    </row>
    <row r="34" spans="1:6" x14ac:dyDescent="0.25">
      <c r="B34" s="18" t="str">
        <f ca="1">DFIE!$B$57</f>
        <v>Jura</v>
      </c>
      <c r="C34" s="59">
        <v>73721.5</v>
      </c>
      <c r="D34" s="59">
        <v>73845</v>
      </c>
      <c r="E34" s="59">
        <v>73953.5</v>
      </c>
      <c r="F34" s="53">
        <f t="shared" si="0"/>
        <v>73840</v>
      </c>
    </row>
    <row r="35" spans="1:6" x14ac:dyDescent="0.25">
      <c r="A35" s="42"/>
      <c r="B35" s="15" t="str">
        <f ca="1">DFIE!$B$58</f>
        <v>Schweiz</v>
      </c>
      <c r="C35" s="61">
        <f>SUM(C9:C34)</f>
        <v>8651302</v>
      </c>
      <c r="D35" s="61">
        <f>SUM(D9:D34)</f>
        <v>8705872</v>
      </c>
      <c r="E35" s="61">
        <f>SUM(E9:E34)</f>
        <v>8767588.5</v>
      </c>
      <c r="F35" s="55">
        <f>SUM(F9:F34)</f>
        <v>8708254.1666666679</v>
      </c>
    </row>
  </sheetData>
  <mergeCells count="1">
    <mergeCell ref="C6:E6"/>
  </mergeCells>
  <conditionalFormatting sqref="C9:E34">
    <cfRule type="expression" dxfId="13" priority="1" stopIfTrue="1">
      <formula>ISBLANK(C9)</formula>
    </cfRule>
  </conditionalFormatting>
  <pageMargins left="0.78740157480314965" right="0.78740157480314965" top="0.9055118110236221" bottom="0.98425196850393704" header="0.51181102362204722" footer="0.51181102362204722"/>
  <pageSetup paperSize="9" scale="95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21</vt:i4>
      </vt:variant>
    </vt:vector>
  </HeadingPairs>
  <TitlesOfParts>
    <vt:vector size="38" baseType="lpstr">
      <vt:lpstr>INTRO</vt:lpstr>
      <vt:lpstr>TOTAL</vt:lpstr>
      <vt:lpstr>NP</vt:lpstr>
      <vt:lpstr>QS</vt:lpstr>
      <vt:lpstr>VERM</vt:lpstr>
      <vt:lpstr>JP</vt:lpstr>
      <vt:lpstr>REP</vt:lpstr>
      <vt:lpstr>ASG</vt:lpstr>
      <vt:lpstr>BEV</vt:lpstr>
      <vt:lpstr>RP</vt:lpstr>
      <vt:lpstr>SST</vt:lpstr>
      <vt:lpstr>AUSZ</vt:lpstr>
      <vt:lpstr>DOT</vt:lpstr>
      <vt:lpstr>EINZ</vt:lpstr>
      <vt:lpstr>SSE</vt:lpstr>
      <vt:lpstr>ALPHA</vt:lpstr>
      <vt:lpstr>ZETA</vt:lpstr>
      <vt:lpstr>ALPHA!Druckbereich</vt:lpstr>
      <vt:lpstr>ASG!Druckbereich</vt:lpstr>
      <vt:lpstr>AUSZ!Druckbereich</vt:lpstr>
      <vt:lpstr>BEV!Druckbereich</vt:lpstr>
      <vt:lpstr>DOT!Druckbereich</vt:lpstr>
      <vt:lpstr>EINZ!Druckbereich</vt:lpstr>
      <vt:lpstr>NP!Druckbereich</vt:lpstr>
      <vt:lpstr>QS!Druckbereich</vt:lpstr>
      <vt:lpstr>REP!Druckbereich</vt:lpstr>
      <vt:lpstr>RP!Druckbereich</vt:lpstr>
      <vt:lpstr>SSE!Druckbereich</vt:lpstr>
      <vt:lpstr>SST!Druckbereich</vt:lpstr>
      <vt:lpstr>TOTAL!Druckbereich</vt:lpstr>
      <vt:lpstr>VERM!Druckbereich</vt:lpstr>
      <vt:lpstr>ZETA!Druckbereich</vt:lpstr>
      <vt:lpstr>ASG!Drucktitel</vt:lpstr>
      <vt:lpstr>JP!Drucktitel</vt:lpstr>
      <vt:lpstr>NP!Drucktitel</vt:lpstr>
      <vt:lpstr>QS!Drucktitel</vt:lpstr>
      <vt:lpstr>REP!Drucktitel</vt:lpstr>
      <vt:lpstr>ZETA!Print_Area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shiny</dc:creator>
  <cp:lastModifiedBy>Witschard Jean-Pierre EFV</cp:lastModifiedBy>
  <dcterms:created xsi:type="dcterms:W3CDTF">2014-03-07T16:08:25Z</dcterms:created>
  <dcterms:modified xsi:type="dcterms:W3CDTF">2024-06-04T10:55:51Z</dcterms:modified>
</cp:coreProperties>
</file>